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ukeenergy-my.sharepoint.com/personal/minna_sunderman_duke-energy_com/Documents/Desktop/Electronic Filing/"/>
    </mc:Choice>
  </mc:AlternateContent>
  <xr:revisionPtr revIDLastSave="0" documentId="8_{1901725F-63C9-4810-8157-4D9F37ED11E5}" xr6:coauthVersionLast="47" xr6:coauthVersionMax="47" xr10:uidLastSave="{00000000-0000-0000-0000-000000000000}"/>
  <bookViews>
    <workbookView xWindow="-108" yWindow="-108" windowWidth="23256" windowHeight="12456" tabRatio="599" firstSheet="24" activeTab="32" xr2:uid="{00000000-000D-0000-FFFF-FFFF00000000}"/>
  </bookViews>
  <sheets>
    <sheet name="INPUT" sheetId="1" r:id="rId1"/>
    <sheet name="PRINT" sheetId="2" r:id="rId2"/>
    <sheet name="Revenue Check" sheetId="40" r:id="rId3"/>
    <sheet name="SCH M" sheetId="3" r:id="rId4"/>
    <sheet name="SCH M-2.1" sheetId="4" r:id="rId5"/>
    <sheet name="SCH M-2.2" sheetId="5" r:id="rId6"/>
    <sheet name="SCH M-2.3" sheetId="6" r:id="rId7"/>
    <sheet name="Rate RS" sheetId="7" r:id="rId8"/>
    <sheet name="Rate DS" sheetId="8" r:id="rId9"/>
    <sheet name="Rate DT-Pri" sheetId="9" r:id="rId10"/>
    <sheet name="Rate DT-Sec" sheetId="10" r:id="rId11"/>
    <sheet name="Rate EH" sheetId="11" r:id="rId12"/>
    <sheet name="Rate SP GSFL" sheetId="12" r:id="rId13"/>
    <sheet name="Rate DP" sheetId="13" r:id="rId14"/>
    <sheet name="Rate TT" sheetId="14" r:id="rId15"/>
    <sheet name="Rate DT RTP-P" sheetId="29" r:id="rId16"/>
    <sheet name="Rate DT RTP-S" sheetId="30" r:id="rId17"/>
    <sheet name="Rate DS RTP" sheetId="31" r:id="rId18"/>
    <sheet name="Rate TT RTP" sheetId="33" r:id="rId19"/>
    <sheet name="Rate SL" sheetId="19" r:id="rId20"/>
    <sheet name="Rate TL" sheetId="20" r:id="rId21"/>
    <sheet name="Rate UOLS" sheetId="28" r:id="rId22"/>
    <sheet name="Rate NSU" sheetId="22" r:id="rId23"/>
    <sheet name="Rate SC" sheetId="24" r:id="rId24"/>
    <sheet name="Rate SE" sheetId="25" r:id="rId25"/>
    <sheet name="Rate LED" sheetId="38" r:id="rId26"/>
    <sheet name="SCH N" sheetId="26" r:id="rId27"/>
    <sheet name="BILL CALC" sheetId="27" r:id="rId28"/>
    <sheet name="Revenue Requirements" sheetId="34" r:id="rId29"/>
    <sheet name="Proposed Rates - Not Used" sheetId="35" r:id="rId30"/>
    <sheet name="TBI" sheetId="36" r:id="rId31"/>
    <sheet name="TBI Revised" sheetId="41" r:id="rId32"/>
    <sheet name="RTP Worksheet" sheetId="37" r:id="rId33"/>
  </sheets>
  <definedNames>
    <definedName name="_Fill" localSheetId="13" hidden="1">'Rate DP'!$AS$913:$AS$930</definedName>
    <definedName name="_Fill" localSheetId="8" hidden="1">'Rate DS'!$AS$926:$AS$943</definedName>
    <definedName name="_Fill" localSheetId="17" hidden="1">'Rate DS RTP'!$AS$903:$AS$920</definedName>
    <definedName name="_Fill" localSheetId="15" hidden="1">'Rate DT RTP-P'!$AS$831:$AS$848</definedName>
    <definedName name="_Fill" localSheetId="16" hidden="1">'Rate DT RTP-S'!$AS$897:$AS$914</definedName>
    <definedName name="_Fill" localSheetId="9" hidden="1">'Rate DT-Pri'!$AS$887:$AS$904</definedName>
    <definedName name="_Fill" localSheetId="10" hidden="1">'Rate DT-Sec'!$AS$883:$AS$900</definedName>
    <definedName name="_Fill" localSheetId="11" hidden="1">'Rate EH'!$AS$895:$AS$912</definedName>
    <definedName name="_Fill" localSheetId="25" hidden="1">'Rate LED'!$AU$1324:$AU$1341</definedName>
    <definedName name="_Fill" localSheetId="22" hidden="1">'Rate NSU'!$AS$849:$AS$866</definedName>
    <definedName name="_Fill" localSheetId="7" hidden="1">'Rate RS'!#REF!</definedName>
    <definedName name="_Fill" localSheetId="23" hidden="1">'Rate SC'!$AS$827:$AS$844</definedName>
    <definedName name="_Fill" localSheetId="24" hidden="1">'Rate SE'!$AS$865:$AS$882</definedName>
    <definedName name="_Fill" localSheetId="19" hidden="1">'Rate SL'!$AU$853:$AU$870</definedName>
    <definedName name="_Fill" localSheetId="12" hidden="1">'Rate SP GSFL'!$AS$926:$AS$943</definedName>
    <definedName name="_Fill" localSheetId="20" hidden="1">'Rate TL'!$AS$849:$AS$866</definedName>
    <definedName name="_Fill" localSheetId="14" hidden="1">'Rate TT'!$AS$881:$AS$898</definedName>
    <definedName name="_Fill" localSheetId="18" hidden="1">'Rate TT RTP'!$AS$845:$AS$862</definedName>
    <definedName name="_Fill" localSheetId="21" hidden="1">'Rate UOLS'!$AS$838:$AS$855</definedName>
    <definedName name="_Fill" localSheetId="3" hidden="1">'SCH M'!#REF!</definedName>
    <definedName name="_Fill" localSheetId="4" hidden="1">'SCH M-2.1'!#REF!</definedName>
    <definedName name="_Fill" localSheetId="5" hidden="1">'SCH M-2.2'!#REF!</definedName>
    <definedName name="_Fill" localSheetId="6" hidden="1">'SCH M-2.3'!#REF!</definedName>
    <definedName name="_Fill" hidden="1">'SCH N'!$A$221:$A$238</definedName>
    <definedName name="_Regression_Int" localSheetId="13" hidden="1">1</definedName>
    <definedName name="_Regression_Int" localSheetId="8" hidden="1">1</definedName>
    <definedName name="_Regression_Int" localSheetId="17" hidden="1">1</definedName>
    <definedName name="_Regression_Int" localSheetId="15" hidden="1">1</definedName>
    <definedName name="_Regression_Int" localSheetId="16" hidden="1">1</definedName>
    <definedName name="_Regression_Int" localSheetId="9" hidden="1">1</definedName>
    <definedName name="_Regression_Int" localSheetId="10" hidden="1">1</definedName>
    <definedName name="_Regression_Int" localSheetId="11" hidden="1">1</definedName>
    <definedName name="_Regression_Int" localSheetId="25" hidden="1">1</definedName>
    <definedName name="_Regression_Int" localSheetId="22" hidden="1">1</definedName>
    <definedName name="_Regression_Int" localSheetId="7" hidden="1">1</definedName>
    <definedName name="_Regression_Int" localSheetId="23" hidden="1">1</definedName>
    <definedName name="_Regression_Int" localSheetId="24" hidden="1">1</definedName>
    <definedName name="_Regression_Int" localSheetId="19" hidden="1">1</definedName>
    <definedName name="_Regression_Int" localSheetId="12" hidden="1">1</definedName>
    <definedName name="_Regression_Int" localSheetId="20" hidden="1">1</definedName>
    <definedName name="_Regression_Int" localSheetId="14" hidden="1">1</definedName>
    <definedName name="_Regression_Int" localSheetId="18" hidden="1">1</definedName>
    <definedName name="_Regression_Int" localSheetId="21" hidden="1">1</definedName>
    <definedName name="_Regression_Int" localSheetId="3" hidden="1">1</definedName>
    <definedName name="_Regression_Int" localSheetId="4" hidden="1">1</definedName>
    <definedName name="_Regression_Int" localSheetId="5" hidden="1">1</definedName>
    <definedName name="_Regression_Int" localSheetId="6" hidden="1">1</definedName>
    <definedName name="CASE_NO">INPUT!$B$11</definedName>
    <definedName name="CUR_BASE_FUEL">INPUT!$C$20</definedName>
    <definedName name="CUR_DCI">INPUT!$C$169</definedName>
    <definedName name="CUR_DCI_DIST">INPUT!$C$170</definedName>
    <definedName name="CUR_DCI_DP">INPUT!$C$176</definedName>
    <definedName name="CUR_DCI_DTP">INPUT!$C$171</definedName>
    <definedName name="CUR_DCI_DTS">INPUT!$C$172</definedName>
    <definedName name="CUR_DCI_EH">INPUT!$C$173</definedName>
    <definedName name="CUR_DCI_GSFL">INPUT!$C$175</definedName>
    <definedName name="CUR_DCI_SL">INPUT!$C$178</definedName>
    <definedName name="CUR_DCI_SP">INPUT!$C$174</definedName>
    <definedName name="CUR_DP_CST">'Rate DP'!$AC$77</definedName>
    <definedName name="CUR_DP_DEMAND">'Rate DP'!$AC$81</definedName>
    <definedName name="CUR_DP_KWH1">'Rate DP'!$AC$85</definedName>
    <definedName name="CUR_DP_KWH2">'Rate DP'!$AC$86</definedName>
    <definedName name="CUR_DP_LMR">'Rate DP'!$AC$76</definedName>
    <definedName name="CUR_DP_RTP_COM" localSheetId="16">'Rate DT RTP-S'!$AC$73</definedName>
    <definedName name="CUR_DP_RTP_COM" localSheetId="25">#REF!</definedName>
    <definedName name="CUR_DP_RTP_COM">#REF!</definedName>
    <definedName name="CUR_DP_RTP_CUST" localSheetId="16">'Rate DT RTP-S'!$AC$68</definedName>
    <definedName name="CUR_DP_RTP_CUST" localSheetId="25">#REF!</definedName>
    <definedName name="CUR_DP_RTP_CUST">#REF!</definedName>
    <definedName name="CUR_DP_RTP_KWH1" localSheetId="16">'Rate DT RTP-S'!$AC$72</definedName>
    <definedName name="CUR_DP_RTP_KWH1" localSheetId="25">#REF!</definedName>
    <definedName name="CUR_DP_RTP_KWH1">#REF!</definedName>
    <definedName name="CUR_DP_RTP_KWH2" localSheetId="16">'Rate DT RTP-S'!#REF!</definedName>
    <definedName name="CUR_DP_RTP_KWH2" localSheetId="25">#REF!</definedName>
    <definedName name="CUR_DP_RTP_KWH2">#REF!</definedName>
    <definedName name="CUR_DS_CST_1">'Rate DS'!$AC$81</definedName>
    <definedName name="CUR_DS_CST_2">'Rate DS'!$AC$82</definedName>
    <definedName name="CUR_DS_DEM_1">'Rate DS'!$AC$86</definedName>
    <definedName name="CUR_DS_DEM_3">'Rate DS'!$AC$87</definedName>
    <definedName name="CUR_DS_KWH_1">'Rate DS'!$AC$91</definedName>
    <definedName name="CUR_DS_KWH_2">'Rate DS'!$AC$92</definedName>
    <definedName name="CUR_DS_KWH_3">'Rate DS'!$AC$93</definedName>
    <definedName name="CUR_DS_LMR">'Rate DS'!#REF!</definedName>
    <definedName name="CUR_DS_RTP" localSheetId="17">'Rate DS RTP'!$T$45:$AQ$86</definedName>
    <definedName name="CUR_DS_RTP" localSheetId="25">#REF!</definedName>
    <definedName name="CUR_DS_RTP">#REF!</definedName>
    <definedName name="CUR_DS_RTP_COM" localSheetId="17">'Rate DS RTP'!$AC$73</definedName>
    <definedName name="CUR_DS_RTP_COM" localSheetId="25">#REF!</definedName>
    <definedName name="CUR_DS_RTP_COM">#REF!</definedName>
    <definedName name="CUR_DS_RTP_CUST" localSheetId="17">'Rate DS RTP'!$AC$68</definedName>
    <definedName name="CUR_DS_RTP_CUST" localSheetId="25">#REF!</definedName>
    <definedName name="CUR_DS_RTP_CUST">#REF!</definedName>
    <definedName name="CUR_DS_RTP_KWH1" localSheetId="17">'Rate DS RTP'!$AC$72</definedName>
    <definedName name="CUR_DS_RTP_KWH1" localSheetId="25">#REF!</definedName>
    <definedName name="CUR_DS_RTP_KWH1">#REF!</definedName>
    <definedName name="CUR_DS_RTP_KWH2" localSheetId="17">'Rate DS RTP'!#REF!</definedName>
    <definedName name="CUR_DS_RTP_KWH2" localSheetId="25">#REF!</definedName>
    <definedName name="CUR_DS_RTP_KWH2">#REF!</definedName>
    <definedName name="CUR_DT_DISC">'Rate DT-Pri'!$AC$103</definedName>
    <definedName name="CUR_DT_DISC1">'Rate DT-Pri'!$AC$104</definedName>
    <definedName name="CUR_DT_PRI">'Rate DT-Pri'!$AC$95</definedName>
    <definedName name="CUR_DT_RTP_COM" localSheetId="15">'Rate DT RTP-P'!$AC$73</definedName>
    <definedName name="CUR_DT_RTP_COM" localSheetId="25">#REF!</definedName>
    <definedName name="CUR_DT_RTP_COM">#REF!</definedName>
    <definedName name="CUR_DT_RTP_CUST" localSheetId="15">'Rate DT RTP-P'!$AC$68</definedName>
    <definedName name="CUR_DT_RTP_CUST" localSheetId="25">#REF!</definedName>
    <definedName name="CUR_DT_RTP_CUST">#REF!</definedName>
    <definedName name="CUR_DT_RTP_KWH1" localSheetId="15">'Rate DT RTP-P'!$AC$72</definedName>
    <definedName name="CUR_DT_RTP_KWH1" localSheetId="25">#REF!</definedName>
    <definedName name="CUR_DT_RTP_KWH1">#REF!</definedName>
    <definedName name="CUR_DT_RTP_KWH2" localSheetId="15">'Rate DT RTP-P'!#REF!</definedName>
    <definedName name="CUR_DT_RTP_KWH2" localSheetId="25">#REF!</definedName>
    <definedName name="CUR_DT_RTP_KWH2">#REF!</definedName>
    <definedName name="CUR_DT_RTP_P" localSheetId="15">'Rate DT RTP-P'!$T$45:$AQ$85</definedName>
    <definedName name="CUR_DT_RTP_P" localSheetId="25">#REF!</definedName>
    <definedName name="CUR_DT_RTP_P">#REF!</definedName>
    <definedName name="CUR_DT_RTP_S" localSheetId="16">'Rate DT RTP-S'!$T$45:$AQ$86</definedName>
    <definedName name="CUR_DT_RTP_S" localSheetId="25">#REF!</definedName>
    <definedName name="CUR_DT_RTP_S">#REF!</definedName>
    <definedName name="CUR_DT_SEC">'Rate DT-Sec'!$T$71:$AQ$137</definedName>
    <definedName name="CUR_DT_SEC_CST1">'Rate DT-Sec'!$AC$93</definedName>
    <definedName name="CUR_DT_SEC_CST3">'Rate DT-Sec'!$AC$94</definedName>
    <definedName name="CUR_DT_SEC_DEMOFF">'Rate DT-Sec'!$AC$99</definedName>
    <definedName name="CUR_DT_SEC_DEMON">'Rate DT-Sec'!$AC$98</definedName>
    <definedName name="CUR_DT_SEC_SUMKWH">'Rate DT-Sec'!$AC$105</definedName>
    <definedName name="CUR_DT_SEC_WINKWH">'Rate DT-Sec'!$AC$122</definedName>
    <definedName name="CUR_DT_SEC_WINOFF">'Rate DT-Sec'!$AC$116</definedName>
    <definedName name="CUR_DT_SEC_WINON">'Rate DT-Sec'!$AC$115</definedName>
    <definedName name="CUR_DT_SUM_E_OFF">'Rate DT-Pri'!$AC$108</definedName>
    <definedName name="CUR_DT_SUM_E_ON">'Rate DT-Pri'!$AC$107</definedName>
    <definedName name="CUR_DT_SUM_PEAK_ON">'Rate DT-Pri'!$AC$98</definedName>
    <definedName name="CUR_DT_SUM_PK_OFF">'Rate DT-Pri'!$AC$99</definedName>
    <definedName name="CUR_DT_WIN_E_ON">'Rate DT-Pri'!$AC$125</definedName>
    <definedName name="CUR_DT_WIN_PEAK_ON">'Rate DT-Pri'!$AC$116</definedName>
    <definedName name="CUR_DT_WIN_PK_OFF">'Rate DT-Pri'!$AC$117</definedName>
    <definedName name="CUR_EH_CST_1">'Rate EH'!$AC$72</definedName>
    <definedName name="CUR_EH_CST_2">'Rate EH'!$AC$73</definedName>
    <definedName name="CUR_EH_CST_3">'Rate EH'!$AC$74</definedName>
    <definedName name="CUR_EH_KWH_1">'Rate EH'!$AC$81</definedName>
    <definedName name="CUR_ESM">INPUT!$C$165</definedName>
    <definedName name="CUR_ESM_NonRes">INPUT!$C$166</definedName>
    <definedName name="CUR_FAC">INPUT!$C$19</definedName>
    <definedName name="CUR_FTR_DIST">INPUT!$C$184</definedName>
    <definedName name="CUR_FTR_DP">INPUT!$C$190</definedName>
    <definedName name="CUR_FTR_DTP">INPUT!$C$185</definedName>
    <definedName name="CUR_FTR_DTS">INPUT!$C$186</definedName>
    <definedName name="CUR_FTR_EH">INPUT!$C$187</definedName>
    <definedName name="CUR_FTR_GSFL">INPUT!$C$189</definedName>
    <definedName name="CUR_FTR_RES">INPUT!$C$183</definedName>
    <definedName name="CUR_FTR_SL">INPUT!$C$192</definedName>
    <definedName name="CUR_FTR_SP">INPUT!$C$188</definedName>
    <definedName name="CUR_FTR_TT">INPUT!$C$191</definedName>
    <definedName name="CUR_RS_CUST">'Rate RS'!$AB$64</definedName>
    <definedName name="CUR_RS_ENERGY">'Rate RS'!$AB$67</definedName>
    <definedName name="CUR_SUM_TT_ON_KWH">INPUT!$C$125</definedName>
    <definedName name="CUR_TT_KWH">INPUT!$C$125</definedName>
    <definedName name="CUR_TT_OFF">INPUT!$C$127</definedName>
    <definedName name="CUR_TT_RTP" localSheetId="25">#REF!</definedName>
    <definedName name="CUR_TT_RTP" localSheetId="18">'Rate TT RTP'!$T$47:$AQ$88</definedName>
    <definedName name="CUR_TT_RTP">#REF!</definedName>
    <definedName name="CUR_TT_RTP_COM" localSheetId="25">#REF!</definedName>
    <definedName name="CUR_TT_RTP_COM" localSheetId="18">'Rate TT RTP'!$AC$75</definedName>
    <definedName name="CUR_TT_RTP_COM">#REF!</definedName>
    <definedName name="CUR_TT_RTP_CUST" localSheetId="25">#REF!</definedName>
    <definedName name="CUR_TT_RTP_CUST" localSheetId="18">'Rate TT RTP'!$AC$70</definedName>
    <definedName name="CUR_TT_RTP_CUST">#REF!</definedName>
    <definedName name="CUR_TT_RTP_KWH1" localSheetId="25">#REF!</definedName>
    <definedName name="CUR_TT_RTP_KWH1" localSheetId="18">'Rate TT RTP'!$AC$74</definedName>
    <definedName name="CUR_TT_RTP_KWH1">#REF!</definedName>
    <definedName name="CUR_TT_RTP_KWH2" localSheetId="25">#REF!</definedName>
    <definedName name="CUR_TT_RTP_KWH2" localSheetId="18">'Rate TT RTP'!#REF!</definedName>
    <definedName name="CUR_TT_RTP_KWH2">#REF!</definedName>
    <definedName name="CUR_TT_SUM_CST">'Rate TT'!$AC$85</definedName>
    <definedName name="CUR_TT_SUM_PEAK">'Rate TT'!$AC$88</definedName>
    <definedName name="CUR_TT_SUM_PK_OFF">'Rate TT'!$AC$89</definedName>
    <definedName name="CUR_TT_WIN_CST">'Rate TT'!$AC$99</definedName>
    <definedName name="CUR_TT_WIN_PEAK">'Rate TT'!$AC$102</definedName>
    <definedName name="CUR_TT_WIN_PK_OFF">'Rate TT'!$AC$103</definedName>
    <definedName name="CUR_WIN_TT_ON_KWH">INPUT!$C$126</definedName>
    <definedName name="DATA_PERIOD">INPUT!$B$13</definedName>
    <definedName name="DATE">INPUT!$B$10</definedName>
    <definedName name="DCI_Name">INPUT!$B$201</definedName>
    <definedName name="DS_MSRE">INPUT!$C$24</definedName>
    <definedName name="DSM_DIST">INPUT!$C$30</definedName>
    <definedName name="DSM_RES">INPUT!$C$29</definedName>
    <definedName name="DSM_RS_CUST">INPUT!$J$29</definedName>
    <definedName name="DSM_TRANS">INPUT!$C$31</definedName>
    <definedName name="DSMR_Name">INPUT!$B$196</definedName>
    <definedName name="ESM_Name">INPUT!$B$197</definedName>
    <definedName name="FAC_Name">INPUT!$B$198</definedName>
    <definedName name="FTR_Name">INPUT!$B$200</definedName>
    <definedName name="HEA_Name">INPUT!$B$195</definedName>
    <definedName name="LT_COS_RATE" localSheetId="25">'Rate LED'!$AG$1</definedName>
    <definedName name="LT_COS_RATE">'Rate SL'!$AG$1</definedName>
    <definedName name="LT_MSRE">INPUT!$C$26</definedName>
    <definedName name="Migration_CC">'Proposed Rates - Not Used'!$A$12</definedName>
    <definedName name="NAME">INPUT!$B$8</definedName>
    <definedName name="Page_Num_2.2">INPUT!$J$14</definedName>
    <definedName name="Page_Num_2.3">INPUT!$J$15</definedName>
    <definedName name="_xlnm.Print_Area" localSheetId="13">'Rate DP'!$A$1:$R$50</definedName>
    <definedName name="_xlnm.Print_Area" localSheetId="8">'Rate DS'!$A$1:$R$56</definedName>
    <definedName name="_xlnm.Print_Area" localSheetId="17">'Rate DS RTP'!$T$45:$AQ$85</definedName>
    <definedName name="_xlnm.Print_Area" localSheetId="15">'Rate DT RTP-P'!$A$1:$R$41</definedName>
    <definedName name="_xlnm.Print_Area" localSheetId="16">'Rate DT RTP-S'!$T$45:$AQ$85</definedName>
    <definedName name="_xlnm.Print_Area" localSheetId="9">'Rate DT-Pri'!$A$1:$R$69</definedName>
    <definedName name="_xlnm.Print_Area" localSheetId="10">'Rate DT-Sec'!$A$1:$R$67</definedName>
    <definedName name="_xlnm.Print_Area" localSheetId="11">'Rate EH'!$A$1:$R$47</definedName>
    <definedName name="_xlnm.Print_Area" localSheetId="25">'Rate LED'!$T$622:$AQ$696</definedName>
    <definedName name="_xlnm.Print_Area" localSheetId="22">'Rate NSU'!$A$1:$R$51</definedName>
    <definedName name="_xlnm.Print_Area" localSheetId="7">'Rate RS'!$A$1:$R$45</definedName>
    <definedName name="_xlnm.Print_Area" localSheetId="23">'Rate SC'!$A$1:$R$77</definedName>
    <definedName name="_xlnm.Print_Area" localSheetId="24">'Rate SE'!$A$1:$R$56</definedName>
    <definedName name="_xlnm.Print_Area" localSheetId="19">'Rate SL'!$A$70:$R$145</definedName>
    <definedName name="_xlnm.Print_Area" localSheetId="12">'Rate SP GSFL'!$A$1:$R$64</definedName>
    <definedName name="_xlnm.Print_Area" localSheetId="20">'Rate TL'!$A$1:$R$38</definedName>
    <definedName name="_xlnm.Print_Area" localSheetId="14">'Rate TT'!$A$1:$R$62</definedName>
    <definedName name="_xlnm.Print_Area" localSheetId="18">'Rate TT RTP'!$T$47:$AQ$87</definedName>
    <definedName name="_xlnm.Print_Area" localSheetId="21">'Rate UOLS'!$A$1:$R$32</definedName>
    <definedName name="_xlnm.Print_Area" localSheetId="28">'Revenue Requirements'!$G$6:$J$32</definedName>
    <definedName name="_xlnm.Print_Area" localSheetId="3">'SCH M'!$A$1:$K$75</definedName>
    <definedName name="_xlnm.Print_Area" localSheetId="4">'SCH M-2.1'!$A$1:$T$56</definedName>
    <definedName name="_xlnm.Print_Area" localSheetId="5">'SCH M-2.2'!$A$1:$X$70</definedName>
    <definedName name="_xlnm.Print_Area" localSheetId="6">'SCH M-2.3'!$A$1:$R$72</definedName>
    <definedName name="_xlnm.Print_Area" localSheetId="26">'SCH N'!$A$184:$R$247</definedName>
    <definedName name="PRO_BASE_FUEL">INPUT!$D$20</definedName>
    <definedName name="PRO_DCI">INPUT!$D$169</definedName>
    <definedName name="PRO_DCI_DIST">INPUT!$D$170</definedName>
    <definedName name="PRO_DCI_DP">INPUT!$D$176</definedName>
    <definedName name="PRO_DCI_DTP">INPUT!$D$171</definedName>
    <definedName name="PRO_DCI_DTS">INPUT!$D$172</definedName>
    <definedName name="PRO_DCI_EH">INPUT!$D$173</definedName>
    <definedName name="PRO_DCI_GSFL">INPUT!$D$175</definedName>
    <definedName name="PRO_DCI_SL">INPUT!$D$178</definedName>
    <definedName name="PRO_DCI_SP">INPUT!$D$174</definedName>
    <definedName name="PRO_DP_CST">'Rate DP'!$J$25</definedName>
    <definedName name="PRO_DP_DEMAND">'Rate DP'!$J$29</definedName>
    <definedName name="PRO_DP_KWH1">'Rate DP'!$J$33</definedName>
    <definedName name="PRO_DP_KWH2">'Rate DP'!$J$34</definedName>
    <definedName name="PRO_DP_LMR">'Rate DP'!$J$24</definedName>
    <definedName name="PRO_DP_RTP_COM" localSheetId="16">'Rate DT RTP-S'!$J$29</definedName>
    <definedName name="PRO_DP_RTP_COM" localSheetId="25">#REF!</definedName>
    <definedName name="PRO_DP_RTP_COM">#REF!</definedName>
    <definedName name="PRO_DP_RTP_CUST" localSheetId="16">'Rate DT RTP-S'!$J$24</definedName>
    <definedName name="PRO_DP_RTP_CUST" localSheetId="25">#REF!</definedName>
    <definedName name="PRO_DP_RTP_CUST">#REF!</definedName>
    <definedName name="PRO_DP_RTP_KWH1" localSheetId="16">'Rate DT RTP-S'!$J$28</definedName>
    <definedName name="PRO_DP_RTP_KWH1" localSheetId="25">#REF!</definedName>
    <definedName name="PRO_DP_RTP_KWH1">#REF!</definedName>
    <definedName name="PRO_DP_RTP_KWH2" localSheetId="16">'Rate DT RTP-S'!#REF!</definedName>
    <definedName name="PRO_DP_RTP_KWH2" localSheetId="25">#REF!</definedName>
    <definedName name="PRO_DP_RTP_KWH2">#REF!</definedName>
    <definedName name="PRO_DS_CST_1">'Rate DS'!$J$25</definedName>
    <definedName name="PRO_DS_CST_2">'Rate DS'!$J$26</definedName>
    <definedName name="PRO_DS_DEM_1">'Rate DS'!$J$30</definedName>
    <definedName name="PRO_DS_DEM_3">'Rate DS'!$J$31</definedName>
    <definedName name="PRO_DS_KWH_1">'Rate DS'!$J$35</definedName>
    <definedName name="PRO_DS_KWH_2">'Rate DS'!$J$36</definedName>
    <definedName name="PRO_DS_KWH_3">'Rate DS'!$J$37</definedName>
    <definedName name="PRO_DS_LMR">'Rate DS'!#REF!</definedName>
    <definedName name="PRO_DS_MSRE">INPUT!$D$24</definedName>
    <definedName name="PRO_DS_RTP_COM" localSheetId="17">'Rate DS RTP'!$J$29</definedName>
    <definedName name="PRO_DS_RTP_COM" localSheetId="25">#REF!</definedName>
    <definedName name="PRO_DS_RTP_COM">#REF!</definedName>
    <definedName name="PRO_DS_RTP_CUST" localSheetId="17">'Rate DS RTP'!$J$24</definedName>
    <definedName name="PRO_DS_RTP_CUST" localSheetId="25">#REF!</definedName>
    <definedName name="PRO_DS_RTP_CUST">#REF!</definedName>
    <definedName name="PRO_DS_RTP_KWH1" localSheetId="17">'Rate DS RTP'!$J$28</definedName>
    <definedName name="PRO_DS_RTP_KWH1" localSheetId="25">#REF!</definedName>
    <definedName name="PRO_DS_RTP_KWH1">#REF!</definedName>
    <definedName name="PRO_DS_RTP_KWH2" localSheetId="17">'Rate DS RTP'!#REF!</definedName>
    <definedName name="PRO_DS_RTP_KWH2" localSheetId="25">#REF!</definedName>
    <definedName name="PRO_DS_RTP_KWH2">#REF!</definedName>
    <definedName name="PRO_DSM_DIST">INPUT!$D$30</definedName>
    <definedName name="PRO_DSM_RES">INPUT!$D$29</definedName>
    <definedName name="PRO_DSM_TRANS">INPUT!$D$31</definedName>
    <definedName name="PRO_DT_DEMOFF">'Rate DT-Sec'!$J$29</definedName>
    <definedName name="PRO_DT_DEMON">'Rate DT-Sec'!$J$28</definedName>
    <definedName name="PRO_DT_DISC">'Rate DT-Pri'!$J$31</definedName>
    <definedName name="PRO_DT_DISC1">'Rate DT-Pri'!$J$32</definedName>
    <definedName name="PRO_DT_PRI">'Rate DT-Pri'!$J$23</definedName>
    <definedName name="PRO_DT_RTP_COM" localSheetId="15">'Rate DT RTP-P'!$J$29</definedName>
    <definedName name="PRO_DT_RTP_COM" localSheetId="25">#REF!</definedName>
    <definedName name="PRO_DT_RTP_COM">#REF!</definedName>
    <definedName name="PRO_DT_RTP_CUST" localSheetId="15">'Rate DT RTP-P'!$J$24</definedName>
    <definedName name="PRO_DT_RTP_CUST" localSheetId="25">#REF!</definedName>
    <definedName name="PRO_DT_RTP_CUST">#REF!</definedName>
    <definedName name="PRO_DT_RTP_KWH1" localSheetId="15">'Rate DT RTP-P'!$J$28</definedName>
    <definedName name="PRO_DT_RTP_KWH1" localSheetId="25">#REF!</definedName>
    <definedName name="PRO_DT_RTP_KWH1">#REF!</definedName>
    <definedName name="PRO_DT_RTP_KWH2" localSheetId="15">'Rate DT RTP-P'!#REF!</definedName>
    <definedName name="PRO_DT_RTP_KWH2" localSheetId="25">#REF!</definedName>
    <definedName name="PRO_DT_RTP_KWH2">#REF!</definedName>
    <definedName name="PRO_DT_SEC_CST">'Rate DT-Sec'!$J$23</definedName>
    <definedName name="PRO_DT_SEC_CST3">'Rate DT-Sec'!$J$24</definedName>
    <definedName name="PRO_DT_SEC_DEMWINON">'Rate DT-Sec'!$J$45</definedName>
    <definedName name="PRO_DT_SEC_SUMKWH">'Rate DT-Sec'!$J$35</definedName>
    <definedName name="PRO_DT_SEC_WINKWH">'Rate DT-Sec'!$J$52</definedName>
    <definedName name="PRO_DT_SEC_WINOFF">'Rate DT-Sec'!$J$46</definedName>
    <definedName name="PRO_DT_SUM_E_OFF">'Rate DT-Pri'!$J$36</definedName>
    <definedName name="PRO_DT_SUM_E_ON">'Rate DT-Pri'!$J$35</definedName>
    <definedName name="PRO_DT_SUM_PEAK">'Rate DT-Pri'!$J$26</definedName>
    <definedName name="PRO_DT_SUM_PK_OFF">'Rate DT-Pri'!$J$27</definedName>
    <definedName name="PRO_DT_WIN_E_OFF">'Rate DT-Pri'!$J$54</definedName>
    <definedName name="PRO_DT_WIN_E_ON">'Rate DT-Pri'!$J$53</definedName>
    <definedName name="PRO_DT_WIN_PEAK">'Rate DT-Pri'!$J$44</definedName>
    <definedName name="PRO_DT_WIN_PK_OFF">'Rate DT-Pri'!$J$45</definedName>
    <definedName name="PRO_EH_CST_1">'Rate EH'!$J$24</definedName>
    <definedName name="PRO_EH_CST_2">'Rate EH'!$J$25</definedName>
    <definedName name="PRO_EH_CST_3">'Rate EH'!$J$26</definedName>
    <definedName name="PRO_EH_KWH_1">'Rate EH'!$J$33</definedName>
    <definedName name="PRO_ESM">INPUT!$D$165</definedName>
    <definedName name="PRO_ESM_NONRES">INPUT!$D$166</definedName>
    <definedName name="PRO_FAC">INPUT!$D$19</definedName>
    <definedName name="PRO_FTR_DIST">INPUT!$D$184</definedName>
    <definedName name="PRO_FTR_DP">INPUT!$D$190</definedName>
    <definedName name="PRO_FTR_DTP">INPUT!$D$185</definedName>
    <definedName name="PRO_FTR_DTS">INPUT!$D$186</definedName>
    <definedName name="PRO_FTR_EH">INPUT!$D$187</definedName>
    <definedName name="PRO_FTR_GSFL">INPUT!$D$189</definedName>
    <definedName name="PRO_FTR_RES">INPUT!$D$183</definedName>
    <definedName name="PRO_FTR_SL">INPUT!$D$192</definedName>
    <definedName name="PRO_FTR_SP">INPUT!$D$188</definedName>
    <definedName name="PRO_FTR_TT">INPUT!$D$191</definedName>
    <definedName name="PRO_LT_MSRE">INPUT!$D$26</definedName>
    <definedName name="PRO_PSM">INPUT!$D$34</definedName>
    <definedName name="PRO_RS_CUST">'Rate RS'!$J$23</definedName>
    <definedName name="PRO_RS_ENERGY">'Rate RS'!$J$26</definedName>
    <definedName name="PRO_RS_MSRE">INPUT!$D$23</definedName>
    <definedName name="PRO_SUM_TT_ON_KWH">INPUT!$D$125</definedName>
    <definedName name="PRO_TT_MSRE">INPUT!$D$25</definedName>
    <definedName name="PRO_TT_OFF">INPUT!$D$127</definedName>
    <definedName name="PRO_TT_RTP_COM" localSheetId="25">#REF!</definedName>
    <definedName name="PRO_TT_RTP_COM" localSheetId="18">'Rate TT RTP'!$J$29</definedName>
    <definedName name="PRO_TT_RTP_COM">#REF!</definedName>
    <definedName name="PRO_TT_RTP_CUST" localSheetId="25">#REF!</definedName>
    <definedName name="PRO_TT_RTP_CUST" localSheetId="18">'Rate TT RTP'!$J$24</definedName>
    <definedName name="PRO_TT_RTP_CUST">#REF!</definedName>
    <definedName name="PRO_TT_RTP_KWH1" localSheetId="25">#REF!</definedName>
    <definedName name="PRO_TT_RTP_KWH1" localSheetId="18">'Rate TT RTP'!$J$28</definedName>
    <definedName name="PRO_TT_RTP_KWH1">#REF!</definedName>
    <definedName name="PRO_TT_RTP_KWH2" localSheetId="25">#REF!</definedName>
    <definedName name="PRO_TT_RTP_KWH2" localSheetId="18">'Rate TT RTP'!#REF!</definedName>
    <definedName name="PRO_TT_RTP_KWH2">#REF!</definedName>
    <definedName name="PRO_TT_SUM_CST">'Rate TT'!$J$21</definedName>
    <definedName name="PRO_TT_SUM_PEAK">'Rate TT'!$J$24</definedName>
    <definedName name="PRO_TT_SUM_PK_OFF">'Rate TT'!$J$25</definedName>
    <definedName name="PRO_TT_WIN_CST">'Rate TT'!$J$35</definedName>
    <definedName name="PRO_TT_WIN_PEAK">'Rate TT'!$J$38</definedName>
    <definedName name="PRO_TT_WIN_PK_OFF">'Rate TT'!$J$39</definedName>
    <definedName name="PRO_WIN_TT_ON_KWH">INPUT!$D$126</definedName>
    <definedName name="PSM_Name">INPUT!$B$199</definedName>
    <definedName name="RS_MSRE">INPUT!$C$23</definedName>
    <definedName name="RS_PSM">INPUT!$C$34</definedName>
    <definedName name="SCH_M">'SCH M'!$A$1:$K$75</definedName>
    <definedName name="SCH_M_2.1">'SCH M-2.1'!$A$1:$T$56</definedName>
    <definedName name="SCH_M_2.2PG1">'SCH M-2.2'!$A$1:$X$70</definedName>
    <definedName name="SCH_M_2.2PG10">'Rate DT RTP-S'!$T$45:$AQ$85</definedName>
    <definedName name="SCH_M_2.2PG11">'Rate DS RTP'!$T$45:$AQ$85</definedName>
    <definedName name="SCH_M_2.2PG12">'Rate TT RTP'!$T$47:$AQ$87</definedName>
    <definedName name="SCH_M_2.2PG13">'Rate SL'!$T$155:$AQ$221</definedName>
    <definedName name="SCH_M_2.2PG14">'Rate SL'!$T$224:$AQ$298</definedName>
    <definedName name="SCH_M_2.2PG15">'Rate TL'!$T$39:$AQ$76</definedName>
    <definedName name="SCH_M_2.2PG16">'Rate UOLS'!$T$36:$AQ$67</definedName>
    <definedName name="SCH_M_2.2PG17">'Rate NSU'!$T$51:$AQ$99</definedName>
    <definedName name="SCH_M_2.2PG18">'Rate SC'!$T$74:$AQ$150</definedName>
    <definedName name="SCH_M_2.2PG19">'Rate SE'!$T$57:$AQ$112</definedName>
    <definedName name="SCH_M_2.2PG2">'Rate RS'!$T$42:$AP$83</definedName>
    <definedName name="SCH_M_2.2PG20">'Rate LED'!$T$352:$AQ$416</definedName>
    <definedName name="SCH_M_2.2PG21">'Rate LED'!$T$418:$AQ$487</definedName>
    <definedName name="SCH_M_2.2PG22">'Rate LED'!$T$489:$AQ$553</definedName>
    <definedName name="SCH_M_2.2PG23">'Rate LED'!$T$555:$AQ$620</definedName>
    <definedName name="SCH_M_2.2PG24">'Rate LED'!$T$622:$AQ$696</definedName>
    <definedName name="SCH_M_2.2PG3">'Rate DS'!$T$57:$AQ$110</definedName>
    <definedName name="SCH_M_2.2PG4">'Rate DT-Pri'!$T$73:$AQ$142</definedName>
    <definedName name="SCH_M_2.2PG5">'Rate DT-Sec'!$T$71:$AQ$137</definedName>
    <definedName name="SCH_M_2.2PG6">'Rate EH'!$T$49:$AQ$95</definedName>
    <definedName name="SCH_M_2.2PG7">'Rate SP GSFL'!$T$65:$AQ$127</definedName>
    <definedName name="SCH_M_2.2PG8">'Rate DP'!$T$53:$AQ$102</definedName>
    <definedName name="SCH_M_2.2PG9">'Rate TT'!$T$65:$AQ$125</definedName>
    <definedName name="SCH_M_2.3PG1">'SCH M-2.3'!$A$1:$R$72</definedName>
    <definedName name="SCH_M_2.3PG10">'Rate DT RTP-S'!$A$1:$R$41</definedName>
    <definedName name="SCH_M_2.3PG11">'Rate DS RTP'!$A$1:$R$41</definedName>
    <definedName name="SCH_M_2.3PG12">'Rate TT RTP'!$A$1:$R$41</definedName>
    <definedName name="SCH_M_2.3PG13">'Rate SL'!$A$1:$R$67</definedName>
    <definedName name="SCH_M_2.3PG14">'Rate SL'!$A$70:$R$145</definedName>
    <definedName name="SCH_M_2.3PG15">'Rate TL'!$A$1:$R$38</definedName>
    <definedName name="SCH_M_2.3PG16">'Rate UOLS'!$A$1:$R$32</definedName>
    <definedName name="SCH_M_2.3PG17">'Rate NSU'!$A$1:$R$51</definedName>
    <definedName name="SCH_M_2.3PG18">'Rate SC'!$A$1:$R$77</definedName>
    <definedName name="SCH_M_2.3PG19">'Rate SE'!$A$1:$R$56</definedName>
    <definedName name="SCH_M_2.3PG2">'Rate RS'!$A$1:$R$45</definedName>
    <definedName name="SCH_M_2.3PG20">'Rate LED'!$A$1:$R$65</definedName>
    <definedName name="SCH_M_2.3PG21">'Rate LED'!$A$67:$R$135</definedName>
    <definedName name="SCH_M_2.3PG22">'Rate LED'!$A$137:$R$201</definedName>
    <definedName name="SCH_M_2.3PG23">'Rate LED'!$A$203:$R$268</definedName>
    <definedName name="SCH_M_2.3PG24">'Rate LED'!$A$270:$R$344</definedName>
    <definedName name="SCH_M_2.3PG3">'Rate DS'!$A$1:$R$56</definedName>
    <definedName name="SCH_M_2.3PG4">'Rate DT-Pri'!$A$1:$R$69</definedName>
    <definedName name="SCH_M_2.3PG5">'Rate DT-Sec'!$A$1:$R$67</definedName>
    <definedName name="SCH_M_2.3PG6">'Rate EH'!$A$1:$R$47</definedName>
    <definedName name="SCH_M_2.3PG7">'Rate SP GSFL'!$A$1:$R$64</definedName>
    <definedName name="SCH_M_2.3PG8">'Rate DP'!$A$1:$R$50</definedName>
    <definedName name="SCH_M_2.3PG9">'Rate TT'!$A$1:$R$62</definedName>
    <definedName name="SCH_N_1">'SCH N'!$A$1:$R$34</definedName>
    <definedName name="SCH_N_2">'SCH N'!$A$35:$R$86</definedName>
    <definedName name="SCH_N_3">'SCH N'!$A$87:$R$133</definedName>
    <definedName name="SCH_N_4">'SCH N'!$A$134:$R$183</definedName>
    <definedName name="SCH_N_5">'SCH N'!$A$184:$R$247</definedName>
    <definedName name="SERVICE">INPUT!$D$12</definedName>
    <definedName name="TIME">INPUT!$B$6</definedName>
    <definedName name="TITLE">INPUT!$B$15</definedName>
    <definedName name="TT_MSRE">INPUT!$C$25</definedName>
    <definedName name="TYPE">INPUT!$B$14</definedName>
    <definedName name="WIT">INPUT!$D$38</definedName>
    <definedName name="Z_0BC1F393_8A13_47D5_BC6C_0C99615B5AB9_.wvu.PrintArea" localSheetId="13" hidden="1">'Rate DP'!$A$1:$R$50</definedName>
    <definedName name="Z_0BC1F393_8A13_47D5_BC6C_0C99615B5AB9_.wvu.PrintArea" localSheetId="8" hidden="1">'Rate DS'!$A$1:$R$56</definedName>
    <definedName name="Z_0BC1F393_8A13_47D5_BC6C_0C99615B5AB9_.wvu.PrintArea" localSheetId="17" hidden="1">'Rate DS RTP'!$A$1:$R$43</definedName>
    <definedName name="Z_0BC1F393_8A13_47D5_BC6C_0C99615B5AB9_.wvu.PrintArea" localSheetId="15" hidden="1">'Rate DT RTP-P'!$A$1:$R$41</definedName>
    <definedName name="Z_0BC1F393_8A13_47D5_BC6C_0C99615B5AB9_.wvu.PrintArea" localSheetId="16" hidden="1">'Rate DT RTP-S'!$A$1:$R$42</definedName>
    <definedName name="Z_0BC1F393_8A13_47D5_BC6C_0C99615B5AB9_.wvu.PrintArea" localSheetId="9" hidden="1">'Rate DT-Pri'!$A$1:$R$67</definedName>
    <definedName name="Z_0BC1F393_8A13_47D5_BC6C_0C99615B5AB9_.wvu.PrintArea" localSheetId="10" hidden="1">'Rate DT-Sec'!$A$1:$R$67</definedName>
    <definedName name="Z_0BC1F393_8A13_47D5_BC6C_0C99615B5AB9_.wvu.PrintArea" localSheetId="11" hidden="1">'Rate EH'!$A$1:$R$47</definedName>
    <definedName name="Z_0BC1F393_8A13_47D5_BC6C_0C99615B5AB9_.wvu.PrintArea" localSheetId="25" hidden="1">'Rate LED'!$A$112:$R$348</definedName>
    <definedName name="Z_0BC1F393_8A13_47D5_BC6C_0C99615B5AB9_.wvu.PrintArea" localSheetId="22" hidden="1">'Rate NSU'!$A$1:$R$49</definedName>
    <definedName name="Z_0BC1F393_8A13_47D5_BC6C_0C99615B5AB9_.wvu.PrintArea" localSheetId="7" hidden="1">'Rate RS'!$A$1:$R$45</definedName>
    <definedName name="Z_0BC1F393_8A13_47D5_BC6C_0C99615B5AB9_.wvu.PrintArea" localSheetId="23" hidden="1">'Rate SC'!$A$1:$R$77</definedName>
    <definedName name="Z_0BC1F393_8A13_47D5_BC6C_0C99615B5AB9_.wvu.PrintArea" localSheetId="24" hidden="1">'Rate SE'!$A$1:$R$56</definedName>
    <definedName name="Z_0BC1F393_8A13_47D5_BC6C_0C99615B5AB9_.wvu.PrintArea" localSheetId="19" hidden="1">'Rate SL'!$A$70:$R$151</definedName>
    <definedName name="Z_0BC1F393_8A13_47D5_BC6C_0C99615B5AB9_.wvu.PrintArea" localSheetId="12" hidden="1">'Rate SP GSFL'!$A$1:$R$64</definedName>
    <definedName name="Z_0BC1F393_8A13_47D5_BC6C_0C99615B5AB9_.wvu.PrintArea" localSheetId="20" hidden="1">'Rate TL'!$A$1:$R$38</definedName>
    <definedName name="Z_0BC1F393_8A13_47D5_BC6C_0C99615B5AB9_.wvu.PrintArea" localSheetId="14" hidden="1">'Rate TT'!$A$1:$R$62</definedName>
    <definedName name="Z_0BC1F393_8A13_47D5_BC6C_0C99615B5AB9_.wvu.PrintArea" localSheetId="18" hidden="1">'Rate TT RTP'!$A$1:$R$42</definedName>
    <definedName name="Z_0BC1F393_8A13_47D5_BC6C_0C99615B5AB9_.wvu.PrintArea" localSheetId="21" hidden="1">'Rate UOLS'!$A$1:$R$32</definedName>
    <definedName name="Z_0BC1F393_8A13_47D5_BC6C_0C99615B5AB9_.wvu.PrintArea" localSheetId="3" hidden="1">'SCH M'!$A$1:$O$69</definedName>
    <definedName name="Z_0BC1F393_8A13_47D5_BC6C_0C99615B5AB9_.wvu.PrintArea" localSheetId="4" hidden="1">'SCH M-2.1'!$A$1:$T$56</definedName>
    <definedName name="Z_0BC1F393_8A13_47D5_BC6C_0C99615B5AB9_.wvu.PrintArea" localSheetId="5" hidden="1">'SCH M-2.2'!$A$1:$X$77</definedName>
    <definedName name="Z_0BC1F393_8A13_47D5_BC6C_0C99615B5AB9_.wvu.PrintArea" localSheetId="6" hidden="1">'SCH M-2.3'!$A$1:$R$72</definedName>
    <definedName name="Z_0BC1F393_8A13_47D5_BC6C_0C99615B5AB9_.wvu.PrintArea" localSheetId="26" hidden="1">'SCH N'!$A$184:$R$247</definedName>
    <definedName name="Z_0C49E549_011E_46F4_A82E_2CC8951A9C1E_.wvu.PrintArea" localSheetId="13" hidden="1">'Rate DP'!$A$1:$R$50</definedName>
    <definedName name="Z_0C49E549_011E_46F4_A82E_2CC8951A9C1E_.wvu.PrintArea" localSheetId="8" hidden="1">'Rate DS'!$A$1:$R$56</definedName>
    <definedName name="Z_0C49E549_011E_46F4_A82E_2CC8951A9C1E_.wvu.PrintArea" localSheetId="17" hidden="1">'Rate DS RTP'!$A$1:$R$43</definedName>
    <definedName name="Z_0C49E549_011E_46F4_A82E_2CC8951A9C1E_.wvu.PrintArea" localSheetId="15" hidden="1">'Rate DT RTP-P'!$A$1:$R$41</definedName>
    <definedName name="Z_0C49E549_011E_46F4_A82E_2CC8951A9C1E_.wvu.PrintArea" localSheetId="16" hidden="1">'Rate DT RTP-S'!$A$1:$R$42</definedName>
    <definedName name="Z_0C49E549_011E_46F4_A82E_2CC8951A9C1E_.wvu.PrintArea" localSheetId="9" hidden="1">'Rate DT-Pri'!$A$1:$R$67</definedName>
    <definedName name="Z_0C49E549_011E_46F4_A82E_2CC8951A9C1E_.wvu.PrintArea" localSheetId="10" hidden="1">'Rate DT-Sec'!$A$1:$R$67</definedName>
    <definedName name="Z_0C49E549_011E_46F4_A82E_2CC8951A9C1E_.wvu.PrintArea" localSheetId="11" hidden="1">'Rate EH'!$A$1:$R$47</definedName>
    <definedName name="Z_0C49E549_011E_46F4_A82E_2CC8951A9C1E_.wvu.PrintArea" localSheetId="25" hidden="1">'Rate LED'!$T$464:$AQ$602</definedName>
    <definedName name="Z_0C49E549_011E_46F4_A82E_2CC8951A9C1E_.wvu.PrintArea" localSheetId="22" hidden="1">'Rate NSU'!$A$1:$R$49</definedName>
    <definedName name="Z_0C49E549_011E_46F4_A82E_2CC8951A9C1E_.wvu.PrintArea" localSheetId="7" hidden="1">'Rate RS'!$A$1:$R$45</definedName>
    <definedName name="Z_0C49E549_011E_46F4_A82E_2CC8951A9C1E_.wvu.PrintArea" localSheetId="23" hidden="1">'Rate SC'!$A$1:$R$77</definedName>
    <definedName name="Z_0C49E549_011E_46F4_A82E_2CC8951A9C1E_.wvu.PrintArea" localSheetId="24" hidden="1">'Rate SE'!$A$1:$R$56</definedName>
    <definedName name="Z_0C49E549_011E_46F4_A82E_2CC8951A9C1E_.wvu.PrintArea" localSheetId="19" hidden="1">'Rate SL'!$T$224:$AQ$298</definedName>
    <definedName name="Z_0C49E549_011E_46F4_A82E_2CC8951A9C1E_.wvu.PrintArea" localSheetId="12" hidden="1">'Rate SP GSFL'!$A$1:$R$64</definedName>
    <definedName name="Z_0C49E549_011E_46F4_A82E_2CC8951A9C1E_.wvu.PrintArea" localSheetId="20" hidden="1">'Rate TL'!$A$1:$R$38</definedName>
    <definedName name="Z_0C49E549_011E_46F4_A82E_2CC8951A9C1E_.wvu.PrintArea" localSheetId="14" hidden="1">'Rate TT'!$A$1:$R$62</definedName>
    <definedName name="Z_0C49E549_011E_46F4_A82E_2CC8951A9C1E_.wvu.PrintArea" localSheetId="18" hidden="1">'Rate TT RTP'!$A$1:$R$42</definedName>
    <definedName name="Z_0C49E549_011E_46F4_A82E_2CC8951A9C1E_.wvu.PrintArea" localSheetId="21" hidden="1">'Rate UOLS'!$A$1:$R$32</definedName>
    <definedName name="Z_0C49E549_011E_46F4_A82E_2CC8951A9C1E_.wvu.PrintArea" localSheetId="3" hidden="1">'SCH M'!$A$1:$K$75</definedName>
    <definedName name="Z_0C49E549_011E_46F4_A82E_2CC8951A9C1E_.wvu.PrintArea" localSheetId="4" hidden="1">'SCH M-2.1'!$A$1:$T$56</definedName>
    <definedName name="Z_0C49E549_011E_46F4_A82E_2CC8951A9C1E_.wvu.PrintArea" localSheetId="5" hidden="1">'SCH M-2.2'!$A$1:$X$77</definedName>
    <definedName name="Z_0C49E549_011E_46F4_A82E_2CC8951A9C1E_.wvu.PrintArea" localSheetId="6" hidden="1">'SCH M-2.3'!$A$1:$R$72</definedName>
    <definedName name="Z_0C49E549_011E_46F4_A82E_2CC8951A9C1E_.wvu.PrintArea" localSheetId="26" hidden="1">'SCH N'!$A$184:$R$247</definedName>
    <definedName name="Z_18BDED73_BFA0_442E_87EC_CED86EE4CF94_.wvu.PrintArea" localSheetId="13" hidden="1">'Rate DP'!$A$1:$R$50</definedName>
    <definedName name="Z_18BDED73_BFA0_442E_87EC_CED86EE4CF94_.wvu.PrintArea" localSheetId="8" hidden="1">'Rate DS'!$A$1:$R$56</definedName>
    <definedName name="Z_18BDED73_BFA0_442E_87EC_CED86EE4CF94_.wvu.PrintArea" localSheetId="17" hidden="1">'Rate DS RTP'!$A$1:$R$43</definedName>
    <definedName name="Z_18BDED73_BFA0_442E_87EC_CED86EE4CF94_.wvu.PrintArea" localSheetId="15" hidden="1">'Rate DT RTP-P'!$A$1:$R$41</definedName>
    <definedName name="Z_18BDED73_BFA0_442E_87EC_CED86EE4CF94_.wvu.PrintArea" localSheetId="16" hidden="1">'Rate DT RTP-S'!$A$1:$R$42</definedName>
    <definedName name="Z_18BDED73_BFA0_442E_87EC_CED86EE4CF94_.wvu.PrintArea" localSheetId="9" hidden="1">'Rate DT-Pri'!$A$1:$R$67</definedName>
    <definedName name="Z_18BDED73_BFA0_442E_87EC_CED86EE4CF94_.wvu.PrintArea" localSheetId="10" hidden="1">'Rate DT-Sec'!$A$1:$R$67</definedName>
    <definedName name="Z_18BDED73_BFA0_442E_87EC_CED86EE4CF94_.wvu.PrintArea" localSheetId="11" hidden="1">'Rate EH'!$A$1:$R$47</definedName>
    <definedName name="Z_18BDED73_BFA0_442E_87EC_CED86EE4CF94_.wvu.PrintArea" localSheetId="25" hidden="1">'Rate LED'!$A$112:$R$348</definedName>
    <definedName name="Z_18BDED73_BFA0_442E_87EC_CED86EE4CF94_.wvu.PrintArea" localSheetId="22" hidden="1">'Rate NSU'!$A$1:$R$49</definedName>
    <definedName name="Z_18BDED73_BFA0_442E_87EC_CED86EE4CF94_.wvu.PrintArea" localSheetId="7" hidden="1">'Rate RS'!$A$1:$R$45</definedName>
    <definedName name="Z_18BDED73_BFA0_442E_87EC_CED86EE4CF94_.wvu.PrintArea" localSheetId="23" hidden="1">'Rate SC'!$A$1:$R$77</definedName>
    <definedName name="Z_18BDED73_BFA0_442E_87EC_CED86EE4CF94_.wvu.PrintArea" localSheetId="24" hidden="1">'Rate SE'!$A$1:$R$56</definedName>
    <definedName name="Z_18BDED73_BFA0_442E_87EC_CED86EE4CF94_.wvu.PrintArea" localSheetId="19" hidden="1">'Rate SL'!$A$70:$R$151</definedName>
    <definedName name="Z_18BDED73_BFA0_442E_87EC_CED86EE4CF94_.wvu.PrintArea" localSheetId="12" hidden="1">'Rate SP GSFL'!$A$1:$R$64</definedName>
    <definedName name="Z_18BDED73_BFA0_442E_87EC_CED86EE4CF94_.wvu.PrintArea" localSheetId="20" hidden="1">'Rate TL'!$A$1:$R$38</definedName>
    <definedName name="Z_18BDED73_BFA0_442E_87EC_CED86EE4CF94_.wvu.PrintArea" localSheetId="14" hidden="1">'Rate TT'!$A$1:$R$62</definedName>
    <definedName name="Z_18BDED73_BFA0_442E_87EC_CED86EE4CF94_.wvu.PrintArea" localSheetId="18" hidden="1">'Rate TT RTP'!$A$1:$R$42</definedName>
    <definedName name="Z_18BDED73_BFA0_442E_87EC_CED86EE4CF94_.wvu.PrintArea" localSheetId="21" hidden="1">'Rate UOLS'!$A$1:$R$32</definedName>
    <definedName name="Z_18BDED73_BFA0_442E_87EC_CED86EE4CF94_.wvu.PrintArea" localSheetId="3" hidden="1">'SCH M'!$A$1:$O$69</definedName>
    <definedName name="Z_18BDED73_BFA0_442E_87EC_CED86EE4CF94_.wvu.PrintArea" localSheetId="4" hidden="1">'SCH M-2.1'!$A$1:$T$56</definedName>
    <definedName name="Z_18BDED73_BFA0_442E_87EC_CED86EE4CF94_.wvu.PrintArea" localSheetId="5" hidden="1">'SCH M-2.2'!$A$1:$X$77</definedName>
    <definedName name="Z_18BDED73_BFA0_442E_87EC_CED86EE4CF94_.wvu.PrintArea" localSheetId="6" hidden="1">'SCH M-2.3'!$A$1:$R$72</definedName>
    <definedName name="Z_18BDED73_BFA0_442E_87EC_CED86EE4CF94_.wvu.PrintArea" localSheetId="26" hidden="1">'SCH N'!$A$184:$R$247</definedName>
    <definedName name="Z_195DF303_1BBD_4236_94B5_47432850B006_.wvu.PrintArea" localSheetId="13" hidden="1">'Rate DP'!$A$1:$R$50</definedName>
    <definedName name="Z_195DF303_1BBD_4236_94B5_47432850B006_.wvu.PrintArea" localSheetId="8" hidden="1">'Rate DS'!$A$1:$R$56</definedName>
    <definedName name="Z_195DF303_1BBD_4236_94B5_47432850B006_.wvu.PrintArea" localSheetId="17" hidden="1">'Rate DS RTP'!$A$1:$R$43</definedName>
    <definedName name="Z_195DF303_1BBD_4236_94B5_47432850B006_.wvu.PrintArea" localSheetId="15" hidden="1">'Rate DT RTP-P'!$A$1:$R$41</definedName>
    <definedName name="Z_195DF303_1BBD_4236_94B5_47432850B006_.wvu.PrintArea" localSheetId="16" hidden="1">'Rate DT RTP-S'!$A$1:$R$42</definedName>
    <definedName name="Z_195DF303_1BBD_4236_94B5_47432850B006_.wvu.PrintArea" localSheetId="9" hidden="1">'Rate DT-Pri'!$A$1:$R$67</definedName>
    <definedName name="Z_195DF303_1BBD_4236_94B5_47432850B006_.wvu.PrintArea" localSheetId="10" hidden="1">'Rate DT-Sec'!$A$1:$R$67</definedName>
    <definedName name="Z_195DF303_1BBD_4236_94B5_47432850B006_.wvu.PrintArea" localSheetId="11" hidden="1">'Rate EH'!$A$1:$R$47</definedName>
    <definedName name="Z_195DF303_1BBD_4236_94B5_47432850B006_.wvu.PrintArea" localSheetId="25" hidden="1">'Rate LED'!$T$464:$AQ$602</definedName>
    <definedName name="Z_195DF303_1BBD_4236_94B5_47432850B006_.wvu.PrintArea" localSheetId="22" hidden="1">'Rate NSU'!$A$1:$R$49</definedName>
    <definedName name="Z_195DF303_1BBD_4236_94B5_47432850B006_.wvu.PrintArea" localSheetId="7" hidden="1">'Rate RS'!$A$1:$R$45</definedName>
    <definedName name="Z_195DF303_1BBD_4236_94B5_47432850B006_.wvu.PrintArea" localSheetId="23" hidden="1">'Rate SC'!$A$1:$R$77</definedName>
    <definedName name="Z_195DF303_1BBD_4236_94B5_47432850B006_.wvu.PrintArea" localSheetId="24" hidden="1">'Rate SE'!$A$1:$R$56</definedName>
    <definedName name="Z_195DF303_1BBD_4236_94B5_47432850B006_.wvu.PrintArea" localSheetId="19" hidden="1">'Rate SL'!$T$224:$AQ$298</definedName>
    <definedName name="Z_195DF303_1BBD_4236_94B5_47432850B006_.wvu.PrintArea" localSheetId="12" hidden="1">'Rate SP GSFL'!$A$1:$R$64</definedName>
    <definedName name="Z_195DF303_1BBD_4236_94B5_47432850B006_.wvu.PrintArea" localSheetId="20" hidden="1">'Rate TL'!$A$1:$R$38</definedName>
    <definedName name="Z_195DF303_1BBD_4236_94B5_47432850B006_.wvu.PrintArea" localSheetId="14" hidden="1">'Rate TT'!$A$1:$R$62</definedName>
    <definedName name="Z_195DF303_1BBD_4236_94B5_47432850B006_.wvu.PrintArea" localSheetId="18" hidden="1">'Rate TT RTP'!$A$1:$R$42</definedName>
    <definedName name="Z_195DF303_1BBD_4236_94B5_47432850B006_.wvu.PrintArea" localSheetId="21" hidden="1">'Rate UOLS'!$A$1:$R$32</definedName>
    <definedName name="Z_195DF303_1BBD_4236_94B5_47432850B006_.wvu.PrintArea" localSheetId="3" hidden="1">'SCH M'!$A$1:$K$75</definedName>
    <definedName name="Z_195DF303_1BBD_4236_94B5_47432850B006_.wvu.PrintArea" localSheetId="4" hidden="1">'SCH M-2.1'!$A$1:$T$56</definedName>
    <definedName name="Z_195DF303_1BBD_4236_94B5_47432850B006_.wvu.PrintArea" localSheetId="5" hidden="1">'SCH M-2.2'!$A$1:$X$77</definedName>
    <definedName name="Z_195DF303_1BBD_4236_94B5_47432850B006_.wvu.PrintArea" localSheetId="6" hidden="1">'SCH M-2.3'!$A$1:$R$72</definedName>
    <definedName name="Z_195DF303_1BBD_4236_94B5_47432850B006_.wvu.PrintArea" localSheetId="26" hidden="1">'SCH N'!$A$184:$R$247</definedName>
    <definedName name="Z_2431C9E5_7CC2_4B8D_99C3_962247B1DBF5_.wvu.PrintArea" localSheetId="9" hidden="1">'Rate DT-Pri'!$T$73:$AQ$142</definedName>
    <definedName name="Z_2431C9E5_7CC2_4B8D_99C3_962247B1DBF5_.wvu.PrintArea" localSheetId="10" hidden="1">'Rate DT-Sec'!$T$71:$AQ$137</definedName>
    <definedName name="Z_2431C9E5_7CC2_4B8D_99C3_962247B1DBF5_.wvu.PrintArea" localSheetId="25" hidden="1">'Rate LED'!$T$464:$AQ$602</definedName>
    <definedName name="Z_2431C9E5_7CC2_4B8D_99C3_962247B1DBF5_.wvu.PrintArea" localSheetId="19" hidden="1">'Rate SL'!$T$224:$AQ$298</definedName>
    <definedName name="Z_2EA35095_1ADC_4CC7_8C3C_B487D65FA247_.wvu.PrintArea" localSheetId="13" hidden="1">'Rate DP'!$A$1:$R$50</definedName>
    <definedName name="Z_2EA35095_1ADC_4CC7_8C3C_B487D65FA247_.wvu.PrintArea" localSheetId="8" hidden="1">'Rate DS'!$A$1:$R$56</definedName>
    <definedName name="Z_2EA35095_1ADC_4CC7_8C3C_B487D65FA247_.wvu.PrintArea" localSheetId="17" hidden="1">'Rate DS RTP'!$A$1:$R$43</definedName>
    <definedName name="Z_2EA35095_1ADC_4CC7_8C3C_B487D65FA247_.wvu.PrintArea" localSheetId="15" hidden="1">'Rate DT RTP-P'!$A$1:$R$41</definedName>
    <definedName name="Z_2EA35095_1ADC_4CC7_8C3C_B487D65FA247_.wvu.PrintArea" localSheetId="16" hidden="1">'Rate DT RTP-S'!$A$1:$R$42</definedName>
    <definedName name="Z_2EA35095_1ADC_4CC7_8C3C_B487D65FA247_.wvu.PrintArea" localSheetId="9" hidden="1">'Rate DT-Pri'!$A$1:$R$67</definedName>
    <definedName name="Z_2EA35095_1ADC_4CC7_8C3C_B487D65FA247_.wvu.PrintArea" localSheetId="10" hidden="1">'Rate DT-Sec'!$A$1:$R$67</definedName>
    <definedName name="Z_2EA35095_1ADC_4CC7_8C3C_B487D65FA247_.wvu.PrintArea" localSheetId="11" hidden="1">'Rate EH'!$A$1:$R$47</definedName>
    <definedName name="Z_2EA35095_1ADC_4CC7_8C3C_B487D65FA247_.wvu.PrintArea" localSheetId="25" hidden="1">'Rate LED'!$T$464:$AQ$602</definedName>
    <definedName name="Z_2EA35095_1ADC_4CC7_8C3C_B487D65FA247_.wvu.PrintArea" localSheetId="22" hidden="1">'Rate NSU'!$A$1:$R$49</definedName>
    <definedName name="Z_2EA35095_1ADC_4CC7_8C3C_B487D65FA247_.wvu.PrintArea" localSheetId="7" hidden="1">'Rate RS'!$A$1:$R$45</definedName>
    <definedName name="Z_2EA35095_1ADC_4CC7_8C3C_B487D65FA247_.wvu.PrintArea" localSheetId="23" hidden="1">'Rate SC'!$A$1:$R$77</definedName>
    <definedName name="Z_2EA35095_1ADC_4CC7_8C3C_B487D65FA247_.wvu.PrintArea" localSheetId="24" hidden="1">'Rate SE'!$A$1:$R$56</definedName>
    <definedName name="Z_2EA35095_1ADC_4CC7_8C3C_B487D65FA247_.wvu.PrintArea" localSheetId="19" hidden="1">'Rate SL'!$T$224:$AQ$298</definedName>
    <definedName name="Z_2EA35095_1ADC_4CC7_8C3C_B487D65FA247_.wvu.PrintArea" localSheetId="12" hidden="1">'Rate SP GSFL'!$A$1:$R$64</definedName>
    <definedName name="Z_2EA35095_1ADC_4CC7_8C3C_B487D65FA247_.wvu.PrintArea" localSheetId="20" hidden="1">'Rate TL'!$A$1:$R$38</definedName>
    <definedName name="Z_2EA35095_1ADC_4CC7_8C3C_B487D65FA247_.wvu.PrintArea" localSheetId="14" hidden="1">'Rate TT'!$A$1:$R$62</definedName>
    <definedName name="Z_2EA35095_1ADC_4CC7_8C3C_B487D65FA247_.wvu.PrintArea" localSheetId="18" hidden="1">'Rate TT RTP'!$A$1:$R$42</definedName>
    <definedName name="Z_2EA35095_1ADC_4CC7_8C3C_B487D65FA247_.wvu.PrintArea" localSheetId="21" hidden="1">'Rate UOLS'!$A$1:$R$32</definedName>
    <definedName name="Z_2EA35095_1ADC_4CC7_8C3C_B487D65FA247_.wvu.PrintArea" localSheetId="3" hidden="1">'SCH M'!$A$1:$K$75</definedName>
    <definedName name="Z_2EA35095_1ADC_4CC7_8C3C_B487D65FA247_.wvu.PrintArea" localSheetId="4" hidden="1">'SCH M-2.1'!$A$1:$T$56</definedName>
    <definedName name="Z_2EA35095_1ADC_4CC7_8C3C_B487D65FA247_.wvu.PrintArea" localSheetId="5" hidden="1">'SCH M-2.2'!$A$1:$X$77</definedName>
    <definedName name="Z_2EA35095_1ADC_4CC7_8C3C_B487D65FA247_.wvu.PrintArea" localSheetId="6" hidden="1">'SCH M-2.3'!$A$1:$R$72</definedName>
    <definedName name="Z_2EA35095_1ADC_4CC7_8C3C_B487D65FA247_.wvu.PrintArea" localSheetId="26" hidden="1">'SCH N'!$A$184:$R$247</definedName>
    <definedName name="Z_35F19056_2E6F_4935_B863_78836FE990BF_.wvu.PrintArea" localSheetId="13" hidden="1">'Rate DP'!$A$1:$R$50</definedName>
    <definedName name="Z_35F19056_2E6F_4935_B863_78836FE990BF_.wvu.PrintArea" localSheetId="8" hidden="1">'Rate DS'!$A$1:$R$56</definedName>
    <definedName name="Z_35F19056_2E6F_4935_B863_78836FE990BF_.wvu.PrintArea" localSheetId="17" hidden="1">'Rate DS RTP'!$A$1:$R$43</definedName>
    <definedName name="Z_35F19056_2E6F_4935_B863_78836FE990BF_.wvu.PrintArea" localSheetId="15" hidden="1">'Rate DT RTP-P'!$A$1:$R$41</definedName>
    <definedName name="Z_35F19056_2E6F_4935_B863_78836FE990BF_.wvu.PrintArea" localSheetId="16" hidden="1">'Rate DT RTP-S'!$A$1:$R$42</definedName>
    <definedName name="Z_35F19056_2E6F_4935_B863_78836FE990BF_.wvu.PrintArea" localSheetId="9" hidden="1">'Rate DT-Pri'!$A$1:$R$67</definedName>
    <definedName name="Z_35F19056_2E6F_4935_B863_78836FE990BF_.wvu.PrintArea" localSheetId="10" hidden="1">'Rate DT-Sec'!$A$1:$R$67</definedName>
    <definedName name="Z_35F19056_2E6F_4935_B863_78836FE990BF_.wvu.PrintArea" localSheetId="11" hidden="1">'Rate EH'!$A$1:$R$47</definedName>
    <definedName name="Z_35F19056_2E6F_4935_B863_78836FE990BF_.wvu.PrintArea" localSheetId="25" hidden="1">'Rate LED'!$A$112:$R$348</definedName>
    <definedName name="Z_35F19056_2E6F_4935_B863_78836FE990BF_.wvu.PrintArea" localSheetId="22" hidden="1">'Rate NSU'!$A$1:$R$49</definedName>
    <definedName name="Z_35F19056_2E6F_4935_B863_78836FE990BF_.wvu.PrintArea" localSheetId="7" hidden="1">'Rate RS'!$A$1:$R$45</definedName>
    <definedName name="Z_35F19056_2E6F_4935_B863_78836FE990BF_.wvu.PrintArea" localSheetId="23" hidden="1">'Rate SC'!$A$1:$R$77</definedName>
    <definedName name="Z_35F19056_2E6F_4935_B863_78836FE990BF_.wvu.PrintArea" localSheetId="24" hidden="1">'Rate SE'!$A$1:$R$56</definedName>
    <definedName name="Z_35F19056_2E6F_4935_B863_78836FE990BF_.wvu.PrintArea" localSheetId="19" hidden="1">'Rate SL'!$A$70:$R$151</definedName>
    <definedName name="Z_35F19056_2E6F_4935_B863_78836FE990BF_.wvu.PrintArea" localSheetId="12" hidden="1">'Rate SP GSFL'!$A$1:$R$64</definedName>
    <definedName name="Z_35F19056_2E6F_4935_B863_78836FE990BF_.wvu.PrintArea" localSheetId="20" hidden="1">'Rate TL'!$A$1:$R$38</definedName>
    <definedName name="Z_35F19056_2E6F_4935_B863_78836FE990BF_.wvu.PrintArea" localSheetId="14" hidden="1">'Rate TT'!$A$1:$R$62</definedName>
    <definedName name="Z_35F19056_2E6F_4935_B863_78836FE990BF_.wvu.PrintArea" localSheetId="18" hidden="1">'Rate TT RTP'!$A$1:$R$42</definedName>
    <definedName name="Z_35F19056_2E6F_4935_B863_78836FE990BF_.wvu.PrintArea" localSheetId="21" hidden="1">'Rate UOLS'!$A$1:$R$32</definedName>
    <definedName name="Z_35F19056_2E6F_4935_B863_78836FE990BF_.wvu.PrintArea" localSheetId="3" hidden="1">'SCH M'!$A$1:$O$71</definedName>
    <definedName name="Z_35F19056_2E6F_4935_B863_78836FE990BF_.wvu.PrintArea" localSheetId="4" hidden="1">'SCH M-2.1'!$A$1:$T$56</definedName>
    <definedName name="Z_35F19056_2E6F_4935_B863_78836FE990BF_.wvu.PrintArea" localSheetId="5" hidden="1">'SCH M-2.2'!$A$1:$X$77</definedName>
    <definedName name="Z_35F19056_2E6F_4935_B863_78836FE990BF_.wvu.PrintArea" localSheetId="6" hidden="1">'SCH M-2.3'!$A$1:$R$72</definedName>
    <definedName name="Z_35F19056_2E6F_4935_B863_78836FE990BF_.wvu.PrintArea" localSheetId="26" hidden="1">'SCH N'!$A$184:$R$247</definedName>
    <definedName name="Z_4BC93440_BA85_4935_A8C9_66DC6AE5DE5E_.wvu.PrintArea" localSheetId="13" hidden="1">'Rate DP'!$A$1:$R$50</definedName>
    <definedName name="Z_4BC93440_BA85_4935_A8C9_66DC6AE5DE5E_.wvu.PrintArea" localSheetId="8" hidden="1">'Rate DS'!$A$1:$R$56</definedName>
    <definedName name="Z_4BC93440_BA85_4935_A8C9_66DC6AE5DE5E_.wvu.PrintArea" localSheetId="17" hidden="1">'Rate DS RTP'!$A$1:$R$43</definedName>
    <definedName name="Z_4BC93440_BA85_4935_A8C9_66DC6AE5DE5E_.wvu.PrintArea" localSheetId="15" hidden="1">'Rate DT RTP-P'!$A$1:$R$41</definedName>
    <definedName name="Z_4BC93440_BA85_4935_A8C9_66DC6AE5DE5E_.wvu.PrintArea" localSheetId="16" hidden="1">'Rate DT RTP-S'!$A$1:$R$42</definedName>
    <definedName name="Z_4BC93440_BA85_4935_A8C9_66DC6AE5DE5E_.wvu.PrintArea" localSheetId="9" hidden="1">'Rate DT-Pri'!$T$73:$AQ$142</definedName>
    <definedName name="Z_4BC93440_BA85_4935_A8C9_66DC6AE5DE5E_.wvu.PrintArea" localSheetId="10" hidden="1">'Rate DT-Sec'!$T$71:$AQ$137</definedName>
    <definedName name="Z_4BC93440_BA85_4935_A8C9_66DC6AE5DE5E_.wvu.PrintArea" localSheetId="11" hidden="1">'Rate EH'!$A$1:$R$47</definedName>
    <definedName name="Z_4BC93440_BA85_4935_A8C9_66DC6AE5DE5E_.wvu.PrintArea" localSheetId="25" hidden="1">'Rate LED'!$T$464:$AQ$602</definedName>
    <definedName name="Z_4BC93440_BA85_4935_A8C9_66DC6AE5DE5E_.wvu.PrintArea" localSheetId="22" hidden="1">'Rate NSU'!$A$1:$R$49</definedName>
    <definedName name="Z_4BC93440_BA85_4935_A8C9_66DC6AE5DE5E_.wvu.PrintArea" localSheetId="7" hidden="1">'Rate RS'!$A$1:$R$45</definedName>
    <definedName name="Z_4BC93440_BA85_4935_A8C9_66DC6AE5DE5E_.wvu.PrintArea" localSheetId="23" hidden="1">'Rate SC'!$A$1:$R$77</definedName>
    <definedName name="Z_4BC93440_BA85_4935_A8C9_66DC6AE5DE5E_.wvu.PrintArea" localSheetId="24" hidden="1">'Rate SE'!$A$1:$R$56</definedName>
    <definedName name="Z_4BC93440_BA85_4935_A8C9_66DC6AE5DE5E_.wvu.PrintArea" localSheetId="19" hidden="1">'Rate SL'!$T$224:$AQ$298</definedName>
    <definedName name="Z_4BC93440_BA85_4935_A8C9_66DC6AE5DE5E_.wvu.PrintArea" localSheetId="12" hidden="1">'Rate SP GSFL'!$A$1:$R$64</definedName>
    <definedName name="Z_4BC93440_BA85_4935_A8C9_66DC6AE5DE5E_.wvu.PrintArea" localSheetId="20" hidden="1">'Rate TL'!$A$1:$R$38</definedName>
    <definedName name="Z_4BC93440_BA85_4935_A8C9_66DC6AE5DE5E_.wvu.PrintArea" localSheetId="14" hidden="1">'Rate TT'!$A$1:$R$62</definedName>
    <definedName name="Z_4BC93440_BA85_4935_A8C9_66DC6AE5DE5E_.wvu.PrintArea" localSheetId="18" hidden="1">'Rate TT RTP'!$A$1:$R$42</definedName>
    <definedName name="Z_4BC93440_BA85_4935_A8C9_66DC6AE5DE5E_.wvu.PrintArea" localSheetId="21" hidden="1">'Rate UOLS'!$A$1:$R$32</definedName>
    <definedName name="Z_4BC93440_BA85_4935_A8C9_66DC6AE5DE5E_.wvu.PrintArea" localSheetId="3" hidden="1">'SCH M'!$A$1:$K$75</definedName>
    <definedName name="Z_4BC93440_BA85_4935_A8C9_66DC6AE5DE5E_.wvu.PrintArea" localSheetId="4" hidden="1">'SCH M-2.1'!$A$1:$T$56</definedName>
    <definedName name="Z_4BC93440_BA85_4935_A8C9_66DC6AE5DE5E_.wvu.PrintArea" localSheetId="5" hidden="1">'SCH M-2.2'!$A$1:$X$77</definedName>
    <definedName name="Z_4BC93440_BA85_4935_A8C9_66DC6AE5DE5E_.wvu.PrintArea" localSheetId="6" hidden="1">'SCH M-2.3'!$A$1:$R$72</definedName>
    <definedName name="Z_4BC93440_BA85_4935_A8C9_66DC6AE5DE5E_.wvu.PrintArea" localSheetId="26" hidden="1">'SCH N'!$A$184:$R$247</definedName>
    <definedName name="Z_6B3D5C27_2FDE_4561_9575_1E98BFB869D0_.wvu.PrintArea" localSheetId="13" hidden="1">'Rate DP'!$A$1:$R$50</definedName>
    <definedName name="Z_6B3D5C27_2FDE_4561_9575_1E98BFB869D0_.wvu.PrintArea" localSheetId="8" hidden="1">'Rate DS'!$A$1:$R$56</definedName>
    <definedName name="Z_6B3D5C27_2FDE_4561_9575_1E98BFB869D0_.wvu.PrintArea" localSheetId="17" hidden="1">'Rate DS RTP'!$A$1:$R$43</definedName>
    <definedName name="Z_6B3D5C27_2FDE_4561_9575_1E98BFB869D0_.wvu.PrintArea" localSheetId="15" hidden="1">'Rate DT RTP-P'!$A$1:$R$41</definedName>
    <definedName name="Z_6B3D5C27_2FDE_4561_9575_1E98BFB869D0_.wvu.PrintArea" localSheetId="16" hidden="1">'Rate DT RTP-S'!$A$1:$R$42</definedName>
    <definedName name="Z_6B3D5C27_2FDE_4561_9575_1E98BFB869D0_.wvu.PrintArea" localSheetId="9" hidden="1">'Rate DT-Pri'!$A$1:$R$67</definedName>
    <definedName name="Z_6B3D5C27_2FDE_4561_9575_1E98BFB869D0_.wvu.PrintArea" localSheetId="10" hidden="1">'Rate DT-Sec'!$A$1:$R$67</definedName>
    <definedName name="Z_6B3D5C27_2FDE_4561_9575_1E98BFB869D0_.wvu.PrintArea" localSheetId="11" hidden="1">'Rate EH'!$A$1:$R$47</definedName>
    <definedName name="Z_6B3D5C27_2FDE_4561_9575_1E98BFB869D0_.wvu.PrintArea" localSheetId="25" hidden="1">'Rate LED'!$T$464:$AQ$602</definedName>
    <definedName name="Z_6B3D5C27_2FDE_4561_9575_1E98BFB869D0_.wvu.PrintArea" localSheetId="22" hidden="1">'Rate NSU'!$A$1:$R$49</definedName>
    <definedName name="Z_6B3D5C27_2FDE_4561_9575_1E98BFB869D0_.wvu.PrintArea" localSheetId="7" hidden="1">'Rate RS'!$A$1:$R$45</definedName>
    <definedName name="Z_6B3D5C27_2FDE_4561_9575_1E98BFB869D0_.wvu.PrintArea" localSheetId="23" hidden="1">'Rate SC'!$A$1:$R$77</definedName>
    <definedName name="Z_6B3D5C27_2FDE_4561_9575_1E98BFB869D0_.wvu.PrintArea" localSheetId="24" hidden="1">'Rate SE'!$A$1:$R$56</definedName>
    <definedName name="Z_6B3D5C27_2FDE_4561_9575_1E98BFB869D0_.wvu.PrintArea" localSheetId="19" hidden="1">'Rate SL'!$T$224:$AQ$298</definedName>
    <definedName name="Z_6B3D5C27_2FDE_4561_9575_1E98BFB869D0_.wvu.PrintArea" localSheetId="12" hidden="1">'Rate SP GSFL'!$A$1:$R$64</definedName>
    <definedName name="Z_6B3D5C27_2FDE_4561_9575_1E98BFB869D0_.wvu.PrintArea" localSheetId="20" hidden="1">'Rate TL'!$A$1:$R$38</definedName>
    <definedName name="Z_6B3D5C27_2FDE_4561_9575_1E98BFB869D0_.wvu.PrintArea" localSheetId="14" hidden="1">'Rate TT'!$A$1:$R$62</definedName>
    <definedName name="Z_6B3D5C27_2FDE_4561_9575_1E98BFB869D0_.wvu.PrintArea" localSheetId="18" hidden="1">'Rate TT RTP'!$A$1:$R$42</definedName>
    <definedName name="Z_6B3D5C27_2FDE_4561_9575_1E98BFB869D0_.wvu.PrintArea" localSheetId="21" hidden="1">'Rate UOLS'!$A$1:$R$32</definedName>
    <definedName name="Z_6B3D5C27_2FDE_4561_9575_1E98BFB869D0_.wvu.PrintArea" localSheetId="3" hidden="1">'SCH M'!$A$1:$O$69</definedName>
    <definedName name="Z_6B3D5C27_2FDE_4561_9575_1E98BFB869D0_.wvu.PrintArea" localSheetId="4" hidden="1">'SCH M-2.1'!$A$1:$T$56</definedName>
    <definedName name="Z_6B3D5C27_2FDE_4561_9575_1E98BFB869D0_.wvu.PrintArea" localSheetId="5" hidden="1">'SCH M-2.2'!$A$1:$X$77</definedName>
    <definedName name="Z_6B3D5C27_2FDE_4561_9575_1E98BFB869D0_.wvu.PrintArea" localSheetId="6" hidden="1">'SCH M-2.3'!$A$1:$R$72</definedName>
    <definedName name="Z_6B3D5C27_2FDE_4561_9575_1E98BFB869D0_.wvu.PrintArea" localSheetId="26" hidden="1">'SCH N'!$A$184:$R$247</definedName>
    <definedName name="Z_8FB94551_8874_4095_B8FB_5316E0D2FD2C_.wvu.PrintArea" localSheetId="13" hidden="1">'Rate DP'!$A$1:$R$50</definedName>
    <definedName name="Z_8FB94551_8874_4095_B8FB_5316E0D2FD2C_.wvu.PrintArea" localSheetId="8" hidden="1">'Rate DS'!$A$1:$R$56</definedName>
    <definedName name="Z_8FB94551_8874_4095_B8FB_5316E0D2FD2C_.wvu.PrintArea" localSheetId="17" hidden="1">'Rate DS RTP'!$A$1:$R$43</definedName>
    <definedName name="Z_8FB94551_8874_4095_B8FB_5316E0D2FD2C_.wvu.PrintArea" localSheetId="15" hidden="1">'Rate DT RTP-P'!$A$1:$R$41</definedName>
    <definedName name="Z_8FB94551_8874_4095_B8FB_5316E0D2FD2C_.wvu.PrintArea" localSheetId="16" hidden="1">'Rate DT RTP-S'!$A$1:$R$42</definedName>
    <definedName name="Z_8FB94551_8874_4095_B8FB_5316E0D2FD2C_.wvu.PrintArea" localSheetId="9" hidden="1">'Rate DT-Pri'!$A$1:$R$67</definedName>
    <definedName name="Z_8FB94551_8874_4095_B8FB_5316E0D2FD2C_.wvu.PrintArea" localSheetId="10" hidden="1">'Rate DT-Sec'!$A$1:$R$67</definedName>
    <definedName name="Z_8FB94551_8874_4095_B8FB_5316E0D2FD2C_.wvu.PrintArea" localSheetId="11" hidden="1">'Rate EH'!$A$1:$R$47</definedName>
    <definedName name="Z_8FB94551_8874_4095_B8FB_5316E0D2FD2C_.wvu.PrintArea" localSheetId="25" hidden="1">'Rate LED'!$T$464:$AQ$602</definedName>
    <definedName name="Z_8FB94551_8874_4095_B8FB_5316E0D2FD2C_.wvu.PrintArea" localSheetId="22" hidden="1">'Rate NSU'!$A$1:$R$49</definedName>
    <definedName name="Z_8FB94551_8874_4095_B8FB_5316E0D2FD2C_.wvu.PrintArea" localSheetId="7" hidden="1">'Rate RS'!$A$1:$R$45</definedName>
    <definedName name="Z_8FB94551_8874_4095_B8FB_5316E0D2FD2C_.wvu.PrintArea" localSheetId="23" hidden="1">'Rate SC'!$A$1:$R$77</definedName>
    <definedName name="Z_8FB94551_8874_4095_B8FB_5316E0D2FD2C_.wvu.PrintArea" localSheetId="24" hidden="1">'Rate SE'!$A$1:$R$56</definedName>
    <definedName name="Z_8FB94551_8874_4095_B8FB_5316E0D2FD2C_.wvu.PrintArea" localSheetId="19" hidden="1">'Rate SL'!$T$224:$AQ$298</definedName>
    <definedName name="Z_8FB94551_8874_4095_B8FB_5316E0D2FD2C_.wvu.PrintArea" localSheetId="12" hidden="1">'Rate SP GSFL'!$A$1:$R$64</definedName>
    <definedName name="Z_8FB94551_8874_4095_B8FB_5316E0D2FD2C_.wvu.PrintArea" localSheetId="20" hidden="1">'Rate TL'!$A$1:$R$38</definedName>
    <definedName name="Z_8FB94551_8874_4095_B8FB_5316E0D2FD2C_.wvu.PrintArea" localSheetId="14" hidden="1">'Rate TT'!$A$1:$R$62</definedName>
    <definedName name="Z_8FB94551_8874_4095_B8FB_5316E0D2FD2C_.wvu.PrintArea" localSheetId="18" hidden="1">'Rate TT RTP'!$A$1:$R$42</definedName>
    <definedName name="Z_8FB94551_8874_4095_B8FB_5316E0D2FD2C_.wvu.PrintArea" localSheetId="21" hidden="1">'Rate UOLS'!$A$1:$R$32</definedName>
    <definedName name="Z_8FB94551_8874_4095_B8FB_5316E0D2FD2C_.wvu.PrintArea" localSheetId="3" hidden="1">'SCH M'!$A$1:$K$75</definedName>
    <definedName name="Z_8FB94551_8874_4095_B8FB_5316E0D2FD2C_.wvu.PrintArea" localSheetId="4" hidden="1">'SCH M-2.1'!$A$1:$T$56</definedName>
    <definedName name="Z_8FB94551_8874_4095_B8FB_5316E0D2FD2C_.wvu.PrintArea" localSheetId="5" hidden="1">'SCH M-2.2'!$A$1:$X$77</definedName>
    <definedName name="Z_8FB94551_8874_4095_B8FB_5316E0D2FD2C_.wvu.PrintArea" localSheetId="6" hidden="1">'SCH M-2.3'!$A$1:$R$72</definedName>
    <definedName name="Z_8FB94551_8874_4095_B8FB_5316E0D2FD2C_.wvu.PrintArea" localSheetId="26" hidden="1">'SCH N'!$A$184:$R$247</definedName>
    <definedName name="Z_8FC77C99_DBF7_40B8_99B8_01B75826CDCB_.wvu.PrintArea" localSheetId="13" hidden="1">'Rate DP'!$A$1:$R$50</definedName>
    <definedName name="Z_8FC77C99_DBF7_40B8_99B8_01B75826CDCB_.wvu.PrintArea" localSheetId="8" hidden="1">'Rate DS'!$A$1:$R$56</definedName>
    <definedName name="Z_8FC77C99_DBF7_40B8_99B8_01B75826CDCB_.wvu.PrintArea" localSheetId="17" hidden="1">'Rate DS RTP'!$A$1:$R$43</definedName>
    <definedName name="Z_8FC77C99_DBF7_40B8_99B8_01B75826CDCB_.wvu.PrintArea" localSheetId="15" hidden="1">'Rate DT RTP-P'!$A$1:$R$41</definedName>
    <definedName name="Z_8FC77C99_DBF7_40B8_99B8_01B75826CDCB_.wvu.PrintArea" localSheetId="16" hidden="1">'Rate DT RTP-S'!$A$1:$R$42</definedName>
    <definedName name="Z_8FC77C99_DBF7_40B8_99B8_01B75826CDCB_.wvu.PrintArea" localSheetId="9" hidden="1">'Rate DT-Pri'!$A$1:$R$67</definedName>
    <definedName name="Z_8FC77C99_DBF7_40B8_99B8_01B75826CDCB_.wvu.PrintArea" localSheetId="10" hidden="1">'Rate DT-Sec'!$A$1:$R$67</definedName>
    <definedName name="Z_8FC77C99_DBF7_40B8_99B8_01B75826CDCB_.wvu.PrintArea" localSheetId="11" hidden="1">'Rate EH'!$A$1:$R$47</definedName>
    <definedName name="Z_8FC77C99_DBF7_40B8_99B8_01B75826CDCB_.wvu.PrintArea" localSheetId="25" hidden="1">'Rate LED'!$T$464:$AQ$602</definedName>
    <definedName name="Z_8FC77C99_DBF7_40B8_99B8_01B75826CDCB_.wvu.PrintArea" localSheetId="22" hidden="1">'Rate NSU'!$A$1:$R$49</definedName>
    <definedName name="Z_8FC77C99_DBF7_40B8_99B8_01B75826CDCB_.wvu.PrintArea" localSheetId="7" hidden="1">'Rate RS'!$A$1:$R$45</definedName>
    <definedName name="Z_8FC77C99_DBF7_40B8_99B8_01B75826CDCB_.wvu.PrintArea" localSheetId="23" hidden="1">'Rate SC'!$A$1:$R$77</definedName>
    <definedName name="Z_8FC77C99_DBF7_40B8_99B8_01B75826CDCB_.wvu.PrintArea" localSheetId="24" hidden="1">'Rate SE'!$A$1:$R$56</definedName>
    <definedName name="Z_8FC77C99_DBF7_40B8_99B8_01B75826CDCB_.wvu.PrintArea" localSheetId="19" hidden="1">'Rate SL'!$T$224:$AQ$298</definedName>
    <definedName name="Z_8FC77C99_DBF7_40B8_99B8_01B75826CDCB_.wvu.PrintArea" localSheetId="12" hidden="1">'Rate SP GSFL'!$A$1:$R$64</definedName>
    <definedName name="Z_8FC77C99_DBF7_40B8_99B8_01B75826CDCB_.wvu.PrintArea" localSheetId="20" hidden="1">'Rate TL'!$A$1:$R$38</definedName>
    <definedName name="Z_8FC77C99_DBF7_40B8_99B8_01B75826CDCB_.wvu.PrintArea" localSheetId="14" hidden="1">'Rate TT'!$A$1:$R$62</definedName>
    <definedName name="Z_8FC77C99_DBF7_40B8_99B8_01B75826CDCB_.wvu.PrintArea" localSheetId="18" hidden="1">'Rate TT RTP'!$A$1:$R$42</definedName>
    <definedName name="Z_8FC77C99_DBF7_40B8_99B8_01B75826CDCB_.wvu.PrintArea" localSheetId="21" hidden="1">'Rate UOLS'!$A$1:$R$32</definedName>
    <definedName name="Z_8FC77C99_DBF7_40B8_99B8_01B75826CDCB_.wvu.PrintArea" localSheetId="3" hidden="1">'SCH M'!$A$1:$K$75</definedName>
    <definedName name="Z_8FC77C99_DBF7_40B8_99B8_01B75826CDCB_.wvu.PrintArea" localSheetId="4" hidden="1">'SCH M-2.1'!$A$1:$T$56</definedName>
    <definedName name="Z_8FC77C99_DBF7_40B8_99B8_01B75826CDCB_.wvu.PrintArea" localSheetId="5" hidden="1">'SCH M-2.2'!$A$1:$X$77</definedName>
    <definedName name="Z_8FC77C99_DBF7_40B8_99B8_01B75826CDCB_.wvu.PrintArea" localSheetId="6" hidden="1">'SCH M-2.3'!$A$1:$R$72</definedName>
    <definedName name="Z_8FC77C99_DBF7_40B8_99B8_01B75826CDCB_.wvu.PrintArea" localSheetId="26" hidden="1">'SCH N'!$A$184:$R$247</definedName>
    <definedName name="Z_F562D92E_120C_4AE9_9663_89E64D41DC53_.wvu.PrintArea" localSheetId="13" hidden="1">'Rate DP'!$A$1:$R$50</definedName>
    <definedName name="Z_F562D92E_120C_4AE9_9663_89E64D41DC53_.wvu.PrintArea" localSheetId="8" hidden="1">'Rate DS'!$A$1:$R$56</definedName>
    <definedName name="Z_F562D92E_120C_4AE9_9663_89E64D41DC53_.wvu.PrintArea" localSheetId="17" hidden="1">'Rate DS RTP'!$A$1:$R$43</definedName>
    <definedName name="Z_F562D92E_120C_4AE9_9663_89E64D41DC53_.wvu.PrintArea" localSheetId="15" hidden="1">'Rate DT RTP-P'!$A$1:$R$41</definedName>
    <definedName name="Z_F562D92E_120C_4AE9_9663_89E64D41DC53_.wvu.PrintArea" localSheetId="16" hidden="1">'Rate DT RTP-S'!$A$1:$R$42</definedName>
    <definedName name="Z_F562D92E_120C_4AE9_9663_89E64D41DC53_.wvu.PrintArea" localSheetId="9" hidden="1">'Rate DT-Pri'!$A$1:$R$67</definedName>
    <definedName name="Z_F562D92E_120C_4AE9_9663_89E64D41DC53_.wvu.PrintArea" localSheetId="10" hidden="1">'Rate DT-Sec'!$A$1:$R$67</definedName>
    <definedName name="Z_F562D92E_120C_4AE9_9663_89E64D41DC53_.wvu.PrintArea" localSheetId="11" hidden="1">'Rate EH'!$A$1:$R$47</definedName>
    <definedName name="Z_F562D92E_120C_4AE9_9663_89E64D41DC53_.wvu.PrintArea" localSheetId="25" hidden="1">'Rate LED'!$A$112:$R$348</definedName>
    <definedName name="Z_F562D92E_120C_4AE9_9663_89E64D41DC53_.wvu.PrintArea" localSheetId="22" hidden="1">'Rate NSU'!$A$1:$R$49</definedName>
    <definedName name="Z_F562D92E_120C_4AE9_9663_89E64D41DC53_.wvu.PrintArea" localSheetId="7" hidden="1">'Rate RS'!$A$1:$R$45</definedName>
    <definedName name="Z_F562D92E_120C_4AE9_9663_89E64D41DC53_.wvu.PrintArea" localSheetId="23" hidden="1">'Rate SC'!$A$1:$R$77</definedName>
    <definedName name="Z_F562D92E_120C_4AE9_9663_89E64D41DC53_.wvu.PrintArea" localSheetId="24" hidden="1">'Rate SE'!$A$1:$R$56</definedName>
    <definedName name="Z_F562D92E_120C_4AE9_9663_89E64D41DC53_.wvu.PrintArea" localSheetId="19" hidden="1">'Rate SL'!$A$70:$R$151</definedName>
    <definedName name="Z_F562D92E_120C_4AE9_9663_89E64D41DC53_.wvu.PrintArea" localSheetId="12" hidden="1">'Rate SP GSFL'!$A$1:$R$64</definedName>
    <definedName name="Z_F562D92E_120C_4AE9_9663_89E64D41DC53_.wvu.PrintArea" localSheetId="20" hidden="1">'Rate TL'!$A$1:$R$38</definedName>
    <definedName name="Z_F562D92E_120C_4AE9_9663_89E64D41DC53_.wvu.PrintArea" localSheetId="14" hidden="1">'Rate TT'!$A$1:$R$62</definedName>
    <definedName name="Z_F562D92E_120C_4AE9_9663_89E64D41DC53_.wvu.PrintArea" localSheetId="18" hidden="1">'Rate TT RTP'!$A$1:$R$42</definedName>
    <definedName name="Z_F562D92E_120C_4AE9_9663_89E64D41DC53_.wvu.PrintArea" localSheetId="21" hidden="1">'Rate UOLS'!$A$1:$R$32</definedName>
    <definedName name="Z_F562D92E_120C_4AE9_9663_89E64D41DC53_.wvu.PrintArea" localSheetId="3" hidden="1">'SCH M'!$A$1:$O$71</definedName>
    <definedName name="Z_F562D92E_120C_4AE9_9663_89E64D41DC53_.wvu.PrintArea" localSheetId="4" hidden="1">'SCH M-2.1'!$A$1:$T$56</definedName>
    <definedName name="Z_F562D92E_120C_4AE9_9663_89E64D41DC53_.wvu.PrintArea" localSheetId="5" hidden="1">'SCH M-2.2'!$A$1:$X$77</definedName>
    <definedName name="Z_F562D92E_120C_4AE9_9663_89E64D41DC53_.wvu.PrintArea" localSheetId="6" hidden="1">'SCH M-2.3'!$A$1:$R$72</definedName>
    <definedName name="Z_F562D92E_120C_4AE9_9663_89E64D41DC53_.wvu.PrintArea" localSheetId="26" hidden="1">'SCH N'!$A$184:$R$247</definedName>
  </definedNames>
  <calcPr calcId="191029"/>
  <customWorkbookViews>
    <customWorkbookView name="Jeffrey R. Bailey - Personal View" guid="{195DF303-1BBD-4236-94B5-47432850B006}" mergeInterval="0" personalView="1" maximized="1" windowWidth="1020" windowHeight="550" tabRatio="599" activeSheetId="1"/>
    <customWorkbookView name="Donald J. Rottinghaus - Personal View" guid="{0C49E549-011E-46F4-A82E-2CC8951A9C1E}" mergeInterval="0" personalView="1" maximized="1" windowWidth="1276" windowHeight="763" tabRatio="599" activeSheetId="4"/>
    <customWorkbookView name="Mark E. Musick - Personal View" guid="{4BC93440-BA85-4935-A8C9-66DC6AE5DE5E}" mergeInterval="0" personalView="1" maximized="1" windowWidth="796" windowHeight="439" tabRatio="599" activeSheetId="7"/>
    <customWorkbookView name="Brad Beagle - Personal View" guid="{2431C9E5-7CC2-4B8D-99C3-962247B1DBF5}" mergeInterval="0" personalView="1" maximized="1" windowWidth="1271" windowHeight="897" tabRatio="599" activeSheetId="3"/>
    <customWorkbookView name="Jeff Pipher - Personal View" guid="{2EA35095-1ADC-4CC7-8C3C-B487D65FA247}" mergeInterval="0" personalView="1" xWindow="5" yWindow="29" windowWidth="684" windowHeight="318" tabRatio="599" activeSheetId="13"/>
    <customWorkbookView name="t01869 - Personal View" guid="{8FC77C99-DBF7-40B8-99B8-01B75826CDCB}" mergeInterval="0" personalView="1" maximized="1" windowWidth="1020" windowHeight="651" tabRatio="599" activeSheetId="2" showStatusbar="0"/>
    <customWorkbookView name="Bass Chaser - Personal View" guid="{8FB94551-8874-4095-B8FB-5316E0D2FD2C}" mergeInterval="0" personalView="1" maximized="1" windowWidth="1020" windowHeight="659" tabRatio="599" activeSheetId="1"/>
    <customWorkbookView name="bjb - Personal View" guid="{6B3D5C27-2FDE-4561-9575-1E98BFB869D0}" mergeInterval="0" personalView="1" maximized="1" windowWidth="1266" windowHeight="878" tabRatio="599" activeSheetId="8"/>
    <customWorkbookView name="rhe - Personal View" guid="{0BC1F393-8A13-47D5-BC6C-0C99615B5AB9}" mergeInterval="0" personalView="1" maximized="1" windowWidth="1276" windowHeight="915" tabRatio="599" activeSheetId="3"/>
    <customWorkbookView name="t93779 - Personal View" guid="{18BDED73-BFA0-442E-87EC-CED86EE4CF94}" mergeInterval="0" personalView="1" maximized="1" windowWidth="1276" windowHeight="862" tabRatio="599" activeSheetId="3"/>
    <customWorkbookView name="Administrator - Personal View" guid="{35F19056-2E6F-4935-B863-78836FE990BF}" mergeInterval="0" personalView="1" maximized="1" windowWidth="1020" windowHeight="605" tabRatio="599" activeSheetId="3"/>
    <customWorkbookView name="ramshof - Personal View" guid="{F562D92E-120C-4AE9-9663-89E64D41DC53}" mergeInterval="0" personalView="1" maximized="1" xWindow="1" yWindow="1" windowWidth="1280" windowHeight="806" tabRatio="599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34" l="1"/>
  <c r="I11" i="34"/>
  <c r="K57" i="26" l="1"/>
  <c r="W26" i="26"/>
  <c r="X26" i="26"/>
  <c r="D25" i="27"/>
  <c r="I24" i="41" l="1"/>
  <c r="H24" i="41"/>
  <c r="J24" i="41" s="1"/>
  <c r="I22" i="41"/>
  <c r="H22" i="41"/>
  <c r="J22" i="41" s="1"/>
  <c r="J21" i="41"/>
  <c r="I21" i="41"/>
  <c r="H21" i="41"/>
  <c r="I20" i="41"/>
  <c r="J20" i="41" s="1"/>
  <c r="H20" i="41"/>
  <c r="H19" i="41"/>
  <c r="H18" i="41"/>
  <c r="I17" i="41"/>
  <c r="J17" i="41" s="1"/>
  <c r="H17" i="41"/>
  <c r="E16" i="41"/>
  <c r="E15" i="41"/>
  <c r="E14" i="41"/>
  <c r="H11" i="41"/>
  <c r="V67" i="28"/>
  <c r="V66" i="28"/>
  <c r="C32" i="28"/>
  <c r="I24" i="36" l="1"/>
  <c r="B6" i="1" l="1"/>
  <c r="F19" i="1"/>
  <c r="AM462" i="38"/>
  <c r="T297" i="19"/>
  <c r="A144" i="19"/>
  <c r="L57" i="5" l="1"/>
  <c r="L64" i="5"/>
  <c r="S28" i="40" l="1"/>
  <c r="AM264" i="19" l="1"/>
  <c r="AM251" i="19"/>
  <c r="AM210" i="19"/>
  <c r="AM191" i="19"/>
  <c r="AM176" i="19"/>
  <c r="AM248" i="19"/>
  <c r="AM188" i="19"/>
  <c r="AM247" i="19"/>
  <c r="AM187" i="19"/>
  <c r="AM246" i="19"/>
  <c r="AM186" i="19"/>
  <c r="AM245" i="19"/>
  <c r="AM185" i="19"/>
  <c r="AM244" i="19"/>
  <c r="AM184" i="19"/>
  <c r="AM215" i="19"/>
  <c r="AM182" i="19"/>
  <c r="AM214" i="19"/>
  <c r="AM181" i="19"/>
  <c r="AM255" i="19"/>
  <c r="AM213" i="19"/>
  <c r="AM194" i="19"/>
  <c r="AM180" i="19"/>
  <c r="AM253" i="19"/>
  <c r="AM193" i="19"/>
  <c r="AM252" i="19"/>
  <c r="AM192" i="19"/>
  <c r="AM263" i="19"/>
  <c r="AM250" i="19"/>
  <c r="AM207" i="19"/>
  <c r="AM189" i="19"/>
  <c r="AM175" i="19"/>
  <c r="AM262" i="19"/>
  <c r="AM206" i="19"/>
  <c r="AM261" i="19"/>
  <c r="AM205" i="19"/>
  <c r="AM260" i="19"/>
  <c r="AM203" i="19"/>
  <c r="AM259" i="19"/>
  <c r="AM202" i="19"/>
  <c r="AM258" i="19"/>
  <c r="AM201" i="19"/>
  <c r="AM257" i="19"/>
  <c r="AM200" i="19"/>
  <c r="AM256" i="19"/>
  <c r="AM212" i="19"/>
  <c r="AM178" i="19"/>
  <c r="AM211" i="19"/>
  <c r="AM177" i="19"/>
  <c r="T57" i="5"/>
  <c r="O28" i="40"/>
  <c r="AM196" i="19" l="1"/>
  <c r="D19" i="1"/>
  <c r="C31" i="28" s="1"/>
  <c r="F137" i="19"/>
  <c r="F136" i="19"/>
  <c r="AM682" i="38" l="1"/>
  <c r="AM677" i="38"/>
  <c r="AE460" i="38"/>
  <c r="AA460" i="38"/>
  <c r="Y460" i="38"/>
  <c r="AC117" i="10" l="1"/>
  <c r="AC100" i="10"/>
  <c r="AC118" i="9"/>
  <c r="AC100" i="9"/>
  <c r="C165" i="1"/>
  <c r="G166" i="1"/>
  <c r="F166" i="1"/>
  <c r="C166" i="1" s="1"/>
  <c r="AA62" i="20" l="1"/>
  <c r="Y671" i="38" l="1"/>
  <c r="Y672" i="38"/>
  <c r="Y673" i="38"/>
  <c r="Y674" i="38"/>
  <c r="Y675" i="38"/>
  <c r="Y676" i="38"/>
  <c r="T671" i="38"/>
  <c r="T672" i="38"/>
  <c r="T673" i="38"/>
  <c r="T674" i="38"/>
  <c r="T675" i="38"/>
  <c r="T676" i="38"/>
  <c r="T677" i="38"/>
  <c r="AO628" i="38"/>
  <c r="V640" i="38"/>
  <c r="W639" i="38"/>
  <c r="V639" i="38"/>
  <c r="T639" i="38"/>
  <c r="AO630" i="38"/>
  <c r="T628" i="38"/>
  <c r="T627" i="38"/>
  <c r="T626" i="38"/>
  <c r="T625" i="38"/>
  <c r="T624" i="38"/>
  <c r="T623" i="38"/>
  <c r="T622" i="38"/>
  <c r="T620" i="38"/>
  <c r="T619" i="38"/>
  <c r="T603" i="38"/>
  <c r="V603" i="38"/>
  <c r="AO561" i="38"/>
  <c r="V573" i="38"/>
  <c r="T573" i="38"/>
  <c r="W572" i="38"/>
  <c r="V572" i="38"/>
  <c r="T572" i="38"/>
  <c r="AO563" i="38"/>
  <c r="T561" i="38"/>
  <c r="T560" i="38"/>
  <c r="T559" i="38"/>
  <c r="T558" i="38"/>
  <c r="T557" i="38"/>
  <c r="T556" i="38"/>
  <c r="T555" i="38"/>
  <c r="T553" i="38"/>
  <c r="T552" i="38"/>
  <c r="AO495" i="38"/>
  <c r="AO424" i="38"/>
  <c r="W506" i="38"/>
  <c r="T506" i="38"/>
  <c r="V506" i="38"/>
  <c r="V507" i="38"/>
  <c r="T507" i="38"/>
  <c r="AO497" i="38"/>
  <c r="T495" i="38"/>
  <c r="T494" i="38"/>
  <c r="T493" i="38"/>
  <c r="T492" i="38"/>
  <c r="T491" i="38"/>
  <c r="T490" i="38"/>
  <c r="T489" i="38"/>
  <c r="T487" i="38"/>
  <c r="T486" i="38"/>
  <c r="W436" i="38"/>
  <c r="T436" i="38"/>
  <c r="V436" i="38"/>
  <c r="T437" i="38"/>
  <c r="V437" i="38"/>
  <c r="AO426" i="38"/>
  <c r="T424" i="38"/>
  <c r="T423" i="38"/>
  <c r="T422" i="38"/>
  <c r="T421" i="38"/>
  <c r="T420" i="38"/>
  <c r="T419" i="38"/>
  <c r="T418" i="38"/>
  <c r="T416" i="38"/>
  <c r="T415" i="38"/>
  <c r="R276" i="38"/>
  <c r="R209" i="38"/>
  <c r="R211" i="38"/>
  <c r="A209" i="38"/>
  <c r="A208" i="38"/>
  <c r="A207" i="38"/>
  <c r="A206" i="38"/>
  <c r="A205" i="38"/>
  <c r="A204" i="38"/>
  <c r="A203" i="38"/>
  <c r="A201" i="38"/>
  <c r="A200" i="38"/>
  <c r="R143" i="38"/>
  <c r="R145" i="38"/>
  <c r="A143" i="38"/>
  <c r="A142" i="38"/>
  <c r="A141" i="38"/>
  <c r="A140" i="38"/>
  <c r="A139" i="38"/>
  <c r="A138" i="38"/>
  <c r="A137" i="38"/>
  <c r="A135" i="38"/>
  <c r="A134" i="38"/>
  <c r="R73" i="38"/>
  <c r="R75" i="38"/>
  <c r="A73" i="38"/>
  <c r="A72" i="38"/>
  <c r="A71" i="38"/>
  <c r="A70" i="38"/>
  <c r="A69" i="38"/>
  <c r="A68" i="38"/>
  <c r="A67" i="38"/>
  <c r="A65" i="38"/>
  <c r="A64" i="38"/>
  <c r="AO358" i="38"/>
  <c r="R7" i="38"/>
  <c r="T439" i="38" l="1"/>
  <c r="T440" i="38"/>
  <c r="T441" i="38"/>
  <c r="T442" i="38"/>
  <c r="T443" i="38"/>
  <c r="T444" i="38"/>
  <c r="T445" i="38"/>
  <c r="T446" i="38"/>
  <c r="T447" i="38"/>
  <c r="T448" i="38"/>
  <c r="T449" i="38"/>
  <c r="T450" i="38"/>
  <c r="T451" i="38"/>
  <c r="T452" i="38"/>
  <c r="T453" i="38"/>
  <c r="T454" i="38"/>
  <c r="T455" i="38"/>
  <c r="T456" i="38"/>
  <c r="T457" i="38"/>
  <c r="T458" i="38"/>
  <c r="T459" i="38"/>
  <c r="T460" i="38"/>
  <c r="V459" i="38"/>
  <c r="Y459" i="38"/>
  <c r="AE459" i="38" s="1"/>
  <c r="AC107" i="38"/>
  <c r="F108" i="38"/>
  <c r="AK459" i="38" l="1"/>
  <c r="AO63" i="25"/>
  <c r="R7" i="25"/>
  <c r="AO80" i="24"/>
  <c r="R7" i="24"/>
  <c r="AO57" i="22" l="1"/>
  <c r="R7" i="22"/>
  <c r="AO42" i="28"/>
  <c r="R7" i="28"/>
  <c r="AO45" i="20"/>
  <c r="R7" i="20"/>
  <c r="V257" i="19" l="1"/>
  <c r="Y257" i="19"/>
  <c r="H104" i="19"/>
  <c r="H105" i="19"/>
  <c r="H106" i="19"/>
  <c r="H107" i="19"/>
  <c r="H108" i="19"/>
  <c r="H109" i="19"/>
  <c r="H110" i="19"/>
  <c r="H103" i="19"/>
  <c r="AA257" i="19" s="1"/>
  <c r="H57" i="19"/>
  <c r="H58" i="19"/>
  <c r="H59" i="19"/>
  <c r="H60" i="19"/>
  <c r="H61" i="19"/>
  <c r="H90" i="19"/>
  <c r="H91" i="19"/>
  <c r="H92" i="19"/>
  <c r="H93" i="19"/>
  <c r="H94" i="19"/>
  <c r="H96" i="19"/>
  <c r="H97" i="19"/>
  <c r="H98" i="19"/>
  <c r="H99" i="19"/>
  <c r="H101" i="19"/>
  <c r="H102" i="19"/>
  <c r="H56" i="19"/>
  <c r="H53" i="19"/>
  <c r="H52" i="19"/>
  <c r="H51" i="19"/>
  <c r="H49" i="19"/>
  <c r="H48" i="19"/>
  <c r="H47" i="19"/>
  <c r="H46" i="19"/>
  <c r="H26" i="19"/>
  <c r="H27" i="19"/>
  <c r="H28" i="19"/>
  <c r="H30" i="19"/>
  <c r="H31" i="19"/>
  <c r="H32" i="19"/>
  <c r="H33" i="19"/>
  <c r="H34" i="19"/>
  <c r="H35" i="19"/>
  <c r="H37" i="19"/>
  <c r="H38" i="19"/>
  <c r="H39" i="19"/>
  <c r="H40" i="19"/>
  <c r="H22" i="19"/>
  <c r="H23" i="19"/>
  <c r="H24" i="19"/>
  <c r="F128" i="19"/>
  <c r="Y549" i="38"/>
  <c r="AE549" i="38" s="1"/>
  <c r="Y548" i="38"/>
  <c r="AE548" i="38" s="1"/>
  <c r="Y547" i="38"/>
  <c r="AE547" i="38" s="1"/>
  <c r="Y546" i="38"/>
  <c r="AE546" i="38" s="1"/>
  <c r="AO546" i="38" s="1"/>
  <c r="AQ546" i="38" s="1"/>
  <c r="Y545" i="38"/>
  <c r="AE545" i="38" s="1"/>
  <c r="Y544" i="38"/>
  <c r="AE544" i="38" s="1"/>
  <c r="Y543" i="38"/>
  <c r="AE543" i="38" s="1"/>
  <c r="Y542" i="38"/>
  <c r="AE542" i="38" s="1"/>
  <c r="AK542" i="38" s="1"/>
  <c r="Y541" i="38"/>
  <c r="AE541" i="38" s="1"/>
  <c r="Y540" i="38"/>
  <c r="AE540" i="38" s="1"/>
  <c r="Y539" i="38"/>
  <c r="AE539" i="38" s="1"/>
  <c r="T575" i="38"/>
  <c r="T574" i="38"/>
  <c r="V549" i="38"/>
  <c r="V548" i="38"/>
  <c r="V547" i="38"/>
  <c r="V546" i="38"/>
  <c r="V545" i="38"/>
  <c r="V544" i="38"/>
  <c r="V543" i="38"/>
  <c r="V542" i="38"/>
  <c r="V541" i="38"/>
  <c r="V540" i="38"/>
  <c r="V539" i="38"/>
  <c r="V676" i="38"/>
  <c r="V675" i="38"/>
  <c r="V674" i="38"/>
  <c r="V673" i="38"/>
  <c r="V672" i="38"/>
  <c r="V671" i="38"/>
  <c r="V670" i="38"/>
  <c r="AM666" i="38"/>
  <c r="Y665" i="38"/>
  <c r="AE665" i="38" s="1"/>
  <c r="AK665" i="38" s="1"/>
  <c r="Y664" i="38"/>
  <c r="AE664" i="38" s="1"/>
  <c r="Y663" i="38"/>
  <c r="AE663" i="38" s="1"/>
  <c r="Y662" i="38"/>
  <c r="AE662" i="38" s="1"/>
  <c r="Y661" i="38"/>
  <c r="AE661" i="38" s="1"/>
  <c r="AO661" i="38" s="1"/>
  <c r="AQ661" i="38" s="1"/>
  <c r="Y660" i="38"/>
  <c r="AE660" i="38" s="1"/>
  <c r="Y659" i="38"/>
  <c r="AE659" i="38" s="1"/>
  <c r="Y658" i="38"/>
  <c r="AE658" i="38" s="1"/>
  <c r="Y657" i="38"/>
  <c r="AE657" i="38" s="1"/>
  <c r="Y656" i="38"/>
  <c r="AE656" i="38" s="1"/>
  <c r="Y655" i="38"/>
  <c r="AE655" i="38" s="1"/>
  <c r="Y654" i="38"/>
  <c r="AE654" i="38" s="1"/>
  <c r="V665" i="38"/>
  <c r="V664" i="38"/>
  <c r="V663" i="38"/>
  <c r="V662" i="38"/>
  <c r="V661" i="38"/>
  <c r="V660" i="38"/>
  <c r="V659" i="38"/>
  <c r="V658" i="38"/>
  <c r="V657" i="38"/>
  <c r="V656" i="38"/>
  <c r="V655" i="38"/>
  <c r="V654" i="38"/>
  <c r="F330" i="38"/>
  <c r="Y681" i="38"/>
  <c r="AE681" i="38" s="1"/>
  <c r="AO681" i="38" s="1"/>
  <c r="AQ681" i="38" s="1"/>
  <c r="Y680" i="38"/>
  <c r="AE680" i="38" s="1"/>
  <c r="V682" i="38"/>
  <c r="V681" i="38"/>
  <c r="V680" i="38"/>
  <c r="V679" i="38"/>
  <c r="AM585" i="38"/>
  <c r="F233" i="38"/>
  <c r="F249" i="38"/>
  <c r="Y584" i="38"/>
  <c r="AE584" i="38" s="1"/>
  <c r="Y583" i="38"/>
  <c r="AE583" i="38" s="1"/>
  <c r="Y582" i="38"/>
  <c r="AE582" i="38" s="1"/>
  <c r="Y581" i="38"/>
  <c r="AE581" i="38" s="1"/>
  <c r="Y580" i="38"/>
  <c r="AE580" i="38" s="1"/>
  <c r="Y538" i="38"/>
  <c r="AE538" i="38" s="1"/>
  <c r="Y537" i="38"/>
  <c r="AE537" i="38" s="1"/>
  <c r="Y536" i="38"/>
  <c r="AE536" i="38" s="1"/>
  <c r="Y535" i="38"/>
  <c r="AE535" i="38" s="1"/>
  <c r="Y534" i="38"/>
  <c r="AE534" i="38" s="1"/>
  <c r="AO534" i="38" s="1"/>
  <c r="AQ534" i="38" s="1"/>
  <c r="Y533" i="38"/>
  <c r="AE533" i="38" s="1"/>
  <c r="Y532" i="38"/>
  <c r="AE532" i="38" s="1"/>
  <c r="Y531" i="38"/>
  <c r="AE531" i="38" s="1"/>
  <c r="Y530" i="38"/>
  <c r="AE530" i="38" s="1"/>
  <c r="Y529" i="38"/>
  <c r="AE529" i="38" s="1"/>
  <c r="Y528" i="38"/>
  <c r="AE528" i="38" s="1"/>
  <c r="Y527" i="38"/>
  <c r="AE527" i="38" s="1"/>
  <c r="Y526" i="38"/>
  <c r="AE526" i="38" s="1"/>
  <c r="AO526" i="38" s="1"/>
  <c r="AQ526" i="38" s="1"/>
  <c r="Y525" i="38"/>
  <c r="AE525" i="38" s="1"/>
  <c r="Y524" i="38"/>
  <c r="AE524" i="38" s="1"/>
  <c r="Y523" i="38"/>
  <c r="AE523" i="38" s="1"/>
  <c r="Y522" i="38"/>
  <c r="AE522" i="38" s="1"/>
  <c r="V584" i="38"/>
  <c r="V583" i="38"/>
  <c r="V582" i="38"/>
  <c r="V581" i="38"/>
  <c r="V580" i="38"/>
  <c r="V538" i="38"/>
  <c r="V537" i="38"/>
  <c r="V536" i="38"/>
  <c r="V535" i="38"/>
  <c r="V534" i="38"/>
  <c r="V533" i="38"/>
  <c r="V532" i="38"/>
  <c r="V531" i="38"/>
  <c r="V530" i="38"/>
  <c r="V529" i="38"/>
  <c r="V528" i="38"/>
  <c r="V527" i="38"/>
  <c r="V526" i="38"/>
  <c r="V525" i="38"/>
  <c r="V524" i="38"/>
  <c r="V523" i="38"/>
  <c r="V522" i="38"/>
  <c r="AO542" i="38" l="1"/>
  <c r="AQ542" i="38" s="1"/>
  <c r="AO543" i="38"/>
  <c r="AQ543" i="38" s="1"/>
  <c r="AK543" i="38"/>
  <c r="AO544" i="38"/>
  <c r="AQ544" i="38" s="1"/>
  <c r="AK544" i="38"/>
  <c r="AK549" i="38"/>
  <c r="AO549" i="38"/>
  <c r="AQ549" i="38" s="1"/>
  <c r="AK539" i="38"/>
  <c r="AO539" i="38"/>
  <c r="AQ539" i="38" s="1"/>
  <c r="AK545" i="38"/>
  <c r="AO545" i="38"/>
  <c r="AQ545" i="38" s="1"/>
  <c r="AO540" i="38"/>
  <c r="AQ540" i="38" s="1"/>
  <c r="AK540" i="38"/>
  <c r="AO548" i="38"/>
  <c r="AQ548" i="38" s="1"/>
  <c r="AK548" i="38"/>
  <c r="AK541" i="38"/>
  <c r="AO541" i="38"/>
  <c r="AQ541" i="38" s="1"/>
  <c r="AK547" i="38"/>
  <c r="AO547" i="38"/>
  <c r="AQ547" i="38" s="1"/>
  <c r="AK546" i="38"/>
  <c r="AK657" i="38"/>
  <c r="AO657" i="38"/>
  <c r="AQ657" i="38" s="1"/>
  <c r="AO654" i="38"/>
  <c r="AQ654" i="38" s="1"/>
  <c r="AK654" i="38"/>
  <c r="AO660" i="38"/>
  <c r="AQ660" i="38" s="1"/>
  <c r="AK660" i="38"/>
  <c r="AO655" i="38"/>
  <c r="AQ655" i="38" s="1"/>
  <c r="AK655" i="38"/>
  <c r="AO658" i="38"/>
  <c r="AQ658" i="38" s="1"/>
  <c r="AK658" i="38"/>
  <c r="AO656" i="38"/>
  <c r="AQ656" i="38" s="1"/>
  <c r="AK656" i="38"/>
  <c r="AO662" i="38"/>
  <c r="AQ662" i="38" s="1"/>
  <c r="AK662" i="38"/>
  <c r="AO663" i="38"/>
  <c r="AQ663" i="38" s="1"/>
  <c r="AK663" i="38"/>
  <c r="AO659" i="38"/>
  <c r="AQ659" i="38" s="1"/>
  <c r="AK659" i="38"/>
  <c r="AO664" i="38"/>
  <c r="AQ664" i="38" s="1"/>
  <c r="AK664" i="38"/>
  <c r="AO665" i="38"/>
  <c r="AQ665" i="38" s="1"/>
  <c r="AK661" i="38"/>
  <c r="AK680" i="38"/>
  <c r="AE682" i="38"/>
  <c r="AK682" i="38" s="1"/>
  <c r="AO680" i="38"/>
  <c r="AQ680" i="38" s="1"/>
  <c r="Y682" i="38"/>
  <c r="AK681" i="38"/>
  <c r="AO581" i="38"/>
  <c r="AQ581" i="38" s="1"/>
  <c r="AK581" i="38"/>
  <c r="AK582" i="38"/>
  <c r="AO582" i="38"/>
  <c r="AQ582" i="38" s="1"/>
  <c r="AK580" i="38"/>
  <c r="AO580" i="38"/>
  <c r="AQ580" i="38" s="1"/>
  <c r="AO583" i="38"/>
  <c r="AQ583" i="38" s="1"/>
  <c r="AK583" i="38"/>
  <c r="AO584" i="38"/>
  <c r="AQ584" i="38" s="1"/>
  <c r="AK584" i="38"/>
  <c r="AO527" i="38"/>
  <c r="AQ527" i="38" s="1"/>
  <c r="AK527" i="38"/>
  <c r="AO535" i="38"/>
  <c r="AQ535" i="38" s="1"/>
  <c r="AK535" i="38"/>
  <c r="AK522" i="38"/>
  <c r="AO522" i="38"/>
  <c r="AQ522" i="38" s="1"/>
  <c r="AO536" i="38"/>
  <c r="AQ536" i="38" s="1"/>
  <c r="AK536" i="38"/>
  <c r="AO528" i="38"/>
  <c r="AQ528" i="38" s="1"/>
  <c r="AK528" i="38"/>
  <c r="AK537" i="38"/>
  <c r="AO537" i="38"/>
  <c r="AQ537" i="38" s="1"/>
  <c r="AO529" i="38"/>
  <c r="AQ529" i="38" s="1"/>
  <c r="AK529" i="38"/>
  <c r="AK538" i="38"/>
  <c r="AO538" i="38"/>
  <c r="AQ538" i="38" s="1"/>
  <c r="AK530" i="38"/>
  <c r="AO530" i="38"/>
  <c r="AQ530" i="38" s="1"/>
  <c r="AO525" i="38"/>
  <c r="AQ525" i="38" s="1"/>
  <c r="AK525" i="38"/>
  <c r="AO523" i="38"/>
  <c r="AQ523" i="38" s="1"/>
  <c r="AK523" i="38"/>
  <c r="AO524" i="38"/>
  <c r="AQ524" i="38" s="1"/>
  <c r="AK524" i="38"/>
  <c r="AO531" i="38"/>
  <c r="AQ531" i="38" s="1"/>
  <c r="AK531" i="38"/>
  <c r="AO532" i="38"/>
  <c r="AQ532" i="38" s="1"/>
  <c r="AK532" i="38"/>
  <c r="AO533" i="38"/>
  <c r="AQ533" i="38" s="1"/>
  <c r="AK533" i="38"/>
  <c r="AK526" i="38"/>
  <c r="AK534" i="38"/>
  <c r="Y458" i="38"/>
  <c r="AE458" i="38" s="1"/>
  <c r="AK458" i="38" s="1"/>
  <c r="Y457" i="38"/>
  <c r="AE457" i="38" s="1"/>
  <c r="Y456" i="38"/>
  <c r="AE456" i="38" s="1"/>
  <c r="Y455" i="38"/>
  <c r="AE455" i="38" s="1"/>
  <c r="Y454" i="38"/>
  <c r="AE454" i="38" s="1"/>
  <c r="AK454" i="38" s="1"/>
  <c r="Y453" i="38"/>
  <c r="AE453" i="38" s="1"/>
  <c r="Y452" i="38"/>
  <c r="AE452" i="38" s="1"/>
  <c r="AK452" i="38" s="1"/>
  <c r="Y451" i="38"/>
  <c r="AE451" i="38" s="1"/>
  <c r="Y450" i="38"/>
  <c r="AE450" i="38" s="1"/>
  <c r="AK450" i="38" s="1"/>
  <c r="Y449" i="38"/>
  <c r="AE449" i="38" s="1"/>
  <c r="Y448" i="38"/>
  <c r="AE448" i="38" s="1"/>
  <c r="AK448" i="38" s="1"/>
  <c r="Y447" i="38"/>
  <c r="AE447" i="38" s="1"/>
  <c r="AK447" i="38" s="1"/>
  <c r="Y446" i="38"/>
  <c r="AE446" i="38" s="1"/>
  <c r="Y445" i="38"/>
  <c r="AE445" i="38" s="1"/>
  <c r="AK445" i="38" s="1"/>
  <c r="Y444" i="38"/>
  <c r="AE444" i="38" s="1"/>
  <c r="Y443" i="38"/>
  <c r="AE443" i="38" s="1"/>
  <c r="AK443" i="38" s="1"/>
  <c r="Y442" i="38"/>
  <c r="AE442" i="38" s="1"/>
  <c r="AK442" i="38" s="1"/>
  <c r="Y441" i="38"/>
  <c r="AE441" i="38" s="1"/>
  <c r="Y440" i="38"/>
  <c r="AE440" i="38" s="1"/>
  <c r="AK440" i="38" s="1"/>
  <c r="Y439" i="38"/>
  <c r="AE439" i="38" s="1"/>
  <c r="Y438" i="38"/>
  <c r="AE438" i="38" s="1"/>
  <c r="Y412" i="38"/>
  <c r="AE412" i="38" s="1"/>
  <c r="AK412" i="38" s="1"/>
  <c r="Y411" i="38"/>
  <c r="AE411" i="38" s="1"/>
  <c r="Y410" i="38"/>
  <c r="AE410" i="38" s="1"/>
  <c r="AK410" i="38" s="1"/>
  <c r="Y409" i="38"/>
  <c r="AE409" i="38" s="1"/>
  <c r="Y408" i="38"/>
  <c r="AE408" i="38" s="1"/>
  <c r="AK408" i="38" s="1"/>
  <c r="Y407" i="38"/>
  <c r="AE407" i="38" s="1"/>
  <c r="Y406" i="38"/>
  <c r="AE406" i="38" s="1"/>
  <c r="AK406" i="38" s="1"/>
  <c r="Y405" i="38"/>
  <c r="AE405" i="38" s="1"/>
  <c r="AK405" i="38" s="1"/>
  <c r="Y404" i="38"/>
  <c r="AE404" i="38" s="1"/>
  <c r="Y403" i="38"/>
  <c r="AE403" i="38" s="1"/>
  <c r="AK403" i="38" s="1"/>
  <c r="Y402" i="38"/>
  <c r="AE402" i="38" s="1"/>
  <c r="V458" i="38"/>
  <c r="V457" i="38"/>
  <c r="V456" i="38"/>
  <c r="V455" i="38"/>
  <c r="V454" i="38"/>
  <c r="V453" i="38"/>
  <c r="V452" i="38"/>
  <c r="V451" i="38"/>
  <c r="V450" i="38"/>
  <c r="V449" i="38"/>
  <c r="V448" i="38"/>
  <c r="V447" i="38"/>
  <c r="V446" i="38"/>
  <c r="V445" i="38"/>
  <c r="V444" i="38"/>
  <c r="V443" i="38"/>
  <c r="V442" i="38"/>
  <c r="V441" i="38"/>
  <c r="V440" i="38"/>
  <c r="V439" i="38"/>
  <c r="V438" i="38"/>
  <c r="T438" i="38"/>
  <c r="V412" i="38"/>
  <c r="T412" i="38"/>
  <c r="V411" i="38"/>
  <c r="T411" i="38"/>
  <c r="V410" i="38"/>
  <c r="T410" i="38"/>
  <c r="V409" i="38"/>
  <c r="T409" i="38"/>
  <c r="V408" i="38"/>
  <c r="T408" i="38"/>
  <c r="V407" i="38"/>
  <c r="T407" i="38"/>
  <c r="V406" i="38"/>
  <c r="T406" i="38"/>
  <c r="V405" i="38"/>
  <c r="T405" i="38"/>
  <c r="V404" i="38"/>
  <c r="T404" i="38"/>
  <c r="V403" i="38"/>
  <c r="T403" i="38"/>
  <c r="V402" i="38"/>
  <c r="T402" i="38"/>
  <c r="AC106" i="38"/>
  <c r="H107" i="38" s="1"/>
  <c r="AA459" i="38" s="1"/>
  <c r="AC105" i="38"/>
  <c r="AC104" i="38"/>
  <c r="AC103" i="38"/>
  <c r="AC102" i="38"/>
  <c r="AC101" i="38"/>
  <c r="AC100" i="38"/>
  <c r="AC99" i="38"/>
  <c r="AC98" i="38"/>
  <c r="AC97" i="38"/>
  <c r="AC96" i="38"/>
  <c r="AC95" i="38"/>
  <c r="AC94" i="38"/>
  <c r="AC93" i="38"/>
  <c r="AC92" i="38"/>
  <c r="AC91" i="38"/>
  <c r="AC90" i="38"/>
  <c r="AC89" i="38"/>
  <c r="AC88" i="38"/>
  <c r="AC87" i="38"/>
  <c r="AC86" i="38"/>
  <c r="AC61" i="38"/>
  <c r="AC60" i="38"/>
  <c r="AC59" i="38"/>
  <c r="AC58" i="38"/>
  <c r="AC57" i="38"/>
  <c r="AC56" i="38"/>
  <c r="AC55" i="38"/>
  <c r="AC54" i="38"/>
  <c r="AC53" i="38"/>
  <c r="AC52" i="38"/>
  <c r="AC51" i="38"/>
  <c r="AO682" i="38" l="1"/>
  <c r="AQ682" i="38" s="1"/>
  <c r="AK402" i="38"/>
  <c r="AK404" i="38"/>
  <c r="AK407" i="38"/>
  <c r="AK409" i="38"/>
  <c r="AK411" i="38"/>
  <c r="AK438" i="38"/>
  <c r="AK441" i="38"/>
  <c r="AK444" i="38"/>
  <c r="AK446" i="38"/>
  <c r="AK449" i="38"/>
  <c r="AK451" i="38"/>
  <c r="AK453" i="38"/>
  <c r="AK455" i="38"/>
  <c r="AK456" i="38"/>
  <c r="AK457" i="38"/>
  <c r="H106" i="38"/>
  <c r="AA458" i="38" s="1"/>
  <c r="H105" i="38"/>
  <c r="AA457" i="38" s="1"/>
  <c r="H104" i="38"/>
  <c r="AA456" i="38" s="1"/>
  <c r="H103" i="38"/>
  <c r="AA455" i="38" s="1"/>
  <c r="H102" i="38"/>
  <c r="AA454" i="38" s="1"/>
  <c r="H101" i="38"/>
  <c r="AA453" i="38" s="1"/>
  <c r="H100" i="38"/>
  <c r="AA452" i="38" s="1"/>
  <c r="H99" i="38"/>
  <c r="AA451" i="38" s="1"/>
  <c r="H98" i="38"/>
  <c r="AA450" i="38" s="1"/>
  <c r="H97" i="38"/>
  <c r="AA449" i="38" s="1"/>
  <c r="H96" i="38"/>
  <c r="AA448" i="38" s="1"/>
  <c r="H95" i="38"/>
  <c r="AA447" i="38" s="1"/>
  <c r="H94" i="38"/>
  <c r="AA446" i="38" s="1"/>
  <c r="H93" i="38"/>
  <c r="AA445" i="38" s="1"/>
  <c r="H92" i="38"/>
  <c r="AA444" i="38" s="1"/>
  <c r="H91" i="38"/>
  <c r="AA443" i="38" s="1"/>
  <c r="H90" i="38"/>
  <c r="AA442" i="38" s="1"/>
  <c r="H89" i="38"/>
  <c r="AA441" i="38" s="1"/>
  <c r="H88" i="38"/>
  <c r="AA440" i="38" s="1"/>
  <c r="H87" i="38"/>
  <c r="AA439" i="38" s="1"/>
  <c r="H86" i="38"/>
  <c r="AA438" i="38" s="1"/>
  <c r="H61" i="38"/>
  <c r="AA412" i="38" s="1"/>
  <c r="H60" i="38"/>
  <c r="AA411" i="38" s="1"/>
  <c r="H59" i="38"/>
  <c r="AA410" i="38" s="1"/>
  <c r="H58" i="38"/>
  <c r="AA409" i="38" s="1"/>
  <c r="H57" i="38"/>
  <c r="AA408" i="38" s="1"/>
  <c r="H56" i="38"/>
  <c r="AA407" i="38" s="1"/>
  <c r="H55" i="38"/>
  <c r="AA406" i="38" s="1"/>
  <c r="H54" i="38"/>
  <c r="AA405" i="38" s="1"/>
  <c r="H53" i="38"/>
  <c r="AA404" i="38" s="1"/>
  <c r="H52" i="38"/>
  <c r="AA403" i="38" s="1"/>
  <c r="Y472" i="38"/>
  <c r="AE472" i="38" s="1"/>
  <c r="V472" i="38"/>
  <c r="T472" i="38"/>
  <c r="Y471" i="38"/>
  <c r="AE471" i="38" s="1"/>
  <c r="V471" i="38"/>
  <c r="T471" i="38"/>
  <c r="Y470" i="38"/>
  <c r="AE470" i="38" s="1"/>
  <c r="AK470" i="38" s="1"/>
  <c r="V470" i="38"/>
  <c r="T470" i="38"/>
  <c r="Y469" i="38"/>
  <c r="AE469" i="38" s="1"/>
  <c r="V469" i="38"/>
  <c r="T469" i="38"/>
  <c r="Y468" i="38"/>
  <c r="AE468" i="38" s="1"/>
  <c r="V468" i="38"/>
  <c r="T468" i="38"/>
  <c r="Y467" i="38"/>
  <c r="AE467" i="38" s="1"/>
  <c r="V467" i="38"/>
  <c r="T467" i="38"/>
  <c r="Y466" i="38"/>
  <c r="AE466" i="38" s="1"/>
  <c r="V466" i="38"/>
  <c r="T466" i="38"/>
  <c r="Y465" i="38"/>
  <c r="V465" i="38"/>
  <c r="T465" i="38"/>
  <c r="AY260" i="19"/>
  <c r="AX260" i="19"/>
  <c r="AT260" i="19" s="1"/>
  <c r="AY259" i="19"/>
  <c r="AX259" i="19"/>
  <c r="AT259" i="19" s="1"/>
  <c r="AY258" i="19"/>
  <c r="AX258" i="19"/>
  <c r="AY257" i="19"/>
  <c r="AX257" i="19"/>
  <c r="AT257" i="19" s="1"/>
  <c r="AE257" i="19"/>
  <c r="AY253" i="19"/>
  <c r="AX253" i="19"/>
  <c r="AT253" i="19" s="1"/>
  <c r="Y281" i="19"/>
  <c r="AE281" i="19" s="1"/>
  <c r="AO281" i="19" s="1"/>
  <c r="AQ281" i="19" s="1"/>
  <c r="Y280" i="19"/>
  <c r="AE280" i="19" s="1"/>
  <c r="Y279" i="19"/>
  <c r="AE279" i="19" s="1"/>
  <c r="AO279" i="19" s="1"/>
  <c r="Y278" i="19"/>
  <c r="AE278" i="19" s="1"/>
  <c r="AO278" i="19" s="1"/>
  <c r="Y277" i="19"/>
  <c r="AE277" i="19" s="1"/>
  <c r="AO277" i="19" s="1"/>
  <c r="Y276" i="19"/>
  <c r="AE276" i="19" s="1"/>
  <c r="AO276" i="19" s="1"/>
  <c r="Y275" i="19"/>
  <c r="AE275" i="19" s="1"/>
  <c r="Y274" i="19"/>
  <c r="AE274" i="19" s="1"/>
  <c r="Y273" i="19"/>
  <c r="AE273" i="19" s="1"/>
  <c r="Y272" i="19"/>
  <c r="AE272" i="19" s="1"/>
  <c r="Y271" i="19"/>
  <c r="AE271" i="19" s="1"/>
  <c r="AO271" i="19" s="1"/>
  <c r="Y270" i="19"/>
  <c r="AE270" i="19" s="1"/>
  <c r="AO270" i="19" s="1"/>
  <c r="Y269" i="19"/>
  <c r="AE269" i="19" s="1"/>
  <c r="AO269" i="19" s="1"/>
  <c r="Y268" i="19"/>
  <c r="AE465" i="38" l="1"/>
  <c r="AO467" i="38"/>
  <c r="AQ467" i="38" s="1"/>
  <c r="AK467" i="38"/>
  <c r="AK466" i="38"/>
  <c r="AO466" i="38"/>
  <c r="AQ466" i="38" s="1"/>
  <c r="AO471" i="38"/>
  <c r="AQ471" i="38" s="1"/>
  <c r="AK471" i="38"/>
  <c r="AO469" i="38"/>
  <c r="AQ469" i="38" s="1"/>
  <c r="AK469" i="38"/>
  <c r="AO472" i="38"/>
  <c r="AQ472" i="38" s="1"/>
  <c r="AK472" i="38"/>
  <c r="AK468" i="38"/>
  <c r="AO468" i="38"/>
  <c r="AQ468" i="38" s="1"/>
  <c r="AO470" i="38"/>
  <c r="AQ470" i="38" s="1"/>
  <c r="AK257" i="19"/>
  <c r="AO280" i="19"/>
  <c r="AQ280" i="19" s="1"/>
  <c r="AK280" i="19"/>
  <c r="AO272" i="19"/>
  <c r="AO273" i="19"/>
  <c r="Y282" i="19"/>
  <c r="AK281" i="19"/>
  <c r="AO274" i="19"/>
  <c r="AO275" i="19"/>
  <c r="AE268" i="19"/>
  <c r="AK465" i="38" l="1"/>
  <c r="AO465" i="38"/>
  <c r="AE282" i="19"/>
  <c r="AO268" i="19"/>
  <c r="C84" i="26"/>
  <c r="C80" i="26"/>
  <c r="C55" i="8"/>
  <c r="AQ465" i="38" l="1"/>
  <c r="AO282" i="19"/>
  <c r="AM601" i="38"/>
  <c r="F314" i="38"/>
  <c r="H27" i="20" l="1"/>
  <c r="K59" i="40"/>
  <c r="K48" i="40"/>
  <c r="L48" i="40" s="1"/>
  <c r="C60" i="40"/>
  <c r="AA65" i="20" l="1"/>
  <c r="E60" i="40"/>
  <c r="P37" i="35" l="1"/>
  <c r="O29" i="35" s="1"/>
  <c r="T522" i="38" l="1"/>
  <c r="T523" i="38" l="1"/>
  <c r="T524" i="38" l="1"/>
  <c r="T95" i="10"/>
  <c r="T94" i="10"/>
  <c r="T93" i="10"/>
  <c r="T92" i="10"/>
  <c r="T91" i="10"/>
  <c r="T90" i="10"/>
  <c r="T101" i="10"/>
  <c r="T100" i="10"/>
  <c r="T99" i="10"/>
  <c r="T98" i="10"/>
  <c r="T97" i="10"/>
  <c r="T106" i="10"/>
  <c r="T105" i="10"/>
  <c r="T104" i="10"/>
  <c r="T103" i="10"/>
  <c r="T112" i="10"/>
  <c r="T111" i="10"/>
  <c r="T110" i="10"/>
  <c r="T109" i="10"/>
  <c r="T108" i="10"/>
  <c r="T117" i="10"/>
  <c r="T116" i="10"/>
  <c r="T115" i="10"/>
  <c r="T114" i="10"/>
  <c r="T118" i="10"/>
  <c r="T124" i="10"/>
  <c r="T123" i="10"/>
  <c r="T122" i="10"/>
  <c r="T121" i="10"/>
  <c r="T120" i="10"/>
  <c r="T126" i="10"/>
  <c r="T525" i="38" l="1"/>
  <c r="C31" i="26"/>
  <c r="T526" i="38" l="1"/>
  <c r="C82" i="26"/>
  <c r="C180" i="26"/>
  <c r="C129" i="26"/>
  <c r="C242" i="26"/>
  <c r="T527" i="38" l="1"/>
  <c r="T528" i="38" l="1"/>
  <c r="T529" i="38" l="1"/>
  <c r="H64" i="24"/>
  <c r="T530" i="38" l="1"/>
  <c r="F111" i="19"/>
  <c r="F42" i="19"/>
  <c r="V59" i="5"/>
  <c r="T531" i="38" l="1"/>
  <c r="C28" i="34"/>
  <c r="F27" i="20"/>
  <c r="T532" i="38" l="1"/>
  <c r="T533" i="38" l="1"/>
  <c r="T534" i="38" l="1"/>
  <c r="AT258" i="19"/>
  <c r="T535" i="38" l="1"/>
  <c r="T536" i="38" l="1"/>
  <c r="T537" i="38" l="1"/>
  <c r="T539" i="38" l="1"/>
  <c r="T538" i="38"/>
  <c r="T540" i="38" l="1"/>
  <c r="T576" i="38"/>
  <c r="T541" i="38" l="1"/>
  <c r="T577" i="38"/>
  <c r="T694" i="38"/>
  <c r="V692" i="38"/>
  <c r="V690" i="38"/>
  <c r="V686" i="38"/>
  <c r="V684" i="38"/>
  <c r="V677" i="38"/>
  <c r="AE675" i="38"/>
  <c r="AE674" i="38"/>
  <c r="AE673" i="38"/>
  <c r="AE672" i="38"/>
  <c r="AO672" i="38" s="1"/>
  <c r="AQ672" i="38" s="1"/>
  <c r="AE671" i="38"/>
  <c r="Y670" i="38"/>
  <c r="AE670" i="38" s="1"/>
  <c r="Y669" i="38"/>
  <c r="V669" i="38"/>
  <c r="V668" i="38"/>
  <c r="V666" i="38"/>
  <c r="Y653" i="38"/>
  <c r="AE653" i="38" s="1"/>
  <c r="V653" i="38"/>
  <c r="Y652" i="38"/>
  <c r="AE652" i="38" s="1"/>
  <c r="AO652" i="38" s="1"/>
  <c r="V652" i="38"/>
  <c r="Y651" i="38"/>
  <c r="AE651" i="38" s="1"/>
  <c r="V651" i="38"/>
  <c r="Y650" i="38"/>
  <c r="AE650" i="38" s="1"/>
  <c r="AO650" i="38" s="1"/>
  <c r="AQ650" i="38" s="1"/>
  <c r="V650" i="38"/>
  <c r="Y649" i="38"/>
  <c r="AE649" i="38" s="1"/>
  <c r="V649" i="38"/>
  <c r="Y648" i="38"/>
  <c r="AE648" i="38" s="1"/>
  <c r="V648" i="38"/>
  <c r="Y647" i="38"/>
  <c r="AE647" i="38" s="1"/>
  <c r="V647" i="38"/>
  <c r="Y646" i="38"/>
  <c r="AE646" i="38" s="1"/>
  <c r="V646" i="38"/>
  <c r="Y645" i="38"/>
  <c r="AE645" i="38" s="1"/>
  <c r="V645" i="38"/>
  <c r="Y644" i="38"/>
  <c r="AE644" i="38" s="1"/>
  <c r="AO644" i="38" s="1"/>
  <c r="AQ644" i="38" s="1"/>
  <c r="V644" i="38"/>
  <c r="Y643" i="38"/>
  <c r="AE643" i="38" s="1"/>
  <c r="V643" i="38"/>
  <c r="Y642" i="38"/>
  <c r="AE642" i="38" s="1"/>
  <c r="AO642" i="38" s="1"/>
  <c r="AQ642" i="38" s="1"/>
  <c r="V642" i="38"/>
  <c r="Y641" i="38"/>
  <c r="AE641" i="38" s="1"/>
  <c r="V641" i="38"/>
  <c r="Y616" i="38"/>
  <c r="AE616" i="38" s="1"/>
  <c r="V616" i="38"/>
  <c r="Y615" i="38"/>
  <c r="AE615" i="38" s="1"/>
  <c r="V615" i="38"/>
  <c r="Y614" i="38"/>
  <c r="AE614" i="38" s="1"/>
  <c r="V614" i="38"/>
  <c r="Y613" i="38"/>
  <c r="AE613" i="38" s="1"/>
  <c r="V613" i="38"/>
  <c r="Y612" i="38"/>
  <c r="AE612" i="38" s="1"/>
  <c r="AO612" i="38" s="1"/>
  <c r="AQ612" i="38" s="1"/>
  <c r="V612" i="38"/>
  <c r="Y611" i="38"/>
  <c r="AE611" i="38" s="1"/>
  <c r="V611" i="38"/>
  <c r="Y610" i="38"/>
  <c r="AE610" i="38" s="1"/>
  <c r="AO610" i="38" s="1"/>
  <c r="V610" i="38"/>
  <c r="Y609" i="38"/>
  <c r="AE609" i="38" s="1"/>
  <c r="V609" i="38"/>
  <c r="Y608" i="38"/>
  <c r="AE608" i="38" s="1"/>
  <c r="V608" i="38"/>
  <c r="Y607" i="38"/>
  <c r="AE607" i="38" s="1"/>
  <c r="V607" i="38"/>
  <c r="Y606" i="38"/>
  <c r="AE606" i="38" s="1"/>
  <c r="V606" i="38"/>
  <c r="Y605" i="38"/>
  <c r="AE605" i="38" s="1"/>
  <c r="V605" i="38"/>
  <c r="Y604" i="38"/>
  <c r="V604" i="38"/>
  <c r="V601" i="38"/>
  <c r="Y600" i="38"/>
  <c r="AE600" i="38" s="1"/>
  <c r="V600" i="38"/>
  <c r="Y599" i="38"/>
  <c r="AE599" i="38" s="1"/>
  <c r="AO599" i="38" s="1"/>
  <c r="AQ599" i="38" s="1"/>
  <c r="V599" i="38"/>
  <c r="Y598" i="38"/>
  <c r="AE598" i="38" s="1"/>
  <c r="AO598" i="38" s="1"/>
  <c r="AQ598" i="38" s="1"/>
  <c r="V598" i="38"/>
  <c r="Y597" i="38"/>
  <c r="AE597" i="38" s="1"/>
  <c r="V597" i="38"/>
  <c r="Y596" i="38"/>
  <c r="AE596" i="38" s="1"/>
  <c r="V596" i="38"/>
  <c r="Y595" i="38"/>
  <c r="AE595" i="38" s="1"/>
  <c r="V595" i="38"/>
  <c r="Y594" i="38"/>
  <c r="AE594" i="38" s="1"/>
  <c r="V594" i="38"/>
  <c r="Y593" i="38"/>
  <c r="AE593" i="38" s="1"/>
  <c r="V593" i="38"/>
  <c r="Y592" i="38"/>
  <c r="AE592" i="38" s="1"/>
  <c r="V592" i="38"/>
  <c r="Y591" i="38"/>
  <c r="AE591" i="38" s="1"/>
  <c r="AO591" i="38" s="1"/>
  <c r="AQ591" i="38" s="1"/>
  <c r="V591" i="38"/>
  <c r="Y590" i="38"/>
  <c r="AE590" i="38" s="1"/>
  <c r="AO590" i="38" s="1"/>
  <c r="AQ590" i="38" s="1"/>
  <c r="V590" i="38"/>
  <c r="Y589" i="38"/>
  <c r="AE589" i="38" s="1"/>
  <c r="V589" i="38"/>
  <c r="Y588" i="38"/>
  <c r="AE588" i="38" s="1"/>
  <c r="V588" i="38"/>
  <c r="V587" i="38"/>
  <c r="V585" i="38"/>
  <c r="Y579" i="38"/>
  <c r="AE579" i="38" s="1"/>
  <c r="V579" i="38"/>
  <c r="Y578" i="38"/>
  <c r="AE578" i="38" s="1"/>
  <c r="AO578" i="38" s="1"/>
  <c r="AQ578" i="38" s="1"/>
  <c r="V578" i="38"/>
  <c r="Y577" i="38"/>
  <c r="AE577" i="38" s="1"/>
  <c r="V577" i="38"/>
  <c r="Y576" i="38"/>
  <c r="AE576" i="38" s="1"/>
  <c r="V576" i="38"/>
  <c r="Y521" i="38"/>
  <c r="AE521" i="38" s="1"/>
  <c r="V521" i="38"/>
  <c r="T521" i="38"/>
  <c r="Y520" i="38"/>
  <c r="AE520" i="38" s="1"/>
  <c r="V520" i="38"/>
  <c r="T520" i="38"/>
  <c r="Y519" i="38"/>
  <c r="AE519" i="38" s="1"/>
  <c r="V519" i="38"/>
  <c r="T519" i="38"/>
  <c r="Y518" i="38"/>
  <c r="AE518" i="38" s="1"/>
  <c r="V518" i="38"/>
  <c r="T518" i="38"/>
  <c r="Y517" i="38"/>
  <c r="AE517" i="38" s="1"/>
  <c r="V517" i="38"/>
  <c r="T517" i="38"/>
  <c r="Y516" i="38"/>
  <c r="AE516" i="38" s="1"/>
  <c r="AO516" i="38" s="1"/>
  <c r="AQ516" i="38" s="1"/>
  <c r="V516" i="38"/>
  <c r="T516" i="38"/>
  <c r="Y515" i="38"/>
  <c r="AE515" i="38" s="1"/>
  <c r="AO515" i="38" s="1"/>
  <c r="V515" i="38"/>
  <c r="T515" i="38"/>
  <c r="Y514" i="38"/>
  <c r="AE514" i="38" s="1"/>
  <c r="V514" i="38"/>
  <c r="T514" i="38"/>
  <c r="Y513" i="38"/>
  <c r="AE513" i="38" s="1"/>
  <c r="V513" i="38"/>
  <c r="T513" i="38"/>
  <c r="Y512" i="38"/>
  <c r="AE512" i="38" s="1"/>
  <c r="V512" i="38"/>
  <c r="T512" i="38"/>
  <c r="Y511" i="38"/>
  <c r="AE511" i="38" s="1"/>
  <c r="V511" i="38"/>
  <c r="T511" i="38"/>
  <c r="Y510" i="38"/>
  <c r="AE510" i="38" s="1"/>
  <c r="V510" i="38"/>
  <c r="T510" i="38"/>
  <c r="Y509" i="38"/>
  <c r="AE509" i="38" s="1"/>
  <c r="V509" i="38"/>
  <c r="T509" i="38"/>
  <c r="Y508" i="38"/>
  <c r="AE508" i="38" s="1"/>
  <c r="AO508" i="38" s="1"/>
  <c r="AQ508" i="38" s="1"/>
  <c r="V508" i="38"/>
  <c r="T508" i="38"/>
  <c r="Y483" i="38"/>
  <c r="AE483" i="38" s="1"/>
  <c r="AO483" i="38" s="1"/>
  <c r="AQ483" i="38" s="1"/>
  <c r="V483" i="38"/>
  <c r="T483" i="38"/>
  <c r="Y482" i="38"/>
  <c r="AE482" i="38" s="1"/>
  <c r="V482" i="38"/>
  <c r="T482" i="38"/>
  <c r="Y481" i="38"/>
  <c r="AE481" i="38" s="1"/>
  <c r="V481" i="38"/>
  <c r="T481" i="38"/>
  <c r="Y480" i="38"/>
  <c r="AE480" i="38" s="1"/>
  <c r="V480" i="38"/>
  <c r="T480" i="38"/>
  <c r="Y479" i="38"/>
  <c r="AE479" i="38" s="1"/>
  <c r="V479" i="38"/>
  <c r="T479" i="38"/>
  <c r="Y478" i="38"/>
  <c r="AE478" i="38" s="1"/>
  <c r="V478" i="38"/>
  <c r="T478" i="38"/>
  <c r="Y477" i="38"/>
  <c r="AE477" i="38" s="1"/>
  <c r="V477" i="38"/>
  <c r="T477" i="38"/>
  <c r="Y476" i="38"/>
  <c r="AE476" i="38" s="1"/>
  <c r="AO476" i="38" s="1"/>
  <c r="AQ476" i="38" s="1"/>
  <c r="V476" i="38"/>
  <c r="T476" i="38"/>
  <c r="Y475" i="38"/>
  <c r="AE475" i="38" s="1"/>
  <c r="V475" i="38"/>
  <c r="T475" i="38"/>
  <c r="Y474" i="38"/>
  <c r="AE474" i="38" s="1"/>
  <c r="V474" i="38"/>
  <c r="T474" i="38"/>
  <c r="Y473" i="38"/>
  <c r="V473" i="38"/>
  <c r="T473" i="38"/>
  <c r="V464" i="38"/>
  <c r="T464" i="38"/>
  <c r="Y382" i="38"/>
  <c r="AE382" i="38" s="1"/>
  <c r="Y374" i="38"/>
  <c r="AE374" i="38" s="1"/>
  <c r="V462" i="38"/>
  <c r="T462" i="38"/>
  <c r="V460" i="38"/>
  <c r="Y401" i="38"/>
  <c r="AE401" i="38" s="1"/>
  <c r="V401" i="38"/>
  <c r="T401" i="38"/>
  <c r="Y400" i="38"/>
  <c r="AE400" i="38" s="1"/>
  <c r="V400" i="38"/>
  <c r="T400" i="38"/>
  <c r="Y399" i="38"/>
  <c r="AE399" i="38" s="1"/>
  <c r="AK399" i="38" s="1"/>
  <c r="V399" i="38"/>
  <c r="T399" i="38"/>
  <c r="Y398" i="38"/>
  <c r="AE398" i="38" s="1"/>
  <c r="AK398" i="38" s="1"/>
  <c r="V398" i="38"/>
  <c r="T398" i="38"/>
  <c r="Y397" i="38"/>
  <c r="AE397" i="38" s="1"/>
  <c r="V397" i="38"/>
  <c r="T397" i="38"/>
  <c r="Y396" i="38"/>
  <c r="AE396" i="38" s="1"/>
  <c r="AK396" i="38" s="1"/>
  <c r="V396" i="38"/>
  <c r="T396" i="38"/>
  <c r="Y395" i="38"/>
  <c r="AE395" i="38" s="1"/>
  <c r="V395" i="38"/>
  <c r="T395" i="38"/>
  <c r="Y394" i="38"/>
  <c r="AE394" i="38" s="1"/>
  <c r="V394" i="38"/>
  <c r="T394" i="38"/>
  <c r="Y393" i="38"/>
  <c r="AE393" i="38" s="1"/>
  <c r="V393" i="38"/>
  <c r="T393" i="38"/>
  <c r="Y392" i="38"/>
  <c r="AE392" i="38" s="1"/>
  <c r="V392" i="38"/>
  <c r="T392" i="38"/>
  <c r="Y391" i="38"/>
  <c r="AE391" i="38" s="1"/>
  <c r="AK391" i="38" s="1"/>
  <c r="V391" i="38"/>
  <c r="T391" i="38"/>
  <c r="Y390" i="38"/>
  <c r="AE390" i="38" s="1"/>
  <c r="AK390" i="38" s="1"/>
  <c r="V390" i="38"/>
  <c r="T390" i="38"/>
  <c r="Y389" i="38"/>
  <c r="AE389" i="38" s="1"/>
  <c r="V389" i="38"/>
  <c r="T389" i="38"/>
  <c r="Y388" i="38"/>
  <c r="AE388" i="38" s="1"/>
  <c r="AK388" i="38" s="1"/>
  <c r="V388" i="38"/>
  <c r="T388" i="38"/>
  <c r="Y387" i="38"/>
  <c r="AE387" i="38" s="1"/>
  <c r="AK387" i="38" s="1"/>
  <c r="V387" i="38"/>
  <c r="T387" i="38"/>
  <c r="Y386" i="38"/>
  <c r="AE386" i="38" s="1"/>
  <c r="V386" i="38"/>
  <c r="T386" i="38"/>
  <c r="Y385" i="38"/>
  <c r="AE385" i="38" s="1"/>
  <c r="V385" i="38"/>
  <c r="T385" i="38"/>
  <c r="Y384" i="38"/>
  <c r="AE384" i="38" s="1"/>
  <c r="V384" i="38"/>
  <c r="T384" i="38"/>
  <c r="Y383" i="38"/>
  <c r="AE383" i="38" s="1"/>
  <c r="AK383" i="38" s="1"/>
  <c r="V383" i="38"/>
  <c r="T383" i="38"/>
  <c r="V382" i="38"/>
  <c r="T382" i="38"/>
  <c r="Y381" i="38"/>
  <c r="AE381" i="38" s="1"/>
  <c r="V381" i="38"/>
  <c r="T381" i="38"/>
  <c r="Y380" i="38"/>
  <c r="AE380" i="38" s="1"/>
  <c r="AK380" i="38" s="1"/>
  <c r="V380" i="38"/>
  <c r="T380" i="38"/>
  <c r="Y379" i="38"/>
  <c r="AE379" i="38" s="1"/>
  <c r="AK379" i="38" s="1"/>
  <c r="V379" i="38"/>
  <c r="T379" i="38"/>
  <c r="Y378" i="38"/>
  <c r="AE378" i="38" s="1"/>
  <c r="V378" i="38"/>
  <c r="T378" i="38"/>
  <c r="Y377" i="38"/>
  <c r="AE377" i="38" s="1"/>
  <c r="V377" i="38"/>
  <c r="T377" i="38"/>
  <c r="Y376" i="38"/>
  <c r="AE376" i="38" s="1"/>
  <c r="V376" i="38"/>
  <c r="T376" i="38"/>
  <c r="Y375" i="38"/>
  <c r="AE375" i="38" s="1"/>
  <c r="V375" i="38"/>
  <c r="T375" i="38"/>
  <c r="V374" i="38"/>
  <c r="T374" i="38"/>
  <c r="V373" i="38"/>
  <c r="T373" i="38"/>
  <c r="Y372" i="38"/>
  <c r="AE372" i="38" s="1"/>
  <c r="AK372" i="38" s="1"/>
  <c r="V372" i="38"/>
  <c r="T372" i="38"/>
  <c r="Y371" i="38"/>
  <c r="V371" i="38"/>
  <c r="T371" i="38"/>
  <c r="V370" i="38"/>
  <c r="T370" i="38"/>
  <c r="W369" i="38"/>
  <c r="V369" i="38"/>
  <c r="T369" i="38"/>
  <c r="G34" i="1"/>
  <c r="T578" i="38" l="1"/>
  <c r="T542" i="38"/>
  <c r="AE669" i="38"/>
  <c r="Y666" i="38"/>
  <c r="AE473" i="38"/>
  <c r="AE585" i="38" s="1"/>
  <c r="Y585" i="38"/>
  <c r="Y373" i="38"/>
  <c r="AE373" i="38" s="1"/>
  <c r="AE371" i="38"/>
  <c r="AE601" i="38"/>
  <c r="AK601" i="38" s="1"/>
  <c r="AO675" i="38"/>
  <c r="AK615" i="38"/>
  <c r="AK647" i="38"/>
  <c r="AE604" i="38"/>
  <c r="AE666" i="38" s="1"/>
  <c r="AK614" i="38"/>
  <c r="AO614" i="38"/>
  <c r="AQ614" i="38" s="1"/>
  <c r="AO611" i="38"/>
  <c r="AQ611" i="38" s="1"/>
  <c r="AK611" i="38"/>
  <c r="AO651" i="38"/>
  <c r="AQ651" i="38" s="1"/>
  <c r="AK651" i="38"/>
  <c r="AK609" i="38"/>
  <c r="AO609" i="38"/>
  <c r="AQ609" i="38" s="1"/>
  <c r="AK649" i="38"/>
  <c r="AO649" i="38"/>
  <c r="AQ649" i="38" s="1"/>
  <c r="AO616" i="38"/>
  <c r="AQ616" i="38" s="1"/>
  <c r="AK616" i="38"/>
  <c r="AO645" i="38"/>
  <c r="AQ645" i="38" s="1"/>
  <c r="AK645" i="38"/>
  <c r="AO643" i="38"/>
  <c r="AQ643" i="38" s="1"/>
  <c r="AK643" i="38"/>
  <c r="AO673" i="38"/>
  <c r="AQ673" i="38" s="1"/>
  <c r="AK673" i="38"/>
  <c r="AO605" i="38"/>
  <c r="AK641" i="38"/>
  <c r="AO641" i="38"/>
  <c r="AQ641" i="38" s="1"/>
  <c r="AO671" i="38"/>
  <c r="AQ671" i="38" s="1"/>
  <c r="AK671" i="38"/>
  <c r="AK606" i="38"/>
  <c r="AO606" i="38"/>
  <c r="AQ606" i="38" s="1"/>
  <c r="AO608" i="38"/>
  <c r="AQ608" i="38" s="1"/>
  <c r="AK608" i="38"/>
  <c r="AK646" i="38"/>
  <c r="AO646" i="38"/>
  <c r="AQ646" i="38" s="1"/>
  <c r="AO648" i="38"/>
  <c r="AQ648" i="38" s="1"/>
  <c r="AK648" i="38"/>
  <c r="AO613" i="38"/>
  <c r="AQ613" i="38" s="1"/>
  <c r="AK613" i="38"/>
  <c r="AO653" i="38"/>
  <c r="AK674" i="38"/>
  <c r="AO674" i="38"/>
  <c r="AQ674" i="38" s="1"/>
  <c r="AO607" i="38"/>
  <c r="AO615" i="38"/>
  <c r="AQ615" i="38" s="1"/>
  <c r="AO647" i="38"/>
  <c r="AQ647" i="38" s="1"/>
  <c r="AK642" i="38"/>
  <c r="AK650" i="38"/>
  <c r="AK670" i="38"/>
  <c r="AO670" i="38"/>
  <c r="AQ670" i="38" s="1"/>
  <c r="AK612" i="38"/>
  <c r="AK644" i="38"/>
  <c r="AK672" i="38"/>
  <c r="AK400" i="38"/>
  <c r="AO577" i="38"/>
  <c r="AQ577" i="38" s="1"/>
  <c r="AO520" i="38"/>
  <c r="AK595" i="38"/>
  <c r="AO595" i="38"/>
  <c r="AQ595" i="38" s="1"/>
  <c r="AK480" i="38"/>
  <c r="AO480" i="38"/>
  <c r="AQ480" i="38" s="1"/>
  <c r="AK392" i="38"/>
  <c r="AK512" i="38"/>
  <c r="AO512" i="38"/>
  <c r="AQ512" i="38" s="1"/>
  <c r="AO514" i="38"/>
  <c r="AQ514" i="38" s="1"/>
  <c r="AK514" i="38"/>
  <c r="AK588" i="38"/>
  <c r="AO588" i="38"/>
  <c r="AO597" i="38"/>
  <c r="AQ597" i="38" s="1"/>
  <c r="AK597" i="38"/>
  <c r="AK481" i="38"/>
  <c r="AO481" i="38"/>
  <c r="AQ481" i="38" s="1"/>
  <c r="AO477" i="38"/>
  <c r="AQ477" i="38" s="1"/>
  <c r="AK477" i="38"/>
  <c r="AO579" i="38"/>
  <c r="AQ579" i="38" s="1"/>
  <c r="AK579" i="38"/>
  <c r="AO509" i="38"/>
  <c r="AQ509" i="38" s="1"/>
  <c r="AK509" i="38"/>
  <c r="AO510" i="38"/>
  <c r="AQ510" i="38" s="1"/>
  <c r="AK510" i="38"/>
  <c r="AO519" i="38"/>
  <c r="AQ519" i="38" s="1"/>
  <c r="AK519" i="38"/>
  <c r="AK521" i="38"/>
  <c r="AO521" i="38"/>
  <c r="AQ521" i="38" s="1"/>
  <c r="AO593" i="38"/>
  <c r="AQ593" i="38" s="1"/>
  <c r="AK593" i="38"/>
  <c r="AO475" i="38"/>
  <c r="AQ475" i="38" s="1"/>
  <c r="AK475" i="38"/>
  <c r="AO589" i="38"/>
  <c r="AQ589" i="38" s="1"/>
  <c r="AK589" i="38"/>
  <c r="AO518" i="38"/>
  <c r="AQ518" i="38" s="1"/>
  <c r="AK518" i="38"/>
  <c r="AO478" i="38"/>
  <c r="AQ478" i="38" s="1"/>
  <c r="AK478" i="38"/>
  <c r="AO517" i="38"/>
  <c r="AQ517" i="38" s="1"/>
  <c r="AK517" i="38"/>
  <c r="AO600" i="38"/>
  <c r="AQ600" i="38" s="1"/>
  <c r="AK600" i="38"/>
  <c r="AK513" i="38"/>
  <c r="AO513" i="38"/>
  <c r="AQ513" i="38" s="1"/>
  <c r="AO576" i="38"/>
  <c r="AQ576" i="38" s="1"/>
  <c r="AK576" i="38"/>
  <c r="AO594" i="38"/>
  <c r="AQ594" i="38" s="1"/>
  <c r="AK594" i="38"/>
  <c r="AK596" i="38"/>
  <c r="AO596" i="38"/>
  <c r="AQ596" i="38" s="1"/>
  <c r="AO479" i="38"/>
  <c r="AQ479" i="38" s="1"/>
  <c r="AK479" i="38"/>
  <c r="AO592" i="38"/>
  <c r="AQ592" i="38" s="1"/>
  <c r="AK592" i="38"/>
  <c r="AO511" i="38"/>
  <c r="AQ511" i="38" s="1"/>
  <c r="AK511" i="38"/>
  <c r="AK474" i="38"/>
  <c r="AK482" i="38"/>
  <c r="Y601" i="38"/>
  <c r="AO474" i="38"/>
  <c r="AQ474" i="38" s="1"/>
  <c r="AO482" i="38"/>
  <c r="AQ482" i="38" s="1"/>
  <c r="AK483" i="38"/>
  <c r="AK577" i="38"/>
  <c r="AK590" i="38"/>
  <c r="AK598" i="38"/>
  <c r="AK476" i="38"/>
  <c r="AK508" i="38"/>
  <c r="AK516" i="38"/>
  <c r="AK578" i="38"/>
  <c r="AK591" i="38"/>
  <c r="AK599" i="38"/>
  <c r="AK384" i="38"/>
  <c r="AK393" i="38"/>
  <c r="AK381" i="38"/>
  <c r="AK397" i="38"/>
  <c r="AK389" i="38"/>
  <c r="AK386" i="38"/>
  <c r="AK385" i="38"/>
  <c r="AK401" i="38"/>
  <c r="C68" i="6"/>
  <c r="C69" i="5"/>
  <c r="T543" i="38" l="1"/>
  <c r="T579" i="38"/>
  <c r="AO669" i="38"/>
  <c r="AQ669" i="38" s="1"/>
  <c r="AK669" i="38"/>
  <c r="AK473" i="38"/>
  <c r="AO473" i="38"/>
  <c r="AQ588" i="38"/>
  <c r="AO601" i="38"/>
  <c r="AQ601" i="38" s="1"/>
  <c r="AO604" i="38"/>
  <c r="AO666" i="38" s="1"/>
  <c r="AK371" i="38"/>
  <c r="AK604" i="38"/>
  <c r="AO230" i="19"/>
  <c r="AO161" i="19"/>
  <c r="R76" i="19"/>
  <c r="R7" i="19"/>
  <c r="AO53" i="33"/>
  <c r="R7" i="33"/>
  <c r="R7" i="31"/>
  <c r="AO51" i="31"/>
  <c r="AO51" i="30"/>
  <c r="R7" i="30"/>
  <c r="R7" i="14"/>
  <c r="AO71" i="14"/>
  <c r="AO59" i="13"/>
  <c r="R7" i="13"/>
  <c r="R7" i="12"/>
  <c r="AO71" i="12"/>
  <c r="AO55" i="11"/>
  <c r="R7" i="11"/>
  <c r="R7" i="10"/>
  <c r="AO77" i="10"/>
  <c r="AO79" i="9"/>
  <c r="R7" i="9"/>
  <c r="AO63" i="8"/>
  <c r="R7" i="8"/>
  <c r="AN48" i="7"/>
  <c r="R7" i="7"/>
  <c r="R7" i="6"/>
  <c r="V7" i="5"/>
  <c r="T580" i="38" l="1"/>
  <c r="T544" i="38"/>
  <c r="AQ473" i="38"/>
  <c r="AO585" i="38"/>
  <c r="AQ604" i="38"/>
  <c r="V83" i="7"/>
  <c r="C42" i="7"/>
  <c r="V82" i="7"/>
  <c r="C41" i="7"/>
  <c r="V110" i="8"/>
  <c r="V109" i="8"/>
  <c r="C54" i="8"/>
  <c r="C53" i="8"/>
  <c r="V141" i="9"/>
  <c r="V140" i="9"/>
  <c r="C69" i="9"/>
  <c r="C68" i="9"/>
  <c r="V137" i="10"/>
  <c r="V136" i="10"/>
  <c r="C67" i="10"/>
  <c r="C66" i="10"/>
  <c r="T581" i="38" l="1"/>
  <c r="T545" i="38"/>
  <c r="H11" i="36"/>
  <c r="T546" i="38" l="1"/>
  <c r="T582" i="38"/>
  <c r="F325" i="38"/>
  <c r="A344" i="38"/>
  <c r="T696" i="38" s="1"/>
  <c r="A343" i="38"/>
  <c r="T695" i="38" s="1"/>
  <c r="C337" i="38"/>
  <c r="V689" i="38" s="1"/>
  <c r="J336" i="38"/>
  <c r="C336" i="38"/>
  <c r="V688" i="38" s="1"/>
  <c r="C335" i="38"/>
  <c r="R278" i="38"/>
  <c r="A276" i="38"/>
  <c r="A275" i="38"/>
  <c r="A274" i="38"/>
  <c r="A273" i="38"/>
  <c r="A272" i="38"/>
  <c r="A271" i="38"/>
  <c r="A270" i="38"/>
  <c r="AC47" i="38"/>
  <c r="H48" i="38" s="1"/>
  <c r="AA399" i="38" s="1"/>
  <c r="AC48" i="38"/>
  <c r="H49" i="38" s="1"/>
  <c r="AA400" i="38" s="1"/>
  <c r="AC49" i="38"/>
  <c r="H50" i="38" s="1"/>
  <c r="AA401" i="38" s="1"/>
  <c r="AC50" i="38"/>
  <c r="H51" i="38" s="1"/>
  <c r="AA402" i="38" s="1"/>
  <c r="AC42" i="38"/>
  <c r="AC43" i="38"/>
  <c r="AC44" i="38"/>
  <c r="AC45" i="38"/>
  <c r="AC46" i="38"/>
  <c r="H47" i="38" s="1"/>
  <c r="AA398" i="38" s="1"/>
  <c r="T583" i="38" l="1"/>
  <c r="T547" i="38"/>
  <c r="F332" i="38"/>
  <c r="V687" i="38"/>
  <c r="T549" i="38" l="1"/>
  <c r="T548" i="38"/>
  <c r="T584" i="38"/>
  <c r="AE676" i="38"/>
  <c r="Y677" i="38"/>
  <c r="H31" i="34"/>
  <c r="T585" i="38" l="1"/>
  <c r="A235" i="38"/>
  <c r="Y684" i="38"/>
  <c r="Y692" i="38"/>
  <c r="AO676" i="38"/>
  <c r="AE677" i="38"/>
  <c r="G64" i="1"/>
  <c r="G63" i="1"/>
  <c r="G154" i="1"/>
  <c r="F53" i="5" l="1"/>
  <c r="F40" i="4"/>
  <c r="T587" i="38"/>
  <c r="A236" i="38"/>
  <c r="AO677" i="38"/>
  <c r="J21" i="37"/>
  <c r="G21" i="37"/>
  <c r="D21" i="37"/>
  <c r="T588" i="38" l="1"/>
  <c r="A237" i="38"/>
  <c r="T66" i="33"/>
  <c r="T67" i="33"/>
  <c r="T69" i="33"/>
  <c r="T70" i="33"/>
  <c r="T71" i="33"/>
  <c r="T73" i="33"/>
  <c r="T74" i="33"/>
  <c r="T75" i="33"/>
  <c r="T76" i="33"/>
  <c r="T77" i="33"/>
  <c r="T64" i="31"/>
  <c r="T65" i="31"/>
  <c r="T67" i="31"/>
  <c r="T68" i="31"/>
  <c r="T69" i="31"/>
  <c r="T71" i="31"/>
  <c r="T72" i="31"/>
  <c r="T73" i="31"/>
  <c r="T74" i="31"/>
  <c r="T75" i="31"/>
  <c r="T64" i="30"/>
  <c r="T65" i="30"/>
  <c r="T67" i="30"/>
  <c r="T68" i="30"/>
  <c r="T69" i="30"/>
  <c r="T71" i="30"/>
  <c r="T72" i="30"/>
  <c r="T73" i="30"/>
  <c r="T74" i="30"/>
  <c r="T75" i="30"/>
  <c r="T64" i="29"/>
  <c r="T65" i="29"/>
  <c r="T67" i="29"/>
  <c r="T68" i="29"/>
  <c r="T69" i="29"/>
  <c r="T71" i="29"/>
  <c r="T72" i="29"/>
  <c r="T73" i="29"/>
  <c r="T74" i="29"/>
  <c r="T75" i="29"/>
  <c r="T77" i="29"/>
  <c r="T78" i="29"/>
  <c r="T79" i="29"/>
  <c r="T80" i="29"/>
  <c r="T82" i="29"/>
  <c r="H29" i="29"/>
  <c r="T76" i="8"/>
  <c r="T77" i="8"/>
  <c r="T79" i="8"/>
  <c r="T80" i="8"/>
  <c r="T81" i="8"/>
  <c r="T82" i="8"/>
  <c r="T83" i="8"/>
  <c r="T85" i="8"/>
  <c r="T86" i="8"/>
  <c r="T87" i="8"/>
  <c r="T88" i="8"/>
  <c r="T90" i="8"/>
  <c r="T91" i="8"/>
  <c r="T92" i="8"/>
  <c r="T93" i="8"/>
  <c r="T94" i="8"/>
  <c r="T95" i="8"/>
  <c r="T96" i="8"/>
  <c r="T97" i="8"/>
  <c r="T99" i="8"/>
  <c r="T100" i="8"/>
  <c r="T101" i="8"/>
  <c r="T102" i="8"/>
  <c r="T103" i="8"/>
  <c r="T104" i="8"/>
  <c r="T106" i="8"/>
  <c r="T589" i="38" l="1"/>
  <c r="A238" i="38"/>
  <c r="K16" i="40"/>
  <c r="T590" i="38" l="1"/>
  <c r="A239" i="38"/>
  <c r="AC108" i="14"/>
  <c r="AC107" i="14"/>
  <c r="AC94" i="14"/>
  <c r="AC93" i="14"/>
  <c r="T591" i="38" l="1"/>
  <c r="A240" i="38"/>
  <c r="A211" i="38" l="1"/>
  <c r="A145" i="38"/>
  <c r="A75" i="38"/>
  <c r="T563" i="38"/>
  <c r="T426" i="38"/>
  <c r="T630" i="38"/>
  <c r="T497" i="38"/>
  <c r="A241" i="38"/>
  <c r="T592" i="38"/>
  <c r="A278" i="38"/>
  <c r="Y106" i="12"/>
  <c r="A242" i="38" l="1"/>
  <c r="T593" i="38"/>
  <c r="C245" i="26"/>
  <c r="C244" i="26"/>
  <c r="C182" i="26"/>
  <c r="C132" i="26"/>
  <c r="C131" i="26"/>
  <c r="C33" i="26"/>
  <c r="A243" i="38" l="1"/>
  <c r="T594" i="38"/>
  <c r="A3" i="37"/>
  <c r="O17" i="35"/>
  <c r="A244" i="38" l="1"/>
  <c r="T595" i="38"/>
  <c r="A1" i="1"/>
  <c r="B1" i="2" s="1"/>
  <c r="A245" i="38" l="1"/>
  <c r="T596" i="38"/>
  <c r="AC21" i="38"/>
  <c r="H22" i="38" s="1"/>
  <c r="AA373" i="38" s="1"/>
  <c r="AC22" i="38"/>
  <c r="H23" i="38" s="1"/>
  <c r="AA374" i="38" s="1"/>
  <c r="AC23" i="38"/>
  <c r="H24" i="38" s="1"/>
  <c r="AA375" i="38" s="1"/>
  <c r="AC24" i="38"/>
  <c r="H25" i="38" s="1"/>
  <c r="AA376" i="38" s="1"/>
  <c r="AC25" i="38"/>
  <c r="H26" i="38" s="1"/>
  <c r="AA377" i="38" s="1"/>
  <c r="AC26" i="38"/>
  <c r="H27" i="38" s="1"/>
  <c r="AA378" i="38" s="1"/>
  <c r="AC27" i="38"/>
  <c r="H28" i="38" s="1"/>
  <c r="AA379" i="38" s="1"/>
  <c r="AC28" i="38"/>
  <c r="H29" i="38" s="1"/>
  <c r="AA380" i="38" s="1"/>
  <c r="AC29" i="38"/>
  <c r="H30" i="38" s="1"/>
  <c r="AA381" i="38" s="1"/>
  <c r="AC30" i="38"/>
  <c r="H31" i="38" s="1"/>
  <c r="AA382" i="38" s="1"/>
  <c r="AC31" i="38"/>
  <c r="H32" i="38" s="1"/>
  <c r="AA383" i="38" s="1"/>
  <c r="AC32" i="38"/>
  <c r="H33" i="38" s="1"/>
  <c r="AA384" i="38" s="1"/>
  <c r="AC33" i="38"/>
  <c r="H34" i="38" s="1"/>
  <c r="AA385" i="38" s="1"/>
  <c r="AC34" i="38"/>
  <c r="H35" i="38" s="1"/>
  <c r="AA386" i="38" s="1"/>
  <c r="AC35" i="38"/>
  <c r="H36" i="38" s="1"/>
  <c r="AA387" i="38" s="1"/>
  <c r="AC36" i="38"/>
  <c r="H37" i="38" s="1"/>
  <c r="AA388" i="38" s="1"/>
  <c r="AC37" i="38"/>
  <c r="H38" i="38" s="1"/>
  <c r="AA389" i="38" s="1"/>
  <c r="AC38" i="38"/>
  <c r="H39" i="38" s="1"/>
  <c r="AA390" i="38" s="1"/>
  <c r="AC39" i="38"/>
  <c r="H40" i="38" s="1"/>
  <c r="AA391" i="38" s="1"/>
  <c r="AC40" i="38"/>
  <c r="H41" i="38" s="1"/>
  <c r="AA392" i="38" s="1"/>
  <c r="AC41" i="38"/>
  <c r="H42" i="38" s="1"/>
  <c r="AA393" i="38" s="1"/>
  <c r="H43" i="38"/>
  <c r="AA394" i="38" s="1"/>
  <c r="H44" i="38"/>
  <c r="AA395" i="38" s="1"/>
  <c r="H45" i="38"/>
  <c r="AA396" i="38" s="1"/>
  <c r="H46" i="38"/>
  <c r="AA397" i="38" s="1"/>
  <c r="AC20" i="38"/>
  <c r="H21" i="38" s="1"/>
  <c r="AA372" i="38" s="1"/>
  <c r="H20" i="38"/>
  <c r="AO360" i="38"/>
  <c r="T360" i="38"/>
  <c r="T358" i="38"/>
  <c r="T357" i="38"/>
  <c r="T356" i="38"/>
  <c r="T355" i="38"/>
  <c r="T354" i="38"/>
  <c r="T353" i="38"/>
  <c r="T352" i="38"/>
  <c r="A268" i="38"/>
  <c r="A267" i="38"/>
  <c r="R9" i="38"/>
  <c r="A9" i="38"/>
  <c r="A7" i="38"/>
  <c r="A6" i="38"/>
  <c r="A5" i="38"/>
  <c r="A4" i="38"/>
  <c r="A3" i="38"/>
  <c r="A2" i="38"/>
  <c r="A1" i="38"/>
  <c r="H108" i="38" l="1"/>
  <c r="P108" i="38" s="1"/>
  <c r="P107" i="38" s="1"/>
  <c r="A246" i="38"/>
  <c r="T597" i="38"/>
  <c r="AA371" i="38"/>
  <c r="F340" i="38"/>
  <c r="F53" i="6" l="1"/>
  <c r="H24" i="36"/>
  <c r="J24" i="36" s="1"/>
  <c r="A247" i="38"/>
  <c r="T598" i="38"/>
  <c r="H332" i="38"/>
  <c r="P105" i="38"/>
  <c r="P97" i="38"/>
  <c r="P89" i="38"/>
  <c r="P57" i="38"/>
  <c r="P49" i="38"/>
  <c r="P41" i="38"/>
  <c r="P33" i="38"/>
  <c r="P25" i="38"/>
  <c r="P104" i="38"/>
  <c r="P96" i="38"/>
  <c r="P88" i="38"/>
  <c r="P56" i="38"/>
  <c r="P48" i="38"/>
  <c r="P40" i="38"/>
  <c r="P32" i="38"/>
  <c r="P24" i="38"/>
  <c r="P103" i="38"/>
  <c r="P95" i="38"/>
  <c r="P87" i="38"/>
  <c r="P55" i="38"/>
  <c r="P47" i="38"/>
  <c r="P39" i="38"/>
  <c r="P31" i="38"/>
  <c r="P23" i="38"/>
  <c r="P102" i="38"/>
  <c r="P94" i="38"/>
  <c r="P86" i="38"/>
  <c r="P54" i="38"/>
  <c r="P46" i="38"/>
  <c r="P38" i="38"/>
  <c r="P30" i="38"/>
  <c r="P22" i="38"/>
  <c r="P101" i="38"/>
  <c r="P93" i="38"/>
  <c r="P61" i="38"/>
  <c r="P53" i="38"/>
  <c r="P45" i="38"/>
  <c r="P37" i="38"/>
  <c r="P29" i="38"/>
  <c r="P21" i="38"/>
  <c r="P100" i="38"/>
  <c r="P92" i="38"/>
  <c r="P60" i="38"/>
  <c r="P52" i="38"/>
  <c r="P44" i="38"/>
  <c r="P36" i="38"/>
  <c r="P28" i="38"/>
  <c r="P20" i="38"/>
  <c r="P99" i="38"/>
  <c r="P91" i="38"/>
  <c r="P59" i="38"/>
  <c r="P51" i="38"/>
  <c r="P43" i="38"/>
  <c r="P35" i="38"/>
  <c r="P27" i="38"/>
  <c r="P106" i="38"/>
  <c r="P98" i="38"/>
  <c r="P90" i="38"/>
  <c r="P58" i="38"/>
  <c r="P50" i="38"/>
  <c r="P42" i="38"/>
  <c r="P34" i="38"/>
  <c r="P26" i="38"/>
  <c r="H340" i="38"/>
  <c r="H53" i="6" s="1"/>
  <c r="H110" i="38"/>
  <c r="P336" i="38" s="1"/>
  <c r="R336" i="38" s="1"/>
  <c r="AM684" i="38" l="1"/>
  <c r="AO459" i="38"/>
  <c r="AQ459" i="38" s="1"/>
  <c r="A248" i="38"/>
  <c r="T599" i="38"/>
  <c r="AA692" i="38"/>
  <c r="AA462" i="38"/>
  <c r="AE462" i="38" s="1"/>
  <c r="AE684" i="38" s="1"/>
  <c r="P340" i="38"/>
  <c r="P53" i="6" s="1"/>
  <c r="D58" i="40" s="1"/>
  <c r="AO458" i="38"/>
  <c r="AQ458" i="38" s="1"/>
  <c r="AO450" i="38"/>
  <c r="AQ450" i="38" s="1"/>
  <c r="AO442" i="38"/>
  <c r="AQ442" i="38" s="1"/>
  <c r="AO409" i="38"/>
  <c r="AQ409" i="38" s="1"/>
  <c r="AO401" i="38"/>
  <c r="AQ401" i="38" s="1"/>
  <c r="AO393" i="38"/>
  <c r="AQ393" i="38" s="1"/>
  <c r="AO385" i="38"/>
  <c r="AQ385" i="38" s="1"/>
  <c r="AO377" i="38"/>
  <c r="AO457" i="38"/>
  <c r="AQ457" i="38" s="1"/>
  <c r="AO449" i="38"/>
  <c r="AQ449" i="38" s="1"/>
  <c r="AO441" i="38"/>
  <c r="AQ441" i="38" s="1"/>
  <c r="AO408" i="38"/>
  <c r="AQ408" i="38" s="1"/>
  <c r="AO400" i="38"/>
  <c r="AQ400" i="38" s="1"/>
  <c r="AO392" i="38"/>
  <c r="AQ392" i="38" s="1"/>
  <c r="AO384" i="38"/>
  <c r="AQ384" i="38" s="1"/>
  <c r="AO376" i="38"/>
  <c r="AO456" i="38"/>
  <c r="AQ456" i="38" s="1"/>
  <c r="AO448" i="38"/>
  <c r="AQ448" i="38" s="1"/>
  <c r="AO440" i="38"/>
  <c r="AQ440" i="38" s="1"/>
  <c r="AO407" i="38"/>
  <c r="AQ407" i="38" s="1"/>
  <c r="AO399" i="38"/>
  <c r="AQ399" i="38" s="1"/>
  <c r="AO391" i="38"/>
  <c r="AQ391" i="38" s="1"/>
  <c r="AO383" i="38"/>
  <c r="AQ383" i="38" s="1"/>
  <c r="AO375" i="38"/>
  <c r="AO455" i="38"/>
  <c r="AQ455" i="38" s="1"/>
  <c r="AO447" i="38"/>
  <c r="AQ447" i="38" s="1"/>
  <c r="AO439" i="38"/>
  <c r="AO406" i="38"/>
  <c r="AQ406" i="38" s="1"/>
  <c r="AO398" i="38"/>
  <c r="AQ398" i="38" s="1"/>
  <c r="AO390" i="38"/>
  <c r="AQ390" i="38" s="1"/>
  <c r="AO382" i="38"/>
  <c r="AO374" i="38"/>
  <c r="AO454" i="38"/>
  <c r="AQ454" i="38" s="1"/>
  <c r="AO446" i="38"/>
  <c r="AQ446" i="38" s="1"/>
  <c r="AO438" i="38"/>
  <c r="AO405" i="38"/>
  <c r="AQ405" i="38" s="1"/>
  <c r="AO397" i="38"/>
  <c r="AQ397" i="38" s="1"/>
  <c r="AO389" i="38"/>
  <c r="AQ389" i="38" s="1"/>
  <c r="AO381" i="38"/>
  <c r="AQ381" i="38" s="1"/>
  <c r="AO373" i="38"/>
  <c r="AO453" i="38"/>
  <c r="AQ453" i="38" s="1"/>
  <c r="AO445" i="38"/>
  <c r="AQ445" i="38" s="1"/>
  <c r="AO412" i="38"/>
  <c r="AQ412" i="38" s="1"/>
  <c r="AO404" i="38"/>
  <c r="AQ404" i="38" s="1"/>
  <c r="AO396" i="38"/>
  <c r="AQ396" i="38" s="1"/>
  <c r="AO388" i="38"/>
  <c r="AQ388" i="38" s="1"/>
  <c r="AO380" i="38"/>
  <c r="AQ380" i="38" s="1"/>
  <c r="AO372" i="38"/>
  <c r="AQ372" i="38" s="1"/>
  <c r="AO452" i="38"/>
  <c r="AQ452" i="38" s="1"/>
  <c r="AO444" i="38"/>
  <c r="AQ444" i="38" s="1"/>
  <c r="AO411" i="38"/>
  <c r="AQ411" i="38" s="1"/>
  <c r="AO403" i="38"/>
  <c r="AQ403" i="38" s="1"/>
  <c r="AO395" i="38"/>
  <c r="AO387" i="38"/>
  <c r="AQ387" i="38" s="1"/>
  <c r="AO379" i="38"/>
  <c r="AQ379" i="38" s="1"/>
  <c r="AO371" i="38"/>
  <c r="AO451" i="38"/>
  <c r="AQ451" i="38" s="1"/>
  <c r="AO443" i="38"/>
  <c r="AQ443" i="38" s="1"/>
  <c r="AO410" i="38"/>
  <c r="AQ410" i="38" s="1"/>
  <c r="AO402" i="38"/>
  <c r="AQ402" i="38" s="1"/>
  <c r="AO394" i="38"/>
  <c r="AO386" i="38"/>
  <c r="AQ386" i="38" s="1"/>
  <c r="AO378" i="38"/>
  <c r="AQ438" i="38" l="1"/>
  <c r="AO460" i="38"/>
  <c r="AM690" i="38"/>
  <c r="AM692" i="38" s="1"/>
  <c r="H40" i="4"/>
  <c r="C26" i="40" s="1"/>
  <c r="A249" i="38"/>
  <c r="T600" i="38"/>
  <c r="H53" i="5"/>
  <c r="AO462" i="38"/>
  <c r="AQ371" i="38"/>
  <c r="T75" i="7"/>
  <c r="T76" i="7"/>
  <c r="T77" i="7"/>
  <c r="D166" i="1"/>
  <c r="AC687" i="38"/>
  <c r="T53" i="5" l="1"/>
  <c r="P40" i="4"/>
  <c r="J41" i="22"/>
  <c r="J131" i="19"/>
  <c r="T601" i="38"/>
  <c r="AO684" i="38"/>
  <c r="N16" i="34" s="1"/>
  <c r="C85" i="26"/>
  <c r="C183" i="26"/>
  <c r="C133" i="26"/>
  <c r="C246" i="26"/>
  <c r="J30" i="20"/>
  <c r="J68" i="24"/>
  <c r="J41" i="13"/>
  <c r="J52" i="12"/>
  <c r="J38" i="11"/>
  <c r="J35" i="33"/>
  <c r="J58" i="10"/>
  <c r="J45" i="8"/>
  <c r="J51" i="14"/>
  <c r="J33" i="12"/>
  <c r="J35" i="31"/>
  <c r="J60" i="9"/>
  <c r="J335" i="38"/>
  <c r="J35" i="30"/>
  <c r="J48" i="25"/>
  <c r="J24" i="28"/>
  <c r="AC285" i="19"/>
  <c r="AC104" i="25"/>
  <c r="AC68" i="20"/>
  <c r="AC141" i="24"/>
  <c r="AC91" i="22"/>
  <c r="AC59" i="28"/>
  <c r="AC81" i="33"/>
  <c r="AC115" i="12"/>
  <c r="AC128" i="10"/>
  <c r="AC79" i="31"/>
  <c r="AC96" i="12"/>
  <c r="AC93" i="13"/>
  <c r="AC79" i="30"/>
  <c r="AC86" i="11"/>
  <c r="AC132" i="9"/>
  <c r="AC115" i="14"/>
  <c r="AC101" i="8"/>
  <c r="A288" i="38" l="1"/>
  <c r="G31" i="1"/>
  <c r="G30" i="1"/>
  <c r="G29" i="1"/>
  <c r="D165" i="1"/>
  <c r="C34" i="26" s="1"/>
  <c r="C34" i="1"/>
  <c r="O57" i="26" s="1"/>
  <c r="C31" i="1"/>
  <c r="C30" i="1"/>
  <c r="L57" i="26" s="1"/>
  <c r="C29" i="1"/>
  <c r="L63" i="6" s="1"/>
  <c r="J29" i="1"/>
  <c r="F24" i="26" s="1"/>
  <c r="M57" i="26" l="1"/>
  <c r="P57" i="26" s="1"/>
  <c r="C81" i="26"/>
  <c r="C83" i="26"/>
  <c r="A289" i="38"/>
  <c r="A290" i="38" s="1"/>
  <c r="A291" i="38" s="1"/>
  <c r="A292" i="38" s="1"/>
  <c r="A293" i="38" s="1"/>
  <c r="A294" i="38" s="1"/>
  <c r="A295" i="38" s="1"/>
  <c r="A296" i="38" s="1"/>
  <c r="A297" i="38" s="1"/>
  <c r="A298" i="38" s="1"/>
  <c r="A299" i="38" s="1"/>
  <c r="A300" i="38" s="1"/>
  <c r="A301" i="38" s="1"/>
  <c r="A302" i="38" s="1"/>
  <c r="A303" i="38" s="1"/>
  <c r="A304" i="38" s="1"/>
  <c r="A305" i="38" s="1"/>
  <c r="A306" i="38" s="1"/>
  <c r="A307" i="38" s="1"/>
  <c r="A308" i="38" s="1"/>
  <c r="A309" i="38" s="1"/>
  <c r="A310" i="38" s="1"/>
  <c r="A311" i="38" s="1"/>
  <c r="A312" i="38" s="1"/>
  <c r="A313" i="38" s="1"/>
  <c r="A314" i="38" s="1"/>
  <c r="T640" i="38"/>
  <c r="J33" i="7"/>
  <c r="AC689" i="38"/>
  <c r="D30" i="1"/>
  <c r="D31" i="1"/>
  <c r="C181" i="26"/>
  <c r="C243" i="26"/>
  <c r="C32" i="26"/>
  <c r="C130" i="26"/>
  <c r="D34" i="1"/>
  <c r="D29" i="1"/>
  <c r="F31" i="22"/>
  <c r="A253" i="38" l="1"/>
  <c r="T604" i="38"/>
  <c r="AE689" i="38"/>
  <c r="AO689" i="38" s="1"/>
  <c r="J337" i="38"/>
  <c r="L337" i="38" s="1"/>
  <c r="AE687" i="38" l="1"/>
  <c r="AE690" i="38" s="1"/>
  <c r="A254" i="38"/>
  <c r="T605" i="38"/>
  <c r="AI689" i="38"/>
  <c r="AK689" i="38" s="1"/>
  <c r="J26" i="40"/>
  <c r="R337" i="38"/>
  <c r="K12" i="37"/>
  <c r="K11" i="37"/>
  <c r="K9" i="37"/>
  <c r="K10" i="37"/>
  <c r="K24" i="37"/>
  <c r="I21" i="37"/>
  <c r="F21" i="37"/>
  <c r="I12" i="37"/>
  <c r="I11" i="37"/>
  <c r="I10" i="37"/>
  <c r="I9" i="37"/>
  <c r="F12" i="37"/>
  <c r="F11" i="37"/>
  <c r="F10" i="37"/>
  <c r="F9" i="37"/>
  <c r="J13" i="37"/>
  <c r="H13" i="37"/>
  <c r="G13" i="37"/>
  <c r="E13" i="37"/>
  <c r="D13" i="37"/>
  <c r="AO687" i="38" l="1"/>
  <c r="H26" i="40" s="1"/>
  <c r="AE692" i="38"/>
  <c r="AG539" i="38" s="1"/>
  <c r="AO690" i="38"/>
  <c r="AK675" i="38"/>
  <c r="AQ675" i="38"/>
  <c r="A255" i="38"/>
  <c r="T606" i="38"/>
  <c r="AQ689" i="38"/>
  <c r="J58" i="40"/>
  <c r="I13" i="37"/>
  <c r="K13" i="37"/>
  <c r="F13" i="37"/>
  <c r="E21" i="37"/>
  <c r="H21" i="37"/>
  <c r="G24" i="37"/>
  <c r="AG687" i="38" l="1"/>
  <c r="AG689" i="38"/>
  <c r="AG676" i="38"/>
  <c r="AG673" i="38"/>
  <c r="AG482" i="38"/>
  <c r="AG611" i="38"/>
  <c r="AG578" i="38"/>
  <c r="AG392" i="38"/>
  <c r="AG385" i="38"/>
  <c r="AG400" i="38"/>
  <c r="AG477" i="38"/>
  <c r="AG671" i="38"/>
  <c r="AO692" i="38"/>
  <c r="R40" i="4" s="1"/>
  <c r="AG389" i="38"/>
  <c r="AG378" i="38"/>
  <c r="AG644" i="38"/>
  <c r="AG515" i="38"/>
  <c r="AG600" i="38"/>
  <c r="AG669" i="38"/>
  <c r="AG394" i="38"/>
  <c r="AG610" i="38"/>
  <c r="AG374" i="38"/>
  <c r="AG388" i="38"/>
  <c r="AG371" i="38"/>
  <c r="AG387" i="38"/>
  <c r="AG674" i="38"/>
  <c r="AG382" i="38"/>
  <c r="AG480" i="38"/>
  <c r="AG483" i="38"/>
  <c r="AG393" i="38"/>
  <c r="AG521" i="38"/>
  <c r="AG646" i="38"/>
  <c r="AG516" i="38"/>
  <c r="AG517" i="38"/>
  <c r="AG614" i="38"/>
  <c r="AG379" i="38"/>
  <c r="AG653" i="38"/>
  <c r="AG520" i="38"/>
  <c r="AG396" i="38"/>
  <c r="L53" i="5"/>
  <c r="J53" i="5" s="1"/>
  <c r="AG519" i="38"/>
  <c r="AG598" i="38"/>
  <c r="AG473" i="38"/>
  <c r="AG605" i="38"/>
  <c r="AG670" i="38"/>
  <c r="AG381" i="38"/>
  <c r="AG649" i="38"/>
  <c r="AG677" i="38"/>
  <c r="AG474" i="38"/>
  <c r="AG469" i="38"/>
  <c r="AG597" i="38"/>
  <c r="AG672" i="38"/>
  <c r="AG479" i="38"/>
  <c r="AG642" i="38"/>
  <c r="AG684" i="38"/>
  <c r="AG648" i="38"/>
  <c r="AG510" i="38"/>
  <c r="AG589" i="38"/>
  <c r="AG478" i="38"/>
  <c r="AG439" i="38"/>
  <c r="AG462" i="38"/>
  <c r="AG445" i="38"/>
  <c r="AG455" i="38"/>
  <c r="AG412" i="38"/>
  <c r="AG386" i="38"/>
  <c r="AG399" i="38"/>
  <c r="AG375" i="38"/>
  <c r="AG511" i="38"/>
  <c r="AG588" i="38"/>
  <c r="AG397" i="38"/>
  <c r="AG440" i="38"/>
  <c r="AG593" i="38"/>
  <c r="AG608" i="38"/>
  <c r="AG647" i="38"/>
  <c r="AG410" i="38"/>
  <c r="AG613" i="38"/>
  <c r="AG606" i="38"/>
  <c r="AG592" i="38"/>
  <c r="AG383" i="38"/>
  <c r="AG407" i="38"/>
  <c r="AG609" i="38"/>
  <c r="AG599" i="38"/>
  <c r="AG513" i="38"/>
  <c r="AG475" i="38"/>
  <c r="AG398" i="38"/>
  <c r="AG476" i="38"/>
  <c r="AG594" i="38"/>
  <c r="AG408" i="38"/>
  <c r="AG441" i="38"/>
  <c r="AG615" i="38"/>
  <c r="AG470" i="38"/>
  <c r="AG446" i="38"/>
  <c r="AG590" i="38"/>
  <c r="AG481" i="38"/>
  <c r="AG384" i="38"/>
  <c r="AG612" i="38"/>
  <c r="AG373" i="38"/>
  <c r="AG376" i="38"/>
  <c r="AG650" i="38"/>
  <c r="AG466" i="38"/>
  <c r="AG533" i="38"/>
  <c r="AG471" i="38"/>
  <c r="AG458" i="38"/>
  <c r="AG468" i="38"/>
  <c r="AG449" i="38"/>
  <c r="AG595" i="38"/>
  <c r="AG675" i="38"/>
  <c r="AG456" i="38"/>
  <c r="AG523" i="38"/>
  <c r="AG453" i="38"/>
  <c r="AG536" i="38"/>
  <c r="AG526" i="38"/>
  <c r="AG535" i="38"/>
  <c r="AG514" i="38"/>
  <c r="AG390" i="38"/>
  <c r="AG652" i="38"/>
  <c r="AG577" i="38"/>
  <c r="AG472" i="38"/>
  <c r="AG450" i="38"/>
  <c r="AG532" i="38"/>
  <c r="AG525" i="38"/>
  <c r="AG438" i="38"/>
  <c r="AG405" i="38"/>
  <c r="AG528" i="38"/>
  <c r="AG377" i="38"/>
  <c r="AG643" i="38"/>
  <c r="AG616" i="38"/>
  <c r="AG692" i="38"/>
  <c r="AG444" i="38"/>
  <c r="AG454" i="38"/>
  <c r="AG583" i="38"/>
  <c r="AG447" i="38"/>
  <c r="AG465" i="38"/>
  <c r="AG451" i="38"/>
  <c r="AG406" i="38"/>
  <c r="AG530" i="38"/>
  <c r="AG604" i="38"/>
  <c r="AG508" i="38"/>
  <c r="AG518" i="38"/>
  <c r="AG372" i="38"/>
  <c r="AG395" i="38"/>
  <c r="AG512" i="38"/>
  <c r="AG401" i="38"/>
  <c r="AG596" i="38"/>
  <c r="AG391" i="38"/>
  <c r="AG457" i="38"/>
  <c r="AG448" i="38"/>
  <c r="AG538" i="38"/>
  <c r="AG665" i="38"/>
  <c r="AG509" i="38"/>
  <c r="AG576" i="38"/>
  <c r="AG467" i="38"/>
  <c r="AG403" i="38"/>
  <c r="AG409" i="38"/>
  <c r="AG534" i="38"/>
  <c r="AG655" i="38"/>
  <c r="AG581" i="38"/>
  <c r="AG681" i="38"/>
  <c r="AG664" i="38"/>
  <c r="AG661" i="38"/>
  <c r="AG452" i="38"/>
  <c r="AG411" i="38"/>
  <c r="AG404" i="38"/>
  <c r="AG656" i="38"/>
  <c r="AG524" i="38"/>
  <c r="AG545" i="38"/>
  <c r="AG659" i="38"/>
  <c r="AG531" i="38"/>
  <c r="AG522" i="38"/>
  <c r="AG547" i="38"/>
  <c r="AG580" i="38"/>
  <c r="AG546" i="38"/>
  <c r="AG682" i="38"/>
  <c r="AG541" i="38"/>
  <c r="AG680" i="38"/>
  <c r="AG543" i="38"/>
  <c r="AG658" i="38"/>
  <c r="AG549" i="38"/>
  <c r="AG527" i="38"/>
  <c r="AG654" i="38"/>
  <c r="AG544" i="38"/>
  <c r="J40" i="4"/>
  <c r="L40" i="4" s="1"/>
  <c r="AG582" i="38"/>
  <c r="AG662" i="38"/>
  <c r="AG542" i="38"/>
  <c r="AG459" i="38"/>
  <c r="AG584" i="38"/>
  <c r="AG657" i="38"/>
  <c r="AG548" i="38"/>
  <c r="AG663" i="38"/>
  <c r="AG540" i="38"/>
  <c r="AG651" i="38"/>
  <c r="AG579" i="38"/>
  <c r="AG607" i="38"/>
  <c r="AG641" i="38"/>
  <c r="AG645" i="38"/>
  <c r="AG380" i="38"/>
  <c r="AG591" i="38"/>
  <c r="AG690" i="38"/>
  <c r="AG402" i="38"/>
  <c r="AG443" i="38"/>
  <c r="AG442" i="38"/>
  <c r="AG537" i="38"/>
  <c r="AG529" i="38"/>
  <c r="AG660" i="38"/>
  <c r="A256" i="38"/>
  <c r="T607" i="38"/>
  <c r="K26" i="40"/>
  <c r="D113" i="1"/>
  <c r="G113" i="1" s="1"/>
  <c r="W19" i="35"/>
  <c r="X19" i="35" s="1"/>
  <c r="AJ15" i="35"/>
  <c r="AJ13" i="35"/>
  <c r="W17" i="35"/>
  <c r="W16" i="35"/>
  <c r="X16" i="35" s="1"/>
  <c r="V53" i="5" l="1"/>
  <c r="E53" i="3"/>
  <c r="B26" i="40" s="1"/>
  <c r="AG601" i="38"/>
  <c r="AG585" i="38"/>
  <c r="AG666" i="38"/>
  <c r="AG460" i="38"/>
  <c r="A257" i="38"/>
  <c r="T608" i="38"/>
  <c r="AA17" i="35"/>
  <c r="X17" i="35"/>
  <c r="A258" i="38" l="1"/>
  <c r="T609" i="38"/>
  <c r="V264" i="19"/>
  <c r="V263" i="19"/>
  <c r="V262" i="19"/>
  <c r="V261" i="19"/>
  <c r="V260" i="19"/>
  <c r="V259" i="19"/>
  <c r="V258" i="19"/>
  <c r="V256" i="19"/>
  <c r="V255" i="19"/>
  <c r="V253" i="19"/>
  <c r="V252" i="19"/>
  <c r="V251" i="19"/>
  <c r="V250" i="19"/>
  <c r="V248" i="19"/>
  <c r="V247" i="19"/>
  <c r="V246" i="19"/>
  <c r="V245" i="19"/>
  <c r="V244" i="19"/>
  <c r="V215" i="19"/>
  <c r="V214" i="19"/>
  <c r="V213" i="19"/>
  <c r="V212" i="19"/>
  <c r="V211" i="19"/>
  <c r="V210" i="19"/>
  <c r="V207" i="19"/>
  <c r="V206" i="19"/>
  <c r="V205" i="19"/>
  <c r="V203" i="19"/>
  <c r="V202" i="19"/>
  <c r="V201" i="19"/>
  <c r="V200" i="19"/>
  <c r="V194" i="19"/>
  <c r="V193" i="19"/>
  <c r="V192" i="19"/>
  <c r="V191" i="19"/>
  <c r="V189" i="19"/>
  <c r="V188" i="19"/>
  <c r="V187" i="19"/>
  <c r="V186" i="19"/>
  <c r="V185" i="19"/>
  <c r="V184" i="19"/>
  <c r="V182" i="19"/>
  <c r="V181" i="19"/>
  <c r="V180" i="19"/>
  <c r="V178" i="19"/>
  <c r="V177" i="19"/>
  <c r="V176" i="19"/>
  <c r="V175" i="19"/>
  <c r="A259" i="38" l="1"/>
  <c r="T610" i="38"/>
  <c r="C24" i="34"/>
  <c r="A260" i="38" l="1"/>
  <c r="T611" i="38"/>
  <c r="B3" i="34"/>
  <c r="B4" i="34"/>
  <c r="A261" i="38" l="1"/>
  <c r="T612" i="38"/>
  <c r="C17" i="35"/>
  <c r="N19" i="34"/>
  <c r="A262" i="38" l="1"/>
  <c r="T613" i="38"/>
  <c r="AC73" i="30"/>
  <c r="A263" i="38" l="1"/>
  <c r="T614" i="38"/>
  <c r="D162" i="1"/>
  <c r="G162" i="1" s="1"/>
  <c r="D161" i="1"/>
  <c r="G161" i="1" s="1"/>
  <c r="T615" i="38" l="1"/>
  <c r="A264" i="38"/>
  <c r="J29" i="30"/>
  <c r="T616" i="38" l="1"/>
  <c r="D88" i="1"/>
  <c r="G88" i="1" s="1"/>
  <c r="AJ21" i="35"/>
  <c r="AS4" i="35"/>
  <c r="AN4" i="35"/>
  <c r="AI4" i="35"/>
  <c r="AD4" i="35"/>
  <c r="Z4" i="35"/>
  <c r="V4" i="35"/>
  <c r="N4" i="35"/>
  <c r="J4" i="35"/>
  <c r="F4" i="35"/>
  <c r="AS3" i="35"/>
  <c r="AN3" i="35"/>
  <c r="AI3" i="35"/>
  <c r="AD3" i="35"/>
  <c r="Z3" i="35"/>
  <c r="V3" i="35"/>
  <c r="N3" i="35"/>
  <c r="J3" i="35"/>
  <c r="F3" i="35"/>
  <c r="B3" i="35"/>
  <c r="AS2" i="35"/>
  <c r="AN2" i="35"/>
  <c r="AI2" i="35"/>
  <c r="AD2" i="35"/>
  <c r="Z2" i="35"/>
  <c r="V2" i="35"/>
  <c r="N2" i="35"/>
  <c r="J2" i="35"/>
  <c r="F2" i="35"/>
  <c r="B2" i="35"/>
  <c r="T641" i="38" l="1"/>
  <c r="AM14" i="35"/>
  <c r="L55" i="19"/>
  <c r="T642" i="38" l="1"/>
  <c r="H29" i="34"/>
  <c r="T643" i="38" l="1"/>
  <c r="AO20" i="35"/>
  <c r="T644" i="38" l="1"/>
  <c r="D123" i="1"/>
  <c r="G123" i="1" s="1"/>
  <c r="AO15" i="35"/>
  <c r="T645" i="38" l="1"/>
  <c r="D96" i="1"/>
  <c r="G96" i="1" s="1"/>
  <c r="AA13" i="35"/>
  <c r="AB17" i="35" s="1"/>
  <c r="AA11" i="35"/>
  <c r="D87" i="1"/>
  <c r="G87" i="1" s="1"/>
  <c r="D86" i="1"/>
  <c r="G86" i="1" s="1"/>
  <c r="W11" i="35"/>
  <c r="T646" i="38" l="1"/>
  <c r="O20" i="35"/>
  <c r="O18" i="35"/>
  <c r="O7" i="35"/>
  <c r="O13" i="35"/>
  <c r="P16" i="35" s="1"/>
  <c r="T647" i="38" l="1"/>
  <c r="G68" i="1"/>
  <c r="G69" i="1"/>
  <c r="G70" i="1"/>
  <c r="D49" i="1"/>
  <c r="G49" i="1" s="1"/>
  <c r="D48" i="1"/>
  <c r="G48" i="1" s="1"/>
  <c r="C10" i="35"/>
  <c r="C8" i="35"/>
  <c r="T648" i="38" l="1"/>
  <c r="P23" i="35"/>
  <c r="G7" i="34"/>
  <c r="Q6" i="34"/>
  <c r="T649" i="38" l="1"/>
  <c r="AE15" i="35"/>
  <c r="T650" i="38" l="1"/>
  <c r="AA7" i="35"/>
  <c r="T651" i="38" l="1"/>
  <c r="AA12" i="35"/>
  <c r="AA14" i="35" s="1"/>
  <c r="AA15" i="35" s="1"/>
  <c r="T652" i="38" l="1"/>
  <c r="J53" i="12"/>
  <c r="T653" i="38" l="1"/>
  <c r="AC129" i="10"/>
  <c r="J59" i="10"/>
  <c r="T654" i="38" l="1"/>
  <c r="C36" i="30"/>
  <c r="C34" i="30"/>
  <c r="C35" i="30"/>
  <c r="T655" i="38" l="1"/>
  <c r="T120" i="14"/>
  <c r="T118" i="14"/>
  <c r="T117" i="14"/>
  <c r="T116" i="14"/>
  <c r="T115" i="14"/>
  <c r="T114" i="14"/>
  <c r="T113" i="14"/>
  <c r="T111" i="14"/>
  <c r="T110" i="14"/>
  <c r="T109" i="14"/>
  <c r="T108" i="14"/>
  <c r="T107" i="14"/>
  <c r="T106" i="14"/>
  <c r="T104" i="14"/>
  <c r="T103" i="14"/>
  <c r="T102" i="14"/>
  <c r="T101" i="14"/>
  <c r="T99" i="14"/>
  <c r="T98" i="14"/>
  <c r="T96" i="14"/>
  <c r="T95" i="14"/>
  <c r="T94" i="14"/>
  <c r="T93" i="14"/>
  <c r="T92" i="14"/>
  <c r="T90" i="14"/>
  <c r="T89" i="14"/>
  <c r="T88" i="14"/>
  <c r="T87" i="14"/>
  <c r="T85" i="14"/>
  <c r="T84" i="14"/>
  <c r="T83" i="14"/>
  <c r="T656" i="38" l="1"/>
  <c r="C49" i="25"/>
  <c r="C48" i="25"/>
  <c r="C69" i="24"/>
  <c r="C68" i="24"/>
  <c r="C42" i="22"/>
  <c r="C41" i="22"/>
  <c r="C25" i="28"/>
  <c r="C24" i="28"/>
  <c r="C31" i="20"/>
  <c r="C30" i="20"/>
  <c r="C132" i="19"/>
  <c r="C131" i="19"/>
  <c r="C36" i="33"/>
  <c r="C35" i="33"/>
  <c r="C34" i="33"/>
  <c r="C36" i="31"/>
  <c r="C35" i="31"/>
  <c r="C34" i="31"/>
  <c r="C53" i="14"/>
  <c r="C52" i="14"/>
  <c r="C51" i="14"/>
  <c r="C50" i="14"/>
  <c r="C43" i="13"/>
  <c r="C42" i="13"/>
  <c r="C41" i="13"/>
  <c r="C40" i="13"/>
  <c r="C54" i="12"/>
  <c r="C53" i="12"/>
  <c r="C52" i="12"/>
  <c r="C51" i="12"/>
  <c r="C35" i="12"/>
  <c r="C34" i="12"/>
  <c r="C33" i="12"/>
  <c r="C32" i="12"/>
  <c r="C40" i="11"/>
  <c r="C39" i="11"/>
  <c r="C38" i="11"/>
  <c r="C37" i="11"/>
  <c r="C60" i="10"/>
  <c r="C59" i="10"/>
  <c r="C58" i="10"/>
  <c r="C57" i="10"/>
  <c r="C62" i="9"/>
  <c r="C61" i="9"/>
  <c r="C60" i="9"/>
  <c r="C59" i="9"/>
  <c r="C47" i="8"/>
  <c r="C46" i="8"/>
  <c r="C45" i="8"/>
  <c r="C44" i="8"/>
  <c r="C35" i="7"/>
  <c r="C34" i="7"/>
  <c r="C33" i="7"/>
  <c r="C32" i="7"/>
  <c r="C31" i="7"/>
  <c r="T657" i="38" l="1"/>
  <c r="AC87" i="13"/>
  <c r="T658" i="38" l="1"/>
  <c r="C128" i="26"/>
  <c r="C127" i="26"/>
  <c r="C241" i="26"/>
  <c r="C240" i="26"/>
  <c r="T659" i="38" l="1"/>
  <c r="AC105" i="25"/>
  <c r="V104" i="25"/>
  <c r="V105" i="25"/>
  <c r="T108" i="25"/>
  <c r="T106" i="25"/>
  <c r="T105" i="25"/>
  <c r="T104" i="25"/>
  <c r="T103" i="25"/>
  <c r="AC142" i="24"/>
  <c r="V141" i="24"/>
  <c r="V142" i="24"/>
  <c r="T145" i="24"/>
  <c r="T143" i="24"/>
  <c r="T142" i="24"/>
  <c r="T141" i="24"/>
  <c r="T140" i="24"/>
  <c r="J49" i="25"/>
  <c r="J69" i="24"/>
  <c r="AC92" i="22"/>
  <c r="V91" i="22"/>
  <c r="V92" i="22"/>
  <c r="T95" i="22"/>
  <c r="T93" i="22"/>
  <c r="T92" i="22"/>
  <c r="T91" i="22"/>
  <c r="T90" i="22"/>
  <c r="J42" i="22"/>
  <c r="AC60" i="28"/>
  <c r="V59" i="28"/>
  <c r="V60" i="28"/>
  <c r="T63" i="28"/>
  <c r="T61" i="28"/>
  <c r="T60" i="28"/>
  <c r="T59" i="28"/>
  <c r="T58" i="28"/>
  <c r="J25" i="28"/>
  <c r="V68" i="20"/>
  <c r="V69" i="20"/>
  <c r="V285" i="19"/>
  <c r="V286" i="19"/>
  <c r="V82" i="33"/>
  <c r="V81" i="33"/>
  <c r="V80" i="33"/>
  <c r="T85" i="33"/>
  <c r="T83" i="33"/>
  <c r="T82" i="33"/>
  <c r="T81" i="33"/>
  <c r="T80" i="33"/>
  <c r="T79" i="33"/>
  <c r="AC80" i="31"/>
  <c r="AC78" i="31"/>
  <c r="J36" i="31"/>
  <c r="V80" i="31"/>
  <c r="V79" i="31"/>
  <c r="V78" i="31"/>
  <c r="T83" i="31"/>
  <c r="T81" i="31"/>
  <c r="T80" i="31"/>
  <c r="T79" i="31"/>
  <c r="T78" i="31"/>
  <c r="T77" i="31"/>
  <c r="AC80" i="30"/>
  <c r="AC78" i="30"/>
  <c r="V80" i="30"/>
  <c r="V79" i="30"/>
  <c r="V78" i="30"/>
  <c r="T83" i="30"/>
  <c r="T81" i="30"/>
  <c r="T80" i="30"/>
  <c r="T79" i="30"/>
  <c r="T78" i="30"/>
  <c r="T77" i="30"/>
  <c r="Q34" i="30"/>
  <c r="AC117" i="14"/>
  <c r="AC116" i="14"/>
  <c r="AC114" i="14"/>
  <c r="V117" i="14"/>
  <c r="V116" i="14"/>
  <c r="V115" i="14"/>
  <c r="V114" i="14"/>
  <c r="AC95" i="13"/>
  <c r="AC94" i="13"/>
  <c r="AC92" i="13"/>
  <c r="V95" i="13"/>
  <c r="V94" i="13"/>
  <c r="V93" i="13"/>
  <c r="V92" i="13"/>
  <c r="T98" i="13"/>
  <c r="T96" i="13"/>
  <c r="T95" i="13"/>
  <c r="T94" i="13"/>
  <c r="T93" i="13"/>
  <c r="T92" i="13"/>
  <c r="T91" i="13"/>
  <c r="J43" i="13"/>
  <c r="J42" i="13"/>
  <c r="AC117" i="12"/>
  <c r="AC116" i="12"/>
  <c r="AC114" i="12"/>
  <c r="AC98" i="12"/>
  <c r="AC97" i="12"/>
  <c r="AC95" i="12"/>
  <c r="T120" i="12"/>
  <c r="T118" i="12"/>
  <c r="T117" i="12"/>
  <c r="T116" i="12"/>
  <c r="T115" i="12"/>
  <c r="T114" i="12"/>
  <c r="T113" i="12"/>
  <c r="T111" i="12"/>
  <c r="T110" i="12"/>
  <c r="T109" i="12"/>
  <c r="T108" i="12"/>
  <c r="T106" i="12"/>
  <c r="T104" i="12"/>
  <c r="T101" i="12"/>
  <c r="T99" i="12"/>
  <c r="T98" i="12"/>
  <c r="T97" i="12"/>
  <c r="T96" i="12"/>
  <c r="T95" i="12"/>
  <c r="V117" i="12"/>
  <c r="V116" i="12"/>
  <c r="V115" i="12"/>
  <c r="V114" i="12"/>
  <c r="V98" i="12"/>
  <c r="V97" i="12"/>
  <c r="V96" i="12"/>
  <c r="V95" i="12"/>
  <c r="J54" i="12"/>
  <c r="J35" i="12"/>
  <c r="J34" i="12"/>
  <c r="AC88" i="11"/>
  <c r="AC87" i="11"/>
  <c r="AC85" i="11"/>
  <c r="V88" i="11"/>
  <c r="V87" i="11"/>
  <c r="V86" i="11"/>
  <c r="V85" i="11"/>
  <c r="T91" i="11"/>
  <c r="T89" i="11"/>
  <c r="T88" i="11"/>
  <c r="T87" i="11"/>
  <c r="T86" i="11"/>
  <c r="T85" i="11"/>
  <c r="T84" i="11"/>
  <c r="J40" i="11"/>
  <c r="J39" i="11"/>
  <c r="AC130" i="10"/>
  <c r="AC127" i="10"/>
  <c r="T133" i="10"/>
  <c r="T131" i="10"/>
  <c r="T130" i="10"/>
  <c r="T129" i="10"/>
  <c r="T128" i="10"/>
  <c r="V130" i="10"/>
  <c r="V129" i="10"/>
  <c r="V128" i="10"/>
  <c r="V127" i="10"/>
  <c r="T127" i="10"/>
  <c r="J60" i="10"/>
  <c r="T660" i="38" l="1"/>
  <c r="J62" i="9"/>
  <c r="J61" i="9"/>
  <c r="AC134" i="9"/>
  <c r="AC133" i="9"/>
  <c r="AC131" i="9"/>
  <c r="V134" i="9"/>
  <c r="V133" i="9"/>
  <c r="V132" i="9"/>
  <c r="V131" i="9"/>
  <c r="T137" i="9"/>
  <c r="T135" i="9"/>
  <c r="T134" i="9"/>
  <c r="T133" i="9"/>
  <c r="T132" i="9"/>
  <c r="T131" i="9"/>
  <c r="T130" i="9"/>
  <c r="V103" i="8"/>
  <c r="V102" i="8"/>
  <c r="V101" i="8"/>
  <c r="V100" i="8"/>
  <c r="T79" i="7"/>
  <c r="T74" i="7"/>
  <c r="T73" i="7"/>
  <c r="T72" i="7"/>
  <c r="V75" i="7"/>
  <c r="V74" i="7"/>
  <c r="V73" i="7"/>
  <c r="V72" i="7"/>
  <c r="V76" i="7"/>
  <c r="T661" i="38" l="1"/>
  <c r="M23" i="27"/>
  <c r="M22" i="27"/>
  <c r="M21" i="27"/>
  <c r="D23" i="27"/>
  <c r="D22" i="27"/>
  <c r="D21" i="27"/>
  <c r="T662" i="38" l="1"/>
  <c r="AB74" i="7"/>
  <c r="J34" i="7"/>
  <c r="T663" i="38" l="1"/>
  <c r="Y62" i="20"/>
  <c r="Y65" i="20" s="1"/>
  <c r="T664" i="38" l="1"/>
  <c r="AC80" i="8"/>
  <c r="J24" i="8"/>
  <c r="T665" i="38" l="1"/>
  <c r="H21" i="19"/>
  <c r="A316" i="38" l="1"/>
  <c r="T666" i="38"/>
  <c r="H42" i="19"/>
  <c r="H111" i="19"/>
  <c r="H32" i="24"/>
  <c r="A317" i="38" l="1"/>
  <c r="T668" i="38"/>
  <c r="H23" i="22"/>
  <c r="H22" i="22"/>
  <c r="H36" i="22"/>
  <c r="A318" i="38" l="1"/>
  <c r="T669" i="38"/>
  <c r="H30" i="22"/>
  <c r="H29" i="22"/>
  <c r="H28" i="22"/>
  <c r="H35" i="22"/>
  <c r="H44" i="25"/>
  <c r="H43" i="25"/>
  <c r="H42" i="25"/>
  <c r="H39" i="25"/>
  <c r="H38" i="25"/>
  <c r="H37" i="25"/>
  <c r="H36" i="25"/>
  <c r="H35" i="25"/>
  <c r="H34" i="25"/>
  <c r="H33" i="25"/>
  <c r="H30" i="25"/>
  <c r="H29" i="25"/>
  <c r="H28" i="25"/>
  <c r="H25" i="25"/>
  <c r="H24" i="25"/>
  <c r="H23" i="25"/>
  <c r="H22" i="25"/>
  <c r="H26" i="22"/>
  <c r="A319" i="38" l="1"/>
  <c r="A320" i="38" s="1"/>
  <c r="T670" i="38"/>
  <c r="AC74" i="33"/>
  <c r="AC70" i="33"/>
  <c r="J29" i="33"/>
  <c r="J24" i="33"/>
  <c r="AC72" i="31"/>
  <c r="AC68" i="31"/>
  <c r="J24" i="31"/>
  <c r="AC72" i="30"/>
  <c r="AC68" i="30"/>
  <c r="J24" i="30"/>
  <c r="J29" i="29"/>
  <c r="J24" i="29"/>
  <c r="AC73" i="29"/>
  <c r="AC72" i="29"/>
  <c r="AC68" i="29"/>
  <c r="AC75" i="33"/>
  <c r="A321" i="38" l="1"/>
  <c r="AC73" i="31"/>
  <c r="D160" i="1"/>
  <c r="G160" i="1" s="1"/>
  <c r="AC103" i="14"/>
  <c r="AC102" i="14"/>
  <c r="AC89" i="14"/>
  <c r="AC88" i="14"/>
  <c r="AC85" i="14"/>
  <c r="J21" i="14"/>
  <c r="AC86" i="13"/>
  <c r="AC85" i="13"/>
  <c r="AC81" i="13"/>
  <c r="AC77" i="13"/>
  <c r="AC76" i="13"/>
  <c r="J25" i="13"/>
  <c r="J24" i="13"/>
  <c r="AC110" i="12"/>
  <c r="AC109" i="12"/>
  <c r="AC106" i="12"/>
  <c r="AC91" i="12"/>
  <c r="AC88" i="12"/>
  <c r="J25" i="12"/>
  <c r="AC81" i="11"/>
  <c r="AC78" i="11"/>
  <c r="AC74" i="11"/>
  <c r="AC73" i="11"/>
  <c r="AC72" i="11"/>
  <c r="J26" i="11"/>
  <c r="J25" i="11"/>
  <c r="J24" i="11"/>
  <c r="AC94" i="10"/>
  <c r="AC93" i="10"/>
  <c r="J24" i="10"/>
  <c r="J23" i="10"/>
  <c r="J23" i="9"/>
  <c r="AC125" i="9"/>
  <c r="AC117" i="9"/>
  <c r="AC116" i="9"/>
  <c r="AC108" i="9"/>
  <c r="AC107" i="9"/>
  <c r="AC104" i="9"/>
  <c r="AC103" i="9"/>
  <c r="AC99" i="9"/>
  <c r="AC98" i="9"/>
  <c r="AC95" i="9"/>
  <c r="AC95" i="8"/>
  <c r="AC94" i="8"/>
  <c r="AC93" i="8"/>
  <c r="AC92" i="8"/>
  <c r="AC91" i="8"/>
  <c r="AC87" i="8"/>
  <c r="AC86" i="8"/>
  <c r="AC82" i="8"/>
  <c r="AC81" i="8"/>
  <c r="J30" i="8"/>
  <c r="J26" i="8"/>
  <c r="J25" i="8"/>
  <c r="AB67" i="7"/>
  <c r="AB64" i="7"/>
  <c r="A322" i="38" l="1"/>
  <c r="J29" i="31"/>
  <c r="D38" i="27"/>
  <c r="D34" i="27"/>
  <c r="D30" i="27"/>
  <c r="D26" i="27"/>
  <c r="D36" i="27"/>
  <c r="D28" i="27"/>
  <c r="D35" i="27"/>
  <c r="D27" i="27"/>
  <c r="D41" i="27"/>
  <c r="D37" i="27"/>
  <c r="D33" i="27"/>
  <c r="D29" i="27"/>
  <c r="D40" i="27"/>
  <c r="D32" i="27"/>
  <c r="D24" i="27"/>
  <c r="D39" i="27"/>
  <c r="D31" i="27"/>
  <c r="AM83" i="33"/>
  <c r="AC82" i="33"/>
  <c r="T56" i="33"/>
  <c r="AO55" i="33"/>
  <c r="T55" i="33"/>
  <c r="T53" i="33"/>
  <c r="T52" i="33"/>
  <c r="T51" i="33"/>
  <c r="T50" i="33"/>
  <c r="T49" i="33"/>
  <c r="T48" i="33"/>
  <c r="T47" i="33"/>
  <c r="Y70" i="33"/>
  <c r="A10" i="33"/>
  <c r="R9" i="33"/>
  <c r="A9" i="33"/>
  <c r="A7" i="33"/>
  <c r="A6" i="33"/>
  <c r="A5" i="33"/>
  <c r="A4" i="33"/>
  <c r="A3" i="33"/>
  <c r="A2" i="33"/>
  <c r="A1" i="33"/>
  <c r="AM81" i="31"/>
  <c r="T54" i="31"/>
  <c r="AO53" i="31"/>
  <c r="T53" i="31"/>
  <c r="T51" i="31"/>
  <c r="T50" i="31"/>
  <c r="T49" i="31"/>
  <c r="T48" i="31"/>
  <c r="T47" i="31"/>
  <c r="T46" i="31"/>
  <c r="T45" i="31"/>
  <c r="P37" i="31"/>
  <c r="Y68" i="31"/>
  <c r="A10" i="31"/>
  <c r="R9" i="31"/>
  <c r="A9" i="31"/>
  <c r="A7" i="31"/>
  <c r="A6" i="31"/>
  <c r="A5" i="31"/>
  <c r="A4" i="31"/>
  <c r="A3" i="31"/>
  <c r="A2" i="31"/>
  <c r="A1" i="31"/>
  <c r="AM81" i="30"/>
  <c r="T54" i="30"/>
  <c r="AO53" i="30"/>
  <c r="T53" i="30"/>
  <c r="T51" i="30"/>
  <c r="T50" i="30"/>
  <c r="T49" i="30"/>
  <c r="T48" i="30"/>
  <c r="T47" i="30"/>
  <c r="T46" i="30"/>
  <c r="T45" i="30"/>
  <c r="P37" i="30"/>
  <c r="L24" i="30"/>
  <c r="L25" i="30" s="1"/>
  <c r="O11" i="35" s="1"/>
  <c r="Y68" i="30"/>
  <c r="A10" i="30"/>
  <c r="R9" i="30"/>
  <c r="A9" i="30"/>
  <c r="A7" i="30"/>
  <c r="A6" i="30"/>
  <c r="A5" i="30"/>
  <c r="A4" i="30"/>
  <c r="A3" i="30"/>
  <c r="A2" i="30"/>
  <c r="A1" i="30"/>
  <c r="AC79" i="29"/>
  <c r="AA72" i="29"/>
  <c r="AE72" i="29" s="1"/>
  <c r="AO72" i="29" s="1"/>
  <c r="Y68" i="29"/>
  <c r="Y75" i="29" s="1"/>
  <c r="T54" i="29"/>
  <c r="AO53" i="29"/>
  <c r="T53" i="29"/>
  <c r="AO51" i="29"/>
  <c r="T51" i="29"/>
  <c r="T50" i="29"/>
  <c r="T49" i="29"/>
  <c r="T48" i="29"/>
  <c r="T47" i="29"/>
  <c r="T46" i="29"/>
  <c r="T45" i="29"/>
  <c r="P36" i="29"/>
  <c r="F31" i="29"/>
  <c r="F38" i="29" s="1"/>
  <c r="H30" i="29"/>
  <c r="AA74" i="29" s="1"/>
  <c r="AA75" i="29" s="1"/>
  <c r="L24" i="29"/>
  <c r="L25" i="29" s="1"/>
  <c r="A10" i="29"/>
  <c r="R9" i="29"/>
  <c r="A9" i="29"/>
  <c r="A7" i="29"/>
  <c r="A6" i="29"/>
  <c r="A5" i="29"/>
  <c r="A4" i="29"/>
  <c r="A3" i="29"/>
  <c r="A2" i="29"/>
  <c r="A1" i="29"/>
  <c r="J36" i="30"/>
  <c r="AC80" i="33"/>
  <c r="A323" i="38" l="1"/>
  <c r="AE68" i="29"/>
  <c r="AE69" i="29" s="1"/>
  <c r="Y82" i="29"/>
  <c r="F40" i="6"/>
  <c r="C16" i="34" s="1"/>
  <c r="R24" i="29"/>
  <c r="R25" i="29" s="1"/>
  <c r="AI68" i="29"/>
  <c r="AI69" i="29" s="1"/>
  <c r="AC78" i="29"/>
  <c r="F31" i="33"/>
  <c r="F39" i="33" s="1"/>
  <c r="H16" i="41" s="1"/>
  <c r="L24" i="33"/>
  <c r="L25" i="33" s="1"/>
  <c r="AO13" i="35" s="1"/>
  <c r="F31" i="31"/>
  <c r="F39" i="31" s="1"/>
  <c r="H15" i="41" s="1"/>
  <c r="L24" i="31"/>
  <c r="L25" i="31" s="1"/>
  <c r="G11" i="35" s="1"/>
  <c r="R24" i="30"/>
  <c r="R25" i="30" s="1"/>
  <c r="AK68" i="29"/>
  <c r="AE70" i="33"/>
  <c r="Y77" i="33"/>
  <c r="Y85" i="33" s="1"/>
  <c r="J36" i="33"/>
  <c r="Y75" i="31"/>
  <c r="Y83" i="31" s="1"/>
  <c r="AE68" i="31"/>
  <c r="Y75" i="30"/>
  <c r="AE68" i="30"/>
  <c r="F31" i="30"/>
  <c r="F39" i="30" s="1"/>
  <c r="J35" i="29"/>
  <c r="AE79" i="29"/>
  <c r="AE78" i="29"/>
  <c r="AK69" i="29"/>
  <c r="P29" i="29"/>
  <c r="P30" i="29" s="1"/>
  <c r="P31" i="29" s="1"/>
  <c r="P38" i="29" s="1"/>
  <c r="P40" i="6" s="1"/>
  <c r="AA73" i="29"/>
  <c r="L29" i="29"/>
  <c r="H31" i="29"/>
  <c r="AO68" i="29"/>
  <c r="AO69" i="29" s="1"/>
  <c r="AK72" i="29"/>
  <c r="H14" i="36" l="1"/>
  <c r="H14" i="41"/>
  <c r="A324" i="38"/>
  <c r="F43" i="6"/>
  <c r="C22" i="34" s="1"/>
  <c r="H16" i="36"/>
  <c r="F42" i="6"/>
  <c r="C12" i="34" s="1"/>
  <c r="H15" i="36"/>
  <c r="J34" i="33"/>
  <c r="J32" i="12"/>
  <c r="F40" i="5"/>
  <c r="F30" i="4"/>
  <c r="J34" i="29"/>
  <c r="J51" i="12"/>
  <c r="J34" i="31"/>
  <c r="J40" i="13"/>
  <c r="J37" i="11"/>
  <c r="J57" i="10"/>
  <c r="J59" i="9"/>
  <c r="F42" i="5"/>
  <c r="F32" i="4"/>
  <c r="F33" i="4"/>
  <c r="F43" i="5"/>
  <c r="Y83" i="30"/>
  <c r="F41" i="6"/>
  <c r="C14" i="34" s="1"/>
  <c r="AI70" i="33"/>
  <c r="AK70" i="33" s="1"/>
  <c r="R24" i="31"/>
  <c r="R25" i="31" s="1"/>
  <c r="J34" i="30"/>
  <c r="R24" i="33"/>
  <c r="R25" i="33" s="1"/>
  <c r="AO70" i="33"/>
  <c r="AE71" i="33"/>
  <c r="AE69" i="31"/>
  <c r="AO68" i="31"/>
  <c r="AI68" i="31"/>
  <c r="AE69" i="30"/>
  <c r="AI68" i="30"/>
  <c r="AO68" i="30"/>
  <c r="AO69" i="30" s="1"/>
  <c r="AE79" i="30" s="1"/>
  <c r="H38" i="29"/>
  <c r="L34" i="29"/>
  <c r="L35" i="29"/>
  <c r="R29" i="29"/>
  <c r="AE73" i="29"/>
  <c r="AI73" i="29" s="1"/>
  <c r="AM73" i="29"/>
  <c r="AM74" i="29" s="1"/>
  <c r="AM75" i="29" s="1"/>
  <c r="AM82" i="29" s="1"/>
  <c r="AK78" i="29"/>
  <c r="AE80" i="29"/>
  <c r="AO78" i="29"/>
  <c r="AK79" i="29"/>
  <c r="AO79" i="29"/>
  <c r="A325" i="38" l="1"/>
  <c r="AA82" i="29"/>
  <c r="H40" i="6"/>
  <c r="P30" i="4"/>
  <c r="D16" i="40" s="1"/>
  <c r="E16" i="40" s="1"/>
  <c r="L16" i="40" s="1"/>
  <c r="T40" i="5"/>
  <c r="F41" i="5"/>
  <c r="F31" i="4"/>
  <c r="AQ70" i="33"/>
  <c r="AO71" i="33"/>
  <c r="AE81" i="33" s="1"/>
  <c r="AI71" i="33"/>
  <c r="AK71" i="33" s="1"/>
  <c r="AK68" i="31"/>
  <c r="AI69" i="31"/>
  <c r="AK69" i="31" s="1"/>
  <c r="AQ68" i="31"/>
  <c r="AO69" i="31"/>
  <c r="AE79" i="31" s="1"/>
  <c r="AK68" i="30"/>
  <c r="AQ68" i="30"/>
  <c r="AI69" i="30"/>
  <c r="AK80" i="29"/>
  <c r="L36" i="29"/>
  <c r="R34" i="29"/>
  <c r="AI78" i="29"/>
  <c r="AO80" i="29"/>
  <c r="AO73" i="29"/>
  <c r="AO74" i="29" s="1"/>
  <c r="AK73" i="29"/>
  <c r="AI79" i="29"/>
  <c r="R35" i="29"/>
  <c r="AE74" i="29"/>
  <c r="A327" i="38" l="1"/>
  <c r="A332" i="38"/>
  <c r="H30" i="4"/>
  <c r="H40" i="5"/>
  <c r="AQ69" i="31"/>
  <c r="AQ71" i="33"/>
  <c r="AQ69" i="30"/>
  <c r="AK69" i="30"/>
  <c r="AO75" i="29"/>
  <c r="AO82" i="29"/>
  <c r="R36" i="29"/>
  <c r="AK74" i="29"/>
  <c r="AE75" i="29"/>
  <c r="AI80" i="29"/>
  <c r="T684" i="38" l="1"/>
  <c r="A334" i="38"/>
  <c r="A328" i="38"/>
  <c r="T679" i="38"/>
  <c r="E40" i="3"/>
  <c r="V40" i="5"/>
  <c r="R30" i="4"/>
  <c r="AK75" i="29"/>
  <c r="AE82" i="29"/>
  <c r="A329" i="38" l="1"/>
  <c r="T680" i="38"/>
  <c r="T686" i="38"/>
  <c r="A335" i="38"/>
  <c r="AK82" i="29"/>
  <c r="L40" i="5"/>
  <c r="J30" i="4"/>
  <c r="T687" i="38" l="1"/>
  <c r="A336" i="38"/>
  <c r="T681" i="38"/>
  <c r="A330" i="38"/>
  <c r="T682" i="38" s="1"/>
  <c r="F40" i="10"/>
  <c r="A337" i="38" l="1"/>
  <c r="T688" i="38"/>
  <c r="P45" i="4"/>
  <c r="J45" i="4"/>
  <c r="H45" i="4"/>
  <c r="L45" i="4" s="1"/>
  <c r="F45" i="4"/>
  <c r="P61" i="6"/>
  <c r="R61" i="6" s="1"/>
  <c r="G65" i="3" s="1"/>
  <c r="H61" i="6"/>
  <c r="J61" i="6" s="1"/>
  <c r="F61" i="6"/>
  <c r="V61" i="5"/>
  <c r="E65" i="3" s="1"/>
  <c r="J61" i="5"/>
  <c r="J62" i="5"/>
  <c r="J60" i="5"/>
  <c r="J59" i="5"/>
  <c r="A338" i="38" l="1"/>
  <c r="T689" i="38"/>
  <c r="I65" i="3"/>
  <c r="K65" i="3" s="1"/>
  <c r="R45" i="4"/>
  <c r="P61" i="5"/>
  <c r="Y253" i="19"/>
  <c r="AE253" i="19" s="1"/>
  <c r="Y252" i="19"/>
  <c r="Y214" i="19"/>
  <c r="AE214" i="19" s="1"/>
  <c r="Y182" i="19"/>
  <c r="Y181" i="19"/>
  <c r="Y180" i="19"/>
  <c r="AA253" i="19"/>
  <c r="AA214" i="19"/>
  <c r="H45" i="25"/>
  <c r="F45" i="25"/>
  <c r="F65" i="24"/>
  <c r="F72" i="24" s="1"/>
  <c r="H21" i="36" s="1"/>
  <c r="AC69" i="20"/>
  <c r="F34" i="20"/>
  <c r="H18" i="36" s="1"/>
  <c r="J31" i="20"/>
  <c r="L31" i="20" s="1"/>
  <c r="AC286" i="19"/>
  <c r="J132" i="19"/>
  <c r="J53" i="14"/>
  <c r="J52" i="14"/>
  <c r="J50" i="14"/>
  <c r="A340" i="38" l="1"/>
  <c r="T692" i="38" s="1"/>
  <c r="T690" i="38"/>
  <c r="L49" i="25"/>
  <c r="R49" i="25" s="1"/>
  <c r="X61" i="5"/>
  <c r="R61" i="5"/>
  <c r="H34" i="20"/>
  <c r="F48" i="12"/>
  <c r="F29" i="12"/>
  <c r="AC103" i="8"/>
  <c r="AC102" i="8"/>
  <c r="AC100" i="8"/>
  <c r="J47" i="8"/>
  <c r="J46" i="8"/>
  <c r="J44" i="8"/>
  <c r="AB76" i="7"/>
  <c r="AB75" i="7"/>
  <c r="AB73" i="7"/>
  <c r="AB72" i="7"/>
  <c r="J35" i="7"/>
  <c r="J32" i="7"/>
  <c r="J31" i="7"/>
  <c r="A10" i="6"/>
  <c r="A10" i="5"/>
  <c r="A10" i="4"/>
  <c r="R9" i="8"/>
  <c r="AO65" i="8"/>
  <c r="R9" i="9"/>
  <c r="AO81" i="9"/>
  <c r="AO79" i="10"/>
  <c r="R9" i="10"/>
  <c r="AO57" i="11"/>
  <c r="R9" i="11"/>
  <c r="R9" i="12"/>
  <c r="AO73" i="12"/>
  <c r="R9" i="13"/>
  <c r="AO61" i="13"/>
  <c r="AO73" i="14"/>
  <c r="A190" i="26"/>
  <c r="A189" i="26"/>
  <c r="A187" i="26"/>
  <c r="A185" i="26"/>
  <c r="A184" i="26"/>
  <c r="A140" i="26"/>
  <c r="A139" i="26"/>
  <c r="A137" i="26"/>
  <c r="A135" i="26"/>
  <c r="A134" i="26"/>
  <c r="A93" i="26"/>
  <c r="A92" i="26"/>
  <c r="A90" i="26"/>
  <c r="A88" i="26"/>
  <c r="A87" i="26"/>
  <c r="A41" i="26"/>
  <c r="A40" i="26"/>
  <c r="A38" i="26"/>
  <c r="A36" i="26"/>
  <c r="A35" i="26"/>
  <c r="A7" i="26"/>
  <c r="A6" i="26"/>
  <c r="A4" i="26"/>
  <c r="A2" i="26"/>
  <c r="A1" i="26"/>
  <c r="AO65" i="25"/>
  <c r="T63" i="25"/>
  <c r="T62" i="25"/>
  <c r="T61" i="25"/>
  <c r="T60" i="25"/>
  <c r="T59" i="25"/>
  <c r="T58" i="25"/>
  <c r="T57" i="25"/>
  <c r="A7" i="25"/>
  <c r="A6" i="25"/>
  <c r="A5" i="25"/>
  <c r="A4" i="25"/>
  <c r="A3" i="25"/>
  <c r="A2" i="25"/>
  <c r="A1" i="25"/>
  <c r="AO82" i="24"/>
  <c r="T80" i="24"/>
  <c r="T79" i="24"/>
  <c r="T78" i="24"/>
  <c r="T77" i="24"/>
  <c r="T76" i="24"/>
  <c r="T75" i="24"/>
  <c r="T74" i="24"/>
  <c r="A7" i="24"/>
  <c r="A6" i="24"/>
  <c r="A5" i="24"/>
  <c r="A4" i="24"/>
  <c r="A3" i="24"/>
  <c r="A2" i="24"/>
  <c r="A1" i="24"/>
  <c r="AO59" i="22"/>
  <c r="T57" i="22"/>
  <c r="T56" i="22"/>
  <c r="T55" i="22"/>
  <c r="T54" i="22"/>
  <c r="T53" i="22"/>
  <c r="T52" i="22"/>
  <c r="T51" i="22"/>
  <c r="A7" i="22"/>
  <c r="A6" i="22"/>
  <c r="A5" i="22"/>
  <c r="A4" i="22"/>
  <c r="A3" i="22"/>
  <c r="A2" i="22"/>
  <c r="A1" i="22"/>
  <c r="AO44" i="28"/>
  <c r="T42" i="28"/>
  <c r="T41" i="28"/>
  <c r="T40" i="28"/>
  <c r="T39" i="28"/>
  <c r="T38" i="28"/>
  <c r="T37" i="28"/>
  <c r="T36" i="28"/>
  <c r="A7" i="28"/>
  <c r="A6" i="28"/>
  <c r="A5" i="28"/>
  <c r="A4" i="28"/>
  <c r="A3" i="28"/>
  <c r="A2" i="28"/>
  <c r="A1" i="28"/>
  <c r="AO47" i="20"/>
  <c r="T45" i="20"/>
  <c r="T44" i="20"/>
  <c r="T43" i="20"/>
  <c r="T42" i="20"/>
  <c r="T41" i="20"/>
  <c r="T40" i="20"/>
  <c r="T39" i="20"/>
  <c r="A7" i="20"/>
  <c r="A6" i="20"/>
  <c r="A5" i="20"/>
  <c r="A4" i="20"/>
  <c r="A3" i="20"/>
  <c r="A2" i="20"/>
  <c r="A1" i="20"/>
  <c r="T230" i="19"/>
  <c r="T229" i="19"/>
  <c r="T228" i="19"/>
  <c r="T227" i="19"/>
  <c r="T226" i="19"/>
  <c r="T225" i="19"/>
  <c r="T224" i="19"/>
  <c r="AO163" i="19"/>
  <c r="T155" i="19"/>
  <c r="T161" i="19"/>
  <c r="T160" i="19"/>
  <c r="T159" i="19"/>
  <c r="T158" i="19"/>
  <c r="T157" i="19"/>
  <c r="T156" i="19"/>
  <c r="A76" i="19"/>
  <c r="A75" i="19"/>
  <c r="A74" i="19"/>
  <c r="A73" i="19"/>
  <c r="A72" i="19"/>
  <c r="A71" i="19"/>
  <c r="A70" i="19"/>
  <c r="A7" i="19"/>
  <c r="A6" i="19"/>
  <c r="A5" i="19"/>
  <c r="A4" i="19"/>
  <c r="A3" i="19"/>
  <c r="A2" i="19"/>
  <c r="A1" i="19"/>
  <c r="T71" i="14"/>
  <c r="T70" i="14"/>
  <c r="T69" i="14"/>
  <c r="T68" i="14"/>
  <c r="T67" i="14"/>
  <c r="T66" i="14"/>
  <c r="T65" i="14"/>
  <c r="A7" i="14"/>
  <c r="A6" i="14"/>
  <c r="A5" i="14"/>
  <c r="A4" i="14"/>
  <c r="A3" i="14"/>
  <c r="A2" i="14"/>
  <c r="A1" i="14"/>
  <c r="T59" i="13"/>
  <c r="T58" i="13"/>
  <c r="T57" i="13"/>
  <c r="T56" i="13"/>
  <c r="T55" i="13"/>
  <c r="T54" i="13"/>
  <c r="T53" i="13"/>
  <c r="A7" i="13"/>
  <c r="A6" i="13"/>
  <c r="A5" i="13"/>
  <c r="A4" i="13"/>
  <c r="A3" i="13"/>
  <c r="A2" i="13"/>
  <c r="A1" i="13"/>
  <c r="T71" i="12"/>
  <c r="T70" i="12"/>
  <c r="T69" i="12"/>
  <c r="T68" i="12"/>
  <c r="T67" i="12"/>
  <c r="T66" i="12"/>
  <c r="T65" i="12"/>
  <c r="A7" i="12"/>
  <c r="A6" i="12"/>
  <c r="A5" i="12"/>
  <c r="A4" i="12"/>
  <c r="A3" i="12"/>
  <c r="A2" i="12"/>
  <c r="A1" i="12"/>
  <c r="T55" i="11"/>
  <c r="T54" i="11"/>
  <c r="T53" i="11"/>
  <c r="T52" i="11"/>
  <c r="T51" i="11"/>
  <c r="T50" i="11"/>
  <c r="T49" i="11"/>
  <c r="A7" i="11"/>
  <c r="A6" i="11"/>
  <c r="A5" i="11"/>
  <c r="A4" i="11"/>
  <c r="A3" i="11"/>
  <c r="A2" i="11"/>
  <c r="A1" i="11"/>
  <c r="T77" i="10"/>
  <c r="T76" i="10"/>
  <c r="T75" i="10"/>
  <c r="T74" i="10"/>
  <c r="T73" i="10"/>
  <c r="T72" i="10"/>
  <c r="T71" i="10"/>
  <c r="A7" i="10"/>
  <c r="A6" i="10"/>
  <c r="A5" i="10"/>
  <c r="A4" i="10"/>
  <c r="A3" i="10"/>
  <c r="A2" i="10"/>
  <c r="A1" i="10"/>
  <c r="T79" i="9"/>
  <c r="T78" i="9"/>
  <c r="T77" i="9"/>
  <c r="T76" i="9"/>
  <c r="T75" i="9"/>
  <c r="T74" i="9"/>
  <c r="T73" i="9"/>
  <c r="A7" i="9"/>
  <c r="A6" i="9"/>
  <c r="A5" i="9"/>
  <c r="A4" i="9"/>
  <c r="A3" i="9"/>
  <c r="A2" i="9"/>
  <c r="A1" i="9"/>
  <c r="T63" i="8"/>
  <c r="T62" i="8"/>
  <c r="T61" i="8"/>
  <c r="T60" i="8"/>
  <c r="T59" i="8"/>
  <c r="T58" i="8"/>
  <c r="T57" i="8"/>
  <c r="A7" i="8"/>
  <c r="A6" i="8"/>
  <c r="A5" i="8"/>
  <c r="A4" i="8"/>
  <c r="A3" i="8"/>
  <c r="A2" i="8"/>
  <c r="A1" i="8"/>
  <c r="AN50" i="7"/>
  <c r="T48" i="7"/>
  <c r="T47" i="7"/>
  <c r="T46" i="7"/>
  <c r="T45" i="7"/>
  <c r="T44" i="7"/>
  <c r="T43" i="7"/>
  <c r="T42" i="7"/>
  <c r="R9" i="7"/>
  <c r="A7" i="7"/>
  <c r="A6" i="7"/>
  <c r="A5" i="7"/>
  <c r="A4" i="7"/>
  <c r="A3" i="7"/>
  <c r="A2" i="7"/>
  <c r="A1" i="7"/>
  <c r="R9" i="6"/>
  <c r="A7" i="6"/>
  <c r="A6" i="6"/>
  <c r="A5" i="6"/>
  <c r="A4" i="6"/>
  <c r="A3" i="6"/>
  <c r="A2" i="6"/>
  <c r="A1" i="6"/>
  <c r="V9" i="5"/>
  <c r="A7" i="5"/>
  <c r="A6" i="5"/>
  <c r="A5" i="5"/>
  <c r="A4" i="5"/>
  <c r="A3" i="5"/>
  <c r="A2" i="5"/>
  <c r="A1" i="5"/>
  <c r="R9" i="4"/>
  <c r="A7" i="4"/>
  <c r="A6" i="4"/>
  <c r="A5" i="4"/>
  <c r="A4" i="4"/>
  <c r="A2" i="4"/>
  <c r="A1" i="4"/>
  <c r="I10" i="3"/>
  <c r="A8" i="3"/>
  <c r="A7" i="3"/>
  <c r="A5" i="3"/>
  <c r="A4" i="3"/>
  <c r="A2" i="3"/>
  <c r="A1" i="3"/>
  <c r="O238" i="26"/>
  <c r="O237" i="26"/>
  <c r="O236" i="26"/>
  <c r="O235" i="26"/>
  <c r="O234" i="26"/>
  <c r="O233" i="26"/>
  <c r="O232" i="26"/>
  <c r="O231" i="26"/>
  <c r="O230" i="26"/>
  <c r="O229" i="26"/>
  <c r="O228" i="26"/>
  <c r="O227" i="26"/>
  <c r="O226" i="26"/>
  <c r="O225" i="26"/>
  <c r="O224" i="26"/>
  <c r="O223" i="26"/>
  <c r="O222" i="26"/>
  <c r="O221" i="26"/>
  <c r="O219" i="26"/>
  <c r="O218" i="26"/>
  <c r="O217" i="26"/>
  <c r="O216" i="26"/>
  <c r="O215" i="26"/>
  <c r="O214" i="26"/>
  <c r="O213" i="26"/>
  <c r="O212" i="26"/>
  <c r="O211" i="26"/>
  <c r="O210" i="26"/>
  <c r="O209" i="26"/>
  <c r="O208" i="26"/>
  <c r="O207" i="26"/>
  <c r="O206" i="26"/>
  <c r="O205" i="26"/>
  <c r="O204" i="26"/>
  <c r="O203" i="26"/>
  <c r="O202" i="26"/>
  <c r="O175" i="26"/>
  <c r="O174" i="26"/>
  <c r="O173" i="26"/>
  <c r="O172" i="26"/>
  <c r="O171" i="26"/>
  <c r="O170" i="26"/>
  <c r="O169" i="26"/>
  <c r="O168" i="26"/>
  <c r="O167" i="26"/>
  <c r="O166" i="26"/>
  <c r="O165" i="26"/>
  <c r="O164" i="26"/>
  <c r="O163" i="26"/>
  <c r="O162" i="26"/>
  <c r="O161" i="26"/>
  <c r="O160" i="26"/>
  <c r="O159" i="26"/>
  <c r="O158" i="26"/>
  <c r="O157" i="26"/>
  <c r="O156" i="26"/>
  <c r="O155" i="26"/>
  <c r="O154" i="26"/>
  <c r="O153" i="26"/>
  <c r="O152" i="26"/>
  <c r="O125" i="26"/>
  <c r="O124" i="26"/>
  <c r="O123" i="26"/>
  <c r="O122" i="26"/>
  <c r="O121" i="26"/>
  <c r="O120" i="26"/>
  <c r="O119" i="26"/>
  <c r="O118" i="26"/>
  <c r="O117" i="26"/>
  <c r="O116" i="26"/>
  <c r="O114" i="26"/>
  <c r="O113" i="26"/>
  <c r="O112" i="26"/>
  <c r="O111" i="26"/>
  <c r="O110" i="26"/>
  <c r="O109" i="26"/>
  <c r="O108" i="26"/>
  <c r="O107" i="26"/>
  <c r="O106" i="26"/>
  <c r="O105" i="26"/>
  <c r="F76" i="26"/>
  <c r="O78" i="26"/>
  <c r="O77" i="26"/>
  <c r="O76" i="26"/>
  <c r="O73" i="26"/>
  <c r="O72" i="26"/>
  <c r="O71" i="26"/>
  <c r="O70" i="26"/>
  <c r="O69" i="26"/>
  <c r="O68" i="26"/>
  <c r="O67" i="26"/>
  <c r="O66" i="26"/>
  <c r="O65" i="26"/>
  <c r="O64" i="26"/>
  <c r="O63" i="26"/>
  <c r="O62" i="26"/>
  <c r="O61" i="26"/>
  <c r="O60" i="26"/>
  <c r="O59" i="26"/>
  <c r="O58" i="26"/>
  <c r="O56" i="26"/>
  <c r="O55" i="26"/>
  <c r="O54" i="26"/>
  <c r="O53" i="26"/>
  <c r="J64" i="5"/>
  <c r="J58" i="5"/>
  <c r="P64" i="6"/>
  <c r="P62" i="6"/>
  <c r="P60" i="6"/>
  <c r="P59" i="6"/>
  <c r="P58" i="6"/>
  <c r="L59" i="6"/>
  <c r="P59" i="5" s="1"/>
  <c r="L58" i="6"/>
  <c r="P58" i="5" s="1"/>
  <c r="R58" i="5" s="1"/>
  <c r="A11" i="3"/>
  <c r="AA94" i="25"/>
  <c r="AA92" i="25"/>
  <c r="AA91" i="25"/>
  <c r="AA95" i="25"/>
  <c r="Y95" i="25"/>
  <c r="Y94" i="25"/>
  <c r="AA93" i="25"/>
  <c r="Y93" i="25"/>
  <c r="Y92" i="25"/>
  <c r="Y91" i="25"/>
  <c r="AA90" i="25"/>
  <c r="Y90" i="25"/>
  <c r="AA86" i="25"/>
  <c r="Y86" i="25"/>
  <c r="AE86" i="25" s="1"/>
  <c r="Y85" i="25"/>
  <c r="AA84" i="25"/>
  <c r="Y84" i="25"/>
  <c r="AY86" i="25"/>
  <c r="AX86" i="25"/>
  <c r="AU86" i="25" s="1"/>
  <c r="AY85" i="25"/>
  <c r="AX85" i="25"/>
  <c r="AU85" i="25" s="1"/>
  <c r="AY84" i="25"/>
  <c r="AX84" i="25"/>
  <c r="AU84" i="25" s="1"/>
  <c r="AU56" i="28"/>
  <c r="AY53" i="28"/>
  <c r="AX53" i="28"/>
  <c r="T44" i="28"/>
  <c r="R9" i="28"/>
  <c r="A9" i="28"/>
  <c r="Y255" i="19"/>
  <c r="AE255" i="19" s="1"/>
  <c r="AX255" i="19"/>
  <c r="AT255" i="19" s="1"/>
  <c r="AY255" i="19"/>
  <c r="T296" i="19"/>
  <c r="T295" i="19"/>
  <c r="A143" i="19"/>
  <c r="A142" i="19"/>
  <c r="Y210" i="19"/>
  <c r="AE210" i="19" s="1"/>
  <c r="AY201" i="19"/>
  <c r="AX201" i="19"/>
  <c r="AT201" i="19" s="1"/>
  <c r="AY261" i="19"/>
  <c r="AX261" i="19"/>
  <c r="AT261" i="19" s="1"/>
  <c r="Y261" i="19"/>
  <c r="AE261" i="19" s="1"/>
  <c r="Y260" i="19"/>
  <c r="AE260" i="19" s="1"/>
  <c r="AY252" i="19"/>
  <c r="AX252" i="19"/>
  <c r="AT252" i="19" s="1"/>
  <c r="AE252" i="19"/>
  <c r="AY250" i="19"/>
  <c r="AX250" i="19"/>
  <c r="AT250" i="19" s="1"/>
  <c r="Y250" i="19"/>
  <c r="AE250" i="19" s="1"/>
  <c r="AY247" i="19"/>
  <c r="AX247" i="19"/>
  <c r="AT247" i="19" s="1"/>
  <c r="Y247" i="19"/>
  <c r="AE247" i="19" s="1"/>
  <c r="AA261" i="19"/>
  <c r="AA260" i="19"/>
  <c r="AA252" i="19"/>
  <c r="AA250" i="19"/>
  <c r="AA247" i="19"/>
  <c r="AA210" i="19"/>
  <c r="AY210" i="19"/>
  <c r="AX210" i="19"/>
  <c r="AT210" i="19" s="1"/>
  <c r="A65" i="19"/>
  <c r="A64" i="19"/>
  <c r="T219" i="19"/>
  <c r="T218" i="19"/>
  <c r="AY263" i="19"/>
  <c r="AX263" i="19"/>
  <c r="AT263" i="19" s="1"/>
  <c r="Y263" i="19"/>
  <c r="AE263" i="19" s="1"/>
  <c r="AY262" i="19"/>
  <c r="AX262" i="19"/>
  <c r="AT262" i="19" s="1"/>
  <c r="Y262" i="19"/>
  <c r="AA264" i="19"/>
  <c r="AA263" i="19"/>
  <c r="AA262" i="19"/>
  <c r="Y264" i="19"/>
  <c r="Y258" i="19"/>
  <c r="AA258" i="19"/>
  <c r="AA255" i="19"/>
  <c r="Y201" i="19"/>
  <c r="AA201" i="19"/>
  <c r="AA182" i="19"/>
  <c r="AA181" i="19"/>
  <c r="AA180" i="19"/>
  <c r="J35" i="14"/>
  <c r="AC121" i="10"/>
  <c r="AC116" i="10"/>
  <c r="AC115" i="10"/>
  <c r="AC99" i="10"/>
  <c r="AC98" i="10"/>
  <c r="AC105" i="10"/>
  <c r="AC104" i="10"/>
  <c r="T74" i="14"/>
  <c r="A10" i="14"/>
  <c r="T62" i="13"/>
  <c r="A10" i="13"/>
  <c r="T74" i="12"/>
  <c r="A10" i="12"/>
  <c r="T58" i="11"/>
  <c r="A10" i="11"/>
  <c r="T80" i="10"/>
  <c r="A10" i="10"/>
  <c r="T82" i="9"/>
  <c r="A10" i="9"/>
  <c r="A10" i="8"/>
  <c r="T66" i="8"/>
  <c r="T51" i="7"/>
  <c r="A10" i="7"/>
  <c r="C29" i="26"/>
  <c r="F26" i="26"/>
  <c r="F25" i="26"/>
  <c r="F23" i="26"/>
  <c r="F22" i="26"/>
  <c r="F21" i="26"/>
  <c r="C28" i="26"/>
  <c r="F20" i="26"/>
  <c r="C13" i="27"/>
  <c r="C12" i="27"/>
  <c r="C11" i="27"/>
  <c r="C10" i="27"/>
  <c r="C9" i="27"/>
  <c r="C8" i="27"/>
  <c r="C7" i="27"/>
  <c r="B13" i="27"/>
  <c r="B12" i="27"/>
  <c r="B11" i="27"/>
  <c r="B10" i="27"/>
  <c r="B9" i="27"/>
  <c r="B8" i="27"/>
  <c r="B7" i="27"/>
  <c r="I18" i="36" l="1"/>
  <c r="J18" i="36" s="1"/>
  <c r="I18" i="41"/>
  <c r="J18" i="41" s="1"/>
  <c r="J57" i="40"/>
  <c r="P42" i="19"/>
  <c r="R31" i="20"/>
  <c r="AE84" i="25"/>
  <c r="AE85" i="25"/>
  <c r="AK252" i="19"/>
  <c r="AE262" i="19"/>
  <c r="AE201" i="19"/>
  <c r="AK201" i="19" s="1"/>
  <c r="F7" i="27"/>
  <c r="F8" i="27"/>
  <c r="B21" i="27"/>
  <c r="C21" i="27"/>
  <c r="F21" i="27"/>
  <c r="G21" i="27"/>
  <c r="H21" i="27"/>
  <c r="K21" i="27"/>
  <c r="L21" i="27"/>
  <c r="P21" i="27"/>
  <c r="Q21" i="27"/>
  <c r="B22" i="27"/>
  <c r="C22" i="27"/>
  <c r="F22" i="27"/>
  <c r="G22" i="27"/>
  <c r="H22" i="27"/>
  <c r="K22" i="27"/>
  <c r="L22" i="27"/>
  <c r="P22" i="27"/>
  <c r="Q22" i="27"/>
  <c r="B23" i="27"/>
  <c r="C23" i="27"/>
  <c r="F23" i="27"/>
  <c r="G23" i="27"/>
  <c r="H23" i="27"/>
  <c r="K23" i="27"/>
  <c r="L23" i="27"/>
  <c r="P23" i="27"/>
  <c r="Q23" i="27"/>
  <c r="B24" i="27"/>
  <c r="C24" i="27"/>
  <c r="F24" i="27"/>
  <c r="G24" i="27"/>
  <c r="H24" i="27"/>
  <c r="K24" i="27"/>
  <c r="L24" i="27"/>
  <c r="P24" i="27"/>
  <c r="Q24" i="27"/>
  <c r="B25" i="27"/>
  <c r="C25" i="27"/>
  <c r="F25" i="27"/>
  <c r="G25" i="27"/>
  <c r="H25" i="27"/>
  <c r="K25" i="27"/>
  <c r="L25" i="27"/>
  <c r="Q25" i="27"/>
  <c r="B26" i="27"/>
  <c r="C26" i="27"/>
  <c r="F26" i="27"/>
  <c r="G26" i="27"/>
  <c r="H26" i="27"/>
  <c r="K26" i="27"/>
  <c r="L26" i="27"/>
  <c r="Q26" i="27"/>
  <c r="B27" i="27"/>
  <c r="C27" i="27"/>
  <c r="F27" i="27"/>
  <c r="G27" i="27"/>
  <c r="H27" i="27"/>
  <c r="K27" i="27"/>
  <c r="L27" i="27"/>
  <c r="Q27" i="27"/>
  <c r="B28" i="27"/>
  <c r="C28" i="27"/>
  <c r="F28" i="27"/>
  <c r="G28" i="27"/>
  <c r="H28" i="27"/>
  <c r="K28" i="27"/>
  <c r="L28" i="27"/>
  <c r="Q28" i="27"/>
  <c r="B29" i="27"/>
  <c r="C29" i="27"/>
  <c r="F29" i="27"/>
  <c r="G29" i="27"/>
  <c r="H29" i="27"/>
  <c r="K29" i="27"/>
  <c r="L29" i="27"/>
  <c r="Q29" i="27"/>
  <c r="B30" i="27"/>
  <c r="C30" i="27"/>
  <c r="F30" i="27"/>
  <c r="G30" i="27"/>
  <c r="H30" i="27"/>
  <c r="K30" i="27"/>
  <c r="L30" i="27"/>
  <c r="Q30" i="27"/>
  <c r="B31" i="27"/>
  <c r="C31" i="27"/>
  <c r="F31" i="27"/>
  <c r="G31" i="27"/>
  <c r="H31" i="27"/>
  <c r="K31" i="27"/>
  <c r="L31" i="27"/>
  <c r="Q31" i="27"/>
  <c r="B32" i="27"/>
  <c r="C32" i="27"/>
  <c r="F32" i="27"/>
  <c r="G32" i="27"/>
  <c r="H32" i="27"/>
  <c r="K32" i="27"/>
  <c r="L32" i="27"/>
  <c r="B33" i="27"/>
  <c r="C33" i="27"/>
  <c r="F33" i="27"/>
  <c r="G33" i="27"/>
  <c r="H33" i="27"/>
  <c r="K33" i="27"/>
  <c r="L33" i="27"/>
  <c r="Q33" i="27"/>
  <c r="B34" i="27"/>
  <c r="C34" i="27"/>
  <c r="F34" i="27"/>
  <c r="G34" i="27"/>
  <c r="H34" i="27"/>
  <c r="K34" i="27"/>
  <c r="L34" i="27"/>
  <c r="Q34" i="27"/>
  <c r="B35" i="27"/>
  <c r="C35" i="27"/>
  <c r="F35" i="27"/>
  <c r="G35" i="27"/>
  <c r="H35" i="27"/>
  <c r="K35" i="27"/>
  <c r="L35" i="27"/>
  <c r="B36" i="27"/>
  <c r="C36" i="27"/>
  <c r="F36" i="27"/>
  <c r="G36" i="27"/>
  <c r="H36" i="27"/>
  <c r="K36" i="27"/>
  <c r="L36" i="27"/>
  <c r="Q36" i="27"/>
  <c r="B37" i="27"/>
  <c r="C37" i="27"/>
  <c r="F37" i="27"/>
  <c r="G37" i="27"/>
  <c r="H37" i="27"/>
  <c r="K37" i="27"/>
  <c r="L37" i="27"/>
  <c r="Q37" i="27"/>
  <c r="B38" i="27"/>
  <c r="C38" i="27"/>
  <c r="F38" i="27"/>
  <c r="G38" i="27"/>
  <c r="H38" i="27"/>
  <c r="K38" i="27"/>
  <c r="L38" i="27"/>
  <c r="B39" i="27"/>
  <c r="C39" i="27"/>
  <c r="F39" i="27"/>
  <c r="G39" i="27"/>
  <c r="H39" i="27"/>
  <c r="K39" i="27"/>
  <c r="L39" i="27"/>
  <c r="Q39" i="27"/>
  <c r="B40" i="27"/>
  <c r="C40" i="27"/>
  <c r="F40" i="27"/>
  <c r="G40" i="27"/>
  <c r="H40" i="27"/>
  <c r="K40" i="27"/>
  <c r="L40" i="27"/>
  <c r="B41" i="27"/>
  <c r="C41" i="27"/>
  <c r="F41" i="27"/>
  <c r="G41" i="27"/>
  <c r="H41" i="27"/>
  <c r="K41" i="27"/>
  <c r="L41" i="27"/>
  <c r="B45" i="27"/>
  <c r="F45" i="27"/>
  <c r="K45" i="27"/>
  <c r="B46" i="27"/>
  <c r="F46" i="27"/>
  <c r="K46" i="27"/>
  <c r="B47" i="27"/>
  <c r="F47" i="27"/>
  <c r="K47" i="27"/>
  <c r="A9" i="26"/>
  <c r="Q9" i="26"/>
  <c r="K20" i="26"/>
  <c r="L20" i="26"/>
  <c r="O20" i="26"/>
  <c r="K21" i="26"/>
  <c r="L21" i="26"/>
  <c r="O21" i="26"/>
  <c r="K22" i="26"/>
  <c r="L22" i="26"/>
  <c r="O22" i="26"/>
  <c r="K23" i="26"/>
  <c r="L23" i="26"/>
  <c r="O23" i="26"/>
  <c r="K24" i="26"/>
  <c r="L24" i="26"/>
  <c r="O24" i="26"/>
  <c r="K25" i="26"/>
  <c r="L25" i="26"/>
  <c r="O25" i="26"/>
  <c r="K26" i="26"/>
  <c r="L26" i="26"/>
  <c r="O26" i="26"/>
  <c r="C30" i="26"/>
  <c r="A43" i="26"/>
  <c r="Q43" i="26"/>
  <c r="K53" i="26"/>
  <c r="L53" i="26"/>
  <c r="K54" i="26"/>
  <c r="L54" i="26"/>
  <c r="K55" i="26"/>
  <c r="L55" i="26"/>
  <c r="K56" i="26"/>
  <c r="L56" i="26"/>
  <c r="K58" i="26"/>
  <c r="L58" i="26"/>
  <c r="K59" i="26"/>
  <c r="L59" i="26"/>
  <c r="K60" i="26"/>
  <c r="L60" i="26"/>
  <c r="K61" i="26"/>
  <c r="L61" i="26"/>
  <c r="K62" i="26"/>
  <c r="L62" i="26"/>
  <c r="K63" i="26"/>
  <c r="L63" i="26"/>
  <c r="K64" i="26"/>
  <c r="L64" i="26"/>
  <c r="K65" i="26"/>
  <c r="L65" i="26"/>
  <c r="K66" i="26"/>
  <c r="L66" i="26"/>
  <c r="K67" i="26"/>
  <c r="L67" i="26"/>
  <c r="K68" i="26"/>
  <c r="L68" i="26"/>
  <c r="K69" i="26"/>
  <c r="L69" i="26"/>
  <c r="K70" i="26"/>
  <c r="L70" i="26"/>
  <c r="K71" i="26"/>
  <c r="L71" i="26"/>
  <c r="K72" i="26"/>
  <c r="L72" i="26"/>
  <c r="K73" i="26"/>
  <c r="L73" i="26"/>
  <c r="K76" i="26"/>
  <c r="L76" i="26"/>
  <c r="M76" i="26" s="1"/>
  <c r="F77" i="26"/>
  <c r="K77" i="26"/>
  <c r="L77" i="26"/>
  <c r="F78" i="26"/>
  <c r="K78" i="26"/>
  <c r="L78" i="26"/>
  <c r="A95" i="26"/>
  <c r="Q95" i="26"/>
  <c r="K105" i="26"/>
  <c r="L105" i="26"/>
  <c r="K106" i="26"/>
  <c r="L106" i="26"/>
  <c r="K107" i="26"/>
  <c r="L107" i="26"/>
  <c r="K108" i="26"/>
  <c r="L108" i="26"/>
  <c r="K109" i="26"/>
  <c r="L109" i="26"/>
  <c r="K110" i="26"/>
  <c r="L110" i="26"/>
  <c r="K111" i="26"/>
  <c r="L111" i="26"/>
  <c r="K112" i="26"/>
  <c r="L112" i="26"/>
  <c r="K113" i="26"/>
  <c r="L113" i="26"/>
  <c r="K114" i="26"/>
  <c r="L114" i="26"/>
  <c r="K116" i="26"/>
  <c r="L116" i="26"/>
  <c r="K117" i="26"/>
  <c r="L117" i="26"/>
  <c r="K118" i="26"/>
  <c r="L118" i="26"/>
  <c r="K119" i="26"/>
  <c r="L119" i="26"/>
  <c r="K120" i="26"/>
  <c r="L120" i="26"/>
  <c r="K121" i="26"/>
  <c r="L121" i="26"/>
  <c r="K122" i="26"/>
  <c r="L122" i="26"/>
  <c r="K123" i="26"/>
  <c r="L123" i="26"/>
  <c r="K124" i="26"/>
  <c r="L124" i="26"/>
  <c r="K125" i="26"/>
  <c r="L125" i="26"/>
  <c r="A142" i="26"/>
  <c r="Q142" i="26"/>
  <c r="F152" i="26"/>
  <c r="K152" i="26"/>
  <c r="L152" i="26"/>
  <c r="F153" i="26"/>
  <c r="K153" i="26"/>
  <c r="L153" i="26"/>
  <c r="F154" i="26"/>
  <c r="K154" i="26"/>
  <c r="L154" i="26"/>
  <c r="F155" i="26"/>
  <c r="K155" i="26"/>
  <c r="L155" i="26"/>
  <c r="F156" i="26"/>
  <c r="K156" i="26"/>
  <c r="L156" i="26"/>
  <c r="M156" i="26" s="1"/>
  <c r="F157" i="26"/>
  <c r="K157" i="26"/>
  <c r="L157" i="26"/>
  <c r="F158" i="26"/>
  <c r="K158" i="26"/>
  <c r="L158" i="26"/>
  <c r="F159" i="26"/>
  <c r="K159" i="26"/>
  <c r="L159" i="26"/>
  <c r="M159" i="26" s="1"/>
  <c r="F160" i="26"/>
  <c r="K160" i="26"/>
  <c r="L160" i="26"/>
  <c r="F161" i="26"/>
  <c r="K161" i="26"/>
  <c r="L161" i="26"/>
  <c r="F162" i="26"/>
  <c r="K162" i="26"/>
  <c r="L162" i="26"/>
  <c r="F163" i="26"/>
  <c r="K163" i="26"/>
  <c r="L163" i="26"/>
  <c r="F164" i="26"/>
  <c r="K164" i="26"/>
  <c r="L164" i="26"/>
  <c r="F165" i="26"/>
  <c r="K165" i="26"/>
  <c r="L165" i="26"/>
  <c r="F166" i="26"/>
  <c r="K166" i="26"/>
  <c r="L166" i="26"/>
  <c r="F167" i="26"/>
  <c r="K167" i="26"/>
  <c r="L167" i="26"/>
  <c r="M167" i="26" s="1"/>
  <c r="F168" i="26"/>
  <c r="K168" i="26"/>
  <c r="L168" i="26"/>
  <c r="F169" i="26"/>
  <c r="K169" i="26"/>
  <c r="L169" i="26"/>
  <c r="F170" i="26"/>
  <c r="K170" i="26"/>
  <c r="L170" i="26"/>
  <c r="F171" i="26"/>
  <c r="K171" i="26"/>
  <c r="L171" i="26"/>
  <c r="F172" i="26"/>
  <c r="K172" i="26"/>
  <c r="L172" i="26"/>
  <c r="F173" i="26"/>
  <c r="K173" i="26"/>
  <c r="L173" i="26"/>
  <c r="F174" i="26"/>
  <c r="K174" i="26"/>
  <c r="L174" i="26"/>
  <c r="F175" i="26"/>
  <c r="K175" i="26"/>
  <c r="L175" i="26"/>
  <c r="M175" i="26" s="1"/>
  <c r="C178" i="26"/>
  <c r="C179" i="26"/>
  <c r="A192" i="26"/>
  <c r="Q192" i="26"/>
  <c r="K202" i="26"/>
  <c r="L202" i="26"/>
  <c r="K203" i="26"/>
  <c r="L203" i="26"/>
  <c r="K204" i="26"/>
  <c r="L204" i="26"/>
  <c r="K205" i="26"/>
  <c r="L205" i="26"/>
  <c r="K206" i="26"/>
  <c r="L206" i="26"/>
  <c r="K207" i="26"/>
  <c r="L207" i="26"/>
  <c r="K208" i="26"/>
  <c r="L208" i="26"/>
  <c r="K209" i="26"/>
  <c r="L209" i="26"/>
  <c r="K210" i="26"/>
  <c r="L210" i="26"/>
  <c r="K211" i="26"/>
  <c r="L211" i="26"/>
  <c r="K212" i="26"/>
  <c r="L212" i="26"/>
  <c r="K213" i="26"/>
  <c r="L213" i="26"/>
  <c r="K214" i="26"/>
  <c r="L214" i="26"/>
  <c r="K215" i="26"/>
  <c r="L215" i="26"/>
  <c r="K216" i="26"/>
  <c r="L216" i="26"/>
  <c r="K217" i="26"/>
  <c r="L217" i="26"/>
  <c r="K218" i="26"/>
  <c r="L218" i="26"/>
  <c r="K219" i="26"/>
  <c r="L219" i="26"/>
  <c r="K221" i="26"/>
  <c r="L221" i="26"/>
  <c r="K222" i="26"/>
  <c r="L222" i="26"/>
  <c r="K223" i="26"/>
  <c r="L223" i="26"/>
  <c r="K224" i="26"/>
  <c r="L224" i="26"/>
  <c r="K225" i="26"/>
  <c r="L225" i="26"/>
  <c r="K226" i="26"/>
  <c r="L226" i="26"/>
  <c r="K227" i="26"/>
  <c r="L227" i="26"/>
  <c r="K228" i="26"/>
  <c r="L228" i="26"/>
  <c r="K229" i="26"/>
  <c r="L229" i="26"/>
  <c r="K230" i="26"/>
  <c r="L230" i="26"/>
  <c r="K231" i="26"/>
  <c r="L231" i="26"/>
  <c r="K232" i="26"/>
  <c r="L232" i="26"/>
  <c r="K233" i="26"/>
  <c r="L233" i="26"/>
  <c r="K234" i="26"/>
  <c r="L234" i="26"/>
  <c r="K235" i="26"/>
  <c r="L235" i="26"/>
  <c r="K236" i="26"/>
  <c r="L236" i="26"/>
  <c r="K237" i="26"/>
  <c r="L237" i="26"/>
  <c r="K238" i="26"/>
  <c r="L238" i="26"/>
  <c r="A9" i="25"/>
  <c r="R9" i="25"/>
  <c r="AA85" i="25"/>
  <c r="F52" i="25"/>
  <c r="H52" i="25"/>
  <c r="I22" i="36" s="1"/>
  <c r="C55" i="25"/>
  <c r="C56" i="25"/>
  <c r="T65" i="25"/>
  <c r="AX72" i="25"/>
  <c r="AY72" i="25"/>
  <c r="Y78" i="25"/>
  <c r="AA78" i="25"/>
  <c r="AW78" i="25"/>
  <c r="AX78" i="25" s="1"/>
  <c r="AU78" i="25" s="1"/>
  <c r="Y79" i="25"/>
  <c r="AA79" i="25"/>
  <c r="AX79" i="25"/>
  <c r="AU79" i="25" s="1"/>
  <c r="AY79" i="25"/>
  <c r="Y80" i="25"/>
  <c r="AA80" i="25"/>
  <c r="AX80" i="25"/>
  <c r="AU80" i="25" s="1"/>
  <c r="AY80" i="25"/>
  <c r="Y81" i="25"/>
  <c r="AA81" i="25"/>
  <c r="AX81" i="25"/>
  <c r="AU81" i="25" s="1"/>
  <c r="AY81" i="25"/>
  <c r="Y89" i="25"/>
  <c r="AA89" i="25"/>
  <c r="AX89" i="25"/>
  <c r="AU89" i="25" s="1"/>
  <c r="AY89" i="25"/>
  <c r="AX94" i="25"/>
  <c r="AE94" i="25" s="1"/>
  <c r="AY94" i="25"/>
  <c r="AX90" i="25"/>
  <c r="AY90" i="25"/>
  <c r="AX91" i="25"/>
  <c r="AU91" i="25" s="1"/>
  <c r="AY91" i="25"/>
  <c r="AX92" i="25"/>
  <c r="AY92" i="25"/>
  <c r="AX95" i="25"/>
  <c r="AU95" i="25" s="1"/>
  <c r="AY95" i="25"/>
  <c r="AX93" i="25"/>
  <c r="AY93" i="25"/>
  <c r="Y98" i="25"/>
  <c r="AA98" i="25"/>
  <c r="AX98" i="25"/>
  <c r="AU98" i="25" s="1"/>
  <c r="AY98" i="25"/>
  <c r="Y99" i="25"/>
  <c r="AA99" i="25"/>
  <c r="AX99" i="25"/>
  <c r="AY99" i="25"/>
  <c r="Y100" i="25"/>
  <c r="AA100" i="25"/>
  <c r="AX100" i="25"/>
  <c r="AU100" i="25" s="1"/>
  <c r="AY100" i="25"/>
  <c r="V111" i="25"/>
  <c r="V112" i="25"/>
  <c r="A9" i="24"/>
  <c r="R9" i="24"/>
  <c r="AA107" i="24"/>
  <c r="AA109" i="24"/>
  <c r="AA114" i="24"/>
  <c r="AA116" i="24"/>
  <c r="AA120" i="24"/>
  <c r="AA124" i="24"/>
  <c r="AA126" i="24"/>
  <c r="AW53" i="24"/>
  <c r="AX53" i="24" s="1"/>
  <c r="AA128" i="24"/>
  <c r="AX57" i="24"/>
  <c r="AY57" i="24"/>
  <c r="AA134" i="24"/>
  <c r="C75" i="24"/>
  <c r="C76" i="24"/>
  <c r="T82" i="24"/>
  <c r="Y95" i="24"/>
  <c r="AA95" i="24"/>
  <c r="AX95" i="24"/>
  <c r="AU95" i="24" s="1"/>
  <c r="AY95" i="24"/>
  <c r="Y96" i="24"/>
  <c r="AA96" i="24"/>
  <c r="AX96" i="24"/>
  <c r="AY96" i="24"/>
  <c r="Y97" i="24"/>
  <c r="AA97" i="24"/>
  <c r="AX97" i="24"/>
  <c r="AU97" i="24" s="1"/>
  <c r="AY97" i="24"/>
  <c r="Y100" i="24"/>
  <c r="AA100" i="24"/>
  <c r="AX100" i="24"/>
  <c r="AY100" i="24"/>
  <c r="Y101" i="24"/>
  <c r="AA101" i="24"/>
  <c r="AX101" i="24"/>
  <c r="AU101" i="24" s="1"/>
  <c r="AY101" i="24"/>
  <c r="Y102" i="24"/>
  <c r="AA102" i="24"/>
  <c r="AX102" i="24"/>
  <c r="AY102" i="24"/>
  <c r="Y105" i="24"/>
  <c r="AA105" i="24"/>
  <c r="AW105" i="24"/>
  <c r="AX105" i="24" s="1"/>
  <c r="AU105" i="24" s="1"/>
  <c r="Y106" i="24"/>
  <c r="AA106" i="24"/>
  <c r="AX106" i="24"/>
  <c r="AU106" i="24" s="1"/>
  <c r="AY106" i="24"/>
  <c r="Y107" i="24"/>
  <c r="AX107" i="24"/>
  <c r="AY107" i="24"/>
  <c r="Y108" i="24"/>
  <c r="AA108" i="24"/>
  <c r="AX108" i="24"/>
  <c r="AU108" i="24" s="1"/>
  <c r="AY108" i="24"/>
  <c r="Y109" i="24"/>
  <c r="AX109" i="24"/>
  <c r="AY109" i="24"/>
  <c r="Y113" i="24"/>
  <c r="AA113" i="24"/>
  <c r="AX113" i="24"/>
  <c r="AU113" i="24" s="1"/>
  <c r="AY113" i="24"/>
  <c r="Y114" i="24"/>
  <c r="AX114" i="24"/>
  <c r="AY114" i="24"/>
  <c r="Y115" i="24"/>
  <c r="AA115" i="24"/>
  <c r="AX115" i="24"/>
  <c r="AU115" i="24" s="1"/>
  <c r="AY115" i="24"/>
  <c r="Y116" i="24"/>
  <c r="AX116" i="24"/>
  <c r="AY116" i="24"/>
  <c r="Y119" i="24"/>
  <c r="AA119" i="24"/>
  <c r="AX119" i="24"/>
  <c r="AU119" i="24" s="1"/>
  <c r="AY119" i="24"/>
  <c r="Y120" i="24"/>
  <c r="AX120" i="24"/>
  <c r="AY120" i="24"/>
  <c r="Y121" i="24"/>
  <c r="AA121" i="24"/>
  <c r="AX121" i="24"/>
  <c r="AU121" i="24" s="1"/>
  <c r="AY121" i="24"/>
  <c r="Y124" i="24"/>
  <c r="AX124" i="24"/>
  <c r="AY124" i="24"/>
  <c r="Y125" i="24"/>
  <c r="AA125" i="24"/>
  <c r="AX125" i="24"/>
  <c r="AU125" i="24" s="1"/>
  <c r="AY125" i="24"/>
  <c r="Y126" i="24"/>
  <c r="AX126" i="24"/>
  <c r="AY126" i="24"/>
  <c r="Y127" i="24"/>
  <c r="AA127" i="24"/>
  <c r="AX127" i="24"/>
  <c r="AU127" i="24" s="1"/>
  <c r="AY127" i="24"/>
  <c r="Y128" i="24"/>
  <c r="AX128" i="24"/>
  <c r="AY128" i="24"/>
  <c r="Y129" i="24"/>
  <c r="AA129" i="24"/>
  <c r="AX129" i="24"/>
  <c r="AU129" i="24" s="1"/>
  <c r="AY129" i="24"/>
  <c r="Y130" i="24"/>
  <c r="AA130" i="24"/>
  <c r="AX130" i="24"/>
  <c r="AY130" i="24"/>
  <c r="Y133" i="24"/>
  <c r="AA133" i="24"/>
  <c r="AX133" i="24"/>
  <c r="AU133" i="24" s="1"/>
  <c r="AY133" i="24"/>
  <c r="Y134" i="24"/>
  <c r="AX134" i="24"/>
  <c r="AY134" i="24"/>
  <c r="AX136" i="24"/>
  <c r="AY136" i="24"/>
  <c r="Y137" i="24"/>
  <c r="AA137" i="24"/>
  <c r="AE137" i="24" s="1"/>
  <c r="V148" i="24"/>
  <c r="V149" i="24"/>
  <c r="A9" i="22"/>
  <c r="R9" i="22"/>
  <c r="H31" i="22"/>
  <c r="F37" i="22"/>
  <c r="H37" i="22"/>
  <c r="C48" i="22"/>
  <c r="C49" i="22"/>
  <c r="T59" i="22"/>
  <c r="Y72" i="22"/>
  <c r="AA72" i="22"/>
  <c r="AX72" i="22"/>
  <c r="AU72" i="22" s="1"/>
  <c r="AY72" i="22"/>
  <c r="Y73" i="22"/>
  <c r="AA73" i="22"/>
  <c r="AX73" i="22"/>
  <c r="AY73" i="22"/>
  <c r="Y76" i="22"/>
  <c r="AA76" i="22"/>
  <c r="AX76" i="22"/>
  <c r="AU76" i="22" s="1"/>
  <c r="AY76" i="22"/>
  <c r="Y78" i="22"/>
  <c r="AA78" i="22"/>
  <c r="AX78" i="22"/>
  <c r="AY78" i="22"/>
  <c r="Y79" i="22"/>
  <c r="AA79" i="22"/>
  <c r="AX79" i="22"/>
  <c r="AU79" i="22" s="1"/>
  <c r="AY79" i="22"/>
  <c r="Y80" i="22"/>
  <c r="AA80" i="22"/>
  <c r="AX80" i="22"/>
  <c r="AY80" i="22"/>
  <c r="Y85" i="22"/>
  <c r="AA85" i="22"/>
  <c r="AX85" i="22"/>
  <c r="AY85" i="22"/>
  <c r="Y86" i="22"/>
  <c r="AA86" i="22"/>
  <c r="AX86" i="22"/>
  <c r="AU86" i="22" s="1"/>
  <c r="AY86" i="22"/>
  <c r="V98" i="22"/>
  <c r="V99" i="22"/>
  <c r="A9" i="20"/>
  <c r="R9" i="20"/>
  <c r="C37" i="20"/>
  <c r="C38" i="20"/>
  <c r="T47" i="20"/>
  <c r="AE62" i="20"/>
  <c r="AE65" i="20" s="1"/>
  <c r="Y72" i="20"/>
  <c r="F48" i="5" s="1"/>
  <c r="V75" i="20"/>
  <c r="V76" i="20"/>
  <c r="A9" i="19"/>
  <c r="R9" i="19"/>
  <c r="A78" i="19"/>
  <c r="R78" i="19"/>
  <c r="F139" i="19"/>
  <c r="F138" i="19"/>
  <c r="T163" i="19"/>
  <c r="AX171" i="19"/>
  <c r="AY171" i="19"/>
  <c r="Y176" i="19"/>
  <c r="AA176" i="19"/>
  <c r="AW176" i="19"/>
  <c r="AX176" i="19" s="1"/>
  <c r="AT176" i="19" s="1"/>
  <c r="Y175" i="19"/>
  <c r="AA175" i="19"/>
  <c r="AW175" i="19"/>
  <c r="AX175" i="19" s="1"/>
  <c r="Y177" i="19"/>
  <c r="AA177" i="19"/>
  <c r="AX177" i="19"/>
  <c r="AT177" i="19" s="1"/>
  <c r="AY177" i="19"/>
  <c r="Y178" i="19"/>
  <c r="AE178" i="19" s="1"/>
  <c r="AA178" i="19"/>
  <c r="AX178" i="19"/>
  <c r="AT178" i="19" s="1"/>
  <c r="AY178" i="19"/>
  <c r="AX180" i="19"/>
  <c r="AT180" i="19" s="1"/>
  <c r="AY180" i="19"/>
  <c r="AX181" i="19"/>
  <c r="AT181" i="19" s="1"/>
  <c r="AY181" i="19"/>
  <c r="AX182" i="19"/>
  <c r="AT182" i="19" s="1"/>
  <c r="AY182" i="19"/>
  <c r="Y185" i="19"/>
  <c r="AA185" i="19"/>
  <c r="AX185" i="19"/>
  <c r="AT185" i="19" s="1"/>
  <c r="AY185" i="19"/>
  <c r="Y184" i="19"/>
  <c r="AA184" i="19"/>
  <c r="AX184" i="19"/>
  <c r="AT184" i="19" s="1"/>
  <c r="AY184" i="19"/>
  <c r="Y186" i="19"/>
  <c r="AA186" i="19"/>
  <c r="AX186" i="19"/>
  <c r="AT186" i="19" s="1"/>
  <c r="AY186" i="19"/>
  <c r="Y187" i="19"/>
  <c r="AA187" i="19"/>
  <c r="AX187" i="19"/>
  <c r="AT187" i="19" s="1"/>
  <c r="AY187" i="19"/>
  <c r="Y188" i="19"/>
  <c r="AA188" i="19"/>
  <c r="AX188" i="19"/>
  <c r="AT188" i="19" s="1"/>
  <c r="AY188" i="19"/>
  <c r="AX189" i="19"/>
  <c r="AT189" i="19" s="1"/>
  <c r="AY189" i="19"/>
  <c r="Y189" i="19"/>
  <c r="AA189" i="19"/>
  <c r="Y191" i="19"/>
  <c r="AA191" i="19"/>
  <c r="AX191" i="19"/>
  <c r="AT191" i="19" s="1"/>
  <c r="AY191" i="19"/>
  <c r="Y192" i="19"/>
  <c r="AA192" i="19"/>
  <c r="AX192" i="19"/>
  <c r="AY192" i="19"/>
  <c r="Y193" i="19"/>
  <c r="AA193" i="19"/>
  <c r="AX193" i="19"/>
  <c r="AY193" i="19"/>
  <c r="Y194" i="19"/>
  <c r="AA194" i="19"/>
  <c r="AX194" i="19"/>
  <c r="AY194" i="19"/>
  <c r="T232" i="19"/>
  <c r="AO232" i="19"/>
  <c r="Y200" i="19"/>
  <c r="AA200" i="19"/>
  <c r="AX200" i="19"/>
  <c r="AY200" i="19"/>
  <c r="Y202" i="19"/>
  <c r="AA202" i="19"/>
  <c r="AX202" i="19"/>
  <c r="AY202" i="19"/>
  <c r="Y203" i="19"/>
  <c r="AA203" i="19"/>
  <c r="AX203" i="19"/>
  <c r="AY203" i="19"/>
  <c r="Y205" i="19"/>
  <c r="AA205" i="19"/>
  <c r="AX205" i="19"/>
  <c r="AY205" i="19"/>
  <c r="Y206" i="19"/>
  <c r="AA206" i="19"/>
  <c r="AX206" i="19"/>
  <c r="AT206" i="19" s="1"/>
  <c r="AY206" i="19"/>
  <c r="Y207" i="19"/>
  <c r="AA207" i="19"/>
  <c r="AX207" i="19"/>
  <c r="AY207" i="19"/>
  <c r="AX214" i="19"/>
  <c r="AT214" i="19" s="1"/>
  <c r="AY214" i="19"/>
  <c r="Y211" i="19"/>
  <c r="AA211" i="19"/>
  <c r="AX211" i="19"/>
  <c r="AY211" i="19"/>
  <c r="Y212" i="19"/>
  <c r="AA212" i="19"/>
  <c r="AX212" i="19"/>
  <c r="AT212" i="19" s="1"/>
  <c r="AY212" i="19"/>
  <c r="Y213" i="19"/>
  <c r="AA213" i="19"/>
  <c r="AX213" i="19"/>
  <c r="AY213" i="19"/>
  <c r="Y215" i="19"/>
  <c r="AA215" i="19"/>
  <c r="AX215" i="19"/>
  <c r="AY215" i="19"/>
  <c r="Y244" i="19"/>
  <c r="AA244" i="19"/>
  <c r="AX244" i="19"/>
  <c r="AT244" i="19" s="1"/>
  <c r="AY244" i="19"/>
  <c r="Y245" i="19"/>
  <c r="AA245" i="19"/>
  <c r="AX245" i="19"/>
  <c r="AY245" i="19"/>
  <c r="Y246" i="19"/>
  <c r="AA246" i="19"/>
  <c r="AX246" i="19"/>
  <c r="AT246" i="19" s="1"/>
  <c r="AY246" i="19"/>
  <c r="Y248" i="19"/>
  <c r="AA248" i="19"/>
  <c r="AX248" i="19"/>
  <c r="AT248" i="19" s="1"/>
  <c r="AY248" i="19"/>
  <c r="Y251" i="19"/>
  <c r="AA251" i="19"/>
  <c r="AX251" i="19"/>
  <c r="AY251" i="19"/>
  <c r="Y256" i="19"/>
  <c r="AA256" i="19"/>
  <c r="AX256" i="19"/>
  <c r="AY256" i="19"/>
  <c r="Y259" i="19"/>
  <c r="AA259" i="19"/>
  <c r="AX264" i="19"/>
  <c r="AY264" i="19"/>
  <c r="Y290" i="19"/>
  <c r="AE290" i="19" s="1"/>
  <c r="Y291" i="19"/>
  <c r="AE291" i="19" s="1"/>
  <c r="A9" i="14"/>
  <c r="R9" i="14"/>
  <c r="C59" i="14"/>
  <c r="C60" i="14"/>
  <c r="T73" i="14"/>
  <c r="AC99" i="14"/>
  <c r="V123" i="14"/>
  <c r="V124" i="14"/>
  <c r="A9" i="13"/>
  <c r="C49" i="13"/>
  <c r="C50" i="13"/>
  <c r="T61" i="13"/>
  <c r="V101" i="13"/>
  <c r="V102" i="13"/>
  <c r="A9" i="12"/>
  <c r="R23" i="12"/>
  <c r="L25" i="12"/>
  <c r="F38" i="12"/>
  <c r="H10" i="41" s="1"/>
  <c r="F57" i="12"/>
  <c r="C60" i="12"/>
  <c r="C61" i="12"/>
  <c r="T73" i="12"/>
  <c r="Y86" i="12"/>
  <c r="AE86" i="12"/>
  <c r="Y88" i="12"/>
  <c r="AE106" i="12"/>
  <c r="V123" i="12"/>
  <c r="V124" i="12"/>
  <c r="A9" i="11"/>
  <c r="L26" i="11"/>
  <c r="R26" i="11" s="1"/>
  <c r="C46" i="11"/>
  <c r="C47" i="11"/>
  <c r="T57" i="11"/>
  <c r="Y74" i="11"/>
  <c r="AE74" i="11" s="1"/>
  <c r="AE78" i="11"/>
  <c r="V94" i="11"/>
  <c r="V95" i="11"/>
  <c r="A9" i="10"/>
  <c r="L23" i="10"/>
  <c r="H38" i="10"/>
  <c r="J40" i="10"/>
  <c r="L40" i="10" s="1"/>
  <c r="J41" i="10"/>
  <c r="T79" i="10"/>
  <c r="Y93" i="10"/>
  <c r="AE93" i="10" s="1"/>
  <c r="Y110" i="10"/>
  <c r="AC110" i="10"/>
  <c r="AC111" i="10"/>
  <c r="A9" i="9"/>
  <c r="H39" i="9"/>
  <c r="J41" i="9"/>
  <c r="T81" i="9"/>
  <c r="AC113" i="9"/>
  <c r="AC121" i="9"/>
  <c r="AC122" i="9"/>
  <c r="AC126" i="9"/>
  <c r="AC122" i="10" s="1"/>
  <c r="A9" i="8"/>
  <c r="T65" i="8"/>
  <c r="A9" i="7"/>
  <c r="T50" i="7"/>
  <c r="A9" i="6"/>
  <c r="F48" i="6"/>
  <c r="H48" i="6"/>
  <c r="F51" i="6"/>
  <c r="F57" i="6"/>
  <c r="H57" i="6"/>
  <c r="F58" i="6"/>
  <c r="H58" i="6"/>
  <c r="J58" i="6" s="1"/>
  <c r="R58" i="6"/>
  <c r="G62" i="3" s="1"/>
  <c r="F59" i="6"/>
  <c r="H59" i="6"/>
  <c r="J59" i="6" s="1"/>
  <c r="R59" i="6"/>
  <c r="G63" i="3" s="1"/>
  <c r="F60" i="6"/>
  <c r="H60" i="6"/>
  <c r="J60" i="6" s="1"/>
  <c r="F62" i="6"/>
  <c r="H62" i="6"/>
  <c r="J62" i="6" s="1"/>
  <c r="F64" i="6"/>
  <c r="H64" i="6"/>
  <c r="J64" i="6" s="1"/>
  <c r="A9" i="5"/>
  <c r="V57" i="5"/>
  <c r="D26" i="34" s="1"/>
  <c r="V58" i="5"/>
  <c r="E62" i="3" s="1"/>
  <c r="R59" i="5"/>
  <c r="R43" i="4"/>
  <c r="V60" i="5"/>
  <c r="R44" i="4" s="1"/>
  <c r="V62" i="5"/>
  <c r="E66" i="3" s="1"/>
  <c r="A9" i="4"/>
  <c r="F41" i="4"/>
  <c r="H41" i="4"/>
  <c r="F42" i="4"/>
  <c r="H42" i="4"/>
  <c r="L42" i="4" s="1"/>
  <c r="J42" i="4"/>
  <c r="P42" i="4"/>
  <c r="F43" i="4"/>
  <c r="H43" i="4"/>
  <c r="L43" i="4" s="1"/>
  <c r="J43" i="4"/>
  <c r="P43" i="4"/>
  <c r="F44" i="4"/>
  <c r="H44" i="4"/>
  <c r="L44" i="4" s="1"/>
  <c r="J44" i="4"/>
  <c r="P44" i="4"/>
  <c r="F46" i="4"/>
  <c r="H46" i="4"/>
  <c r="L46" i="4" s="1"/>
  <c r="J46" i="4"/>
  <c r="P46" i="4"/>
  <c r="F48" i="4"/>
  <c r="H48" i="4"/>
  <c r="L48" i="4" s="1"/>
  <c r="P48" i="4"/>
  <c r="A10" i="3"/>
  <c r="M23" i="26" l="1"/>
  <c r="P23" i="26" s="1"/>
  <c r="M24" i="26"/>
  <c r="P24" i="26" s="1"/>
  <c r="M21" i="26"/>
  <c r="P21" i="26" s="1"/>
  <c r="I25" i="27"/>
  <c r="AA265" i="19"/>
  <c r="Y265" i="19"/>
  <c r="AA196" i="19"/>
  <c r="Y196" i="19"/>
  <c r="M173" i="26"/>
  <c r="P173" i="26" s="1"/>
  <c r="M165" i="26"/>
  <c r="P165" i="26" s="1"/>
  <c r="M157" i="26"/>
  <c r="P157" i="26" s="1"/>
  <c r="M170" i="26"/>
  <c r="P170" i="26" s="1"/>
  <c r="M162" i="26"/>
  <c r="P162" i="26" s="1"/>
  <c r="M154" i="26"/>
  <c r="P154" i="26" s="1"/>
  <c r="M174" i="26"/>
  <c r="P174" i="26" s="1"/>
  <c r="M166" i="26"/>
  <c r="P166" i="26" s="1"/>
  <c r="M158" i="26"/>
  <c r="P158" i="26" s="1"/>
  <c r="M168" i="26"/>
  <c r="P168" i="26" s="1"/>
  <c r="M160" i="26"/>
  <c r="P160" i="26" s="1"/>
  <c r="M152" i="26"/>
  <c r="P152" i="26" s="1"/>
  <c r="M172" i="26"/>
  <c r="P172" i="26" s="1"/>
  <c r="M164" i="26"/>
  <c r="P164" i="26" s="1"/>
  <c r="M169" i="26"/>
  <c r="P169" i="26" s="1"/>
  <c r="M161" i="26"/>
  <c r="P161" i="26" s="1"/>
  <c r="M153" i="26"/>
  <c r="P153" i="26" s="1"/>
  <c r="M171" i="26"/>
  <c r="P171" i="26" s="1"/>
  <c r="M163" i="26"/>
  <c r="P163" i="26" s="1"/>
  <c r="M155" i="26"/>
  <c r="P155" i="26" s="1"/>
  <c r="M77" i="26"/>
  <c r="P77" i="26" s="1"/>
  <c r="M78" i="26"/>
  <c r="P78" i="26" s="1"/>
  <c r="M25" i="26"/>
  <c r="P25" i="26" s="1"/>
  <c r="M22" i="26"/>
  <c r="P22" i="26" s="1"/>
  <c r="M26" i="26"/>
  <c r="P26" i="26" s="1"/>
  <c r="M20" i="26"/>
  <c r="P20" i="26" s="1"/>
  <c r="J53" i="40"/>
  <c r="F52" i="6"/>
  <c r="H22" i="36"/>
  <c r="J22" i="36" s="1"/>
  <c r="R46" i="4"/>
  <c r="F47" i="6"/>
  <c r="H17" i="36"/>
  <c r="Y101" i="12"/>
  <c r="F30" i="5" s="1"/>
  <c r="H10" i="36"/>
  <c r="Y120" i="12"/>
  <c r="F31" i="5" s="1"/>
  <c r="P175" i="26"/>
  <c r="P167" i="26"/>
  <c r="P159" i="26"/>
  <c r="P156" i="26"/>
  <c r="P76" i="26"/>
  <c r="Y81" i="22"/>
  <c r="H52" i="6"/>
  <c r="P52" i="25"/>
  <c r="P22" i="25" s="1"/>
  <c r="F38" i="22"/>
  <c r="AY53" i="24"/>
  <c r="P111" i="19"/>
  <c r="L132" i="19"/>
  <c r="R42" i="4"/>
  <c r="X58" i="5"/>
  <c r="F35" i="4"/>
  <c r="F45" i="22"/>
  <c r="H45" i="22"/>
  <c r="H38" i="22"/>
  <c r="F31" i="6"/>
  <c r="C19" i="34" s="1"/>
  <c r="E64" i="3"/>
  <c r="E63" i="3"/>
  <c r="I63" i="3" s="1"/>
  <c r="K63" i="3" s="1"/>
  <c r="P41" i="4"/>
  <c r="F30" i="6"/>
  <c r="C18" i="34" s="1"/>
  <c r="AI86" i="12"/>
  <c r="AE88" i="12"/>
  <c r="AO88" i="12" s="1"/>
  <c r="Y92" i="12"/>
  <c r="Y111" i="12"/>
  <c r="AA101" i="25"/>
  <c r="Y101" i="25"/>
  <c r="Y108" i="25" s="1"/>
  <c r="Y138" i="24"/>
  <c r="Y145" i="24" s="1"/>
  <c r="AA138" i="24"/>
  <c r="AY105" i="24"/>
  <c r="H65" i="24"/>
  <c r="R25" i="12"/>
  <c r="AA18" i="35" s="1"/>
  <c r="AO78" i="11"/>
  <c r="AQ78" i="11" s="1"/>
  <c r="AI74" i="11"/>
  <c r="AO74" i="11"/>
  <c r="AQ74" i="11" s="1"/>
  <c r="L62" i="6"/>
  <c r="E56" i="3"/>
  <c r="P57" i="6"/>
  <c r="AY78" i="25"/>
  <c r="I26" i="27"/>
  <c r="F58" i="26" s="1"/>
  <c r="M58" i="26" s="1"/>
  <c r="I27" i="27"/>
  <c r="F59" i="26" s="1"/>
  <c r="M59" i="26" s="1"/>
  <c r="F57" i="26"/>
  <c r="AA87" i="22"/>
  <c r="AA81" i="22"/>
  <c r="AY175" i="19"/>
  <c r="AY176" i="19"/>
  <c r="H139" i="19"/>
  <c r="AO86" i="12"/>
  <c r="R40" i="10"/>
  <c r="AE110" i="10"/>
  <c r="R23" i="10"/>
  <c r="I28" i="27"/>
  <c r="F60" i="26" s="1"/>
  <c r="M60" i="26" s="1"/>
  <c r="P34" i="20"/>
  <c r="P48" i="6" s="1"/>
  <c r="D53" i="40" s="1"/>
  <c r="AO290" i="19"/>
  <c r="AO106" i="12"/>
  <c r="AE7" i="35" s="1"/>
  <c r="I31" i="27"/>
  <c r="F63" i="26" s="1"/>
  <c r="I30" i="27"/>
  <c r="F62" i="26" s="1"/>
  <c r="M62" i="26" s="1"/>
  <c r="I29" i="27"/>
  <c r="F61" i="26" s="1"/>
  <c r="M61" i="26" s="1"/>
  <c r="I47" i="27"/>
  <c r="I46" i="27"/>
  <c r="I45" i="27"/>
  <c r="I23" i="27"/>
  <c r="F55" i="26" s="1"/>
  <c r="I22" i="27"/>
  <c r="F54" i="26" s="1"/>
  <c r="M54" i="26" s="1"/>
  <c r="I21" i="27"/>
  <c r="F53" i="26" s="1"/>
  <c r="I32" i="27"/>
  <c r="F64" i="26" s="1"/>
  <c r="M64" i="26" s="1"/>
  <c r="I24" i="27"/>
  <c r="F56" i="26" s="1"/>
  <c r="M56" i="26" s="1"/>
  <c r="F11" i="27"/>
  <c r="F13" i="27"/>
  <c r="F9" i="27"/>
  <c r="F10" i="27"/>
  <c r="F12" i="27"/>
  <c r="AE176" i="19"/>
  <c r="AT215" i="19"/>
  <c r="AT203" i="19"/>
  <c r="AT200" i="19"/>
  <c r="AT193" i="19"/>
  <c r="AE189" i="19"/>
  <c r="I62" i="3"/>
  <c r="K62" i="3" s="1"/>
  <c r="AE259" i="19"/>
  <c r="AE248" i="19"/>
  <c r="AE246" i="19"/>
  <c r="AE215" i="19"/>
  <c r="AE212" i="19"/>
  <c r="AE206" i="19"/>
  <c r="AE203" i="19"/>
  <c r="AE200" i="19"/>
  <c r="AE193" i="19"/>
  <c r="AE191" i="19"/>
  <c r="AE184" i="19"/>
  <c r="AE182" i="19"/>
  <c r="AE180" i="19"/>
  <c r="AE79" i="22"/>
  <c r="AE76" i="22"/>
  <c r="AE72" i="22"/>
  <c r="AE129" i="24"/>
  <c r="AE125" i="24"/>
  <c r="AE121" i="24"/>
  <c r="AE119" i="24"/>
  <c r="AE115" i="24"/>
  <c r="AE113" i="24"/>
  <c r="AE108" i="24"/>
  <c r="AE106" i="24"/>
  <c r="AU94" i="25"/>
  <c r="I41" i="27"/>
  <c r="F73" i="26" s="1"/>
  <c r="M73" i="26" s="1"/>
  <c r="I40" i="27"/>
  <c r="F72" i="26" s="1"/>
  <c r="I39" i="27"/>
  <c r="F71" i="26" s="1"/>
  <c r="M71" i="26" s="1"/>
  <c r="I38" i="27"/>
  <c r="F70" i="26" s="1"/>
  <c r="M70" i="26" s="1"/>
  <c r="I37" i="27"/>
  <c r="F69" i="26" s="1"/>
  <c r="M69" i="26" s="1"/>
  <c r="I36" i="27"/>
  <c r="F68" i="26" s="1"/>
  <c r="M68" i="26" s="1"/>
  <c r="I35" i="27"/>
  <c r="F67" i="26" s="1"/>
  <c r="M67" i="26" s="1"/>
  <c r="I34" i="27"/>
  <c r="F66" i="26" s="1"/>
  <c r="M66" i="26" s="1"/>
  <c r="I33" i="27"/>
  <c r="F65" i="26" s="1"/>
  <c r="M65" i="26" s="1"/>
  <c r="AE187" i="19"/>
  <c r="AE86" i="22"/>
  <c r="AE133" i="24"/>
  <c r="AE127" i="24"/>
  <c r="AE101" i="24"/>
  <c r="AE97" i="24"/>
  <c r="AE95" i="24"/>
  <c r="AE100" i="25"/>
  <c r="AK100" i="25" s="1"/>
  <c r="AE98" i="25"/>
  <c r="AE95" i="25"/>
  <c r="AE91" i="25"/>
  <c r="AI93" i="10"/>
  <c r="AO93" i="10"/>
  <c r="AK93" i="10"/>
  <c r="AT264" i="19"/>
  <c r="AE264" i="19"/>
  <c r="AT256" i="19"/>
  <c r="AE256" i="19"/>
  <c r="AE258" i="19"/>
  <c r="AT251" i="19"/>
  <c r="AE251" i="19"/>
  <c r="AT245" i="19"/>
  <c r="AE245" i="19"/>
  <c r="AO291" i="19"/>
  <c r="AE292" i="19"/>
  <c r="AE213" i="19"/>
  <c r="AT213" i="19"/>
  <c r="AE211" i="19"/>
  <c r="AT211" i="19"/>
  <c r="AE207" i="19"/>
  <c r="AT207" i="19"/>
  <c r="AE205" i="19"/>
  <c r="AT205" i="19"/>
  <c r="AE202" i="19"/>
  <c r="AT202" i="19"/>
  <c r="AE194" i="19"/>
  <c r="AT194" i="19"/>
  <c r="AE192" i="19"/>
  <c r="AT192" i="19"/>
  <c r="AE188" i="19"/>
  <c r="AE185" i="19"/>
  <c r="AE181" i="19"/>
  <c r="AE175" i="19"/>
  <c r="AE186" i="19"/>
  <c r="AT175" i="19"/>
  <c r="AE177" i="19"/>
  <c r="X59" i="5"/>
  <c r="AK78" i="11"/>
  <c r="AK74" i="11"/>
  <c r="Y292" i="19"/>
  <c r="AE244" i="19"/>
  <c r="AE80" i="22"/>
  <c r="AU80" i="22"/>
  <c r="AE78" i="22"/>
  <c r="AU78" i="22"/>
  <c r="AE73" i="22"/>
  <c r="AU73" i="22"/>
  <c r="AE134" i="24"/>
  <c r="AU134" i="24"/>
  <c r="AE128" i="24"/>
  <c r="AU128" i="24"/>
  <c r="AE124" i="24"/>
  <c r="AU124" i="24"/>
  <c r="AE120" i="24"/>
  <c r="AU120" i="24"/>
  <c r="AE116" i="24"/>
  <c r="AU116" i="24"/>
  <c r="AE114" i="24"/>
  <c r="AU114" i="24"/>
  <c r="AE109" i="24"/>
  <c r="AU109" i="24"/>
  <c r="AE107" i="24"/>
  <c r="AU107" i="24"/>
  <c r="AE85" i="22"/>
  <c r="AU85" i="22"/>
  <c r="AE130" i="24"/>
  <c r="AU130" i="24"/>
  <c r="AE126" i="24"/>
  <c r="AU126" i="24"/>
  <c r="AE102" i="24"/>
  <c r="AU102" i="24"/>
  <c r="AE100" i="24"/>
  <c r="AU100" i="24"/>
  <c r="AE96" i="24"/>
  <c r="AU96" i="24"/>
  <c r="AE99" i="25"/>
  <c r="AU99" i="25"/>
  <c r="AE93" i="25"/>
  <c r="AU93" i="25"/>
  <c r="AE92" i="25"/>
  <c r="AU92" i="25"/>
  <c r="AE90" i="25"/>
  <c r="AU90" i="25"/>
  <c r="AK94" i="25"/>
  <c r="AE105" i="24"/>
  <c r="Y87" i="22"/>
  <c r="Y88" i="22" s="1"/>
  <c r="Y95" i="22" s="1"/>
  <c r="AE80" i="25"/>
  <c r="AE79" i="25"/>
  <c r="AE78" i="25"/>
  <c r="AE89" i="25"/>
  <c r="AE81" i="25"/>
  <c r="AE265" i="19" l="1"/>
  <c r="AE196" i="19"/>
  <c r="Y293" i="19"/>
  <c r="F47" i="5" s="1"/>
  <c r="M63" i="26"/>
  <c r="P63" i="26" s="1"/>
  <c r="M53" i="26"/>
  <c r="P53" i="26" s="1"/>
  <c r="M72" i="26"/>
  <c r="P72" i="26" s="1"/>
  <c r="M55" i="26"/>
  <c r="P55" i="26" s="1"/>
  <c r="F50" i="6"/>
  <c r="H20" i="36"/>
  <c r="H47" i="6"/>
  <c r="I17" i="36"/>
  <c r="J17" i="36" s="1"/>
  <c r="F26" i="4"/>
  <c r="H50" i="6"/>
  <c r="I20" i="36"/>
  <c r="J20" i="36" s="1"/>
  <c r="F27" i="4"/>
  <c r="P59" i="26"/>
  <c r="P60" i="26"/>
  <c r="P61" i="26"/>
  <c r="P73" i="26"/>
  <c r="P64" i="26"/>
  <c r="P58" i="26"/>
  <c r="P56" i="26"/>
  <c r="P62" i="26"/>
  <c r="P54" i="26"/>
  <c r="P67" i="26"/>
  <c r="P68" i="26"/>
  <c r="P71" i="26"/>
  <c r="P69" i="26"/>
  <c r="P66" i="26"/>
  <c r="P70" i="26"/>
  <c r="P65" i="26"/>
  <c r="P45" i="22"/>
  <c r="P50" i="6" s="1"/>
  <c r="D55" i="40" s="1"/>
  <c r="L42" i="22"/>
  <c r="R42" i="22" s="1"/>
  <c r="L69" i="24"/>
  <c r="AE105" i="25"/>
  <c r="P38" i="25"/>
  <c r="V64" i="5"/>
  <c r="J48" i="4"/>
  <c r="L64" i="6"/>
  <c r="AE142" i="24"/>
  <c r="AE69" i="20"/>
  <c r="AE286" i="19"/>
  <c r="AI286" i="19" s="1"/>
  <c r="AA293" i="19"/>
  <c r="AI88" i="12"/>
  <c r="AK88" i="12" s="1"/>
  <c r="P44" i="25"/>
  <c r="AK110" i="10"/>
  <c r="AO110" i="10"/>
  <c r="AI110" i="10"/>
  <c r="P30" i="25"/>
  <c r="J57" i="5"/>
  <c r="J41" i="4"/>
  <c r="L41" i="4" s="1"/>
  <c r="AA88" i="22"/>
  <c r="AQ86" i="12"/>
  <c r="AA108" i="25"/>
  <c r="AM108" i="25" s="1"/>
  <c r="AM78" i="25" s="1"/>
  <c r="AE101" i="25"/>
  <c r="F52" i="5"/>
  <c r="F39" i="4"/>
  <c r="F51" i="5"/>
  <c r="F38" i="4"/>
  <c r="AE138" i="24"/>
  <c r="AA145" i="24"/>
  <c r="R132" i="19"/>
  <c r="AA72" i="20"/>
  <c r="H72" i="24"/>
  <c r="I21" i="36" s="1"/>
  <c r="J21" i="36" s="1"/>
  <c r="P39" i="25"/>
  <c r="R41" i="4"/>
  <c r="P25" i="25"/>
  <c r="P35" i="25"/>
  <c r="P42" i="25"/>
  <c r="P62" i="5"/>
  <c r="R62" i="6"/>
  <c r="G66" i="3" s="1"/>
  <c r="I66" i="3" s="1"/>
  <c r="K66" i="3" s="1"/>
  <c r="P60" i="5"/>
  <c r="R60" i="6"/>
  <c r="P24" i="25"/>
  <c r="P34" i="25"/>
  <c r="P37" i="25"/>
  <c r="P28" i="25"/>
  <c r="P52" i="6"/>
  <c r="D57" i="40" s="1"/>
  <c r="P33" i="25"/>
  <c r="P36" i="25"/>
  <c r="P43" i="25"/>
  <c r="P29" i="25"/>
  <c r="P23" i="25"/>
  <c r="P139" i="19"/>
  <c r="P21" i="19" s="1"/>
  <c r="F44" i="6"/>
  <c r="P24" i="20"/>
  <c r="P27" i="20" s="1"/>
  <c r="AE81" i="22"/>
  <c r="F50" i="5"/>
  <c r="F37" i="4"/>
  <c r="AE87" i="22"/>
  <c r="AO292" i="19"/>
  <c r="P103" i="19" l="1"/>
  <c r="J55" i="40"/>
  <c r="J52" i="40"/>
  <c r="P36" i="22"/>
  <c r="P23" i="22"/>
  <c r="P29" i="22"/>
  <c r="P35" i="22"/>
  <c r="P26" i="22"/>
  <c r="P22" i="22"/>
  <c r="P28" i="22"/>
  <c r="P31" i="22"/>
  <c r="P37" i="22"/>
  <c r="H47" i="5"/>
  <c r="AE92" i="22"/>
  <c r="AI92" i="22" s="1"/>
  <c r="AK92" i="22" s="1"/>
  <c r="AM100" i="25"/>
  <c r="AO100" i="25" s="1"/>
  <c r="AQ100" i="25" s="1"/>
  <c r="AO78" i="25"/>
  <c r="R64" i="6"/>
  <c r="G67" i="3" s="1"/>
  <c r="P64" i="5"/>
  <c r="R48" i="4"/>
  <c r="E67" i="3"/>
  <c r="E68" i="3" s="1"/>
  <c r="F34" i="4"/>
  <c r="H34" i="4"/>
  <c r="C20" i="40" s="1"/>
  <c r="AQ88" i="12"/>
  <c r="AM85" i="25"/>
  <c r="AO85" i="25" s="1"/>
  <c r="AQ85" i="25" s="1"/>
  <c r="T52" i="5"/>
  <c r="AM92" i="25"/>
  <c r="AO92" i="25" s="1"/>
  <c r="AA95" i="22"/>
  <c r="AM95" i="22" s="1"/>
  <c r="AM84" i="25"/>
  <c r="AO84" i="25" s="1"/>
  <c r="AM86" i="25"/>
  <c r="AO86" i="25" s="1"/>
  <c r="AM94" i="25"/>
  <c r="AO94" i="25" s="1"/>
  <c r="AQ94" i="25" s="1"/>
  <c r="H39" i="4"/>
  <c r="C25" i="40" s="1"/>
  <c r="H52" i="5"/>
  <c r="P39" i="4"/>
  <c r="D25" i="40" s="1"/>
  <c r="AM95" i="25"/>
  <c r="AO95" i="25" s="1"/>
  <c r="AM81" i="25"/>
  <c r="AO81" i="25" s="1"/>
  <c r="AM99" i="25"/>
  <c r="AO99" i="25" s="1"/>
  <c r="AM80" i="25"/>
  <c r="AO80" i="25" s="1"/>
  <c r="AM90" i="25"/>
  <c r="AO90" i="25" s="1"/>
  <c r="AM79" i="25"/>
  <c r="AO79" i="25" s="1"/>
  <c r="AM98" i="25"/>
  <c r="AO98" i="25" s="1"/>
  <c r="AM89" i="25"/>
  <c r="AO89" i="25" s="1"/>
  <c r="AM93" i="25"/>
  <c r="AO93" i="25" s="1"/>
  <c r="AM91" i="25"/>
  <c r="AO91" i="25" s="1"/>
  <c r="AO105" i="25"/>
  <c r="J25" i="40" s="1"/>
  <c r="AI105" i="25"/>
  <c r="AO142" i="24"/>
  <c r="J24" i="40" s="1"/>
  <c r="AE88" i="22"/>
  <c r="R69" i="24"/>
  <c r="AI142" i="24"/>
  <c r="P60" i="19"/>
  <c r="P99" i="19"/>
  <c r="AO286" i="19"/>
  <c r="J20" i="40" s="1"/>
  <c r="AK286" i="19"/>
  <c r="H48" i="5"/>
  <c r="AM72" i="20"/>
  <c r="H35" i="4"/>
  <c r="C21" i="40" s="1"/>
  <c r="AO69" i="20"/>
  <c r="J21" i="40" s="1"/>
  <c r="AI69" i="20"/>
  <c r="P45" i="25"/>
  <c r="H51" i="6"/>
  <c r="P72" i="24"/>
  <c r="J40" i="6"/>
  <c r="G64" i="3"/>
  <c r="R60" i="5"/>
  <c r="X60" i="5"/>
  <c r="R62" i="5"/>
  <c r="X62" i="5"/>
  <c r="P106" i="19"/>
  <c r="P107" i="19"/>
  <c r="P98" i="19"/>
  <c r="P93" i="19"/>
  <c r="P96" i="19"/>
  <c r="P109" i="19"/>
  <c r="P56" i="19"/>
  <c r="P47" i="19"/>
  <c r="P108" i="19"/>
  <c r="P104" i="19"/>
  <c r="P105" i="19"/>
  <c r="P92" i="19"/>
  <c r="P90" i="19"/>
  <c r="P57" i="19"/>
  <c r="P51" i="19"/>
  <c r="P48" i="19"/>
  <c r="P40" i="19"/>
  <c r="P28" i="19"/>
  <c r="P23" i="19"/>
  <c r="P22" i="19"/>
  <c r="P110" i="19"/>
  <c r="P102" i="19"/>
  <c r="P97" i="19"/>
  <c r="P61" i="19"/>
  <c r="P58" i="19"/>
  <c r="P52" i="19"/>
  <c r="P46" i="19"/>
  <c r="P37" i="19"/>
  <c r="P34" i="19"/>
  <c r="P27" i="19"/>
  <c r="P24" i="19"/>
  <c r="P101" i="19"/>
  <c r="P94" i="19"/>
  <c r="P59" i="19"/>
  <c r="P53" i="19"/>
  <c r="P38" i="19"/>
  <c r="P33" i="19"/>
  <c r="P30" i="19"/>
  <c r="P26" i="19"/>
  <c r="P91" i="19"/>
  <c r="P49" i="19"/>
  <c r="P39" i="19"/>
  <c r="P35" i="19"/>
  <c r="P32" i="19"/>
  <c r="P31" i="19"/>
  <c r="P47" i="6"/>
  <c r="D52" i="40" s="1"/>
  <c r="F44" i="5"/>
  <c r="E25" i="40" l="1"/>
  <c r="P38" i="22"/>
  <c r="J56" i="40"/>
  <c r="P30" i="22"/>
  <c r="AO92" i="22"/>
  <c r="H50" i="5"/>
  <c r="AM78" i="22"/>
  <c r="AO78" i="22" s="1"/>
  <c r="AM79" i="22"/>
  <c r="AO79" i="22" s="1"/>
  <c r="R64" i="5"/>
  <c r="X64" i="5"/>
  <c r="I67" i="3"/>
  <c r="K67" i="3" s="1"/>
  <c r="AQ286" i="19"/>
  <c r="AK105" i="25"/>
  <c r="H37" i="4"/>
  <c r="C23" i="40" s="1"/>
  <c r="AM72" i="22"/>
  <c r="AO72" i="22" s="1"/>
  <c r="AM85" i="22"/>
  <c r="AO85" i="22" s="1"/>
  <c r="AM81" i="22"/>
  <c r="AO81" i="22" s="1"/>
  <c r="AM80" i="22"/>
  <c r="AO80" i="22" s="1"/>
  <c r="T50" i="5"/>
  <c r="AM86" i="22"/>
  <c r="AO86" i="22" s="1"/>
  <c r="AM76" i="22"/>
  <c r="AO76" i="22" s="1"/>
  <c r="P37" i="4"/>
  <c r="D23" i="40" s="1"/>
  <c r="AM87" i="22"/>
  <c r="AM73" i="22"/>
  <c r="AO73" i="22" s="1"/>
  <c r="AO101" i="25"/>
  <c r="AE104" i="25" s="1"/>
  <c r="AM101" i="25"/>
  <c r="AQ105" i="25"/>
  <c r="AQ142" i="24"/>
  <c r="AK142" i="24"/>
  <c r="P35" i="4"/>
  <c r="D21" i="40" s="1"/>
  <c r="E21" i="40" s="1"/>
  <c r="AM62" i="20"/>
  <c r="T48" i="5"/>
  <c r="AK69" i="20"/>
  <c r="AQ69" i="20"/>
  <c r="P51" i="6"/>
  <c r="D56" i="40" s="1"/>
  <c r="P61" i="24"/>
  <c r="P48" i="24"/>
  <c r="P35" i="24"/>
  <c r="P23" i="24"/>
  <c r="P54" i="24"/>
  <c r="P43" i="24"/>
  <c r="P32" i="24"/>
  <c r="P55" i="24"/>
  <c r="P42" i="24"/>
  <c r="P29" i="24"/>
  <c r="P60" i="24"/>
  <c r="P51" i="24"/>
  <c r="P36" i="24"/>
  <c r="P24" i="24"/>
  <c r="P34" i="24"/>
  <c r="P47" i="24"/>
  <c r="P56" i="24"/>
  <c r="P33" i="24"/>
  <c r="P46" i="24"/>
  <c r="P57" i="24"/>
  <c r="P28" i="24"/>
  <c r="P41" i="24"/>
  <c r="P53" i="24"/>
  <c r="P64" i="24"/>
  <c r="P27" i="24"/>
  <c r="P40" i="24"/>
  <c r="P52" i="24"/>
  <c r="P22" i="24"/>
  <c r="AM145" i="24"/>
  <c r="H51" i="5"/>
  <c r="H38" i="4"/>
  <c r="C24" i="40" s="1"/>
  <c r="G68" i="3"/>
  <c r="I64" i="3"/>
  <c r="AO62" i="20" l="1"/>
  <c r="AO65" i="20" s="1"/>
  <c r="AE68" i="20" s="1"/>
  <c r="AM65" i="20"/>
  <c r="E23" i="40"/>
  <c r="AQ92" i="22"/>
  <c r="J23" i="40"/>
  <c r="N15" i="34"/>
  <c r="AM88" i="22"/>
  <c r="AO87" i="22"/>
  <c r="P65" i="24"/>
  <c r="T51" i="5"/>
  <c r="AM129" i="24"/>
  <c r="AO129" i="24" s="1"/>
  <c r="AM134" i="24"/>
  <c r="AO134" i="24" s="1"/>
  <c r="AM128" i="24"/>
  <c r="AO128" i="24" s="1"/>
  <c r="AM124" i="24"/>
  <c r="AO124" i="24" s="1"/>
  <c r="AM116" i="24"/>
  <c r="AO116" i="24" s="1"/>
  <c r="AM109" i="24"/>
  <c r="AO109" i="24" s="1"/>
  <c r="AM105" i="24"/>
  <c r="AO105" i="24" s="1"/>
  <c r="AM100" i="24"/>
  <c r="AO100" i="24" s="1"/>
  <c r="AM119" i="24"/>
  <c r="AO119" i="24" s="1"/>
  <c r="AM113" i="24"/>
  <c r="AO113" i="24" s="1"/>
  <c r="AM106" i="24"/>
  <c r="AO106" i="24" s="1"/>
  <c r="AM97" i="24"/>
  <c r="AO97" i="24" s="1"/>
  <c r="AM95" i="24"/>
  <c r="P38" i="4"/>
  <c r="D24" i="40" s="1"/>
  <c r="E24" i="40" s="1"/>
  <c r="AM125" i="24"/>
  <c r="AO125" i="24" s="1"/>
  <c r="AM137" i="24"/>
  <c r="AO137" i="24" s="1"/>
  <c r="AM133" i="24"/>
  <c r="AO133" i="24" s="1"/>
  <c r="AM127" i="24"/>
  <c r="AO127" i="24" s="1"/>
  <c r="AM130" i="24"/>
  <c r="AO130" i="24" s="1"/>
  <c r="AM126" i="24"/>
  <c r="AO126" i="24" s="1"/>
  <c r="AM120" i="24"/>
  <c r="AO120" i="24" s="1"/>
  <c r="AM114" i="24"/>
  <c r="AO114" i="24" s="1"/>
  <c r="AM107" i="24"/>
  <c r="AO107" i="24" s="1"/>
  <c r="AM102" i="24"/>
  <c r="AO102" i="24" s="1"/>
  <c r="AM96" i="24"/>
  <c r="AO96" i="24" s="1"/>
  <c r="AM121" i="24"/>
  <c r="AO121" i="24" s="1"/>
  <c r="AM115" i="24"/>
  <c r="AO115" i="24" s="1"/>
  <c r="AM108" i="24"/>
  <c r="AO108" i="24" s="1"/>
  <c r="AM101" i="24"/>
  <c r="AO101" i="24" s="1"/>
  <c r="K64" i="3"/>
  <c r="I68" i="3"/>
  <c r="K68" i="3" s="1"/>
  <c r="N11" i="34" l="1"/>
  <c r="AE106" i="25"/>
  <c r="AO104" i="25"/>
  <c r="H25" i="40" s="1"/>
  <c r="K25" i="40" s="1"/>
  <c r="AO88" i="22"/>
  <c r="AE91" i="22" s="1"/>
  <c r="AO95" i="24"/>
  <c r="AO138" i="24" s="1"/>
  <c r="AE141" i="24" s="1"/>
  <c r="AM138" i="24"/>
  <c r="J40" i="5"/>
  <c r="L30" i="4"/>
  <c r="N13" i="34" l="1"/>
  <c r="N14" i="34"/>
  <c r="AO106" i="25"/>
  <c r="AE108" i="25"/>
  <c r="AG106" i="25" s="1"/>
  <c r="AE70" i="20"/>
  <c r="AE72" i="20" s="1"/>
  <c r="AO68" i="20"/>
  <c r="H21" i="40" s="1"/>
  <c r="K21" i="40" s="1"/>
  <c r="AG68" i="20" l="1"/>
  <c r="AE143" i="24"/>
  <c r="AE145" i="24" s="1"/>
  <c r="AO141" i="24"/>
  <c r="H24" i="40" s="1"/>
  <c r="K24" i="40" s="1"/>
  <c r="AO70" i="20"/>
  <c r="AO72" i="20" s="1"/>
  <c r="V48" i="5" s="1"/>
  <c r="AO91" i="22"/>
  <c r="H23" i="40" s="1"/>
  <c r="K23" i="40" s="1"/>
  <c r="AE93" i="22"/>
  <c r="AG79" i="25"/>
  <c r="AG100" i="25"/>
  <c r="L52" i="5"/>
  <c r="J52" i="5" s="1"/>
  <c r="AG84" i="25"/>
  <c r="AG99" i="25"/>
  <c r="AG101" i="25"/>
  <c r="AG95" i="25"/>
  <c r="AG92" i="25"/>
  <c r="AG93" i="25"/>
  <c r="AG105" i="25"/>
  <c r="AG90" i="25"/>
  <c r="AG104" i="25"/>
  <c r="AG80" i="25"/>
  <c r="J39" i="4"/>
  <c r="L39" i="4" s="1"/>
  <c r="AG89" i="25"/>
  <c r="AG86" i="25"/>
  <c r="AG91" i="25"/>
  <c r="AG81" i="25"/>
  <c r="AG85" i="25"/>
  <c r="AG94" i="25"/>
  <c r="AG98" i="25"/>
  <c r="AG78" i="25"/>
  <c r="AO108" i="25"/>
  <c r="AG70" i="20"/>
  <c r="L48" i="5"/>
  <c r="AG69" i="20"/>
  <c r="AG65" i="20"/>
  <c r="AG62" i="20"/>
  <c r="J35" i="4"/>
  <c r="L35" i="4" s="1"/>
  <c r="J48" i="5" l="1"/>
  <c r="AG143" i="24"/>
  <c r="AG137" i="24"/>
  <c r="AO143" i="24"/>
  <c r="AO145" i="24" s="1"/>
  <c r="R38" i="4" s="1"/>
  <c r="E48" i="3"/>
  <c r="B21" i="40" s="1"/>
  <c r="L21" i="40" s="1"/>
  <c r="R35" i="4"/>
  <c r="AO93" i="22"/>
  <c r="AO95" i="22" s="1"/>
  <c r="V50" i="5" s="1"/>
  <c r="AG106" i="24"/>
  <c r="AG127" i="24"/>
  <c r="AG97" i="24"/>
  <c r="AG121" i="24"/>
  <c r="AG108" i="24"/>
  <c r="AG126" i="24"/>
  <c r="AG134" i="24"/>
  <c r="AG107" i="24"/>
  <c r="AG138" i="24"/>
  <c r="AG125" i="24"/>
  <c r="AG95" i="24"/>
  <c r="AG119" i="24"/>
  <c r="AG105" i="24"/>
  <c r="AG102" i="24"/>
  <c r="AG115" i="24"/>
  <c r="AG113" i="24"/>
  <c r="AG124" i="24"/>
  <c r="AG128" i="24"/>
  <c r="AG129" i="24"/>
  <c r="L51" i="5"/>
  <c r="J51" i="5" s="1"/>
  <c r="J38" i="4"/>
  <c r="L38" i="4" s="1"/>
  <c r="AG109" i="24"/>
  <c r="AG96" i="24"/>
  <c r="AG114" i="24"/>
  <c r="AG101" i="24"/>
  <c r="AG142" i="24"/>
  <c r="AG116" i="24"/>
  <c r="AG120" i="24"/>
  <c r="AG133" i="24"/>
  <c r="AG100" i="24"/>
  <c r="AG130" i="24"/>
  <c r="AG141" i="24"/>
  <c r="AE95" i="22"/>
  <c r="R39" i="4"/>
  <c r="V52" i="5"/>
  <c r="E52" i="3"/>
  <c r="B25" i="40" s="1"/>
  <c r="L25" i="40" s="1"/>
  <c r="AG93" i="22" l="1"/>
  <c r="AG72" i="22"/>
  <c r="AG79" i="22"/>
  <c r="V51" i="5"/>
  <c r="E51" i="3"/>
  <c r="B24" i="40" s="1"/>
  <c r="L24" i="40" s="1"/>
  <c r="R37" i="4"/>
  <c r="E50" i="3"/>
  <c r="B23" i="40" s="1"/>
  <c r="L23" i="40" s="1"/>
  <c r="AG88" i="22"/>
  <c r="AG73" i="22"/>
  <c r="AG78" i="22"/>
  <c r="AG86" i="22"/>
  <c r="AG92" i="22"/>
  <c r="AG87" i="22"/>
  <c r="AG76" i="22"/>
  <c r="J37" i="4"/>
  <c r="L37" i="4" s="1"/>
  <c r="L50" i="5"/>
  <c r="J50" i="5" s="1"/>
  <c r="AG80" i="22"/>
  <c r="AG85" i="22"/>
  <c r="AG91" i="22"/>
  <c r="AG81" i="22" l="1"/>
  <c r="F28" i="28" l="1"/>
  <c r="H19" i="36" s="1"/>
  <c r="Y56" i="28"/>
  <c r="Y63" i="28" s="1"/>
  <c r="F49" i="6" l="1"/>
  <c r="F49" i="5"/>
  <c r="F54" i="5" s="1"/>
  <c r="F36" i="4"/>
  <c r="F54" i="6" l="1"/>
  <c r="C23" i="34" s="1"/>
  <c r="P30" i="31"/>
  <c r="P31" i="31" s="1"/>
  <c r="P39" i="31" s="1"/>
  <c r="P42" i="6" s="1"/>
  <c r="AM74" i="31" l="1"/>
  <c r="AM75" i="31" s="1"/>
  <c r="AM83" i="31" s="1"/>
  <c r="T42" i="5" l="1"/>
  <c r="P32" i="4"/>
  <c r="D18" i="40" s="1"/>
  <c r="E18" i="40" s="1"/>
  <c r="Y76" i="13" l="1"/>
  <c r="AE76" i="13" s="1"/>
  <c r="L24" i="13"/>
  <c r="R24" i="13" l="1"/>
  <c r="AI76" i="13"/>
  <c r="AO76" i="13"/>
  <c r="AK76" i="13" l="1"/>
  <c r="AQ76" i="13"/>
  <c r="F26" i="13" l="1"/>
  <c r="AJ12" i="35" s="1"/>
  <c r="AJ14" i="35" s="1"/>
  <c r="AJ16" i="35" s="1"/>
  <c r="Y77" i="13"/>
  <c r="AE77" i="13" s="1"/>
  <c r="L25" i="13"/>
  <c r="L26" i="13" s="1"/>
  <c r="AJ20" i="35" s="1"/>
  <c r="AO77" i="13" l="1"/>
  <c r="AO78" i="13" s="1"/>
  <c r="AE78" i="13"/>
  <c r="R25" i="13"/>
  <c r="R26" i="13" s="1"/>
  <c r="AI77" i="13"/>
  <c r="AI78" i="13" s="1"/>
  <c r="F37" i="13"/>
  <c r="F46" i="13"/>
  <c r="Y78" i="13"/>
  <c r="H12" i="36" l="1"/>
  <c r="H12" i="41"/>
  <c r="AQ78" i="13"/>
  <c r="AK77" i="13"/>
  <c r="AK78" i="13" s="1"/>
  <c r="AQ77" i="13"/>
  <c r="Y89" i="13"/>
  <c r="Y98" i="13"/>
  <c r="F32" i="6"/>
  <c r="C20" i="34" s="1"/>
  <c r="F28" i="4" l="1"/>
  <c r="F32" i="5"/>
  <c r="F63" i="6" l="1"/>
  <c r="F65" i="6" s="1"/>
  <c r="F65" i="5"/>
  <c r="F47" i="4"/>
  <c r="P30" i="33" l="1"/>
  <c r="P31" i="33" s="1"/>
  <c r="P39" i="33" s="1"/>
  <c r="P43" i="6" s="1"/>
  <c r="P30" i="30" l="1"/>
  <c r="P31" i="30" s="1"/>
  <c r="P39" i="30" s="1"/>
  <c r="P41" i="6" s="1"/>
  <c r="P44" i="6" s="1"/>
  <c r="AM76" i="33"/>
  <c r="AM77" i="33" s="1"/>
  <c r="AM85" i="33" s="1"/>
  <c r="AM74" i="30" l="1"/>
  <c r="AM75" i="30" s="1"/>
  <c r="AM83" i="30" s="1"/>
  <c r="T43" i="5"/>
  <c r="P33" i="4"/>
  <c r="D19" i="40" s="1"/>
  <c r="E19" i="40" s="1"/>
  <c r="T41" i="5" l="1"/>
  <c r="T44" i="5" s="1"/>
  <c r="P31" i="4"/>
  <c r="D17" i="40" s="1"/>
  <c r="E17" i="40" s="1"/>
  <c r="K40" i="3" l="1"/>
  <c r="D14" i="35" l="1"/>
  <c r="G43" i="1" l="1"/>
  <c r="J23" i="7"/>
  <c r="H7" i="27" s="1"/>
  <c r="H8" i="27" l="1"/>
  <c r="H12" i="27"/>
  <c r="H13" i="27"/>
  <c r="H11" i="27"/>
  <c r="H10" i="27"/>
  <c r="H9" i="27"/>
  <c r="AA78" i="11" l="1"/>
  <c r="AI78" i="11" l="1"/>
  <c r="AO79" i="30" l="1"/>
  <c r="H17" i="40" l="1"/>
  <c r="AO79" i="31"/>
  <c r="H18" i="40" s="1"/>
  <c r="AO81" i="33" l="1"/>
  <c r="H19" i="40" s="1"/>
  <c r="E14" i="36" l="1"/>
  <c r="E15" i="36"/>
  <c r="E16" i="36"/>
  <c r="L25" i="11" l="1"/>
  <c r="W8" i="35"/>
  <c r="Y73" i="11"/>
  <c r="AE73" i="11" s="1"/>
  <c r="AO73" i="11" s="1"/>
  <c r="Y95" i="9"/>
  <c r="AE95" i="9" s="1"/>
  <c r="F27" i="11" l="1"/>
  <c r="W7" i="35"/>
  <c r="W9" i="35" s="1"/>
  <c r="W12" i="35" s="1"/>
  <c r="L24" i="11"/>
  <c r="Y72" i="11"/>
  <c r="AE72" i="11" s="1"/>
  <c r="R25" i="11"/>
  <c r="AI73" i="11"/>
  <c r="AK73" i="11" s="1"/>
  <c r="L23" i="9"/>
  <c r="R23" i="9" s="1"/>
  <c r="R24" i="9" s="1"/>
  <c r="F24" i="9"/>
  <c r="Y96" i="9" s="1"/>
  <c r="O9" i="35"/>
  <c r="O19" i="35" s="1"/>
  <c r="O21" i="35" s="1"/>
  <c r="F25" i="10"/>
  <c r="L24" i="10"/>
  <c r="O8" i="35"/>
  <c r="Y94" i="10"/>
  <c r="AE94" i="10" s="1"/>
  <c r="L41" i="10"/>
  <c r="Y111" i="10"/>
  <c r="AE111" i="10" s="1"/>
  <c r="F42" i="10"/>
  <c r="AE96" i="9"/>
  <c r="AO95" i="9"/>
  <c r="AO96" i="9" s="1"/>
  <c r="L24" i="9" l="1"/>
  <c r="F37" i="9"/>
  <c r="Y109" i="9" s="1"/>
  <c r="AI95" i="9"/>
  <c r="AQ95" i="9" s="1"/>
  <c r="AQ73" i="11"/>
  <c r="AO72" i="11"/>
  <c r="AE75" i="11"/>
  <c r="AI72" i="11"/>
  <c r="R24" i="11"/>
  <c r="R27" i="11" s="1"/>
  <c r="W18" i="35" s="1"/>
  <c r="L27" i="11"/>
  <c r="Y75" i="11"/>
  <c r="Y82" i="11" s="1"/>
  <c r="Y91" i="11" s="1"/>
  <c r="F34" i="11"/>
  <c r="F43" i="11" s="1"/>
  <c r="H9" i="41" s="1"/>
  <c r="L26" i="8"/>
  <c r="Y82" i="8"/>
  <c r="AE82" i="8" s="1"/>
  <c r="G8" i="35"/>
  <c r="L24" i="8"/>
  <c r="Y80" i="8"/>
  <c r="AE80" i="8" s="1"/>
  <c r="Y112" i="10"/>
  <c r="F53" i="10"/>
  <c r="Y123" i="10" s="1"/>
  <c r="AO111" i="10"/>
  <c r="AO112" i="10" s="1"/>
  <c r="AE112" i="10"/>
  <c r="AI111" i="10"/>
  <c r="L42" i="10"/>
  <c r="R41" i="10"/>
  <c r="R42" i="10" s="1"/>
  <c r="AE95" i="10"/>
  <c r="AO94" i="10"/>
  <c r="AO95" i="10" s="1"/>
  <c r="L41" i="9"/>
  <c r="Y113" i="9"/>
  <c r="AE113" i="9" s="1"/>
  <c r="F42" i="9"/>
  <c r="O12" i="35"/>
  <c r="O14" i="35" s="1"/>
  <c r="O10" i="35"/>
  <c r="L25" i="10"/>
  <c r="R24" i="10"/>
  <c r="R25" i="10" s="1"/>
  <c r="AI94" i="10"/>
  <c r="Y95" i="10"/>
  <c r="F36" i="10"/>
  <c r="AI96" i="9" l="1"/>
  <c r="AK95" i="9"/>
  <c r="F29" i="6"/>
  <c r="C17" i="34" s="1"/>
  <c r="H9" i="36"/>
  <c r="F25" i="4"/>
  <c r="F29" i="5"/>
  <c r="AQ72" i="11"/>
  <c r="AO75" i="11"/>
  <c r="AK72" i="11"/>
  <c r="AI75" i="11"/>
  <c r="AK75" i="11" s="1"/>
  <c r="AO82" i="8"/>
  <c r="AO80" i="8"/>
  <c r="AI82" i="8"/>
  <c r="AK82" i="8" s="1"/>
  <c r="R26" i="8"/>
  <c r="R24" i="8"/>
  <c r="AI80" i="8"/>
  <c r="Y81" i="8"/>
  <c r="AE81" i="8" s="1"/>
  <c r="L25" i="8"/>
  <c r="F27" i="8"/>
  <c r="G7" i="35"/>
  <c r="AQ94" i="10"/>
  <c r="AI95" i="10"/>
  <c r="AO113" i="9"/>
  <c r="AO114" i="9" s="1"/>
  <c r="AE114" i="9"/>
  <c r="AK96" i="9"/>
  <c r="AQ96" i="9"/>
  <c r="AI113" i="9"/>
  <c r="AK113" i="9" s="1"/>
  <c r="R41" i="9"/>
  <c r="R42" i="9" s="1"/>
  <c r="L42" i="9"/>
  <c r="F38" i="7"/>
  <c r="H5" i="41" s="1"/>
  <c r="X64" i="7"/>
  <c r="L31" i="7"/>
  <c r="C7" i="35"/>
  <c r="C9" i="35" s="1"/>
  <c r="C11" i="35" s="1"/>
  <c r="F28" i="7"/>
  <c r="L23" i="7"/>
  <c r="Y106" i="10"/>
  <c r="Y124" i="10" s="1"/>
  <c r="Y133" i="10" s="1"/>
  <c r="F54" i="10"/>
  <c r="F63" i="10"/>
  <c r="H8" i="41" s="1"/>
  <c r="AK94" i="10"/>
  <c r="AK111" i="10"/>
  <c r="AI112" i="10"/>
  <c r="AK112" i="10" s="1"/>
  <c r="AQ111" i="10"/>
  <c r="Y114" i="9"/>
  <c r="F55" i="9"/>
  <c r="W13" i="35" l="1"/>
  <c r="AQ75" i="11"/>
  <c r="AK80" i="8"/>
  <c r="AQ82" i="8"/>
  <c r="G9" i="35"/>
  <c r="G12" i="35" s="1"/>
  <c r="F41" i="8"/>
  <c r="F50" i="8" s="1"/>
  <c r="H6" i="41" s="1"/>
  <c r="Y83" i="8"/>
  <c r="Y97" i="8" s="1"/>
  <c r="AQ80" i="8"/>
  <c r="L27" i="8"/>
  <c r="R25" i="8"/>
  <c r="R27" i="8" s="1"/>
  <c r="AI81" i="8"/>
  <c r="AK81" i="8" s="1"/>
  <c r="AE83" i="8"/>
  <c r="AO81" i="8"/>
  <c r="AO83" i="8" s="1"/>
  <c r="F28" i="6"/>
  <c r="C13" i="34" s="1"/>
  <c r="H8" i="36"/>
  <c r="AD64" i="7"/>
  <c r="AH64" i="7" s="1"/>
  <c r="X69" i="7"/>
  <c r="AD72" i="7"/>
  <c r="AH72" i="7" s="1"/>
  <c r="X79" i="7"/>
  <c r="F24" i="4"/>
  <c r="F28" i="5"/>
  <c r="H5" i="36"/>
  <c r="F21" i="6"/>
  <c r="F23" i="6" s="1"/>
  <c r="C10" i="34" s="1"/>
  <c r="AQ112" i="10"/>
  <c r="O24" i="35"/>
  <c r="Y127" i="9"/>
  <c r="Y128" i="9" s="1"/>
  <c r="F56" i="9"/>
  <c r="F65" i="9" s="1"/>
  <c r="H7" i="41" s="1"/>
  <c r="R23" i="7"/>
  <c r="C15" i="35"/>
  <c r="AK95" i="10"/>
  <c r="AQ95" i="10"/>
  <c r="AI114" i="9"/>
  <c r="AQ113" i="9"/>
  <c r="R31" i="7"/>
  <c r="G38" i="40" l="1"/>
  <c r="G60" i="40" s="1"/>
  <c r="G13" i="35"/>
  <c r="G14" i="35" s="1"/>
  <c r="G15" i="35" s="1"/>
  <c r="AI83" i="8"/>
  <c r="AK83" i="8" s="1"/>
  <c r="AQ81" i="8"/>
  <c r="H6" i="36"/>
  <c r="Y106" i="8"/>
  <c r="F26" i="6"/>
  <c r="C11" i="34" s="1"/>
  <c r="C31" i="34" s="1"/>
  <c r="AJ72" i="7"/>
  <c r="F20" i="4"/>
  <c r="F21" i="5"/>
  <c r="F23" i="5" s="1"/>
  <c r="AJ64" i="7"/>
  <c r="AN72" i="7"/>
  <c r="AN64" i="7"/>
  <c r="AP64" i="7" s="1"/>
  <c r="AK114" i="9"/>
  <c r="AQ114" i="9"/>
  <c r="H7" i="36"/>
  <c r="Y137" i="9"/>
  <c r="F27" i="6"/>
  <c r="G17" i="35" l="1"/>
  <c r="G16" i="35"/>
  <c r="F22" i="4"/>
  <c r="F26" i="5"/>
  <c r="AQ83" i="8"/>
  <c r="G6" i="40"/>
  <c r="AP72" i="7"/>
  <c r="C15" i="34"/>
  <c r="F33" i="6"/>
  <c r="F27" i="5"/>
  <c r="F23" i="4"/>
  <c r="Y85" i="14" l="1"/>
  <c r="AE85" i="14" s="1"/>
  <c r="AO85" i="14" s="1"/>
  <c r="L21" i="14"/>
  <c r="F32" i="14"/>
  <c r="F46" i="14"/>
  <c r="Y110" i="14" s="1"/>
  <c r="Y99" i="14"/>
  <c r="AE99" i="14" s="1"/>
  <c r="AO99" i="14" s="1"/>
  <c r="L35" i="14"/>
  <c r="F33" i="5"/>
  <c r="G28" i="40"/>
  <c r="AI99" i="14" l="1"/>
  <c r="AK99" i="14" s="1"/>
  <c r="R35" i="14"/>
  <c r="F56" i="14"/>
  <c r="H13" i="41" s="1"/>
  <c r="F47" i="14"/>
  <c r="AO12" i="35" s="1"/>
  <c r="Y96" i="14"/>
  <c r="Y111" i="14" s="1"/>
  <c r="Y120" i="14" s="1"/>
  <c r="AI85" i="14"/>
  <c r="AK85" i="14" s="1"/>
  <c r="R21" i="14"/>
  <c r="AQ85" i="14" l="1"/>
  <c r="F36" i="5"/>
  <c r="F37" i="5" s="1"/>
  <c r="F67" i="5" s="1"/>
  <c r="F29" i="4"/>
  <c r="F49" i="4" s="1"/>
  <c r="AO14" i="35"/>
  <c r="AO16" i="35" s="1"/>
  <c r="AO19" i="35"/>
  <c r="F36" i="6"/>
  <c r="H13" i="36"/>
  <c r="AQ99" i="14"/>
  <c r="C21" i="34" l="1"/>
  <c r="C29" i="34" s="1"/>
  <c r="F37" i="6"/>
  <c r="F67" i="6" s="1"/>
  <c r="AK261" i="19" l="1"/>
  <c r="D26" i="40" l="1"/>
  <c r="E26" i="40" l="1"/>
  <c r="L26" i="40" l="1"/>
  <c r="D204" i="1" l="1"/>
  <c r="G204" i="1" s="1"/>
  <c r="H28" i="28" l="1"/>
  <c r="I19" i="41" s="1"/>
  <c r="J19" i="41" s="1"/>
  <c r="L25" i="28" l="1"/>
  <c r="R25" i="28" s="1"/>
  <c r="J54" i="40" s="1"/>
  <c r="AA56" i="28"/>
  <c r="AE60" i="28" s="1"/>
  <c r="AA94" i="8"/>
  <c r="AE94" i="8" s="1"/>
  <c r="AA86" i="8"/>
  <c r="AE86" i="8" s="1"/>
  <c r="AA63" i="28"/>
  <c r="H49" i="6"/>
  <c r="H54" i="6" s="1"/>
  <c r="I19" i="36"/>
  <c r="J19" i="36" s="1"/>
  <c r="P28" i="28"/>
  <c r="AA122" i="10"/>
  <c r="AE122" i="10" s="1"/>
  <c r="AA116" i="10"/>
  <c r="AE116" i="10" s="1"/>
  <c r="AA99" i="10"/>
  <c r="AE99" i="10" s="1"/>
  <c r="N14" i="40"/>
  <c r="T14" i="40" s="1"/>
  <c r="AA103" i="14"/>
  <c r="AE103" i="14" s="1"/>
  <c r="AE56" i="28" l="1"/>
  <c r="G43" i="35"/>
  <c r="L30" i="8"/>
  <c r="R30" i="8" s="1"/>
  <c r="AI60" i="28"/>
  <c r="AK60" i="28" s="1"/>
  <c r="P14" i="40"/>
  <c r="AA86" i="13"/>
  <c r="AE86" i="13" s="1"/>
  <c r="AJ29" i="35"/>
  <c r="AO116" i="10"/>
  <c r="AA107" i="14"/>
  <c r="AA88" i="14"/>
  <c r="AE88" i="14" s="1"/>
  <c r="AA121" i="10"/>
  <c r="AE121" i="10" s="1"/>
  <c r="H53" i="10"/>
  <c r="AA91" i="8"/>
  <c r="AE91" i="8" s="1"/>
  <c r="G31" i="35"/>
  <c r="AJ27" i="35"/>
  <c r="H30" i="13"/>
  <c r="AA81" i="13"/>
  <c r="AE81" i="13" s="1"/>
  <c r="H48" i="10"/>
  <c r="AA118" i="10" s="1"/>
  <c r="H47" i="10"/>
  <c r="AA115" i="10"/>
  <c r="L63" i="5"/>
  <c r="AA87" i="8"/>
  <c r="G24" i="35"/>
  <c r="AA93" i="14"/>
  <c r="AA102" i="14"/>
  <c r="AE102" i="14" s="1"/>
  <c r="H40" i="14"/>
  <c r="AO99" i="10"/>
  <c r="AA91" i="12"/>
  <c r="H29" i="12"/>
  <c r="AA21" i="35"/>
  <c r="H38" i="12"/>
  <c r="I10" i="41" s="1"/>
  <c r="J10" i="41" s="1"/>
  <c r="D10" i="41" s="1"/>
  <c r="AA104" i="10"/>
  <c r="AE104" i="10" s="1"/>
  <c r="AA98" i="10"/>
  <c r="H31" i="10"/>
  <c r="H30" i="10"/>
  <c r="H32" i="8"/>
  <c r="AO122" i="10"/>
  <c r="AA125" i="9"/>
  <c r="AE125" i="9" s="1"/>
  <c r="P49" i="6"/>
  <c r="P21" i="28"/>
  <c r="AO86" i="8"/>
  <c r="AA109" i="12"/>
  <c r="AE16" i="35"/>
  <c r="H40" i="8"/>
  <c r="H29" i="31"/>
  <c r="AA72" i="31"/>
  <c r="AE72" i="31" s="1"/>
  <c r="H30" i="31"/>
  <c r="AA108" i="9"/>
  <c r="AE108" i="9" s="1"/>
  <c r="AJ30" i="35"/>
  <c r="AA87" i="13"/>
  <c r="AE87" i="13" s="1"/>
  <c r="AA107" i="9"/>
  <c r="AE107" i="9" s="1"/>
  <c r="H37" i="9"/>
  <c r="AA95" i="8"/>
  <c r="AE95" i="8" s="1"/>
  <c r="G47" i="35"/>
  <c r="AO94" i="8"/>
  <c r="AO60" i="28"/>
  <c r="J22" i="40" s="1"/>
  <c r="H29" i="30"/>
  <c r="H30" i="30"/>
  <c r="AA72" i="30"/>
  <c r="AE72" i="30" s="1"/>
  <c r="G39" i="35"/>
  <c r="AA93" i="8"/>
  <c r="AE93" i="8" s="1"/>
  <c r="H30" i="33"/>
  <c r="H29" i="33"/>
  <c r="AA74" i="33"/>
  <c r="AE74" i="33" s="1"/>
  <c r="AO103" i="14"/>
  <c r="AM63" i="28"/>
  <c r="H36" i="4"/>
  <c r="C22" i="40" s="1"/>
  <c r="H49" i="5"/>
  <c r="AA81" i="11"/>
  <c r="W21" i="35"/>
  <c r="H34" i="11"/>
  <c r="AA105" i="10"/>
  <c r="AE105" i="10" s="1"/>
  <c r="AA94" i="14"/>
  <c r="AA89" i="14"/>
  <c r="AE89" i="14" s="1"/>
  <c r="AA108" i="14"/>
  <c r="AE108" i="14" s="1"/>
  <c r="AI86" i="8" l="1"/>
  <c r="T63" i="5"/>
  <c r="I27" i="40"/>
  <c r="J27" i="40"/>
  <c r="AE87" i="8"/>
  <c r="AE88" i="8" s="1"/>
  <c r="N8" i="40"/>
  <c r="X105" i="26"/>
  <c r="N10" i="40"/>
  <c r="R14" i="40"/>
  <c r="P46" i="8"/>
  <c r="H41" i="8"/>
  <c r="AA96" i="8"/>
  <c r="AA73" i="30"/>
  <c r="AE73" i="30" s="1"/>
  <c r="L29" i="30"/>
  <c r="AO87" i="13"/>
  <c r="AK87" i="13"/>
  <c r="H36" i="10"/>
  <c r="Y202" i="26"/>
  <c r="AA104" i="14"/>
  <c r="AO88" i="14"/>
  <c r="AE90" i="14"/>
  <c r="AO104" i="10"/>
  <c r="AO102" i="14"/>
  <c r="AE104" i="14"/>
  <c r="AE82" i="13"/>
  <c r="AO81" i="13"/>
  <c r="AE109" i="12"/>
  <c r="H18" i="37"/>
  <c r="AA82" i="13"/>
  <c r="AO27" i="35"/>
  <c r="AE107" i="14"/>
  <c r="AO105" i="10"/>
  <c r="AO108" i="14"/>
  <c r="AO74" i="33"/>
  <c r="H30" i="6"/>
  <c r="I10" i="36"/>
  <c r="J10" i="36" s="1"/>
  <c r="AA101" i="12"/>
  <c r="AE93" i="14"/>
  <c r="AO26" i="35"/>
  <c r="H45" i="14"/>
  <c r="L29" i="33"/>
  <c r="AA75" i="33"/>
  <c r="AE75" i="33" s="1"/>
  <c r="AE76" i="33" s="1"/>
  <c r="AO108" i="9"/>
  <c r="AQ86" i="8"/>
  <c r="H31" i="14"/>
  <c r="AO89" i="14"/>
  <c r="AE94" i="14"/>
  <c r="AO28" i="35"/>
  <c r="AA116" i="9"/>
  <c r="H47" i="9"/>
  <c r="H46" i="9"/>
  <c r="P39" i="11"/>
  <c r="H43" i="11"/>
  <c r="I9" i="41" s="1"/>
  <c r="J9" i="41" s="1"/>
  <c r="L37" i="11"/>
  <c r="L40" i="11"/>
  <c r="AA76" i="33"/>
  <c r="AA77" i="33" s="1"/>
  <c r="H31" i="33"/>
  <c r="L32" i="12"/>
  <c r="P34" i="12"/>
  <c r="L35" i="12"/>
  <c r="AA117" i="9"/>
  <c r="AE117" i="9" s="1"/>
  <c r="H28" i="9"/>
  <c r="AA98" i="9"/>
  <c r="H29" i="9"/>
  <c r="H31" i="31"/>
  <c r="AA74" i="31"/>
  <c r="AA75" i="31" s="1"/>
  <c r="AA88" i="8"/>
  <c r="D18" i="37"/>
  <c r="D19" i="37" s="1"/>
  <c r="AA92" i="12"/>
  <c r="AE91" i="12"/>
  <c r="AA82" i="11"/>
  <c r="AE81" i="11"/>
  <c r="AO93" i="8"/>
  <c r="AO95" i="8"/>
  <c r="AO72" i="31"/>
  <c r="P54" i="6"/>
  <c r="D54" i="40"/>
  <c r="AQ60" i="28"/>
  <c r="H47" i="4"/>
  <c r="C27" i="40" s="1"/>
  <c r="H65" i="5"/>
  <c r="H63" i="6"/>
  <c r="AO91" i="8"/>
  <c r="AA99" i="9"/>
  <c r="AE99" i="9" s="1"/>
  <c r="AA74" i="30"/>
  <c r="AA75" i="30" s="1"/>
  <c r="H31" i="30"/>
  <c r="H54" i="5"/>
  <c r="W105" i="26"/>
  <c r="AA123" i="10"/>
  <c r="AO86" i="13"/>
  <c r="AJ9" i="35" s="1"/>
  <c r="G35" i="35"/>
  <c r="AA92" i="8"/>
  <c r="AE92" i="8" s="1"/>
  <c r="AE96" i="8" s="1"/>
  <c r="AA101" i="10"/>
  <c r="E18" i="37"/>
  <c r="E19" i="37" s="1"/>
  <c r="Y105" i="26"/>
  <c r="AO121" i="10"/>
  <c r="L29" i="31"/>
  <c r="AA73" i="31"/>
  <c r="AE73" i="31" s="1"/>
  <c r="AE74" i="31" s="1"/>
  <c r="P36" i="4"/>
  <c r="D22" i="40" s="1"/>
  <c r="E22" i="40" s="1"/>
  <c r="T49" i="5"/>
  <c r="AM56" i="28"/>
  <c r="AO56" i="28" s="1"/>
  <c r="AO72" i="30"/>
  <c r="AA109" i="9"/>
  <c r="AO125" i="9"/>
  <c r="AA100" i="10"/>
  <c r="AE100" i="10" s="1"/>
  <c r="AE98" i="10"/>
  <c r="AA117" i="10"/>
  <c r="AE117" i="10" s="1"/>
  <c r="AE115" i="10"/>
  <c r="AO107" i="9"/>
  <c r="H26" i="14"/>
  <c r="N15" i="40" s="1"/>
  <c r="T15" i="40" s="1"/>
  <c r="AO87" i="8" l="1"/>
  <c r="AO88" i="8" s="1"/>
  <c r="H19" i="37"/>
  <c r="H25" i="37" s="1"/>
  <c r="Q30" i="35"/>
  <c r="K27" i="40"/>
  <c r="P10" i="40"/>
  <c r="R10" i="40" s="1"/>
  <c r="T10" i="40"/>
  <c r="P8" i="40"/>
  <c r="R8" i="40" s="1"/>
  <c r="T8" i="40"/>
  <c r="F123" i="26"/>
  <c r="M123" i="26" s="1"/>
  <c r="P123" i="26" s="1"/>
  <c r="F124" i="26"/>
  <c r="M124" i="26" s="1"/>
  <c r="P124" i="26" s="1"/>
  <c r="F125" i="26"/>
  <c r="M125" i="26" s="1"/>
  <c r="P125" i="26" s="1"/>
  <c r="F116" i="26"/>
  <c r="F117" i="26"/>
  <c r="M117" i="26" s="1"/>
  <c r="P117" i="26" s="1"/>
  <c r="F122" i="26"/>
  <c r="M122" i="26" s="1"/>
  <c r="P122" i="26" s="1"/>
  <c r="F118" i="26"/>
  <c r="M118" i="26" s="1"/>
  <c r="P118" i="26" s="1"/>
  <c r="F119" i="26"/>
  <c r="M119" i="26" s="1"/>
  <c r="P119" i="26" s="1"/>
  <c r="F120" i="26"/>
  <c r="M120" i="26" s="1"/>
  <c r="P120" i="26" s="1"/>
  <c r="F121" i="26"/>
  <c r="M121" i="26" s="1"/>
  <c r="P121" i="26" s="1"/>
  <c r="AA101" i="9"/>
  <c r="N9" i="40"/>
  <c r="P15" i="40"/>
  <c r="N28" i="40"/>
  <c r="T28" i="40" s="1"/>
  <c r="Q31" i="35"/>
  <c r="AO107" i="14"/>
  <c r="AP35" i="35"/>
  <c r="AE109" i="14"/>
  <c r="AE110" i="14" s="1"/>
  <c r="AO104" i="14"/>
  <c r="AO8" i="35"/>
  <c r="H54" i="10"/>
  <c r="H63" i="10"/>
  <c r="I8" i="41" s="1"/>
  <c r="J8" i="41" s="1"/>
  <c r="AA106" i="10"/>
  <c r="AA124" i="10" s="1"/>
  <c r="V105" i="26"/>
  <c r="AE77" i="33"/>
  <c r="R39" i="11"/>
  <c r="P41" i="11"/>
  <c r="P43" i="11" s="1"/>
  <c r="P29" i="6" s="1"/>
  <c r="AO100" i="10"/>
  <c r="AJ10" i="35"/>
  <c r="AQ87" i="13"/>
  <c r="V63" i="5"/>
  <c r="L65" i="5"/>
  <c r="N63" i="5" s="1"/>
  <c r="J47" i="4"/>
  <c r="L47" i="4" s="1"/>
  <c r="AA119" i="9"/>
  <c r="S37" i="35"/>
  <c r="AO75" i="33"/>
  <c r="AO76" i="33" s="1"/>
  <c r="AJ28" i="35"/>
  <c r="AA85" i="13"/>
  <c r="AE85" i="13" s="1"/>
  <c r="H36" i="13"/>
  <c r="AI73" i="30"/>
  <c r="R29" i="30"/>
  <c r="AO92" i="8"/>
  <c r="AT95" i="8" s="1"/>
  <c r="G45" i="35" s="1"/>
  <c r="AO117" i="9"/>
  <c r="Q36" i="35" s="1"/>
  <c r="AO98" i="10"/>
  <c r="AE101" i="10"/>
  <c r="AE75" i="31"/>
  <c r="H50" i="9"/>
  <c r="AA122" i="9" s="1"/>
  <c r="AE122" i="9" s="1"/>
  <c r="AA121" i="9"/>
  <c r="AE121" i="9" s="1"/>
  <c r="R29" i="31"/>
  <c r="AI73" i="31"/>
  <c r="AK73" i="31" s="1"/>
  <c r="AE17" i="35"/>
  <c r="AA110" i="12"/>
  <c r="H48" i="12"/>
  <c r="H57" i="12"/>
  <c r="I11" i="41" s="1"/>
  <c r="J11" i="41" s="1"/>
  <c r="D11" i="41" s="1"/>
  <c r="H65" i="6"/>
  <c r="AE80" i="31"/>
  <c r="AA83" i="31"/>
  <c r="AE78" i="31"/>
  <c r="AE116" i="9"/>
  <c r="AA118" i="9"/>
  <c r="AE118" i="9" s="1"/>
  <c r="AO118" i="9" s="1"/>
  <c r="R29" i="33"/>
  <c r="AI75" i="33"/>
  <c r="AK75" i="33" s="1"/>
  <c r="AO109" i="12"/>
  <c r="AE74" i="30"/>
  <c r="AO73" i="30"/>
  <c r="AO74" i="30" s="1"/>
  <c r="AO75" i="30" s="1"/>
  <c r="I9" i="36"/>
  <c r="J9" i="36" s="1"/>
  <c r="H29" i="6"/>
  <c r="P63" i="6"/>
  <c r="T65" i="5"/>
  <c r="P47" i="4"/>
  <c r="D27" i="40" s="1"/>
  <c r="L34" i="31"/>
  <c r="L36" i="31"/>
  <c r="H39" i="31"/>
  <c r="I15" i="41" s="1"/>
  <c r="J15" i="41" s="1"/>
  <c r="H46" i="14"/>
  <c r="AA109" i="14"/>
  <c r="AA202" i="26"/>
  <c r="AA126" i="9"/>
  <c r="AE126" i="9" s="1"/>
  <c r="H55" i="9"/>
  <c r="AO117" i="10"/>
  <c r="R35" i="12"/>
  <c r="J44" i="40" s="1"/>
  <c r="P36" i="12"/>
  <c r="P38" i="12" s="1"/>
  <c r="P30" i="6" s="1"/>
  <c r="R34" i="12"/>
  <c r="J63" i="5"/>
  <c r="AA90" i="14"/>
  <c r="X202" i="26"/>
  <c r="AO81" i="11"/>
  <c r="AE82" i="11"/>
  <c r="AO94" i="14"/>
  <c r="AP36" i="35"/>
  <c r="AJ7" i="35"/>
  <c r="AO82" i="13"/>
  <c r="AE98" i="12"/>
  <c r="AI98" i="12" s="1"/>
  <c r="AK98" i="12" s="1"/>
  <c r="AE95" i="12"/>
  <c r="AM97" i="12"/>
  <c r="L36" i="30"/>
  <c r="L34" i="30"/>
  <c r="H39" i="30"/>
  <c r="I14" i="41" s="1"/>
  <c r="AA91" i="11"/>
  <c r="AE88" i="11"/>
  <c r="AI88" i="11" s="1"/>
  <c r="AK88" i="11" s="1"/>
  <c r="AM87" i="11"/>
  <c r="AE85" i="11"/>
  <c r="H39" i="33"/>
  <c r="I16" i="41" s="1"/>
  <c r="J16" i="41" s="1"/>
  <c r="L34" i="33"/>
  <c r="L36" i="33"/>
  <c r="AP34" i="35"/>
  <c r="AO93" i="14"/>
  <c r="AE95" i="14"/>
  <c r="AE96" i="14" s="1"/>
  <c r="AO7" i="35"/>
  <c r="AO90" i="14"/>
  <c r="AO73" i="31"/>
  <c r="AO74" i="31" s="1"/>
  <c r="R32" i="12"/>
  <c r="E25" i="37"/>
  <c r="AE78" i="30"/>
  <c r="AE80" i="30"/>
  <c r="AA100" i="9"/>
  <c r="AE100" i="9" s="1"/>
  <c r="AE98" i="9"/>
  <c r="AE80" i="33"/>
  <c r="AA85" i="33"/>
  <c r="AE82" i="33"/>
  <c r="H26" i="4"/>
  <c r="C12" i="40" s="1"/>
  <c r="H30" i="5"/>
  <c r="AM102" i="8"/>
  <c r="AE103" i="8"/>
  <c r="AA97" i="8"/>
  <c r="AE100" i="8"/>
  <c r="D25" i="37"/>
  <c r="F18" i="37"/>
  <c r="F19" i="37" s="1"/>
  <c r="R40" i="11"/>
  <c r="J43" i="40" s="1"/>
  <c r="AO9" i="35"/>
  <c r="J18" i="37"/>
  <c r="L44" i="8"/>
  <c r="H50" i="8"/>
  <c r="I6" i="41" s="1"/>
  <c r="J6" i="41" s="1"/>
  <c r="L47" i="8"/>
  <c r="AE97" i="8"/>
  <c r="AO115" i="10"/>
  <c r="AE118" i="10"/>
  <c r="N12" i="34"/>
  <c r="AE59" i="28"/>
  <c r="AO99" i="9"/>
  <c r="Q34" i="35" s="1"/>
  <c r="AO91" i="12"/>
  <c r="AE92" i="12"/>
  <c r="R37" i="11"/>
  <c r="AA95" i="14"/>
  <c r="H32" i="14"/>
  <c r="Z202" i="26"/>
  <c r="P48" i="8"/>
  <c r="P50" i="8" s="1"/>
  <c r="P26" i="6" s="1"/>
  <c r="R46" i="8"/>
  <c r="D40" i="40" s="1"/>
  <c r="J19" i="37" l="1"/>
  <c r="J25" i="37" s="1"/>
  <c r="G82" i="1"/>
  <c r="O37" i="35"/>
  <c r="K16" i="41"/>
  <c r="J14" i="41"/>
  <c r="AE119" i="9"/>
  <c r="P9" i="40"/>
  <c r="R9" i="40" s="1"/>
  <c r="T9" i="40"/>
  <c r="F46" i="34"/>
  <c r="D14" i="34"/>
  <c r="AO118" i="10"/>
  <c r="AO123" i="10" s="1"/>
  <c r="F110" i="26"/>
  <c r="M110" i="26" s="1"/>
  <c r="P110" i="26" s="1"/>
  <c r="F111" i="26"/>
  <c r="M111" i="26" s="1"/>
  <c r="P111" i="26" s="1"/>
  <c r="F113" i="26"/>
  <c r="F108" i="26"/>
  <c r="M108" i="26" s="1"/>
  <c r="P108" i="26" s="1"/>
  <c r="F112" i="26"/>
  <c r="M112" i="26" s="1"/>
  <c r="P112" i="26" s="1"/>
  <c r="F105" i="26"/>
  <c r="M105" i="26" s="1"/>
  <c r="P105" i="26" s="1"/>
  <c r="F106" i="26"/>
  <c r="M106" i="26" s="1"/>
  <c r="P106" i="26" s="1"/>
  <c r="F114" i="26"/>
  <c r="M114" i="26" s="1"/>
  <c r="P114" i="26" s="1"/>
  <c r="F107" i="26"/>
  <c r="M107" i="26" s="1"/>
  <c r="P107" i="26" s="1"/>
  <c r="F109" i="26"/>
  <c r="M109" i="26" s="1"/>
  <c r="P109" i="26" s="1"/>
  <c r="AO101" i="10"/>
  <c r="AO106" i="10" s="1"/>
  <c r="J24" i="34"/>
  <c r="AT93" i="8"/>
  <c r="G37" i="35" s="1"/>
  <c r="AQ34" i="35"/>
  <c r="R15" i="40"/>
  <c r="H51" i="9"/>
  <c r="AA123" i="9" s="1"/>
  <c r="R44" i="8"/>
  <c r="AI100" i="8"/>
  <c r="AO82" i="33"/>
  <c r="I44" i="40"/>
  <c r="AO10" i="35"/>
  <c r="AP10" i="35" s="1"/>
  <c r="AO95" i="14"/>
  <c r="AO96" i="14" s="1"/>
  <c r="AI78" i="30"/>
  <c r="R34" i="30"/>
  <c r="I49" i="40" s="1"/>
  <c r="AQ36" i="35"/>
  <c r="D44" i="40"/>
  <c r="AA110" i="14"/>
  <c r="H47" i="14"/>
  <c r="AO116" i="9"/>
  <c r="Q35" i="35" s="1"/>
  <c r="I11" i="36"/>
  <c r="J11" i="36" s="1"/>
  <c r="AA120" i="12"/>
  <c r="H31" i="6"/>
  <c r="E15" i="37"/>
  <c r="H28" i="6"/>
  <c r="I8" i="36"/>
  <c r="J8" i="36" s="1"/>
  <c r="AO78" i="30"/>
  <c r="AE81" i="30"/>
  <c r="H43" i="5"/>
  <c r="H33" i="4"/>
  <c r="R36" i="30"/>
  <c r="J49" i="40" s="1"/>
  <c r="AI80" i="30"/>
  <c r="I15" i="36"/>
  <c r="J15" i="36" s="1"/>
  <c r="H42" i="6"/>
  <c r="AO78" i="31"/>
  <c r="AE81" i="31"/>
  <c r="AE83" i="31" s="1"/>
  <c r="AG78" i="31" s="1"/>
  <c r="L54" i="12"/>
  <c r="P53" i="12"/>
  <c r="L51" i="12"/>
  <c r="AO121" i="9"/>
  <c r="AT92" i="8"/>
  <c r="L57" i="10"/>
  <c r="P59" i="10"/>
  <c r="L60" i="10"/>
  <c r="AO92" i="12"/>
  <c r="AO80" i="33"/>
  <c r="AE83" i="33"/>
  <c r="AQ73" i="31"/>
  <c r="AI82" i="33"/>
  <c r="AK82" i="33" s="1"/>
  <c r="R36" i="33"/>
  <c r="J51" i="40" s="1"/>
  <c r="AT94" i="8"/>
  <c r="G41" i="35" s="1"/>
  <c r="R36" i="31"/>
  <c r="J50" i="40" s="1"/>
  <c r="AI80" i="31"/>
  <c r="AK80" i="31" s="1"/>
  <c r="H42" i="5"/>
  <c r="H32" i="4"/>
  <c r="AO122" i="9"/>
  <c r="AO77" i="33"/>
  <c r="D22" i="34" s="1"/>
  <c r="R47" i="8"/>
  <c r="J40" i="40" s="1"/>
  <c r="AI103" i="8"/>
  <c r="AK103" i="8" s="1"/>
  <c r="AO75" i="31"/>
  <c r="AE101" i="9"/>
  <c r="AO98" i="9"/>
  <c r="H32" i="9"/>
  <c r="H33" i="9" s="1"/>
  <c r="AA105" i="9" s="1"/>
  <c r="AA103" i="9"/>
  <c r="AE103" i="9" s="1"/>
  <c r="R34" i="33"/>
  <c r="AI80" i="33"/>
  <c r="AM99" i="12"/>
  <c r="AM101" i="12" s="1"/>
  <c r="AO97" i="12"/>
  <c r="AQ97" i="12" s="1"/>
  <c r="R34" i="31"/>
  <c r="AI78" i="31"/>
  <c r="AE75" i="30"/>
  <c r="AO80" i="31"/>
  <c r="AE110" i="12"/>
  <c r="AA111" i="12"/>
  <c r="AA106" i="8"/>
  <c r="D15" i="37"/>
  <c r="H26" i="6"/>
  <c r="I6" i="36"/>
  <c r="J6" i="36" s="1"/>
  <c r="AO100" i="9"/>
  <c r="H43" i="6"/>
  <c r="I16" i="36"/>
  <c r="J16" i="36" s="1"/>
  <c r="AO95" i="12"/>
  <c r="M116" i="26"/>
  <c r="P116" i="26" s="1"/>
  <c r="AQ73" i="30"/>
  <c r="AK73" i="30"/>
  <c r="D43" i="40"/>
  <c r="AA88" i="13"/>
  <c r="AA89" i="13" s="1"/>
  <c r="H37" i="13"/>
  <c r="H46" i="13"/>
  <c r="I12" i="41" s="1"/>
  <c r="J12" i="41" s="1"/>
  <c r="AE61" i="28"/>
  <c r="AO59" i="28"/>
  <c r="AO88" i="11"/>
  <c r="AA127" i="9"/>
  <c r="AA128" i="9" s="1"/>
  <c r="H56" i="9"/>
  <c r="AE8" i="35"/>
  <c r="AE106" i="10"/>
  <c r="AO85" i="13"/>
  <c r="AE88" i="13"/>
  <c r="AO85" i="11"/>
  <c r="AM89" i="11"/>
  <c r="AM91" i="11" s="1"/>
  <c r="AO87" i="11"/>
  <c r="AQ87" i="11" s="1"/>
  <c r="AO82" i="11"/>
  <c r="AO103" i="8"/>
  <c r="D59" i="40"/>
  <c r="P65" i="6"/>
  <c r="AQ35" i="35"/>
  <c r="F214" i="26"/>
  <c r="M214" i="26" s="1"/>
  <c r="P214" i="26" s="1"/>
  <c r="F210" i="26"/>
  <c r="M210" i="26" s="1"/>
  <c r="P210" i="26" s="1"/>
  <c r="F205" i="26"/>
  <c r="M205" i="26" s="1"/>
  <c r="P205" i="26" s="1"/>
  <c r="F212" i="26"/>
  <c r="M212" i="26" s="1"/>
  <c r="P212" i="26" s="1"/>
  <c r="F217" i="26"/>
  <c r="M217" i="26" s="1"/>
  <c r="P217" i="26" s="1"/>
  <c r="F216" i="26"/>
  <c r="M216" i="26" s="1"/>
  <c r="P216" i="26" s="1"/>
  <c r="F215" i="26"/>
  <c r="M215" i="26" s="1"/>
  <c r="P215" i="26" s="1"/>
  <c r="F211" i="26"/>
  <c r="M211" i="26" s="1"/>
  <c r="P211" i="26" s="1"/>
  <c r="F219" i="26"/>
  <c r="M219" i="26" s="1"/>
  <c r="P219" i="26" s="1"/>
  <c r="F206" i="26"/>
  <c r="M206" i="26" s="1"/>
  <c r="P206" i="26" s="1"/>
  <c r="F207" i="26"/>
  <c r="M207" i="26" s="1"/>
  <c r="P207" i="26" s="1"/>
  <c r="F202" i="26"/>
  <c r="M202" i="26" s="1"/>
  <c r="P202" i="26" s="1"/>
  <c r="F218" i="26"/>
  <c r="M218" i="26" s="1"/>
  <c r="P218" i="26" s="1"/>
  <c r="F209" i="26"/>
  <c r="M209" i="26" s="1"/>
  <c r="P209" i="26" s="1"/>
  <c r="F213" i="26"/>
  <c r="M213" i="26" s="1"/>
  <c r="P213" i="26" s="1"/>
  <c r="F203" i="26"/>
  <c r="M203" i="26" s="1"/>
  <c r="P203" i="26" s="1"/>
  <c r="F208" i="26"/>
  <c r="M208" i="26" s="1"/>
  <c r="P208" i="26" s="1"/>
  <c r="F204" i="26"/>
  <c r="M204" i="26" s="1"/>
  <c r="P204" i="26" s="1"/>
  <c r="AO98" i="12"/>
  <c r="AO100" i="8"/>
  <c r="H29" i="5"/>
  <c r="H25" i="4"/>
  <c r="C11" i="40" s="1"/>
  <c r="AE111" i="14"/>
  <c r="AO102" i="8"/>
  <c r="AQ102" i="8" s="1"/>
  <c r="AM104" i="8"/>
  <c r="AM106" i="8" s="1"/>
  <c r="AO126" i="9"/>
  <c r="Q32" i="35" s="1"/>
  <c r="N57" i="5"/>
  <c r="N59" i="5"/>
  <c r="N64" i="5"/>
  <c r="N58" i="5"/>
  <c r="N60" i="5"/>
  <c r="N62" i="5"/>
  <c r="N61" i="5"/>
  <c r="AO109" i="14"/>
  <c r="AO80" i="30"/>
  <c r="J17" i="40" s="1"/>
  <c r="AA96" i="14"/>
  <c r="AA111" i="14" s="1"/>
  <c r="H56" i="14"/>
  <c r="I13" i="41" s="1"/>
  <c r="J13" i="41" s="1"/>
  <c r="AI85" i="11"/>
  <c r="AK85" i="11" s="1"/>
  <c r="E27" i="40"/>
  <c r="F238" i="26"/>
  <c r="M238" i="26" s="1"/>
  <c r="P238" i="26" s="1"/>
  <c r="F236" i="26"/>
  <c r="M236" i="26" s="1"/>
  <c r="P236" i="26" s="1"/>
  <c r="F226" i="26"/>
  <c r="M226" i="26" s="1"/>
  <c r="P226" i="26" s="1"/>
  <c r="F232" i="26"/>
  <c r="M232" i="26" s="1"/>
  <c r="P232" i="26" s="1"/>
  <c r="F227" i="26"/>
  <c r="M227" i="26" s="1"/>
  <c r="P227" i="26" s="1"/>
  <c r="F230" i="26"/>
  <c r="M230" i="26" s="1"/>
  <c r="P230" i="26" s="1"/>
  <c r="F237" i="26"/>
  <c r="M237" i="26" s="1"/>
  <c r="P237" i="26" s="1"/>
  <c r="F233" i="26"/>
  <c r="M233" i="26" s="1"/>
  <c r="P233" i="26" s="1"/>
  <c r="F224" i="26"/>
  <c r="M224" i="26" s="1"/>
  <c r="P224" i="26" s="1"/>
  <c r="F229" i="26"/>
  <c r="M229" i="26" s="1"/>
  <c r="P229" i="26" s="1"/>
  <c r="F231" i="26"/>
  <c r="M231" i="26" s="1"/>
  <c r="P231" i="26" s="1"/>
  <c r="F222" i="26"/>
  <c r="M222" i="26" s="1"/>
  <c r="P222" i="26" s="1"/>
  <c r="F221" i="26"/>
  <c r="M221" i="26" s="1"/>
  <c r="P221" i="26" s="1"/>
  <c r="F235" i="26"/>
  <c r="M235" i="26" s="1"/>
  <c r="P235" i="26" s="1"/>
  <c r="F223" i="26"/>
  <c r="M223" i="26" s="1"/>
  <c r="P223" i="26" s="1"/>
  <c r="F228" i="26"/>
  <c r="M228" i="26" s="1"/>
  <c r="P228" i="26" s="1"/>
  <c r="F234" i="26"/>
  <c r="M234" i="26" s="1"/>
  <c r="P234" i="26" s="1"/>
  <c r="F225" i="26"/>
  <c r="M225" i="26" s="1"/>
  <c r="P225" i="26" s="1"/>
  <c r="AT91" i="8"/>
  <c r="G29" i="35" s="1"/>
  <c r="AQ75" i="33"/>
  <c r="E57" i="3"/>
  <c r="R47" i="4"/>
  <c r="V65" i="5"/>
  <c r="M113" i="26"/>
  <c r="P113" i="26" s="1"/>
  <c r="I43" i="40"/>
  <c r="AE123" i="10"/>
  <c r="AI95" i="12"/>
  <c r="AA83" i="30"/>
  <c r="H41" i="6"/>
  <c r="I14" i="36"/>
  <c r="AO96" i="8"/>
  <c r="J28" i="9"/>
  <c r="L28" i="9" s="1"/>
  <c r="J47" i="10"/>
  <c r="L47" i="10" s="1"/>
  <c r="J46" i="9"/>
  <c r="L46" i="9" s="1"/>
  <c r="J30" i="10"/>
  <c r="L30" i="10" s="1"/>
  <c r="AM129" i="10"/>
  <c r="AE127" i="10"/>
  <c r="AA133" i="10"/>
  <c r="AE130" i="10"/>
  <c r="R28" i="40" l="1"/>
  <c r="P28" i="40"/>
  <c r="B27" i="40"/>
  <c r="L27" i="40" s="1"/>
  <c r="D17" i="34"/>
  <c r="J17" i="34" s="1"/>
  <c r="AO124" i="10"/>
  <c r="D18" i="34"/>
  <c r="AO119" i="9"/>
  <c r="AO123" i="9" s="1"/>
  <c r="AO127" i="9" s="1"/>
  <c r="AP9" i="35"/>
  <c r="AG75" i="31"/>
  <c r="AP8" i="35"/>
  <c r="AP7" i="35"/>
  <c r="AI127" i="10"/>
  <c r="AK127" i="10" s="1"/>
  <c r="AO127" i="10"/>
  <c r="H38" i="7"/>
  <c r="I5" i="41" s="1"/>
  <c r="J5" i="41" s="1"/>
  <c r="L32" i="7"/>
  <c r="C19" i="35"/>
  <c r="Z67" i="7"/>
  <c r="AD67" i="7" s="1"/>
  <c r="P34" i="7"/>
  <c r="L35" i="7"/>
  <c r="H28" i="7"/>
  <c r="AE63" i="28"/>
  <c r="AG61" i="28" s="1"/>
  <c r="AG80" i="31"/>
  <c r="AQ80" i="30"/>
  <c r="AK80" i="30"/>
  <c r="E16" i="37"/>
  <c r="E22" i="37" s="1"/>
  <c r="AQ100" i="8"/>
  <c r="I8" i="40"/>
  <c r="J14" i="36"/>
  <c r="K16" i="36"/>
  <c r="AA98" i="13"/>
  <c r="H32" i="6"/>
  <c r="I12" i="36"/>
  <c r="J12" i="36" s="1"/>
  <c r="H15" i="37"/>
  <c r="H16" i="37" s="1"/>
  <c r="H22" i="37" s="1"/>
  <c r="AQ80" i="31"/>
  <c r="J18" i="40"/>
  <c r="I51" i="40"/>
  <c r="AO129" i="10"/>
  <c r="AM131" i="10"/>
  <c r="AM133" i="10" s="1"/>
  <c r="AI100" i="10"/>
  <c r="R30" i="10"/>
  <c r="AK95" i="12"/>
  <c r="H36" i="6"/>
  <c r="I13" i="36"/>
  <c r="J13" i="36" s="1"/>
  <c r="J15" i="37"/>
  <c r="J16" i="37" s="1"/>
  <c r="R63" i="6"/>
  <c r="P63" i="5"/>
  <c r="J63" i="6"/>
  <c r="L40" i="13"/>
  <c r="P42" i="13"/>
  <c r="L43" i="13"/>
  <c r="R51" i="12"/>
  <c r="G18" i="37"/>
  <c r="G19" i="37" s="1"/>
  <c r="J19" i="40"/>
  <c r="AQ82" i="33"/>
  <c r="R46" i="9"/>
  <c r="AI118" i="9"/>
  <c r="AE92" i="13"/>
  <c r="AE95" i="13"/>
  <c r="AM94" i="13"/>
  <c r="AE96" i="12"/>
  <c r="R53" i="12"/>
  <c r="P55" i="12"/>
  <c r="P57" i="12" s="1"/>
  <c r="P31" i="6" s="1"/>
  <c r="AA120" i="14"/>
  <c r="AM116" i="14"/>
  <c r="AE117" i="14"/>
  <c r="AE114" i="14"/>
  <c r="D16" i="37"/>
  <c r="D22" i="37" s="1"/>
  <c r="F15" i="37"/>
  <c r="F16" i="37" s="1"/>
  <c r="R47" i="10"/>
  <c r="AI117" i="10"/>
  <c r="I11" i="40"/>
  <c r="AQ85" i="11"/>
  <c r="H22" i="4"/>
  <c r="C8" i="40" s="1"/>
  <c r="H26" i="5"/>
  <c r="AO103" i="9"/>
  <c r="Q38" i="35" s="1"/>
  <c r="R54" i="12"/>
  <c r="J45" i="40" s="1"/>
  <c r="R28" i="9"/>
  <c r="AI100" i="9"/>
  <c r="J8" i="40"/>
  <c r="AQ103" i="8"/>
  <c r="H65" i="9"/>
  <c r="I7" i="41" s="1"/>
  <c r="P61" i="9"/>
  <c r="L59" i="9"/>
  <c r="L62" i="9"/>
  <c r="AA104" i="9"/>
  <c r="AE104" i="9" s="1"/>
  <c r="AE105" i="9" s="1"/>
  <c r="H27" i="4"/>
  <c r="H31" i="5"/>
  <c r="AT96" i="8"/>
  <c r="AT88" i="8" s="1"/>
  <c r="G21" i="35" s="1"/>
  <c r="AO97" i="8"/>
  <c r="D11" i="34" s="1"/>
  <c r="AE124" i="10"/>
  <c r="AE131" i="9"/>
  <c r="AE134" i="9"/>
  <c r="AM133" i="9"/>
  <c r="F47" i="34"/>
  <c r="R60" i="10"/>
  <c r="J42" i="40" s="1"/>
  <c r="AK78" i="31"/>
  <c r="AE83" i="30"/>
  <c r="AG75" i="30" s="1"/>
  <c r="AK100" i="8"/>
  <c r="I50" i="40"/>
  <c r="P61" i="10"/>
  <c r="P63" i="10" s="1"/>
  <c r="P28" i="6" s="1"/>
  <c r="R59" i="10"/>
  <c r="D42" i="40" s="1"/>
  <c r="AG81" i="31"/>
  <c r="AG68" i="31"/>
  <c r="AG69" i="31"/>
  <c r="AG79" i="31"/>
  <c r="L42" i="5"/>
  <c r="J32" i="4"/>
  <c r="AG72" i="31"/>
  <c r="AG74" i="31"/>
  <c r="AG73" i="31"/>
  <c r="AO81" i="30"/>
  <c r="AO83" i="30" s="1"/>
  <c r="I17" i="40"/>
  <c r="K17" i="40" s="1"/>
  <c r="AK78" i="30"/>
  <c r="AQ78" i="30"/>
  <c r="I40" i="40"/>
  <c r="AE89" i="13"/>
  <c r="J11" i="40"/>
  <c r="AQ88" i="11"/>
  <c r="I12" i="40"/>
  <c r="AQ95" i="12"/>
  <c r="Q33" i="35"/>
  <c r="AO101" i="9"/>
  <c r="R57" i="10"/>
  <c r="AO81" i="31"/>
  <c r="I18" i="40"/>
  <c r="AQ78" i="31"/>
  <c r="AO88" i="13"/>
  <c r="AO89" i="13" s="1"/>
  <c r="AJ8" i="35"/>
  <c r="P26" i="4"/>
  <c r="D12" i="40" s="1"/>
  <c r="E12" i="40" s="1"/>
  <c r="T30" i="5"/>
  <c r="AK80" i="33"/>
  <c r="AE123" i="9"/>
  <c r="AE86" i="11"/>
  <c r="AI130" i="10"/>
  <c r="AK130" i="10" s="1"/>
  <c r="AO130" i="10"/>
  <c r="AO110" i="14"/>
  <c r="P22" i="4"/>
  <c r="D8" i="40" s="1"/>
  <c r="T26" i="5"/>
  <c r="AQ98" i="12"/>
  <c r="J12" i="40"/>
  <c r="H44" i="6"/>
  <c r="AE114" i="12"/>
  <c r="AI114" i="12" s="1"/>
  <c r="AE117" i="12"/>
  <c r="AI117" i="12" s="1"/>
  <c r="AK117" i="12" s="1"/>
  <c r="AM116" i="12"/>
  <c r="AE85" i="33"/>
  <c r="H24" i="4"/>
  <c r="H28" i="5"/>
  <c r="H41" i="5"/>
  <c r="H31" i="4"/>
  <c r="P25" i="4"/>
  <c r="D11" i="40" s="1"/>
  <c r="E11" i="40" s="1"/>
  <c r="T29" i="5"/>
  <c r="H22" i="40"/>
  <c r="K22" i="40" s="1"/>
  <c r="AO61" i="28"/>
  <c r="AO110" i="12"/>
  <c r="AE111" i="12"/>
  <c r="F45" i="34"/>
  <c r="I19" i="40"/>
  <c r="AO83" i="33"/>
  <c r="AQ80" i="33"/>
  <c r="L50" i="14"/>
  <c r="L53" i="14"/>
  <c r="P52" i="14"/>
  <c r="J7" i="41" l="1"/>
  <c r="K8" i="41"/>
  <c r="K18" i="34"/>
  <c r="J18" i="34"/>
  <c r="J11" i="34"/>
  <c r="D13" i="34"/>
  <c r="AQ129" i="10"/>
  <c r="K18" i="40"/>
  <c r="K19" i="40"/>
  <c r="AO92" i="13"/>
  <c r="AM118" i="12"/>
  <c r="AM120" i="12" s="1"/>
  <c r="AO116" i="12"/>
  <c r="AQ116" i="12" s="1"/>
  <c r="AE109" i="9"/>
  <c r="J42" i="5"/>
  <c r="AO133" i="9"/>
  <c r="AQ133" i="9" s="1"/>
  <c r="AM135" i="9"/>
  <c r="AM137" i="9" s="1"/>
  <c r="D45" i="40"/>
  <c r="R40" i="13"/>
  <c r="AI92" i="13"/>
  <c r="R35" i="7"/>
  <c r="J38" i="40" s="1"/>
  <c r="AO134" i="9"/>
  <c r="AO104" i="9"/>
  <c r="Q39" i="35" s="1"/>
  <c r="R38" i="35" s="1"/>
  <c r="AK117" i="10"/>
  <c r="AQ117" i="10"/>
  <c r="P36" i="7"/>
  <c r="P38" i="7" s="1"/>
  <c r="P21" i="6" s="1"/>
  <c r="P23" i="6" s="1"/>
  <c r="R34" i="7"/>
  <c r="AO131" i="9"/>
  <c r="R62" i="9"/>
  <c r="J41" i="40" s="1"/>
  <c r="AI134" i="9"/>
  <c r="AK134" i="9" s="1"/>
  <c r="AO96" i="12"/>
  <c r="AE99" i="12"/>
  <c r="AE101" i="12" s="1"/>
  <c r="AG96" i="12" s="1"/>
  <c r="R63" i="5"/>
  <c r="X63" i="5"/>
  <c r="AL75" i="7"/>
  <c r="AD73" i="7"/>
  <c r="AH73" i="7" s="1"/>
  <c r="Z69" i="7"/>
  <c r="Z79" i="7"/>
  <c r="AD76" i="7"/>
  <c r="AO111" i="14"/>
  <c r="AI117" i="14"/>
  <c r="AK117" i="14" s="1"/>
  <c r="AO117" i="14"/>
  <c r="AO85" i="33"/>
  <c r="I42" i="40"/>
  <c r="R52" i="14"/>
  <c r="D47" i="40" s="1"/>
  <c r="P54" i="14"/>
  <c r="P56" i="14" s="1"/>
  <c r="P36" i="6" s="1"/>
  <c r="P37" i="6" s="1"/>
  <c r="AK8" i="35"/>
  <c r="AK9" i="35"/>
  <c r="AK7" i="35"/>
  <c r="AK10" i="35"/>
  <c r="R59" i="9"/>
  <c r="AI131" i="9"/>
  <c r="F22" i="37"/>
  <c r="G25" i="37"/>
  <c r="I18" i="37"/>
  <c r="I19" i="37" s="1"/>
  <c r="K18" i="37"/>
  <c r="AO63" i="28"/>
  <c r="AO117" i="12"/>
  <c r="P63" i="9"/>
  <c r="P65" i="9" s="1"/>
  <c r="P27" i="6" s="1"/>
  <c r="R61" i="9"/>
  <c r="AO94" i="13"/>
  <c r="AQ94" i="13" s="1"/>
  <c r="AM96" i="13"/>
  <c r="AM98" i="13" s="1"/>
  <c r="G57" i="3"/>
  <c r="I57" i="3" s="1"/>
  <c r="AK100" i="10"/>
  <c r="AQ100" i="10"/>
  <c r="R32" i="7"/>
  <c r="AE9" i="35"/>
  <c r="AO111" i="12"/>
  <c r="R53" i="14"/>
  <c r="J47" i="40" s="1"/>
  <c r="C10" i="40"/>
  <c r="R50" i="14"/>
  <c r="AG81" i="30"/>
  <c r="J31" i="4"/>
  <c r="L41" i="5"/>
  <c r="J41" i="5" s="1"/>
  <c r="AG69" i="30"/>
  <c r="AG68" i="30"/>
  <c r="AG79" i="30"/>
  <c r="AG72" i="30"/>
  <c r="AG73" i="30"/>
  <c r="AG78" i="30"/>
  <c r="AG80" i="30"/>
  <c r="AG74" i="30"/>
  <c r="G15" i="37"/>
  <c r="AA137" i="9"/>
  <c r="I7" i="36"/>
  <c r="H27" i="6"/>
  <c r="H33" i="6" s="1"/>
  <c r="AI114" i="14"/>
  <c r="AK114" i="14" s="1"/>
  <c r="AO114" i="14"/>
  <c r="AO95" i="13"/>
  <c r="T28" i="5"/>
  <c r="P24" i="4"/>
  <c r="D10" i="40" s="1"/>
  <c r="H28" i="4"/>
  <c r="H32" i="5"/>
  <c r="H21" i="6"/>
  <c r="I5" i="36"/>
  <c r="J5" i="36" s="1"/>
  <c r="R31" i="4"/>
  <c r="E41" i="3"/>
  <c r="V41" i="5"/>
  <c r="AE101" i="8"/>
  <c r="E8" i="40"/>
  <c r="AO116" i="14"/>
  <c r="AM118" i="14"/>
  <c r="AM120" i="14" s="1"/>
  <c r="L49" i="5"/>
  <c r="J36" i="4"/>
  <c r="AG56" i="28"/>
  <c r="AG60" i="28"/>
  <c r="AG59" i="28"/>
  <c r="H29" i="4"/>
  <c r="H36" i="5"/>
  <c r="I45" i="40"/>
  <c r="J22" i="37"/>
  <c r="I10" i="40"/>
  <c r="AQ127" i="10"/>
  <c r="AE128" i="10"/>
  <c r="AO114" i="12"/>
  <c r="AK114" i="12"/>
  <c r="AO83" i="31"/>
  <c r="D12" i="34" s="1"/>
  <c r="F48" i="34"/>
  <c r="AK100" i="9"/>
  <c r="AQ100" i="9"/>
  <c r="H44" i="5"/>
  <c r="R43" i="13"/>
  <c r="J46" i="40" s="1"/>
  <c r="AI95" i="13"/>
  <c r="AK95" i="13" s="1"/>
  <c r="AG83" i="33"/>
  <c r="J33" i="4"/>
  <c r="AG71" i="33"/>
  <c r="L43" i="5"/>
  <c r="AG70" i="33"/>
  <c r="AG81" i="33"/>
  <c r="AG74" i="33"/>
  <c r="AG75" i="33"/>
  <c r="AG76" i="33"/>
  <c r="AG77" i="33"/>
  <c r="AG80" i="33"/>
  <c r="AG82" i="33"/>
  <c r="AE127" i="9"/>
  <c r="J10" i="40"/>
  <c r="AQ130" i="10"/>
  <c r="AO86" i="11"/>
  <c r="AE89" i="11"/>
  <c r="L32" i="4"/>
  <c r="C13" i="40"/>
  <c r="AK118" i="9"/>
  <c r="AQ118" i="9"/>
  <c r="P44" i="13"/>
  <c r="P46" i="13" s="1"/>
  <c r="P32" i="6" s="1"/>
  <c r="R42" i="13"/>
  <c r="H37" i="6"/>
  <c r="K19" i="37" l="1"/>
  <c r="K25" i="37" s="1"/>
  <c r="R34" i="35"/>
  <c r="D19" i="34"/>
  <c r="D31" i="34" s="1"/>
  <c r="AQ116" i="14"/>
  <c r="R36" i="35"/>
  <c r="R33" i="35"/>
  <c r="J13" i="34"/>
  <c r="O15" i="35" s="1"/>
  <c r="I31" i="34"/>
  <c r="I39" i="34"/>
  <c r="J26" i="34"/>
  <c r="D21" i="34"/>
  <c r="D20" i="34"/>
  <c r="K57" i="3"/>
  <c r="AE93" i="13"/>
  <c r="AE96" i="13" s="1"/>
  <c r="AO105" i="9"/>
  <c r="AO109" i="9" s="1"/>
  <c r="AO128" i="9" s="1"/>
  <c r="E10" i="40"/>
  <c r="AK131" i="9"/>
  <c r="AN73" i="7"/>
  <c r="AP73" i="7" s="1"/>
  <c r="R39" i="35"/>
  <c r="R35" i="35"/>
  <c r="R32" i="35"/>
  <c r="R31" i="35"/>
  <c r="R30" i="35"/>
  <c r="AE115" i="12"/>
  <c r="E49" i="3"/>
  <c r="R36" i="4"/>
  <c r="V49" i="5"/>
  <c r="I41" i="40"/>
  <c r="AL77" i="7"/>
  <c r="AL79" i="7" s="1"/>
  <c r="AN75" i="7"/>
  <c r="AP75" i="7" s="1"/>
  <c r="T32" i="5"/>
  <c r="P28" i="4"/>
  <c r="D14" i="40" s="1"/>
  <c r="V43" i="5"/>
  <c r="R33" i="4"/>
  <c r="E43" i="3"/>
  <c r="AQ131" i="9"/>
  <c r="I9" i="40"/>
  <c r="J9" i="40"/>
  <c r="AQ134" i="9"/>
  <c r="J28" i="33"/>
  <c r="B16" i="41" s="1"/>
  <c r="C16" i="41" s="1"/>
  <c r="G158" i="1"/>
  <c r="AE91" i="11"/>
  <c r="AG89" i="11" s="1"/>
  <c r="AO101" i="8"/>
  <c r="AE104" i="8"/>
  <c r="AE106" i="8" s="1"/>
  <c r="I15" i="40"/>
  <c r="AQ114" i="14"/>
  <c r="AF9" i="35"/>
  <c r="AF8" i="35"/>
  <c r="AF7" i="35"/>
  <c r="D41" i="40"/>
  <c r="O27" i="35"/>
  <c r="AQ117" i="14"/>
  <c r="J15" i="40"/>
  <c r="J60" i="40"/>
  <c r="AG99" i="12"/>
  <c r="L30" i="5"/>
  <c r="AG86" i="12"/>
  <c r="AG88" i="12"/>
  <c r="J26" i="4"/>
  <c r="AG91" i="12"/>
  <c r="AG95" i="12"/>
  <c r="AG92" i="12"/>
  <c r="AG98" i="12"/>
  <c r="B17" i="40"/>
  <c r="L17" i="40" s="1"/>
  <c r="AO89" i="11"/>
  <c r="H11" i="40"/>
  <c r="K11" i="40" s="1"/>
  <c r="L33" i="4"/>
  <c r="L44" i="5"/>
  <c r="N43" i="5" s="1"/>
  <c r="AJ73" i="7"/>
  <c r="C18" i="35"/>
  <c r="D38" i="40"/>
  <c r="AE128" i="9"/>
  <c r="V42" i="5"/>
  <c r="R32" i="4"/>
  <c r="E42" i="3"/>
  <c r="B18" i="40" s="1"/>
  <c r="L18" i="40" s="1"/>
  <c r="I47" i="40"/>
  <c r="P27" i="4"/>
  <c r="D13" i="40" s="1"/>
  <c r="E13" i="40" s="1"/>
  <c r="T31" i="5"/>
  <c r="D46" i="40"/>
  <c r="AJ22" i="35"/>
  <c r="K8" i="36"/>
  <c r="J7" i="36"/>
  <c r="P33" i="6"/>
  <c r="P67" i="6" s="1"/>
  <c r="H37" i="5"/>
  <c r="L36" i="4"/>
  <c r="H23" i="6"/>
  <c r="H27" i="5"/>
  <c r="H23" i="4"/>
  <c r="AH76" i="7"/>
  <c r="AN76" i="7"/>
  <c r="J6" i="40" s="1"/>
  <c r="H12" i="40"/>
  <c r="K12" i="40" s="1"/>
  <c r="AO99" i="12"/>
  <c r="I46" i="40"/>
  <c r="L31" i="4"/>
  <c r="I13" i="40"/>
  <c r="AQ114" i="12"/>
  <c r="C15" i="40"/>
  <c r="J49" i="5"/>
  <c r="I15" i="37"/>
  <c r="I16" i="37" s="1"/>
  <c r="G16" i="37"/>
  <c r="G22" i="37" s="1"/>
  <c r="K15" i="37"/>
  <c r="J28" i="31"/>
  <c r="B15" i="41" s="1"/>
  <c r="C15" i="41" s="1"/>
  <c r="G156" i="1"/>
  <c r="J28" i="30"/>
  <c r="B14" i="41" s="1"/>
  <c r="H20" i="4"/>
  <c r="H21" i="5"/>
  <c r="AK92" i="13"/>
  <c r="AQ92" i="13"/>
  <c r="I14" i="40"/>
  <c r="J43" i="5"/>
  <c r="I38" i="40"/>
  <c r="AE115" i="14"/>
  <c r="AO128" i="10"/>
  <c r="AE131" i="10"/>
  <c r="T36" i="5"/>
  <c r="T37" i="5" s="1"/>
  <c r="P29" i="4"/>
  <c r="D15" i="40" s="1"/>
  <c r="C14" i="40"/>
  <c r="AQ95" i="13"/>
  <c r="J14" i="40"/>
  <c r="AQ117" i="12"/>
  <c r="J13" i="40"/>
  <c r="AD69" i="7"/>
  <c r="AN67" i="7"/>
  <c r="AN69" i="7" s="1"/>
  <c r="P23" i="4"/>
  <c r="D9" i="40" s="1"/>
  <c r="T27" i="5"/>
  <c r="J19" i="34" l="1"/>
  <c r="L16" i="41"/>
  <c r="B23" i="41" s="1"/>
  <c r="C14" i="41"/>
  <c r="M16" i="41" s="1"/>
  <c r="C23" i="41" s="1"/>
  <c r="C20" i="35"/>
  <c r="D10" i="34"/>
  <c r="J21" i="34"/>
  <c r="K21" i="34"/>
  <c r="AE132" i="9"/>
  <c r="AO132" i="9" s="1"/>
  <c r="AO135" i="9" s="1"/>
  <c r="AO137" i="9" s="1"/>
  <c r="V27" i="5" s="1"/>
  <c r="D15" i="34"/>
  <c r="I15" i="34" s="1"/>
  <c r="K39" i="34"/>
  <c r="J39" i="34" s="1"/>
  <c r="L57" i="6"/>
  <c r="J31" i="34"/>
  <c r="K20" i="34"/>
  <c r="J20" i="34"/>
  <c r="AJ17" i="35" s="1"/>
  <c r="AO93" i="13"/>
  <c r="AO96" i="13" s="1"/>
  <c r="AO98" i="13" s="1"/>
  <c r="E14" i="40"/>
  <c r="E15" i="40"/>
  <c r="D60" i="40"/>
  <c r="V44" i="5"/>
  <c r="B14" i="36"/>
  <c r="L28" i="30"/>
  <c r="J28" i="40"/>
  <c r="N40" i="5"/>
  <c r="N42" i="5"/>
  <c r="B16" i="36"/>
  <c r="C16" i="36" s="1"/>
  <c r="L28" i="33"/>
  <c r="B15" i="36"/>
  <c r="C15" i="36" s="1"/>
  <c r="L28" i="31"/>
  <c r="C9" i="40"/>
  <c r="E9" i="40" s="1"/>
  <c r="B19" i="40"/>
  <c r="L19" i="40" s="1"/>
  <c r="AE133" i="10"/>
  <c r="AG131" i="10" s="1"/>
  <c r="H33" i="5"/>
  <c r="AJ23" i="35"/>
  <c r="AJ31" i="35" s="1"/>
  <c r="AJ25" i="35"/>
  <c r="AJ33" i="35" s="1"/>
  <c r="AJ26" i="35"/>
  <c r="H67" i="6"/>
  <c r="AG104" i="8"/>
  <c r="AG80" i="8"/>
  <c r="AG82" i="8"/>
  <c r="AG81" i="8"/>
  <c r="J22" i="4"/>
  <c r="L26" i="5"/>
  <c r="AG83" i="8"/>
  <c r="AG94" i="8"/>
  <c r="AG86" i="8"/>
  <c r="AG91" i="8"/>
  <c r="AG87" i="8"/>
  <c r="AG95" i="8"/>
  <c r="AG88" i="8"/>
  <c r="AG93" i="8"/>
  <c r="AG96" i="8"/>
  <c r="AG92" i="8"/>
  <c r="AG100" i="8"/>
  <c r="AG103" i="8"/>
  <c r="AG97" i="8"/>
  <c r="B22" i="40"/>
  <c r="L22" i="40" s="1"/>
  <c r="AE98" i="13"/>
  <c r="AG96" i="13" s="1"/>
  <c r="AO91" i="11"/>
  <c r="AG101" i="8"/>
  <c r="I6" i="40"/>
  <c r="I28" i="40" s="1"/>
  <c r="AJ76" i="7"/>
  <c r="AP76" i="7"/>
  <c r="I22" i="37"/>
  <c r="AO101" i="12"/>
  <c r="H8" i="40"/>
  <c r="K8" i="40" s="1"/>
  <c r="AO104" i="8"/>
  <c r="AO115" i="14"/>
  <c r="AE118" i="14"/>
  <c r="H23" i="5"/>
  <c r="AO115" i="12"/>
  <c r="AE118" i="12"/>
  <c r="J30" i="5"/>
  <c r="C6" i="40"/>
  <c r="H49" i="4"/>
  <c r="C30" i="40" s="1"/>
  <c r="C32" i="40" s="1"/>
  <c r="E44" i="3"/>
  <c r="L26" i="4"/>
  <c r="H10" i="40"/>
  <c r="K10" i="40" s="1"/>
  <c r="AO131" i="10"/>
  <c r="AO133" i="10" s="1"/>
  <c r="T33" i="5"/>
  <c r="AD74" i="7"/>
  <c r="I60" i="40"/>
  <c r="N41" i="5"/>
  <c r="AG78" i="11"/>
  <c r="AG75" i="11"/>
  <c r="AG74" i="11"/>
  <c r="AG73" i="11"/>
  <c r="J25" i="4"/>
  <c r="AG72" i="11"/>
  <c r="L29" i="5"/>
  <c r="AG81" i="11"/>
  <c r="AG82" i="11"/>
  <c r="AG88" i="11"/>
  <c r="AG85" i="11"/>
  <c r="AG86" i="11"/>
  <c r="P20" i="4"/>
  <c r="T21" i="5"/>
  <c r="T23" i="5" s="1"/>
  <c r="J44" i="5"/>
  <c r="L16" i="36" l="1"/>
  <c r="G44" i="1"/>
  <c r="J26" i="7"/>
  <c r="G21" i="26" s="1"/>
  <c r="AE135" i="9"/>
  <c r="AE137" i="9" s="1"/>
  <c r="AG128" i="9" s="1"/>
  <c r="R57" i="6"/>
  <c r="P57" i="5"/>
  <c r="J57" i="6"/>
  <c r="L65" i="6"/>
  <c r="N57" i="6" s="1"/>
  <c r="O25" i="35"/>
  <c r="J15" i="34"/>
  <c r="J42" i="34"/>
  <c r="K42" i="34"/>
  <c r="I36" i="34"/>
  <c r="I37" i="34"/>
  <c r="I35" i="34"/>
  <c r="H14" i="40"/>
  <c r="K14" i="40" s="1"/>
  <c r="E27" i="3"/>
  <c r="H9" i="40"/>
  <c r="K9" i="40" s="1"/>
  <c r="R23" i="4"/>
  <c r="H67" i="5"/>
  <c r="C28" i="40"/>
  <c r="G157" i="1"/>
  <c r="J28" i="29"/>
  <c r="L28" i="29" s="1"/>
  <c r="AJ24" i="35"/>
  <c r="AJ32" i="35" s="1"/>
  <c r="AE120" i="12"/>
  <c r="AG94" i="10"/>
  <c r="AG95" i="10"/>
  <c r="AG110" i="10"/>
  <c r="L28" i="5"/>
  <c r="AG111" i="10"/>
  <c r="AG112" i="10"/>
  <c r="J24" i="4"/>
  <c r="AG93" i="10"/>
  <c r="AG99" i="10"/>
  <c r="AG116" i="10"/>
  <c r="AG122" i="10"/>
  <c r="AG105" i="10"/>
  <c r="AG121" i="10"/>
  <c r="AG104" i="10"/>
  <c r="AG115" i="10"/>
  <c r="AG98" i="10"/>
  <c r="AG100" i="10"/>
  <c r="AG117" i="10"/>
  <c r="AG101" i="10"/>
  <c r="AG118" i="10"/>
  <c r="AG106" i="10"/>
  <c r="AG127" i="10"/>
  <c r="AG123" i="10"/>
  <c r="AG130" i="10"/>
  <c r="AG124" i="10"/>
  <c r="AG128" i="10"/>
  <c r="R26" i="4"/>
  <c r="V30" i="5"/>
  <c r="E30" i="3"/>
  <c r="AK33" i="35"/>
  <c r="L30" i="31"/>
  <c r="L31" i="31" s="1"/>
  <c r="AI72" i="31"/>
  <c r="R28" i="31"/>
  <c r="R30" i="31" s="1"/>
  <c r="R31" i="31" s="1"/>
  <c r="AK31" i="35"/>
  <c r="AE120" i="14"/>
  <c r="H13" i="40"/>
  <c r="K13" i="40" s="1"/>
  <c r="AO118" i="12"/>
  <c r="J26" i="5"/>
  <c r="V28" i="5"/>
  <c r="E28" i="3"/>
  <c r="AN74" i="7"/>
  <c r="AD77" i="7"/>
  <c r="L22" i="4"/>
  <c r="E32" i="3"/>
  <c r="V32" i="5"/>
  <c r="R28" i="4"/>
  <c r="AI72" i="30"/>
  <c r="L30" i="30"/>
  <c r="R28" i="30"/>
  <c r="R30" i="30" s="1"/>
  <c r="R31" i="30" s="1"/>
  <c r="R25" i="4"/>
  <c r="E29" i="3"/>
  <c r="V29" i="5"/>
  <c r="J29" i="5"/>
  <c r="C14" i="36"/>
  <c r="B23" i="36"/>
  <c r="AG93" i="13"/>
  <c r="AG76" i="13"/>
  <c r="AG77" i="13"/>
  <c r="AG78" i="13"/>
  <c r="L32" i="5"/>
  <c r="J28" i="4"/>
  <c r="AG81" i="13"/>
  <c r="AG86" i="13"/>
  <c r="AG87" i="13"/>
  <c r="AG82" i="13"/>
  <c r="AG85" i="13"/>
  <c r="AG88" i="13"/>
  <c r="AG95" i="13"/>
  <c r="AG92" i="13"/>
  <c r="AG89" i="13"/>
  <c r="L25" i="4"/>
  <c r="R28" i="33"/>
  <c r="R30" i="33" s="1"/>
  <c r="R31" i="33" s="1"/>
  <c r="L30" i="33"/>
  <c r="AI74" i="33"/>
  <c r="H15" i="40"/>
  <c r="K15" i="40" s="1"/>
  <c r="AO118" i="14"/>
  <c r="G26" i="26"/>
  <c r="G20" i="26"/>
  <c r="G24" i="26"/>
  <c r="N24" i="26" s="1"/>
  <c r="I9" i="27"/>
  <c r="L9" i="27" s="1"/>
  <c r="G23" i="26"/>
  <c r="G22" i="26"/>
  <c r="I7" i="27"/>
  <c r="L7" i="27" s="1"/>
  <c r="I10" i="27"/>
  <c r="L10" i="27" s="1"/>
  <c r="G25" i="26"/>
  <c r="I12" i="27"/>
  <c r="L12" i="27" s="1"/>
  <c r="I8" i="27"/>
  <c r="L8" i="27" s="1"/>
  <c r="I13" i="27"/>
  <c r="L13" i="27" s="1"/>
  <c r="I11" i="27"/>
  <c r="L11" i="27" s="1"/>
  <c r="L26" i="7"/>
  <c r="AO106" i="8"/>
  <c r="D6" i="40"/>
  <c r="AG121" i="9"/>
  <c r="AG114" i="9" l="1"/>
  <c r="B9" i="40"/>
  <c r="L9" i="40" s="1"/>
  <c r="C23" i="36"/>
  <c r="M16" i="36"/>
  <c r="O22" i="35"/>
  <c r="P20" i="35"/>
  <c r="AG98" i="9"/>
  <c r="AG122" i="9"/>
  <c r="AG116" i="9"/>
  <c r="AG100" i="9"/>
  <c r="AG99" i="9"/>
  <c r="AG117" i="9"/>
  <c r="AG125" i="9"/>
  <c r="AG109" i="9"/>
  <c r="AG127" i="9"/>
  <c r="AG123" i="9"/>
  <c r="AG105" i="9"/>
  <c r="AG104" i="9"/>
  <c r="AG108" i="9"/>
  <c r="AG107" i="9"/>
  <c r="AG119" i="9"/>
  <c r="AG113" i="9"/>
  <c r="AG95" i="9"/>
  <c r="AG135" i="9"/>
  <c r="AG118" i="9"/>
  <c r="AG132" i="9"/>
  <c r="AG134" i="9"/>
  <c r="AG103" i="9"/>
  <c r="AG101" i="9"/>
  <c r="AG96" i="9"/>
  <c r="AG131" i="9"/>
  <c r="AG126" i="9"/>
  <c r="L27" i="5"/>
  <c r="J27" i="5" s="1"/>
  <c r="J23" i="4"/>
  <c r="L23" i="4" s="1"/>
  <c r="K35" i="34"/>
  <c r="J35" i="34" s="1"/>
  <c r="AE11" i="35"/>
  <c r="I34" i="34"/>
  <c r="I40" i="34" s="1"/>
  <c r="J40" i="34" s="1"/>
  <c r="K37" i="34"/>
  <c r="J37" i="34" s="1"/>
  <c r="AA20" i="35"/>
  <c r="AA22" i="35" s="1"/>
  <c r="K36" i="34"/>
  <c r="J36" i="34" s="1"/>
  <c r="W20" i="35"/>
  <c r="W22" i="35" s="1"/>
  <c r="N63" i="6"/>
  <c r="N60" i="6"/>
  <c r="N61" i="6"/>
  <c r="N59" i="6"/>
  <c r="N58" i="6"/>
  <c r="N62" i="6"/>
  <c r="N64" i="6"/>
  <c r="X57" i="5"/>
  <c r="R57" i="5"/>
  <c r="P65" i="5"/>
  <c r="G56" i="3"/>
  <c r="I56" i="3" s="1"/>
  <c r="R65" i="6"/>
  <c r="I28" i="34" s="1"/>
  <c r="B59" i="40"/>
  <c r="L59" i="40" s="1"/>
  <c r="AQ72" i="30"/>
  <c r="AI74" i="30"/>
  <c r="AK72" i="30"/>
  <c r="AI74" i="31"/>
  <c r="AK72" i="31"/>
  <c r="AQ72" i="31"/>
  <c r="AG118" i="12"/>
  <c r="AG106" i="12"/>
  <c r="J27" i="4"/>
  <c r="L31" i="5"/>
  <c r="AG109" i="12"/>
  <c r="AG110" i="12"/>
  <c r="AG111" i="12"/>
  <c r="AG117" i="12"/>
  <c r="AG114" i="12"/>
  <c r="AG115" i="12"/>
  <c r="AO120" i="14"/>
  <c r="H21" i="26"/>
  <c r="I21" i="26" s="1"/>
  <c r="N21" i="26"/>
  <c r="Q21" i="26" s="1"/>
  <c r="R21" i="26" s="1"/>
  <c r="AO120" i="12"/>
  <c r="AK32" i="35"/>
  <c r="AJ34" i="35" s="1"/>
  <c r="R22" i="4"/>
  <c r="E26" i="3"/>
  <c r="V26" i="5"/>
  <c r="H23" i="26"/>
  <c r="I23" i="26" s="1"/>
  <c r="N23" i="26"/>
  <c r="Q23" i="26" s="1"/>
  <c r="R23" i="26" s="1"/>
  <c r="L28" i="4"/>
  <c r="B14" i="40"/>
  <c r="L14" i="40" s="1"/>
  <c r="G116" i="1"/>
  <c r="J34" i="13"/>
  <c r="L34" i="13" s="1"/>
  <c r="J32" i="5"/>
  <c r="R24" i="4"/>
  <c r="L24" i="4"/>
  <c r="R26" i="7"/>
  <c r="R28" i="7" s="1"/>
  <c r="L33" i="7" s="1"/>
  <c r="L28" i="7"/>
  <c r="AH67" i="7"/>
  <c r="Q24" i="26"/>
  <c r="S24" i="26" s="1"/>
  <c r="H24" i="26"/>
  <c r="U24" i="26" s="1"/>
  <c r="AI76" i="33"/>
  <c r="AK74" i="33"/>
  <c r="AQ74" i="33"/>
  <c r="J29" i="4"/>
  <c r="AG99" i="14"/>
  <c r="AG85" i="14"/>
  <c r="L36" i="5"/>
  <c r="AG103" i="14"/>
  <c r="AG102" i="14"/>
  <c r="AG89" i="14"/>
  <c r="AG108" i="14"/>
  <c r="AG88" i="14"/>
  <c r="AG94" i="14"/>
  <c r="AG93" i="14"/>
  <c r="AG90" i="14"/>
  <c r="AG107" i="14"/>
  <c r="AG104" i="14"/>
  <c r="AG109" i="14"/>
  <c r="AG110" i="14"/>
  <c r="AG96" i="14"/>
  <c r="AG95" i="14"/>
  <c r="AG111" i="14"/>
  <c r="AG117" i="14"/>
  <c r="AG114" i="14"/>
  <c r="AG115" i="14"/>
  <c r="B12" i="40"/>
  <c r="L12" i="40" s="1"/>
  <c r="H22" i="26"/>
  <c r="I22" i="26" s="1"/>
  <c r="N22" i="26"/>
  <c r="Q22" i="26" s="1"/>
  <c r="R22" i="26" s="1"/>
  <c r="N20" i="26"/>
  <c r="Q20" i="26" s="1"/>
  <c r="R20" i="26" s="1"/>
  <c r="H20" i="26"/>
  <c r="I20" i="26" s="1"/>
  <c r="L31" i="33"/>
  <c r="B11" i="40"/>
  <c r="L11" i="40" s="1"/>
  <c r="AD79" i="7"/>
  <c r="AG118" i="14"/>
  <c r="J29" i="13"/>
  <c r="L29" i="13" s="1"/>
  <c r="G119" i="1"/>
  <c r="J28" i="5"/>
  <c r="L35" i="33"/>
  <c r="AO21" i="35"/>
  <c r="AO22" i="35" s="1"/>
  <c r="I47" i="34"/>
  <c r="K47" i="34" s="1"/>
  <c r="J47" i="34" s="1"/>
  <c r="H6" i="40"/>
  <c r="AN77" i="7"/>
  <c r="B10" i="40"/>
  <c r="L10" i="40" s="1"/>
  <c r="L35" i="30"/>
  <c r="I46" i="34"/>
  <c r="K46" i="34" s="1"/>
  <c r="J46" i="34" s="1"/>
  <c r="O26" i="35"/>
  <c r="O28" i="35" s="1"/>
  <c r="AI72" i="29"/>
  <c r="AI74" i="29" s="1"/>
  <c r="AI75" i="29" s="1"/>
  <c r="AI82" i="29" s="1"/>
  <c r="P40" i="5" s="1"/>
  <c r="R28" i="29"/>
  <c r="R30" i="29" s="1"/>
  <c r="R31" i="29" s="1"/>
  <c r="R38" i="29" s="1"/>
  <c r="L30" i="29"/>
  <c r="L31" i="29" s="1"/>
  <c r="L38" i="29" s="1"/>
  <c r="L40" i="6" s="1"/>
  <c r="N26" i="26"/>
  <c r="Q26" i="26" s="1"/>
  <c r="R26" i="26" s="1"/>
  <c r="H26" i="26"/>
  <c r="I26" i="26" s="1"/>
  <c r="N25" i="26"/>
  <c r="Q25" i="26" s="1"/>
  <c r="R25" i="26" s="1"/>
  <c r="H25" i="26"/>
  <c r="I25" i="26" s="1"/>
  <c r="E6" i="40"/>
  <c r="L31" i="30"/>
  <c r="L35" i="31"/>
  <c r="I45" i="34"/>
  <c r="U26" i="26" l="1"/>
  <c r="G22" i="35"/>
  <c r="G23" i="35" s="1"/>
  <c r="G25" i="35" s="1"/>
  <c r="K34" i="34"/>
  <c r="J34" i="34" s="1"/>
  <c r="J33" i="11"/>
  <c r="G90" i="1"/>
  <c r="J28" i="34"/>
  <c r="I29" i="34"/>
  <c r="G98" i="1"/>
  <c r="J28" i="12"/>
  <c r="B10" i="41" s="1"/>
  <c r="C10" i="41" s="1"/>
  <c r="K56" i="3"/>
  <c r="R65" i="5"/>
  <c r="X65" i="5"/>
  <c r="AE12" i="35"/>
  <c r="AE18" i="35" s="1"/>
  <c r="AE13" i="35"/>
  <c r="AN79" i="7"/>
  <c r="E21" i="3" s="1"/>
  <c r="AP67" i="7"/>
  <c r="AJ67" i="7"/>
  <c r="AH69" i="7"/>
  <c r="B8" i="40"/>
  <c r="L8" i="40" s="1"/>
  <c r="G56" i="1"/>
  <c r="J31" i="8"/>
  <c r="J31" i="5"/>
  <c r="L37" i="5"/>
  <c r="J36" i="5"/>
  <c r="X40" i="5"/>
  <c r="R40" i="5"/>
  <c r="C21" i="35"/>
  <c r="R9" i="34" s="1"/>
  <c r="R34" i="13"/>
  <c r="AI86" i="13"/>
  <c r="R27" i="4"/>
  <c r="L27" i="4"/>
  <c r="R40" i="6"/>
  <c r="G40" i="3"/>
  <c r="P31" i="35"/>
  <c r="S31" i="35" s="1"/>
  <c r="O31" i="35" s="1"/>
  <c r="P36" i="35"/>
  <c r="S36" i="35" s="1"/>
  <c r="O36" i="35" s="1"/>
  <c r="P30" i="35"/>
  <c r="S30" i="35" s="1"/>
  <c r="O30" i="35" s="1"/>
  <c r="P33" i="35"/>
  <c r="S33" i="35" s="1"/>
  <c r="O33" i="35" s="1"/>
  <c r="P39" i="35"/>
  <c r="S39" i="35" s="1"/>
  <c r="O39" i="35" s="1"/>
  <c r="P38" i="35"/>
  <c r="S38" i="35" s="1"/>
  <c r="O38" i="35" s="1"/>
  <c r="P35" i="35"/>
  <c r="S35" i="35" s="1"/>
  <c r="O35" i="35" s="1"/>
  <c r="P34" i="35"/>
  <c r="S34" i="35" s="1"/>
  <c r="O34" i="35" s="1"/>
  <c r="K6" i="40"/>
  <c r="L30" i="13"/>
  <c r="AI81" i="13"/>
  <c r="R29" i="13"/>
  <c r="R30" i="13" s="1"/>
  <c r="AH74" i="7"/>
  <c r="R33" i="7"/>
  <c r="L36" i="7"/>
  <c r="L38" i="7" s="1"/>
  <c r="L29" i="4"/>
  <c r="V36" i="5"/>
  <c r="V37" i="5" s="1"/>
  <c r="E36" i="3"/>
  <c r="R29" i="4"/>
  <c r="AI79" i="30"/>
  <c r="R35" i="30"/>
  <c r="L37" i="30"/>
  <c r="L39" i="30" s="1"/>
  <c r="J33" i="13"/>
  <c r="G115" i="1"/>
  <c r="AF64" i="7"/>
  <c r="L21" i="5"/>
  <c r="AF72" i="7"/>
  <c r="J20" i="4"/>
  <c r="AF76" i="7"/>
  <c r="AF67" i="7"/>
  <c r="AF73" i="7"/>
  <c r="AF69" i="7"/>
  <c r="AF74" i="7"/>
  <c r="J35" i="13"/>
  <c r="L35" i="13" s="1"/>
  <c r="G117" i="1"/>
  <c r="AO31" i="35"/>
  <c r="AO30" i="35"/>
  <c r="AO32" i="35"/>
  <c r="AF77" i="7"/>
  <c r="E31" i="3"/>
  <c r="V31" i="5"/>
  <c r="V33" i="5" s="1"/>
  <c r="AI75" i="31"/>
  <c r="AK74" i="31"/>
  <c r="AQ74" i="31"/>
  <c r="AQ74" i="30"/>
  <c r="AK74" i="30"/>
  <c r="AI75" i="30"/>
  <c r="R35" i="31"/>
  <c r="AI79" i="31"/>
  <c r="L37" i="31"/>
  <c r="I24" i="26"/>
  <c r="B5" i="36"/>
  <c r="R24" i="26"/>
  <c r="R35" i="33"/>
  <c r="AI81" i="33"/>
  <c r="L37" i="33"/>
  <c r="K45" i="34"/>
  <c r="I48" i="34"/>
  <c r="AI77" i="33"/>
  <c r="AK76" i="33"/>
  <c r="AQ76" i="33"/>
  <c r="L33" i="5"/>
  <c r="E33" i="3" l="1"/>
  <c r="C5" i="36"/>
  <c r="AE19" i="35"/>
  <c r="AE14" i="35"/>
  <c r="B10" i="36"/>
  <c r="C10" i="36" s="1"/>
  <c r="L28" i="12"/>
  <c r="G104" i="1"/>
  <c r="J43" i="12"/>
  <c r="L43" i="12" s="1"/>
  <c r="L33" i="11"/>
  <c r="O45" i="27"/>
  <c r="R45" i="27" s="1"/>
  <c r="G78" i="26"/>
  <c r="O47" i="27"/>
  <c r="R47" i="27" s="1"/>
  <c r="G77" i="26"/>
  <c r="G76" i="26"/>
  <c r="O46" i="27"/>
  <c r="R46" i="27" s="1"/>
  <c r="V21" i="5"/>
  <c r="V23" i="5" s="1"/>
  <c r="R20" i="4"/>
  <c r="J10" i="34"/>
  <c r="C12" i="35" s="1"/>
  <c r="C13" i="35" s="1"/>
  <c r="K10" i="34"/>
  <c r="N36" i="7"/>
  <c r="N31" i="7"/>
  <c r="N23" i="7"/>
  <c r="L21" i="6"/>
  <c r="N34" i="7"/>
  <c r="N32" i="7"/>
  <c r="N35" i="7"/>
  <c r="N26" i="7"/>
  <c r="N33" i="7"/>
  <c r="N28" i="7"/>
  <c r="N37" i="30"/>
  <c r="L41" i="6"/>
  <c r="N25" i="30"/>
  <c r="M34" i="30"/>
  <c r="N24" i="30"/>
  <c r="N29" i="30"/>
  <c r="N36" i="30"/>
  <c r="N34" i="30"/>
  <c r="N28" i="30"/>
  <c r="N30" i="30"/>
  <c r="J27" i="9"/>
  <c r="G77" i="1"/>
  <c r="I40" i="3"/>
  <c r="AI87" i="13"/>
  <c r="R35" i="13"/>
  <c r="G168" i="26"/>
  <c r="G164" i="26"/>
  <c r="G165" i="26"/>
  <c r="G155" i="26"/>
  <c r="G154" i="26"/>
  <c r="G156" i="26"/>
  <c r="G159" i="26"/>
  <c r="G171" i="26"/>
  <c r="G174" i="26"/>
  <c r="G153" i="26"/>
  <c r="G163" i="26"/>
  <c r="G157" i="26"/>
  <c r="G160" i="26"/>
  <c r="G172" i="26"/>
  <c r="G169" i="26"/>
  <c r="G175" i="26"/>
  <c r="G173" i="26"/>
  <c r="G167" i="26"/>
  <c r="G161" i="26"/>
  <c r="G162" i="26"/>
  <c r="G152" i="26"/>
  <c r="G170" i="26"/>
  <c r="G158" i="26"/>
  <c r="G166" i="26"/>
  <c r="L33" i="13"/>
  <c r="N35" i="30"/>
  <c r="G78" i="1"/>
  <c r="J44" i="9"/>
  <c r="L31" i="8"/>
  <c r="M27" i="27"/>
  <c r="M33" i="27"/>
  <c r="M31" i="27"/>
  <c r="M26" i="27"/>
  <c r="M24" i="27"/>
  <c r="M30" i="27"/>
  <c r="M36" i="27"/>
  <c r="M34" i="27"/>
  <c r="M32" i="27"/>
  <c r="M40" i="27"/>
  <c r="M41" i="27"/>
  <c r="M28" i="27"/>
  <c r="M35" i="27"/>
  <c r="M39" i="27"/>
  <c r="M37" i="27"/>
  <c r="M29" i="27"/>
  <c r="M38" i="27"/>
  <c r="M25" i="27"/>
  <c r="R37" i="30"/>
  <c r="R39" i="30" s="1"/>
  <c r="H49" i="40"/>
  <c r="K49" i="40" s="1"/>
  <c r="G80" i="1"/>
  <c r="J31" i="9"/>
  <c r="AK75" i="31"/>
  <c r="AQ75" i="31"/>
  <c r="J32" i="9"/>
  <c r="G81" i="1"/>
  <c r="G76" i="1"/>
  <c r="J26" i="9"/>
  <c r="B13" i="40"/>
  <c r="L13" i="40" s="1"/>
  <c r="E37" i="3"/>
  <c r="B15" i="40"/>
  <c r="L15" i="40" s="1"/>
  <c r="J45" i="9"/>
  <c r="G79" i="1"/>
  <c r="AI82" i="13"/>
  <c r="AK81" i="13"/>
  <c r="AQ81" i="13"/>
  <c r="N36" i="5"/>
  <c r="J37" i="5"/>
  <c r="AJ74" i="7"/>
  <c r="AP74" i="7"/>
  <c r="AH77" i="7"/>
  <c r="AP77" i="7" s="1"/>
  <c r="L39" i="31"/>
  <c r="N37" i="31" s="1"/>
  <c r="L20" i="4"/>
  <c r="G130" i="1"/>
  <c r="J25" i="14"/>
  <c r="L25" i="14" s="1"/>
  <c r="H38" i="40"/>
  <c r="H1" i="40" s="1"/>
  <c r="R36" i="7"/>
  <c r="R38" i="7" s="1"/>
  <c r="AK77" i="33"/>
  <c r="AQ77" i="33"/>
  <c r="L23" i="5"/>
  <c r="J21" i="5"/>
  <c r="AJ69" i="7"/>
  <c r="AP69" i="7"/>
  <c r="AI81" i="30"/>
  <c r="AQ79" i="30"/>
  <c r="AK79" i="30"/>
  <c r="J45" i="34"/>
  <c r="K48" i="34"/>
  <c r="J48" i="34" s="1"/>
  <c r="AQ79" i="31"/>
  <c r="AK79" i="31"/>
  <c r="AI81" i="31"/>
  <c r="N30" i="5"/>
  <c r="N26" i="5"/>
  <c r="J33" i="5"/>
  <c r="N29" i="5"/>
  <c r="N28" i="5"/>
  <c r="N32" i="5"/>
  <c r="N27" i="5"/>
  <c r="H50" i="40"/>
  <c r="K50" i="40" s="1"/>
  <c r="R37" i="31"/>
  <c r="R39" i="31" s="1"/>
  <c r="AQ75" i="30"/>
  <c r="AK75" i="30"/>
  <c r="B6" i="40"/>
  <c r="E23" i="3"/>
  <c r="AK86" i="13"/>
  <c r="AQ86" i="13"/>
  <c r="L39" i="33"/>
  <c r="G129" i="1"/>
  <c r="J24" i="14"/>
  <c r="L24" i="14" s="1"/>
  <c r="AK81" i="33"/>
  <c r="AQ81" i="33"/>
  <c r="AI83" i="33"/>
  <c r="J38" i="14"/>
  <c r="L38" i="14" s="1"/>
  <c r="G131" i="1"/>
  <c r="N31" i="30"/>
  <c r="H51" i="40"/>
  <c r="K51" i="40" s="1"/>
  <c r="R37" i="33"/>
  <c r="R39" i="33" s="1"/>
  <c r="P32" i="35"/>
  <c r="S32" i="35" s="1"/>
  <c r="O32" i="35" s="1"/>
  <c r="N31" i="5"/>
  <c r="J46" i="12" l="1"/>
  <c r="L46" i="12" s="1"/>
  <c r="R46" i="12" s="1"/>
  <c r="G106" i="1"/>
  <c r="AE20" i="35"/>
  <c r="G72" i="1"/>
  <c r="J35" i="9"/>
  <c r="J34" i="10" s="1"/>
  <c r="L34" i="10" s="1"/>
  <c r="R43" i="12"/>
  <c r="AI106" i="12"/>
  <c r="N76" i="26"/>
  <c r="Q76" i="26" s="1"/>
  <c r="R76" i="26" s="1"/>
  <c r="H76" i="26"/>
  <c r="N77" i="26"/>
  <c r="Q77" i="26" s="1"/>
  <c r="R77" i="26" s="1"/>
  <c r="H77" i="26"/>
  <c r="I77" i="26" s="1"/>
  <c r="N78" i="26"/>
  <c r="Q78" i="26" s="1"/>
  <c r="R78" i="26" s="1"/>
  <c r="H78" i="26"/>
  <c r="I78" i="26" s="1"/>
  <c r="R28" i="12"/>
  <c r="R29" i="12" s="1"/>
  <c r="L29" i="12"/>
  <c r="AI91" i="12"/>
  <c r="L34" i="11"/>
  <c r="AI81" i="11"/>
  <c r="R33" i="11"/>
  <c r="R34" i="11" s="1"/>
  <c r="J53" i="9"/>
  <c r="L53" i="9" s="1"/>
  <c r="G73" i="1"/>
  <c r="AH79" i="7"/>
  <c r="AP79" i="7" s="1"/>
  <c r="B51" i="40"/>
  <c r="L51" i="40" s="1"/>
  <c r="R43" i="6"/>
  <c r="G43" i="3"/>
  <c r="I43" i="3" s="1"/>
  <c r="N24" i="33"/>
  <c r="L43" i="6"/>
  <c r="N25" i="33"/>
  <c r="N29" i="33"/>
  <c r="N34" i="33"/>
  <c r="N36" i="33"/>
  <c r="N28" i="33"/>
  <c r="N30" i="33"/>
  <c r="N35" i="33"/>
  <c r="N31" i="33"/>
  <c r="AQ81" i="30"/>
  <c r="AI83" i="30"/>
  <c r="AK81" i="30"/>
  <c r="R21" i="6"/>
  <c r="R23" i="6" s="1"/>
  <c r="B38" i="40"/>
  <c r="G21" i="3"/>
  <c r="J45" i="10"/>
  <c r="L45" i="10" s="1"/>
  <c r="L44" i="9"/>
  <c r="H167" i="26"/>
  <c r="I167" i="26" s="1"/>
  <c r="N167" i="26"/>
  <c r="Q167" i="26" s="1"/>
  <c r="R167" i="26" s="1"/>
  <c r="H156" i="26"/>
  <c r="I156" i="26" s="1"/>
  <c r="N156" i="26"/>
  <c r="Q156" i="26" s="1"/>
  <c r="R156" i="26" s="1"/>
  <c r="J29" i="10"/>
  <c r="L29" i="10" s="1"/>
  <c r="L27" i="9"/>
  <c r="K38" i="40"/>
  <c r="L31" i="9"/>
  <c r="J49" i="9"/>
  <c r="L49" i="9" s="1"/>
  <c r="N173" i="26"/>
  <c r="Q173" i="26" s="1"/>
  <c r="R173" i="26" s="1"/>
  <c r="H173" i="26"/>
  <c r="I173" i="26" s="1"/>
  <c r="N154" i="26"/>
  <c r="Q154" i="26" s="1"/>
  <c r="R154" i="26" s="1"/>
  <c r="H154" i="26"/>
  <c r="I154" i="26" s="1"/>
  <c r="AI88" i="14"/>
  <c r="R24" i="14"/>
  <c r="L26" i="14"/>
  <c r="N21" i="5"/>
  <c r="J23" i="5"/>
  <c r="N30" i="31"/>
  <c r="N25" i="31"/>
  <c r="N24" i="31"/>
  <c r="L42" i="6"/>
  <c r="N29" i="31"/>
  <c r="N34" i="31"/>
  <c r="N36" i="31"/>
  <c r="N28" i="31"/>
  <c r="N31" i="31"/>
  <c r="N35" i="31"/>
  <c r="N175" i="26"/>
  <c r="Q175" i="26" s="1"/>
  <c r="R175" i="26" s="1"/>
  <c r="H175" i="26"/>
  <c r="I175" i="26" s="1"/>
  <c r="N155" i="26"/>
  <c r="Q155" i="26" s="1"/>
  <c r="R155" i="26" s="1"/>
  <c r="H155" i="26"/>
  <c r="I155" i="26" s="1"/>
  <c r="B50" i="40"/>
  <c r="L50" i="40" s="1"/>
  <c r="G42" i="3"/>
  <c r="I42" i="3" s="1"/>
  <c r="R42" i="6"/>
  <c r="N169" i="26"/>
  <c r="Q169" i="26" s="1"/>
  <c r="R169" i="26" s="1"/>
  <c r="H169" i="26"/>
  <c r="I169" i="26" s="1"/>
  <c r="N165" i="26"/>
  <c r="Q165" i="26" s="1"/>
  <c r="R165" i="26" s="1"/>
  <c r="H165" i="26"/>
  <c r="H158" i="26"/>
  <c r="I158" i="26" s="1"/>
  <c r="N158" i="26"/>
  <c r="Q158" i="26" s="1"/>
  <c r="R158" i="26" s="1"/>
  <c r="AQ82" i="13"/>
  <c r="AK82" i="13"/>
  <c r="L6" i="40"/>
  <c r="J50" i="9"/>
  <c r="L50" i="9" s="1"/>
  <c r="L32" i="9"/>
  <c r="R41" i="6"/>
  <c r="B49" i="40"/>
  <c r="L49" i="40" s="1"/>
  <c r="G41" i="3"/>
  <c r="N172" i="26"/>
  <c r="Q172" i="26" s="1"/>
  <c r="R172" i="26" s="1"/>
  <c r="H172" i="26"/>
  <c r="I172" i="26" s="1"/>
  <c r="H164" i="26"/>
  <c r="I164" i="26" s="1"/>
  <c r="N164" i="26"/>
  <c r="Q164" i="26" s="1"/>
  <c r="R164" i="26" s="1"/>
  <c r="R38" i="14"/>
  <c r="AI102" i="14"/>
  <c r="AK81" i="31"/>
  <c r="AI83" i="31"/>
  <c r="AQ81" i="31"/>
  <c r="J46" i="10"/>
  <c r="L46" i="10" s="1"/>
  <c r="L45" i="9"/>
  <c r="AI85" i="13"/>
  <c r="L36" i="13"/>
  <c r="R33" i="13"/>
  <c r="N160" i="26"/>
  <c r="Q160" i="26" s="1"/>
  <c r="R160" i="26" s="1"/>
  <c r="H160" i="26"/>
  <c r="I160" i="26" s="1"/>
  <c r="N168" i="26"/>
  <c r="Q168" i="26" s="1"/>
  <c r="R168" i="26" s="1"/>
  <c r="H168" i="26"/>
  <c r="I168" i="26" s="1"/>
  <c r="AI85" i="33"/>
  <c r="AK83" i="33"/>
  <c r="AQ83" i="33"/>
  <c r="G132" i="1"/>
  <c r="J39" i="14"/>
  <c r="L39" i="14" s="1"/>
  <c r="L40" i="14" s="1"/>
  <c r="N166" i="26"/>
  <c r="Q166" i="26" s="1"/>
  <c r="R166" i="26" s="1"/>
  <c r="H166" i="26"/>
  <c r="I166" i="26" s="1"/>
  <c r="N157" i="26"/>
  <c r="Q157" i="26" s="1"/>
  <c r="R157" i="26" s="1"/>
  <c r="H157" i="26"/>
  <c r="I157" i="26" s="1"/>
  <c r="L23" i="6"/>
  <c r="N21" i="6" s="1"/>
  <c r="J21" i="6"/>
  <c r="H170" i="26"/>
  <c r="I170" i="26" s="1"/>
  <c r="N170" i="26"/>
  <c r="Q170" i="26" s="1"/>
  <c r="R170" i="26" s="1"/>
  <c r="N153" i="26"/>
  <c r="Q153" i="26" s="1"/>
  <c r="R153" i="26" s="1"/>
  <c r="H153" i="26"/>
  <c r="I153" i="26" s="1"/>
  <c r="N152" i="26"/>
  <c r="Q152" i="26" s="1"/>
  <c r="R152" i="26" s="1"/>
  <c r="H152" i="26"/>
  <c r="I152" i="26" s="1"/>
  <c r="H174" i="26"/>
  <c r="I174" i="26" s="1"/>
  <c r="N174" i="26"/>
  <c r="Q174" i="26" s="1"/>
  <c r="R174" i="26" s="1"/>
  <c r="J41" i="6"/>
  <c r="R25" i="14"/>
  <c r="AI89" i="14"/>
  <c r="N163" i="26"/>
  <c r="Q163" i="26" s="1"/>
  <c r="R163" i="26" s="1"/>
  <c r="H163" i="26"/>
  <c r="I163" i="26" s="1"/>
  <c r="H162" i="26"/>
  <c r="I162" i="26" s="1"/>
  <c r="N162" i="26"/>
  <c r="Q162" i="26" s="1"/>
  <c r="R162" i="26" s="1"/>
  <c r="H171" i="26"/>
  <c r="I171" i="26" s="1"/>
  <c r="N171" i="26"/>
  <c r="Q171" i="26" s="1"/>
  <c r="R171" i="26" s="1"/>
  <c r="N37" i="33"/>
  <c r="J28" i="10"/>
  <c r="L28" i="10" s="1"/>
  <c r="L26" i="9"/>
  <c r="R31" i="8"/>
  <c r="AI87" i="8"/>
  <c r="L32" i="8"/>
  <c r="N161" i="26"/>
  <c r="Q161" i="26" s="1"/>
  <c r="R161" i="26" s="1"/>
  <c r="H161" i="26"/>
  <c r="I161" i="26" s="1"/>
  <c r="H159" i="26"/>
  <c r="I159" i="26" s="1"/>
  <c r="N159" i="26"/>
  <c r="Q159" i="26" s="1"/>
  <c r="R159" i="26" s="1"/>
  <c r="R32" i="8" l="1"/>
  <c r="AI109" i="12"/>
  <c r="AQ109" i="12" s="1"/>
  <c r="G107" i="1"/>
  <c r="J47" i="12"/>
  <c r="C12" i="36"/>
  <c r="C9" i="36"/>
  <c r="L35" i="9"/>
  <c r="R35" i="9" s="1"/>
  <c r="J51" i="10"/>
  <c r="L51" i="10" s="1"/>
  <c r="AI121" i="10" s="1"/>
  <c r="AI92" i="12"/>
  <c r="AK91" i="12"/>
  <c r="AQ91" i="12"/>
  <c r="AA24" i="35"/>
  <c r="R17" i="34" s="1"/>
  <c r="L33" i="12"/>
  <c r="B9" i="36"/>
  <c r="I76" i="26"/>
  <c r="L38" i="11"/>
  <c r="W24" i="35"/>
  <c r="R16" i="34" s="1"/>
  <c r="AI82" i="11"/>
  <c r="AK81" i="11"/>
  <c r="AQ81" i="11"/>
  <c r="AK106" i="12"/>
  <c r="AQ106" i="12"/>
  <c r="AK109" i="12"/>
  <c r="K43" i="3"/>
  <c r="K42" i="3"/>
  <c r="J36" i="9"/>
  <c r="G112" i="26" s="1"/>
  <c r="H112" i="26" s="1"/>
  <c r="I112" i="26" s="1"/>
  <c r="G74" i="1"/>
  <c r="P21" i="5"/>
  <c r="P23" i="5" s="1"/>
  <c r="L44" i="6"/>
  <c r="N43" i="6" s="1"/>
  <c r="AJ79" i="7"/>
  <c r="R44" i="6"/>
  <c r="AO33" i="35"/>
  <c r="AR32" i="35" s="1"/>
  <c r="R40" i="14"/>
  <c r="I41" i="3"/>
  <c r="G44" i="3"/>
  <c r="R28" i="10"/>
  <c r="AI98" i="10"/>
  <c r="L31" i="10"/>
  <c r="AI116" i="10"/>
  <c r="R46" i="10"/>
  <c r="G26" i="35"/>
  <c r="G28" i="35" s="1"/>
  <c r="AK102" i="14"/>
  <c r="AQ102" i="14"/>
  <c r="I165" i="26"/>
  <c r="B12" i="36"/>
  <c r="AI104" i="10"/>
  <c r="R34" i="10"/>
  <c r="AI121" i="9"/>
  <c r="R49" i="9"/>
  <c r="R44" i="9"/>
  <c r="L47" i="9"/>
  <c r="AI116" i="9"/>
  <c r="AI103" i="14"/>
  <c r="R39" i="14"/>
  <c r="R36" i="13"/>
  <c r="R37" i="13" s="1"/>
  <c r="L37" i="13"/>
  <c r="R32" i="9"/>
  <c r="AI104" i="9"/>
  <c r="R31" i="9"/>
  <c r="AI103" i="9"/>
  <c r="R45" i="10"/>
  <c r="L48" i="10"/>
  <c r="AI115" i="10"/>
  <c r="AI88" i="13"/>
  <c r="AQ85" i="13"/>
  <c r="AK85" i="13"/>
  <c r="R50" i="9"/>
  <c r="AI122" i="9"/>
  <c r="AI98" i="9"/>
  <c r="L29" i="9"/>
  <c r="R26" i="9"/>
  <c r="AI117" i="9"/>
  <c r="R45" i="9"/>
  <c r="I21" i="3"/>
  <c r="G23" i="3"/>
  <c r="I23" i="3" s="1"/>
  <c r="L38" i="40"/>
  <c r="J43" i="6"/>
  <c r="P43" i="5"/>
  <c r="AK85" i="33"/>
  <c r="AQ85" i="33"/>
  <c r="J23" i="6"/>
  <c r="J42" i="6"/>
  <c r="R26" i="14"/>
  <c r="R27" i="9"/>
  <c r="AI99" i="9"/>
  <c r="P42" i="5"/>
  <c r="AK83" i="31"/>
  <c r="AQ83" i="31"/>
  <c r="AI90" i="14"/>
  <c r="AK88" i="14"/>
  <c r="AQ88" i="14"/>
  <c r="AI99" i="10"/>
  <c r="R29" i="10"/>
  <c r="AQ83" i="30"/>
  <c r="P41" i="5"/>
  <c r="AK83" i="30"/>
  <c r="R53" i="9"/>
  <c r="AI125" i="9"/>
  <c r="AK89" i="14"/>
  <c r="AQ89" i="14"/>
  <c r="AK87" i="8"/>
  <c r="AI88" i="8"/>
  <c r="AQ87" i="8"/>
  <c r="AI107" i="9" l="1"/>
  <c r="B11" i="41"/>
  <c r="C11" i="41" s="1"/>
  <c r="L47" i="12"/>
  <c r="B11" i="36"/>
  <c r="C11" i="36" s="1"/>
  <c r="R51" i="10"/>
  <c r="G110" i="26"/>
  <c r="H110" i="26" s="1"/>
  <c r="I110" i="26" s="1"/>
  <c r="G108" i="26"/>
  <c r="H108" i="26" s="1"/>
  <c r="I108" i="26" s="1"/>
  <c r="G109" i="26"/>
  <c r="H109" i="26" s="1"/>
  <c r="I109" i="26" s="1"/>
  <c r="L36" i="9"/>
  <c r="R36" i="9" s="1"/>
  <c r="J35" i="10"/>
  <c r="L35" i="10" s="1"/>
  <c r="R35" i="10" s="1"/>
  <c r="J54" i="9"/>
  <c r="G118" i="26" s="1"/>
  <c r="G106" i="26"/>
  <c r="H106" i="26" s="1"/>
  <c r="I106" i="26" s="1"/>
  <c r="G107" i="26"/>
  <c r="H107" i="26" s="1"/>
  <c r="I107" i="26" s="1"/>
  <c r="G105" i="26"/>
  <c r="N105" i="26" s="1"/>
  <c r="Q105" i="26" s="1"/>
  <c r="R105" i="26" s="1"/>
  <c r="G111" i="26"/>
  <c r="N111" i="26" s="1"/>
  <c r="Q111" i="26" s="1"/>
  <c r="R111" i="26" s="1"/>
  <c r="G114" i="26"/>
  <c r="H114" i="26" s="1"/>
  <c r="I114" i="26" s="1"/>
  <c r="AK82" i="11"/>
  <c r="AQ82" i="11"/>
  <c r="L36" i="12"/>
  <c r="L38" i="12" s="1"/>
  <c r="R33" i="12"/>
  <c r="AI96" i="12"/>
  <c r="R38" i="11"/>
  <c r="AI86" i="11"/>
  <c r="L41" i="11"/>
  <c r="L43" i="11" s="1"/>
  <c r="N38" i="11" s="1"/>
  <c r="G113" i="26"/>
  <c r="N113" i="26" s="1"/>
  <c r="Q113" i="26" s="1"/>
  <c r="R113" i="26" s="1"/>
  <c r="AK92" i="12"/>
  <c r="AQ92" i="12"/>
  <c r="N112" i="26"/>
  <c r="Q112" i="26" s="1"/>
  <c r="R112" i="26" s="1"/>
  <c r="K23" i="3"/>
  <c r="K21" i="3"/>
  <c r="R21" i="5"/>
  <c r="X21" i="5"/>
  <c r="N40" i="6"/>
  <c r="N42" i="6"/>
  <c r="N41" i="6"/>
  <c r="J44" i="6"/>
  <c r="R48" i="10"/>
  <c r="R29" i="9"/>
  <c r="R33" i="9" s="1"/>
  <c r="AQ121" i="9"/>
  <c r="AK121" i="9"/>
  <c r="AQ117" i="9"/>
  <c r="AK117" i="9"/>
  <c r="L41" i="13"/>
  <c r="AJ36" i="35"/>
  <c r="R19" i="34" s="1"/>
  <c r="AQ116" i="10"/>
  <c r="AK116" i="10"/>
  <c r="K41" i="3"/>
  <c r="I44" i="3"/>
  <c r="AQ104" i="9"/>
  <c r="AK104" i="9"/>
  <c r="R41" i="5"/>
  <c r="X41" i="5"/>
  <c r="P44" i="5"/>
  <c r="X42" i="5"/>
  <c r="R42" i="5"/>
  <c r="AI89" i="13"/>
  <c r="AQ88" i="13"/>
  <c r="AK88" i="13"/>
  <c r="L33" i="9"/>
  <c r="AQ104" i="10"/>
  <c r="AK104" i="10"/>
  <c r="AK125" i="9"/>
  <c r="AQ125" i="9"/>
  <c r="AK88" i="8"/>
  <c r="AQ88" i="8"/>
  <c r="AQ99" i="9"/>
  <c r="AK99" i="9"/>
  <c r="AQ98" i="9"/>
  <c r="AI101" i="9"/>
  <c r="AK98" i="9"/>
  <c r="AQ115" i="10"/>
  <c r="AI118" i="10"/>
  <c r="AK115" i="10"/>
  <c r="AK103" i="14"/>
  <c r="AQ103" i="14"/>
  <c r="AQ98" i="10"/>
  <c r="AI101" i="10"/>
  <c r="AK98" i="10"/>
  <c r="AQ121" i="10"/>
  <c r="AK121" i="10"/>
  <c r="R31" i="10"/>
  <c r="AQ99" i="10"/>
  <c r="AK99" i="10"/>
  <c r="AQ116" i="9"/>
  <c r="AI119" i="9"/>
  <c r="AK116" i="9"/>
  <c r="R23" i="5"/>
  <c r="X23" i="5"/>
  <c r="AQ103" i="9"/>
  <c r="AK103" i="9"/>
  <c r="R47" i="9"/>
  <c r="R51" i="9" s="1"/>
  <c r="AI104" i="14"/>
  <c r="L51" i="9"/>
  <c r="R43" i="5"/>
  <c r="X43" i="5"/>
  <c r="AK90" i="14"/>
  <c r="AQ90" i="14"/>
  <c r="AQ122" i="9"/>
  <c r="AK122" i="9"/>
  <c r="G46" i="35"/>
  <c r="G38" i="35"/>
  <c r="G40" i="35" s="1"/>
  <c r="G42" i="35"/>
  <c r="G44" i="35" s="1"/>
  <c r="G30" i="35"/>
  <c r="AQ107" i="9"/>
  <c r="AK107" i="9"/>
  <c r="AR34" i="35"/>
  <c r="AS34" i="35" s="1"/>
  <c r="AR35" i="35"/>
  <c r="AS35" i="35" s="1"/>
  <c r="AO35" i="35" s="1"/>
  <c r="J52" i="10" l="1"/>
  <c r="L52" i="10" s="1"/>
  <c r="L53" i="10" s="1"/>
  <c r="AO34" i="35"/>
  <c r="G48" i="35"/>
  <c r="AI110" i="12"/>
  <c r="R47" i="12"/>
  <c r="R48" i="12" s="1"/>
  <c r="L48" i="12"/>
  <c r="G32" i="35"/>
  <c r="G125" i="26"/>
  <c r="H125" i="26" s="1"/>
  <c r="I125" i="26" s="1"/>
  <c r="N110" i="26"/>
  <c r="Q110" i="26" s="1"/>
  <c r="R110" i="26" s="1"/>
  <c r="L54" i="9"/>
  <c r="AI126" i="9" s="1"/>
  <c r="G120" i="26"/>
  <c r="H120" i="26" s="1"/>
  <c r="I120" i="26" s="1"/>
  <c r="G124" i="26"/>
  <c r="N124" i="26" s="1"/>
  <c r="Q124" i="26" s="1"/>
  <c r="R124" i="26" s="1"/>
  <c r="G116" i="26"/>
  <c r="N116" i="26" s="1"/>
  <c r="Q116" i="26" s="1"/>
  <c r="R116" i="26" s="1"/>
  <c r="G121" i="26"/>
  <c r="N121" i="26" s="1"/>
  <c r="Q121" i="26" s="1"/>
  <c r="R121" i="26" s="1"/>
  <c r="G119" i="26"/>
  <c r="H119" i="26" s="1"/>
  <c r="G117" i="26"/>
  <c r="N117" i="26" s="1"/>
  <c r="Q117" i="26" s="1"/>
  <c r="R117" i="26" s="1"/>
  <c r="G122" i="26"/>
  <c r="H122" i="26" s="1"/>
  <c r="I122" i="26" s="1"/>
  <c r="G123" i="26"/>
  <c r="H123" i="26" s="1"/>
  <c r="I123" i="26" s="1"/>
  <c r="N106" i="26"/>
  <c r="Q106" i="26" s="1"/>
  <c r="R106" i="26" s="1"/>
  <c r="H105" i="26"/>
  <c r="I105" i="26" s="1"/>
  <c r="N108" i="26"/>
  <c r="Q108" i="26" s="1"/>
  <c r="R108" i="26" s="1"/>
  <c r="L36" i="10"/>
  <c r="AI105" i="10"/>
  <c r="AI106" i="10" s="1"/>
  <c r="AI108" i="9"/>
  <c r="AK108" i="9" s="1"/>
  <c r="N109" i="26"/>
  <c r="Q109" i="26" s="1"/>
  <c r="R109" i="26" s="1"/>
  <c r="AI89" i="11"/>
  <c r="AK89" i="11" s="1"/>
  <c r="AQ86" i="11"/>
  <c r="AK86" i="11"/>
  <c r="AI99" i="12"/>
  <c r="AI101" i="12" s="1"/>
  <c r="P30" i="5" s="1"/>
  <c r="AQ96" i="12"/>
  <c r="AK96" i="12"/>
  <c r="N107" i="26"/>
  <c r="Q107" i="26" s="1"/>
  <c r="R107" i="26" s="1"/>
  <c r="H111" i="26"/>
  <c r="I111" i="26" s="1"/>
  <c r="N114" i="26"/>
  <c r="Q114" i="26" s="1"/>
  <c r="R114" i="26" s="1"/>
  <c r="N36" i="12"/>
  <c r="N23" i="12"/>
  <c r="N35" i="12"/>
  <c r="L30" i="6"/>
  <c r="J30" i="6" s="1"/>
  <c r="N25" i="12"/>
  <c r="N32" i="12"/>
  <c r="N28" i="12"/>
  <c r="N29" i="12"/>
  <c r="N41" i="11"/>
  <c r="N26" i="11"/>
  <c r="N24" i="11"/>
  <c r="N39" i="11"/>
  <c r="N27" i="11"/>
  <c r="L29" i="6"/>
  <c r="J29" i="6" s="1"/>
  <c r="N25" i="11"/>
  <c r="N37" i="11"/>
  <c r="N40" i="11"/>
  <c r="N33" i="11"/>
  <c r="N34" i="11"/>
  <c r="H43" i="40"/>
  <c r="K43" i="40" s="1"/>
  <c r="R41" i="11"/>
  <c r="R43" i="11" s="1"/>
  <c r="H113" i="26"/>
  <c r="I113" i="26" s="1"/>
  <c r="N33" i="12"/>
  <c r="R36" i="12"/>
  <c r="R38" i="12" s="1"/>
  <c r="H44" i="40"/>
  <c r="K44" i="40" s="1"/>
  <c r="K44" i="3"/>
  <c r="R37" i="9"/>
  <c r="R41" i="13"/>
  <c r="AI93" i="13"/>
  <c r="L44" i="13"/>
  <c r="AK104" i="14"/>
  <c r="AQ104" i="14"/>
  <c r="AI105" i="9"/>
  <c r="AQ101" i="9"/>
  <c r="AK101" i="9"/>
  <c r="G34" i="35"/>
  <c r="R44" i="5"/>
  <c r="X44" i="5"/>
  <c r="AI123" i="9"/>
  <c r="AQ119" i="9"/>
  <c r="AK119" i="9"/>
  <c r="AQ101" i="10"/>
  <c r="AK101" i="10"/>
  <c r="L37" i="9"/>
  <c r="G58" i="1"/>
  <c r="J38" i="8"/>
  <c r="L38" i="8" s="1"/>
  <c r="N118" i="26"/>
  <c r="Q118" i="26" s="1"/>
  <c r="R118" i="26" s="1"/>
  <c r="H118" i="26"/>
  <c r="I118" i="26" s="1"/>
  <c r="J43" i="14"/>
  <c r="L43" i="14" s="1"/>
  <c r="G126" i="1"/>
  <c r="R36" i="10"/>
  <c r="AQ89" i="13"/>
  <c r="AK89" i="13"/>
  <c r="AQ118" i="10"/>
  <c r="AK118" i="10"/>
  <c r="AR36" i="35"/>
  <c r="AS36" i="35" s="1"/>
  <c r="AO36" i="35" s="1"/>
  <c r="AI122" i="10"/>
  <c r="AI123" i="10" s="1"/>
  <c r="R52" i="10"/>
  <c r="R53" i="10" s="1"/>
  <c r="J29" i="14" l="1"/>
  <c r="L29" i="14" s="1"/>
  <c r="R29" i="14" s="1"/>
  <c r="G125" i="1"/>
  <c r="L54" i="10"/>
  <c r="N120" i="26"/>
  <c r="Q120" i="26" s="1"/>
  <c r="R120" i="26" s="1"/>
  <c r="R54" i="9"/>
  <c r="R55" i="9" s="1"/>
  <c r="L55" i="9"/>
  <c r="L56" i="9" s="1"/>
  <c r="J39" i="8"/>
  <c r="L39" i="8" s="1"/>
  <c r="AI95" i="8" s="1"/>
  <c r="G59" i="1"/>
  <c r="G51" i="1"/>
  <c r="J35" i="8"/>
  <c r="O39" i="27" s="1"/>
  <c r="G36" i="35"/>
  <c r="AE22" i="35"/>
  <c r="R18" i="34" s="1"/>
  <c r="L52" i="12"/>
  <c r="AI111" i="12"/>
  <c r="AK110" i="12"/>
  <c r="AQ110" i="12"/>
  <c r="N125" i="26"/>
  <c r="Q125" i="26" s="1"/>
  <c r="R125" i="26" s="1"/>
  <c r="H116" i="26"/>
  <c r="I116" i="26" s="1"/>
  <c r="H121" i="26"/>
  <c r="I121" i="26" s="1"/>
  <c r="N122" i="26"/>
  <c r="Q122" i="26" s="1"/>
  <c r="R122" i="26" s="1"/>
  <c r="N119" i="26"/>
  <c r="Q119" i="26" s="1"/>
  <c r="R119" i="26" s="1"/>
  <c r="H124" i="26"/>
  <c r="I124" i="26" s="1"/>
  <c r="N123" i="26"/>
  <c r="Q123" i="26" s="1"/>
  <c r="R123" i="26" s="1"/>
  <c r="H117" i="26"/>
  <c r="I117" i="26" s="1"/>
  <c r="AK105" i="10"/>
  <c r="AQ105" i="10"/>
  <c r="AK101" i="12"/>
  <c r="AQ108" i="9"/>
  <c r="AQ101" i="12"/>
  <c r="AQ89" i="11"/>
  <c r="AK99" i="12"/>
  <c r="AQ99" i="12"/>
  <c r="AI91" i="11"/>
  <c r="P29" i="5" s="1"/>
  <c r="G53" i="1"/>
  <c r="J37" i="8"/>
  <c r="Q41" i="27" s="1"/>
  <c r="B44" i="40"/>
  <c r="L44" i="40" s="1"/>
  <c r="G30" i="3"/>
  <c r="I30" i="3" s="1"/>
  <c r="R30" i="6"/>
  <c r="R30" i="5"/>
  <c r="X30" i="5"/>
  <c r="B43" i="40"/>
  <c r="L43" i="40" s="1"/>
  <c r="G29" i="3"/>
  <c r="I29" i="3" s="1"/>
  <c r="R29" i="6"/>
  <c r="AI107" i="14"/>
  <c r="R43" i="14"/>
  <c r="AI127" i="9"/>
  <c r="AQ126" i="9"/>
  <c r="AK126" i="9"/>
  <c r="R54" i="10"/>
  <c r="L58" i="10" s="1"/>
  <c r="B7" i="36"/>
  <c r="B8" i="36" s="1"/>
  <c r="I119" i="26"/>
  <c r="AQ106" i="10"/>
  <c r="AK106" i="10"/>
  <c r="L46" i="13"/>
  <c r="N44" i="13" s="1"/>
  <c r="AQ122" i="10"/>
  <c r="AK122" i="10"/>
  <c r="AI96" i="13"/>
  <c r="AK93" i="13"/>
  <c r="AQ93" i="13"/>
  <c r="H46" i="40"/>
  <c r="K46" i="40" s="1"/>
  <c r="R44" i="13"/>
  <c r="R46" i="13" s="1"/>
  <c r="AQ123" i="10"/>
  <c r="AI124" i="10"/>
  <c r="AK123" i="10"/>
  <c r="AI94" i="8"/>
  <c r="R38" i="8"/>
  <c r="AQ123" i="9"/>
  <c r="AK123" i="9"/>
  <c r="AQ105" i="9"/>
  <c r="AI109" i="9"/>
  <c r="AK105" i="9"/>
  <c r="O24" i="27" l="1"/>
  <c r="R24" i="27" s="1"/>
  <c r="G56" i="26" s="1"/>
  <c r="N56" i="26" s="1"/>
  <c r="Q56" i="26" s="1"/>
  <c r="R56" i="26" s="1"/>
  <c r="O40" i="27"/>
  <c r="O27" i="27"/>
  <c r="O36" i="27"/>
  <c r="O32" i="27"/>
  <c r="O35" i="27"/>
  <c r="O38" i="27"/>
  <c r="O33" i="27"/>
  <c r="O37" i="27"/>
  <c r="L35" i="8"/>
  <c r="AI91" i="8" s="1"/>
  <c r="O34" i="27"/>
  <c r="O31" i="27"/>
  <c r="O26" i="27"/>
  <c r="O41" i="27"/>
  <c r="O21" i="27"/>
  <c r="R21" i="27" s="1"/>
  <c r="G53" i="26" s="1"/>
  <c r="H53" i="26" s="1"/>
  <c r="I53" i="26" s="1"/>
  <c r="O23" i="27"/>
  <c r="R23" i="27" s="1"/>
  <c r="G55" i="26" s="1"/>
  <c r="H55" i="26" s="1"/>
  <c r="I55" i="26" s="1"/>
  <c r="O28" i="27"/>
  <c r="O29" i="27"/>
  <c r="O25" i="27"/>
  <c r="O22" i="27"/>
  <c r="R22" i="27" s="1"/>
  <c r="G54" i="26" s="1"/>
  <c r="H54" i="26" s="1"/>
  <c r="I54" i="26" s="1"/>
  <c r="O30" i="27"/>
  <c r="AI93" i="14"/>
  <c r="AK93" i="14" s="1"/>
  <c r="R39" i="8"/>
  <c r="J36" i="8"/>
  <c r="P25" i="27" s="1"/>
  <c r="G52" i="1"/>
  <c r="R52" i="12"/>
  <c r="AI115" i="12"/>
  <c r="L55" i="12"/>
  <c r="L57" i="12" s="1"/>
  <c r="N55" i="12" s="1"/>
  <c r="C7" i="36"/>
  <c r="C8" i="36" s="1"/>
  <c r="AQ111" i="12"/>
  <c r="AK111" i="12"/>
  <c r="Q32" i="27"/>
  <c r="Q35" i="27"/>
  <c r="Q40" i="27"/>
  <c r="L37" i="8"/>
  <c r="AI93" i="8" s="1"/>
  <c r="Q38" i="27"/>
  <c r="AQ91" i="11"/>
  <c r="AK91" i="11"/>
  <c r="G229" i="26"/>
  <c r="G238" i="26"/>
  <c r="H238" i="26" s="1"/>
  <c r="I238" i="26" s="1"/>
  <c r="G232" i="26"/>
  <c r="H232" i="26" s="1"/>
  <c r="I232" i="26" s="1"/>
  <c r="G231" i="26"/>
  <c r="N231" i="26" s="1"/>
  <c r="Q231" i="26" s="1"/>
  <c r="R231" i="26" s="1"/>
  <c r="J30" i="14"/>
  <c r="L30" i="14" s="1"/>
  <c r="AI94" i="14" s="1"/>
  <c r="G214" i="26"/>
  <c r="N214" i="26" s="1"/>
  <c r="Q214" i="26" s="1"/>
  <c r="R214" i="26" s="1"/>
  <c r="G215" i="26"/>
  <c r="N215" i="26" s="1"/>
  <c r="Q215" i="26" s="1"/>
  <c r="R215" i="26" s="1"/>
  <c r="G227" i="26"/>
  <c r="N227" i="26" s="1"/>
  <c r="Q227" i="26" s="1"/>
  <c r="R227" i="26" s="1"/>
  <c r="G219" i="26"/>
  <c r="N219" i="26" s="1"/>
  <c r="Q219" i="26" s="1"/>
  <c r="R219" i="26" s="1"/>
  <c r="G209" i="26"/>
  <c r="H209" i="26" s="1"/>
  <c r="I209" i="26" s="1"/>
  <c r="G206" i="26"/>
  <c r="H206" i="26" s="1"/>
  <c r="I206" i="26" s="1"/>
  <c r="G225" i="26"/>
  <c r="H225" i="26" s="1"/>
  <c r="G207" i="26"/>
  <c r="H207" i="26" s="1"/>
  <c r="I207" i="26" s="1"/>
  <c r="G210" i="26"/>
  <c r="H210" i="26" s="1"/>
  <c r="I210" i="26" s="1"/>
  <c r="G213" i="26"/>
  <c r="N213" i="26" s="1"/>
  <c r="Q213" i="26" s="1"/>
  <c r="R213" i="26" s="1"/>
  <c r="G217" i="26"/>
  <c r="H217" i="26" s="1"/>
  <c r="I217" i="26" s="1"/>
  <c r="G222" i="26"/>
  <c r="H222" i="26" s="1"/>
  <c r="I222" i="26" s="1"/>
  <c r="G237" i="26"/>
  <c r="N237" i="26" s="1"/>
  <c r="Q237" i="26" s="1"/>
  <c r="R237" i="26" s="1"/>
  <c r="G233" i="26"/>
  <c r="N233" i="26" s="1"/>
  <c r="Q233" i="26" s="1"/>
  <c r="R233" i="26" s="1"/>
  <c r="G236" i="26"/>
  <c r="N236" i="26" s="1"/>
  <c r="Q236" i="26" s="1"/>
  <c r="R236" i="26" s="1"/>
  <c r="G234" i="26"/>
  <c r="H234" i="26" s="1"/>
  <c r="I234" i="26" s="1"/>
  <c r="G216" i="26"/>
  <c r="N216" i="26" s="1"/>
  <c r="Q216" i="26" s="1"/>
  <c r="R216" i="26" s="1"/>
  <c r="G205" i="26"/>
  <c r="H205" i="26" s="1"/>
  <c r="I205" i="26" s="1"/>
  <c r="G223" i="26"/>
  <c r="H223" i="26" s="1"/>
  <c r="I223" i="26" s="1"/>
  <c r="G218" i="26"/>
  <c r="N218" i="26" s="1"/>
  <c r="Q218" i="26" s="1"/>
  <c r="R218" i="26" s="1"/>
  <c r="G226" i="26"/>
  <c r="H226" i="26" s="1"/>
  <c r="I226" i="26" s="1"/>
  <c r="G127" i="1"/>
  <c r="G212" i="26"/>
  <c r="H212" i="26" s="1"/>
  <c r="I212" i="26" s="1"/>
  <c r="G228" i="26"/>
  <c r="N228" i="26" s="1"/>
  <c r="Q228" i="26" s="1"/>
  <c r="R228" i="26" s="1"/>
  <c r="G211" i="26"/>
  <c r="H211" i="26" s="1"/>
  <c r="I211" i="26" s="1"/>
  <c r="G221" i="26"/>
  <c r="H221" i="26" s="1"/>
  <c r="I221" i="26" s="1"/>
  <c r="G204" i="26"/>
  <c r="N204" i="26" s="1"/>
  <c r="Q204" i="26" s="1"/>
  <c r="R204" i="26" s="1"/>
  <c r="G235" i="26"/>
  <c r="N235" i="26" s="1"/>
  <c r="Q235" i="26" s="1"/>
  <c r="R235" i="26" s="1"/>
  <c r="G208" i="26"/>
  <c r="H208" i="26" s="1"/>
  <c r="I208" i="26" s="1"/>
  <c r="G230" i="26"/>
  <c r="N230" i="26" s="1"/>
  <c r="Q230" i="26" s="1"/>
  <c r="R230" i="26" s="1"/>
  <c r="J44" i="14"/>
  <c r="L44" i="14" s="1"/>
  <c r="L45" i="14" s="1"/>
  <c r="L46" i="14" s="1"/>
  <c r="G224" i="26"/>
  <c r="N224" i="26" s="1"/>
  <c r="Q224" i="26" s="1"/>
  <c r="R224" i="26" s="1"/>
  <c r="G203" i="26"/>
  <c r="N203" i="26" s="1"/>
  <c r="Q203" i="26" s="1"/>
  <c r="R203" i="26" s="1"/>
  <c r="G202" i="26"/>
  <c r="N202" i="26" s="1"/>
  <c r="Q202" i="26" s="1"/>
  <c r="R202" i="26" s="1"/>
  <c r="K30" i="3"/>
  <c r="X29" i="5"/>
  <c r="R29" i="5"/>
  <c r="K29" i="3"/>
  <c r="AI128" i="10"/>
  <c r="R58" i="10"/>
  <c r="L61" i="10"/>
  <c r="R56" i="9"/>
  <c r="N26" i="13"/>
  <c r="N24" i="13"/>
  <c r="N25" i="13"/>
  <c r="L32" i="6"/>
  <c r="N43" i="13"/>
  <c r="N40" i="13"/>
  <c r="N34" i="13"/>
  <c r="N29" i="13"/>
  <c r="N35" i="13"/>
  <c r="N30" i="13"/>
  <c r="N33" i="13"/>
  <c r="N36" i="13"/>
  <c r="N37" i="13"/>
  <c r="N41" i="13"/>
  <c r="B46" i="40"/>
  <c r="L46" i="40" s="1"/>
  <c r="G32" i="3"/>
  <c r="I32" i="3" s="1"/>
  <c r="R32" i="6"/>
  <c r="AK95" i="8"/>
  <c r="AQ95" i="8"/>
  <c r="AK107" i="14"/>
  <c r="AQ107" i="14"/>
  <c r="AK94" i="8"/>
  <c r="AQ94" i="8"/>
  <c r="AQ109" i="9"/>
  <c r="AK109" i="9"/>
  <c r="AQ127" i="9"/>
  <c r="AI128" i="9"/>
  <c r="AK127" i="9"/>
  <c r="AQ124" i="10"/>
  <c r="AK124" i="10"/>
  <c r="AI98" i="13"/>
  <c r="AK96" i="13"/>
  <c r="AQ96" i="13"/>
  <c r="L36" i="8"/>
  <c r="N55" i="26" l="1"/>
  <c r="Q55" i="26" s="1"/>
  <c r="R55" i="26" s="1"/>
  <c r="N53" i="26"/>
  <c r="Q53" i="26" s="1"/>
  <c r="R53" i="26" s="1"/>
  <c r="H56" i="26"/>
  <c r="I56" i="26" s="1"/>
  <c r="AI95" i="14"/>
  <c r="AQ93" i="14"/>
  <c r="P30" i="27"/>
  <c r="P34" i="27"/>
  <c r="R34" i="27" s="1"/>
  <c r="G66" i="26" s="1"/>
  <c r="H66" i="26" s="1"/>
  <c r="I66" i="26" s="1"/>
  <c r="P31" i="27"/>
  <c r="P41" i="27"/>
  <c r="P35" i="27"/>
  <c r="P38" i="27"/>
  <c r="R38" i="27" s="1"/>
  <c r="G70" i="26" s="1"/>
  <c r="N70" i="26" s="1"/>
  <c r="Q70" i="26" s="1"/>
  <c r="R70" i="26" s="1"/>
  <c r="P29" i="27"/>
  <c r="R29" i="27" s="1"/>
  <c r="G61" i="26" s="1"/>
  <c r="N61" i="26" s="1"/>
  <c r="Q61" i="26" s="1"/>
  <c r="R61" i="26" s="1"/>
  <c r="P36" i="27"/>
  <c r="R36" i="27" s="1"/>
  <c r="G68" i="26" s="1"/>
  <c r="P33" i="27"/>
  <c r="R33" i="27" s="1"/>
  <c r="G65" i="26" s="1"/>
  <c r="P27" i="27"/>
  <c r="R27" i="27" s="1"/>
  <c r="G59" i="26" s="1"/>
  <c r="H59" i="26" s="1"/>
  <c r="I59" i="26" s="1"/>
  <c r="P37" i="27"/>
  <c r="P28" i="27"/>
  <c r="R28" i="27" s="1"/>
  <c r="G60" i="26" s="1"/>
  <c r="N60" i="26" s="1"/>
  <c r="Q60" i="26" s="1"/>
  <c r="R60" i="26" s="1"/>
  <c r="P32" i="27"/>
  <c r="P40" i="27"/>
  <c r="P26" i="27"/>
  <c r="R26" i="27" s="1"/>
  <c r="G58" i="26" s="1"/>
  <c r="H58" i="26" s="1"/>
  <c r="I58" i="26" s="1"/>
  <c r="P39" i="27"/>
  <c r="R39" i="27" s="1"/>
  <c r="G71" i="26" s="1"/>
  <c r="H71" i="26" s="1"/>
  <c r="I71" i="26" s="1"/>
  <c r="R35" i="8"/>
  <c r="N54" i="26"/>
  <c r="Q54" i="26" s="1"/>
  <c r="R54" i="26" s="1"/>
  <c r="R41" i="27"/>
  <c r="G73" i="26" s="1"/>
  <c r="N73" i="26" s="1"/>
  <c r="Q73" i="26" s="1"/>
  <c r="R73" i="26" s="1"/>
  <c r="R31" i="27"/>
  <c r="G63" i="26" s="1"/>
  <c r="N63" i="26" s="1"/>
  <c r="Q63" i="26" s="1"/>
  <c r="R63" i="26" s="1"/>
  <c r="R37" i="27"/>
  <c r="G69" i="26" s="1"/>
  <c r="H69" i="26" s="1"/>
  <c r="I69" i="26" s="1"/>
  <c r="R25" i="27"/>
  <c r="G57" i="26" s="1"/>
  <c r="H57" i="26" s="1"/>
  <c r="U57" i="26" s="1"/>
  <c r="R30" i="27"/>
  <c r="G62" i="26" s="1"/>
  <c r="H62" i="26" s="1"/>
  <c r="I62" i="26" s="1"/>
  <c r="L31" i="6"/>
  <c r="J31" i="6" s="1"/>
  <c r="N48" i="12"/>
  <c r="N47" i="12"/>
  <c r="N51" i="12"/>
  <c r="H235" i="26"/>
  <c r="I235" i="26" s="1"/>
  <c r="R30" i="14"/>
  <c r="R31" i="14" s="1"/>
  <c r="R32" i="14" s="1"/>
  <c r="L31" i="14"/>
  <c r="L32" i="14" s="1"/>
  <c r="L47" i="14" s="1"/>
  <c r="H236" i="26"/>
  <c r="I236" i="26" s="1"/>
  <c r="H214" i="26"/>
  <c r="I214" i="26" s="1"/>
  <c r="H237" i="26"/>
  <c r="I237" i="26" s="1"/>
  <c r="H227" i="26"/>
  <c r="I227" i="26" s="1"/>
  <c r="N222" i="26"/>
  <c r="Q222" i="26" s="1"/>
  <c r="R222" i="26" s="1"/>
  <c r="N211" i="26"/>
  <c r="Q211" i="26" s="1"/>
  <c r="R211" i="26" s="1"/>
  <c r="N46" i="12"/>
  <c r="N52" i="12"/>
  <c r="N43" i="12"/>
  <c r="N54" i="12"/>
  <c r="R35" i="27"/>
  <c r="G67" i="26" s="1"/>
  <c r="N67" i="26" s="1"/>
  <c r="Q67" i="26" s="1"/>
  <c r="R67" i="26" s="1"/>
  <c r="H231" i="26"/>
  <c r="I231" i="26" s="1"/>
  <c r="R32" i="27"/>
  <c r="G64" i="26" s="1"/>
  <c r="N64" i="26" s="1"/>
  <c r="Q64" i="26" s="1"/>
  <c r="R64" i="26" s="1"/>
  <c r="N217" i="26"/>
  <c r="Q217" i="26" s="1"/>
  <c r="R217" i="26" s="1"/>
  <c r="AI118" i="12"/>
  <c r="AQ115" i="12"/>
  <c r="AK115" i="12"/>
  <c r="N212" i="26"/>
  <c r="Q212" i="26" s="1"/>
  <c r="R212" i="26" s="1"/>
  <c r="R55" i="12"/>
  <c r="R57" i="12" s="1"/>
  <c r="H45" i="40"/>
  <c r="K45" i="40" s="1"/>
  <c r="H233" i="26"/>
  <c r="I233" i="26" s="1"/>
  <c r="H204" i="26"/>
  <c r="I204" i="26" s="1"/>
  <c r="R40" i="27"/>
  <c r="G72" i="26" s="1"/>
  <c r="H72" i="26" s="1"/>
  <c r="I72" i="26" s="1"/>
  <c r="N209" i="26"/>
  <c r="Q209" i="26" s="1"/>
  <c r="R209" i="26" s="1"/>
  <c r="N207" i="26"/>
  <c r="Q207" i="26" s="1"/>
  <c r="R207" i="26" s="1"/>
  <c r="N225" i="26"/>
  <c r="Q225" i="26" s="1"/>
  <c r="R225" i="26" s="1"/>
  <c r="H203" i="26"/>
  <c r="I203" i="26" s="1"/>
  <c r="N210" i="26"/>
  <c r="Q210" i="26" s="1"/>
  <c r="R210" i="26" s="1"/>
  <c r="N234" i="26"/>
  <c r="Q234" i="26" s="1"/>
  <c r="R234" i="26" s="1"/>
  <c r="N208" i="26"/>
  <c r="Q208" i="26" s="1"/>
  <c r="R208" i="26" s="1"/>
  <c r="H216" i="26"/>
  <c r="I216" i="26" s="1"/>
  <c r="R37" i="8"/>
  <c r="H224" i="26"/>
  <c r="I224" i="26" s="1"/>
  <c r="N206" i="26"/>
  <c r="Q206" i="26" s="1"/>
  <c r="R206" i="26" s="1"/>
  <c r="H219" i="26"/>
  <c r="I219" i="26" s="1"/>
  <c r="N238" i="26"/>
  <c r="Q238" i="26" s="1"/>
  <c r="R238" i="26" s="1"/>
  <c r="N223" i="26"/>
  <c r="Q223" i="26" s="1"/>
  <c r="R223" i="26" s="1"/>
  <c r="H218" i="26"/>
  <c r="I218" i="26" s="1"/>
  <c r="H230" i="26"/>
  <c r="I230" i="26" s="1"/>
  <c r="R44" i="14"/>
  <c r="R45" i="14" s="1"/>
  <c r="R46" i="14" s="1"/>
  <c r="N226" i="26"/>
  <c r="Q226" i="26" s="1"/>
  <c r="R226" i="26" s="1"/>
  <c r="N232" i="26"/>
  <c r="Q232" i="26" s="1"/>
  <c r="R232" i="26" s="1"/>
  <c r="AI108" i="14"/>
  <c r="AI109" i="14" s="1"/>
  <c r="AK109" i="14" s="1"/>
  <c r="H228" i="26"/>
  <c r="I228" i="26" s="1"/>
  <c r="N205" i="26"/>
  <c r="Q205" i="26" s="1"/>
  <c r="R205" i="26" s="1"/>
  <c r="H202" i="26"/>
  <c r="I202" i="26" s="1"/>
  <c r="N221" i="26"/>
  <c r="Q221" i="26" s="1"/>
  <c r="R221" i="26" s="1"/>
  <c r="H213" i="26"/>
  <c r="I213" i="26" s="1"/>
  <c r="H215" i="26"/>
  <c r="I215" i="26" s="1"/>
  <c r="N229" i="26"/>
  <c r="Q229" i="26" s="1"/>
  <c r="R229" i="26" s="1"/>
  <c r="H229" i="26"/>
  <c r="I229" i="26" s="1"/>
  <c r="K32" i="3"/>
  <c r="AQ98" i="13"/>
  <c r="P32" i="5"/>
  <c r="AK98" i="13"/>
  <c r="J32" i="6"/>
  <c r="I225" i="26"/>
  <c r="B13" i="36"/>
  <c r="L63" i="10"/>
  <c r="N61" i="10" s="1"/>
  <c r="AQ128" i="9"/>
  <c r="AK128" i="9"/>
  <c r="H42" i="40"/>
  <c r="K42" i="40" s="1"/>
  <c r="R61" i="10"/>
  <c r="R63" i="10" s="1"/>
  <c r="AI131" i="10"/>
  <c r="AK128" i="10"/>
  <c r="AQ128" i="10"/>
  <c r="L60" i="9"/>
  <c r="O41" i="35"/>
  <c r="R14" i="34" s="1"/>
  <c r="AK94" i="14"/>
  <c r="AQ94" i="14"/>
  <c r="AI92" i="8"/>
  <c r="R36" i="8"/>
  <c r="L40" i="8"/>
  <c r="AI96" i="14"/>
  <c r="AK95" i="14"/>
  <c r="AQ95" i="14"/>
  <c r="AK93" i="8"/>
  <c r="AQ93" i="8"/>
  <c r="AK91" i="8"/>
  <c r="AQ91" i="8"/>
  <c r="N58" i="26" l="1"/>
  <c r="Q58" i="26" s="1"/>
  <c r="R58" i="26" s="1"/>
  <c r="N71" i="26"/>
  <c r="Q71" i="26" s="1"/>
  <c r="R71" i="26" s="1"/>
  <c r="N66" i="26"/>
  <c r="Q66" i="26" s="1"/>
  <c r="R66" i="26" s="1"/>
  <c r="H63" i="26"/>
  <c r="I63" i="26" s="1"/>
  <c r="N65" i="26"/>
  <c r="Q65" i="26" s="1"/>
  <c r="R65" i="26" s="1"/>
  <c r="H65" i="26"/>
  <c r="I65" i="26" s="1"/>
  <c r="H68" i="26"/>
  <c r="I68" i="26" s="1"/>
  <c r="N68" i="26"/>
  <c r="Q68" i="26" s="1"/>
  <c r="R68" i="26" s="1"/>
  <c r="H73" i="26"/>
  <c r="I73" i="26" s="1"/>
  <c r="H61" i="26"/>
  <c r="I61" i="26" s="1"/>
  <c r="N59" i="26"/>
  <c r="Q59" i="26" s="1"/>
  <c r="R59" i="26" s="1"/>
  <c r="H60" i="26"/>
  <c r="I60" i="26" s="1"/>
  <c r="N69" i="26"/>
  <c r="Q69" i="26" s="1"/>
  <c r="R69" i="26" s="1"/>
  <c r="N57" i="26"/>
  <c r="Q57" i="26" s="1"/>
  <c r="S57" i="26" s="1"/>
  <c r="N62" i="26"/>
  <c r="Q62" i="26" s="1"/>
  <c r="R62" i="26" s="1"/>
  <c r="H67" i="26"/>
  <c r="I67" i="26" s="1"/>
  <c r="R47" i="14"/>
  <c r="L51" i="14" s="1"/>
  <c r="R51" i="14" s="1"/>
  <c r="H64" i="26"/>
  <c r="I64" i="26" s="1"/>
  <c r="R31" i="6"/>
  <c r="G31" i="3"/>
  <c r="I31" i="3" s="1"/>
  <c r="B45" i="40"/>
  <c r="L45" i="40" s="1"/>
  <c r="N72" i="26"/>
  <c r="Q72" i="26" s="1"/>
  <c r="R72" i="26" s="1"/>
  <c r="AK118" i="12"/>
  <c r="AQ118" i="12"/>
  <c r="AI120" i="12"/>
  <c r="C13" i="36"/>
  <c r="H70" i="26"/>
  <c r="I70" i="26" s="1"/>
  <c r="R40" i="8"/>
  <c r="R41" i="8" s="1"/>
  <c r="L45" i="8" s="1"/>
  <c r="R45" i="8" s="1"/>
  <c r="AK108" i="14"/>
  <c r="AI110" i="14"/>
  <c r="AI111" i="14" s="1"/>
  <c r="AQ109" i="14"/>
  <c r="AQ108" i="14"/>
  <c r="AO38" i="35"/>
  <c r="R20" i="34" s="1"/>
  <c r="AK96" i="14"/>
  <c r="AQ96" i="14"/>
  <c r="X32" i="5"/>
  <c r="R32" i="5"/>
  <c r="L41" i="8"/>
  <c r="N42" i="10"/>
  <c r="L28" i="6"/>
  <c r="N25" i="10"/>
  <c r="N23" i="10"/>
  <c r="N24" i="10"/>
  <c r="N40" i="10"/>
  <c r="N41" i="10"/>
  <c r="N57" i="10"/>
  <c r="N60" i="10"/>
  <c r="N30" i="10"/>
  <c r="N47" i="10"/>
  <c r="N29" i="10"/>
  <c r="N51" i="10"/>
  <c r="N45" i="10"/>
  <c r="N28" i="10"/>
  <c r="N34" i="10"/>
  <c r="N46" i="10"/>
  <c r="N31" i="10"/>
  <c r="N48" i="10"/>
  <c r="N35" i="10"/>
  <c r="N53" i="10"/>
  <c r="N36" i="10"/>
  <c r="N52" i="10"/>
  <c r="N54" i="10"/>
  <c r="N58" i="10"/>
  <c r="AI133" i="10"/>
  <c r="AQ131" i="10"/>
  <c r="AK131" i="10"/>
  <c r="B42" i="40"/>
  <c r="L42" i="40" s="1"/>
  <c r="R28" i="6"/>
  <c r="G28" i="3"/>
  <c r="I28" i="3" s="1"/>
  <c r="AI132" i="9"/>
  <c r="R60" i="9"/>
  <c r="L63" i="9"/>
  <c r="AI96" i="8"/>
  <c r="AK92" i="8"/>
  <c r="AQ92" i="8"/>
  <c r="I57" i="26"/>
  <c r="B6" i="36"/>
  <c r="AQ110" i="14" l="1"/>
  <c r="R57" i="26"/>
  <c r="C6" i="36" s="1"/>
  <c r="L54" i="14"/>
  <c r="L56" i="14" s="1"/>
  <c r="N54" i="14" s="1"/>
  <c r="AI115" i="14"/>
  <c r="AK115" i="14" s="1"/>
  <c r="K31" i="3"/>
  <c r="AQ120" i="12"/>
  <c r="P31" i="5"/>
  <c r="AK120" i="12"/>
  <c r="AK110" i="14"/>
  <c r="L48" i="8"/>
  <c r="L50" i="8" s="1"/>
  <c r="N41" i="8" s="1"/>
  <c r="AI101" i="8"/>
  <c r="AK101" i="8" s="1"/>
  <c r="K28" i="3"/>
  <c r="H47" i="40"/>
  <c r="K47" i="40" s="1"/>
  <c r="R54" i="14"/>
  <c r="R56" i="14" s="1"/>
  <c r="AK132" i="9"/>
  <c r="AI135" i="9"/>
  <c r="AQ132" i="9"/>
  <c r="H40" i="40"/>
  <c r="R48" i="8"/>
  <c r="R50" i="8" s="1"/>
  <c r="H41" i="40"/>
  <c r="K41" i="40" s="1"/>
  <c r="R63" i="9"/>
  <c r="R65" i="9" s="1"/>
  <c r="AK96" i="8"/>
  <c r="AQ96" i="8"/>
  <c r="L65" i="9"/>
  <c r="AQ133" i="10"/>
  <c r="P28" i="5"/>
  <c r="AK133" i="10"/>
  <c r="J28" i="6"/>
  <c r="AK111" i="14"/>
  <c r="AQ111" i="14"/>
  <c r="AI97" i="8"/>
  <c r="G50" i="35"/>
  <c r="R10" i="34" s="1"/>
  <c r="AQ115" i="14" l="1"/>
  <c r="AI118" i="14"/>
  <c r="AI120" i="14" s="1"/>
  <c r="AQ120" i="14" s="1"/>
  <c r="X36" i="5" s="1"/>
  <c r="X31" i="5"/>
  <c r="R31" i="5"/>
  <c r="AQ101" i="8"/>
  <c r="AI104" i="8"/>
  <c r="AQ104" i="8" s="1"/>
  <c r="N48" i="8"/>
  <c r="N46" i="9"/>
  <c r="N42" i="9"/>
  <c r="N24" i="9"/>
  <c r="N41" i="9"/>
  <c r="L27" i="6"/>
  <c r="N23" i="9"/>
  <c r="N28" i="9"/>
  <c r="N59" i="9"/>
  <c r="N62" i="9"/>
  <c r="N45" i="9"/>
  <c r="N53" i="9"/>
  <c r="N35" i="9"/>
  <c r="N49" i="9"/>
  <c r="N31" i="9"/>
  <c r="N50" i="9"/>
  <c r="N44" i="9"/>
  <c r="N26" i="9"/>
  <c r="N27" i="9"/>
  <c r="N32" i="9"/>
  <c r="N47" i="9"/>
  <c r="N36" i="9"/>
  <c r="N29" i="9"/>
  <c r="N33" i="9"/>
  <c r="N51" i="9"/>
  <c r="N54" i="9"/>
  <c r="N55" i="9"/>
  <c r="N37" i="9"/>
  <c r="N56" i="9"/>
  <c r="N60" i="9"/>
  <c r="AQ135" i="9"/>
  <c r="AK135" i="9"/>
  <c r="AI137" i="9"/>
  <c r="K40" i="40"/>
  <c r="N63" i="9"/>
  <c r="N26" i="8"/>
  <c r="L26" i="6"/>
  <c r="N25" i="8"/>
  <c r="N27" i="8"/>
  <c r="N24" i="8"/>
  <c r="N30" i="8"/>
  <c r="N44" i="8"/>
  <c r="N47" i="8"/>
  <c r="N31" i="8"/>
  <c r="N32" i="8"/>
  <c r="N38" i="8"/>
  <c r="N39" i="8"/>
  <c r="N35" i="8"/>
  <c r="N37" i="8"/>
  <c r="N36" i="8"/>
  <c r="N40" i="8"/>
  <c r="N45" i="8"/>
  <c r="P36" i="5"/>
  <c r="AK120" i="14"/>
  <c r="AK97" i="8"/>
  <c r="AQ97" i="8"/>
  <c r="B41" i="40"/>
  <c r="L41" i="40" s="1"/>
  <c r="R27" i="6"/>
  <c r="G27" i="3"/>
  <c r="I27" i="3" s="1"/>
  <c r="B47" i="40"/>
  <c r="L47" i="40" s="1"/>
  <c r="G36" i="3"/>
  <c r="R36" i="6"/>
  <c r="R37" i="6" s="1"/>
  <c r="B40" i="40"/>
  <c r="R26" i="6"/>
  <c r="G26" i="3"/>
  <c r="AQ118" i="14"/>
  <c r="X28" i="5"/>
  <c r="R28" i="5"/>
  <c r="N35" i="14"/>
  <c r="L36" i="6"/>
  <c r="N21" i="14"/>
  <c r="N53" i="14"/>
  <c r="N50" i="14"/>
  <c r="N38" i="14"/>
  <c r="N24" i="14"/>
  <c r="N25" i="14"/>
  <c r="N26" i="14"/>
  <c r="N40" i="14"/>
  <c r="N39" i="14"/>
  <c r="N29" i="14"/>
  <c r="N43" i="14"/>
  <c r="N45" i="14"/>
  <c r="N30" i="14"/>
  <c r="N44" i="14"/>
  <c r="N46" i="14"/>
  <c r="N31" i="14"/>
  <c r="N47" i="14"/>
  <c r="N32" i="14"/>
  <c r="N51" i="14"/>
  <c r="AK118" i="14" l="1"/>
  <c r="AI106" i="8"/>
  <c r="AK106" i="8" s="1"/>
  <c r="K27" i="3"/>
  <c r="R33" i="6"/>
  <c r="AQ137" i="9"/>
  <c r="P27" i="5"/>
  <c r="AK137" i="9"/>
  <c r="I26" i="3"/>
  <c r="G33" i="3"/>
  <c r="P37" i="5"/>
  <c r="R36" i="5"/>
  <c r="J27" i="6"/>
  <c r="L40" i="40"/>
  <c r="I36" i="3"/>
  <c r="G37" i="3"/>
  <c r="L37" i="6"/>
  <c r="N36" i="6" s="1"/>
  <c r="J36" i="6"/>
  <c r="J26" i="6"/>
  <c r="L33" i="6"/>
  <c r="N27" i="6" s="1"/>
  <c r="AQ106" i="8" l="1"/>
  <c r="P26" i="5"/>
  <c r="P33" i="5" s="1"/>
  <c r="N26" i="6"/>
  <c r="R37" i="5"/>
  <c r="X37" i="5"/>
  <c r="N31" i="6"/>
  <c r="J33" i="6"/>
  <c r="N29" i="6"/>
  <c r="N30" i="6"/>
  <c r="N32" i="6"/>
  <c r="N28" i="6"/>
  <c r="I33" i="3"/>
  <c r="K26" i="3"/>
  <c r="J37" i="6"/>
  <c r="R27" i="5"/>
  <c r="X27" i="5"/>
  <c r="I37" i="3"/>
  <c r="K36" i="3"/>
  <c r="R26" i="5" l="1"/>
  <c r="X26" i="5"/>
  <c r="K33" i="3"/>
  <c r="K37" i="3"/>
  <c r="X33" i="5"/>
  <c r="R33" i="5"/>
  <c r="AO181" i="19" l="1"/>
  <c r="AO180" i="19"/>
  <c r="AO189" i="19"/>
  <c r="AO188" i="19"/>
  <c r="AO193" i="19"/>
  <c r="AO186" i="19"/>
  <c r="AO194" i="19"/>
  <c r="AO177" i="19"/>
  <c r="AO184" i="19"/>
  <c r="AO187" i="19"/>
  <c r="AO178" i="19"/>
  <c r="AO176" i="19"/>
  <c r="AO185" i="19"/>
  <c r="AO192" i="19"/>
  <c r="AO175" i="19"/>
  <c r="AO191" i="19"/>
  <c r="AQ191" i="19" s="1"/>
  <c r="AO182" i="19"/>
  <c r="AQ182" i="19" s="1"/>
  <c r="AO196" i="19" l="1"/>
  <c r="AO205" i="19"/>
  <c r="AQ205" i="19" s="1"/>
  <c r="AO203" i="19"/>
  <c r="AO207" i="19"/>
  <c r="AQ207" i="19" s="1"/>
  <c r="AO213" i="19"/>
  <c r="AO211" i="19"/>
  <c r="AQ211" i="19" s="1"/>
  <c r="AO215" i="19"/>
  <c r="AO202" i="19"/>
  <c r="AO201" i="19"/>
  <c r="AQ201" i="19" s="1"/>
  <c r="AO206" i="19"/>
  <c r="AQ206" i="19" s="1"/>
  <c r="AO210" i="19"/>
  <c r="AO212" i="19"/>
  <c r="AO214" i="19"/>
  <c r="AO200" i="19"/>
  <c r="AO264" i="19"/>
  <c r="AO253" i="19"/>
  <c r="AO255" i="19"/>
  <c r="AO248" i="19"/>
  <c r="AO245" i="19"/>
  <c r="AO252" i="19"/>
  <c r="AQ252" i="19" s="1"/>
  <c r="AO251" i="19"/>
  <c r="AQ251" i="19" s="1"/>
  <c r="AO250" i="19"/>
  <c r="AO259" i="19"/>
  <c r="AO256" i="19"/>
  <c r="AO258" i="19"/>
  <c r="AO246" i="19"/>
  <c r="AO260" i="19"/>
  <c r="AO257" i="19"/>
  <c r="AQ257" i="19" s="1"/>
  <c r="AO262" i="19"/>
  <c r="AO261" i="19"/>
  <c r="AQ261" i="19" s="1"/>
  <c r="AO263" i="19"/>
  <c r="AO247" i="19"/>
  <c r="AQ247" i="19" s="1"/>
  <c r="AM265" i="19"/>
  <c r="AM293" i="19" s="1"/>
  <c r="AO244" i="19"/>
  <c r="T47" i="5" l="1"/>
  <c r="T54" i="5" s="1"/>
  <c r="T67" i="5" s="1"/>
  <c r="P34" i="4"/>
  <c r="AO265" i="19"/>
  <c r="AE285" i="19" l="1"/>
  <c r="AE287" i="19" s="1"/>
  <c r="N10" i="34"/>
  <c r="N17" i="34" s="1"/>
  <c r="D23" i="34" s="1"/>
  <c r="P49" i="4"/>
  <c r="D20" i="40"/>
  <c r="AO285" i="19" l="1"/>
  <c r="AO287" i="19" s="1"/>
  <c r="J23" i="34"/>
  <c r="D29" i="34"/>
  <c r="E20" i="40"/>
  <c r="E28" i="40" s="1"/>
  <c r="D28" i="40"/>
  <c r="D32" i="40" s="1"/>
  <c r="AE293" i="19"/>
  <c r="AG287" i="19" s="1"/>
  <c r="O11" i="34"/>
  <c r="O14" i="34"/>
  <c r="O12" i="34"/>
  <c r="O16" i="34"/>
  <c r="O15" i="34"/>
  <c r="O13" i="34"/>
  <c r="O10" i="34"/>
  <c r="H20" i="40" l="1"/>
  <c r="H28" i="40" s="1"/>
  <c r="I30" i="34"/>
  <c r="J29" i="34"/>
  <c r="AG1" i="38"/>
  <c r="L110" i="38" s="1"/>
  <c r="AG1" i="19"/>
  <c r="AO293" i="19"/>
  <c r="K20" i="40"/>
  <c r="K28" i="40" s="1"/>
  <c r="AG291" i="19"/>
  <c r="AG292" i="19"/>
  <c r="AG182" i="19"/>
  <c r="AG282" i="19"/>
  <c r="AG263" i="19"/>
  <c r="AG180" i="19"/>
  <c r="AG281" i="19"/>
  <c r="AG202" i="19"/>
  <c r="AG191" i="19"/>
  <c r="J34" i="4"/>
  <c r="AG279" i="19"/>
  <c r="AG184" i="19"/>
  <c r="AG268" i="19"/>
  <c r="AG265" i="19"/>
  <c r="AG186" i="19"/>
  <c r="AG286" i="19"/>
  <c r="AG210" i="19"/>
  <c r="AG194" i="19"/>
  <c r="AG274" i="19"/>
  <c r="AG273" i="19"/>
  <c r="AG260" i="19"/>
  <c r="AG290" i="19"/>
  <c r="AG270" i="19"/>
  <c r="AG269" i="19"/>
  <c r="AG247" i="19"/>
  <c r="AG200" i="19"/>
  <c r="AG248" i="19"/>
  <c r="AG175" i="19"/>
  <c r="AG280" i="19"/>
  <c r="AG250" i="19"/>
  <c r="AG244" i="19"/>
  <c r="AG278" i="19"/>
  <c r="AG176" i="19"/>
  <c r="AG257" i="19"/>
  <c r="AG262" i="19"/>
  <c r="AG215" i="19"/>
  <c r="L47" i="5"/>
  <c r="AG188" i="19"/>
  <c r="AG275" i="19"/>
  <c r="AG213" i="19"/>
  <c r="AG255" i="19"/>
  <c r="AG261" i="19"/>
  <c r="AG276" i="19"/>
  <c r="AG245" i="19"/>
  <c r="AG201" i="19"/>
  <c r="AG196" i="19"/>
  <c r="AG211" i="19"/>
  <c r="AG189" i="19"/>
  <c r="AG205" i="19"/>
  <c r="AG252" i="19"/>
  <c r="AG203" i="19"/>
  <c r="AG271" i="19"/>
  <c r="AG207" i="19"/>
  <c r="AG178" i="19"/>
  <c r="AG214" i="19"/>
  <c r="AG246" i="19"/>
  <c r="AG187" i="19"/>
  <c r="AG251" i="19"/>
  <c r="AG177" i="19"/>
  <c r="AG256" i="19"/>
  <c r="AG264" i="19"/>
  <c r="AG277" i="19"/>
  <c r="AG192" i="19"/>
  <c r="AG253" i="19"/>
  <c r="AG258" i="19"/>
  <c r="AG259" i="19"/>
  <c r="AG193" i="19"/>
  <c r="AG212" i="19"/>
  <c r="AG272" i="19"/>
  <c r="AG181" i="19"/>
  <c r="AG185" i="19"/>
  <c r="AG206" i="19"/>
  <c r="AG285" i="19"/>
  <c r="L313" i="38" l="1"/>
  <c r="L311" i="38"/>
  <c r="L312" i="38"/>
  <c r="L310" i="38"/>
  <c r="L309" i="38"/>
  <c r="L308" i="38"/>
  <c r="L307" i="38"/>
  <c r="L324" i="38"/>
  <c r="L302" i="38"/>
  <c r="L290" i="38"/>
  <c r="L254" i="38"/>
  <c r="L239" i="38"/>
  <c r="L259" i="38"/>
  <c r="L243" i="38"/>
  <c r="L292" i="38"/>
  <c r="L291" i="38"/>
  <c r="L323" i="38"/>
  <c r="L301" i="38"/>
  <c r="L289" i="38"/>
  <c r="L253" i="38"/>
  <c r="L238" i="38"/>
  <c r="L248" i="38"/>
  <c r="L298" i="38"/>
  <c r="L319" i="38"/>
  <c r="R319" i="38" s="1"/>
  <c r="L261" i="38"/>
  <c r="L318" i="38"/>
  <c r="L245" i="38"/>
  <c r="L244" i="38"/>
  <c r="L258" i="38"/>
  <c r="L242" i="38"/>
  <c r="L241" i="38"/>
  <c r="L255" i="38"/>
  <c r="L322" i="38"/>
  <c r="L300" i="38"/>
  <c r="L264" i="38"/>
  <c r="L252" i="38"/>
  <c r="L237" i="38"/>
  <c r="L321" i="38"/>
  <c r="L299" i="38"/>
  <c r="L263" i="38"/>
  <c r="L236" i="38"/>
  <c r="L320" i="38"/>
  <c r="L262" i="38"/>
  <c r="L247" i="38"/>
  <c r="L297" i="38"/>
  <c r="L246" i="38"/>
  <c r="L296" i="38"/>
  <c r="L260" i="38"/>
  <c r="L317" i="38"/>
  <c r="L295" i="38"/>
  <c r="L306" i="38"/>
  <c r="L294" i="38"/>
  <c r="L305" i="38"/>
  <c r="L293" i="38"/>
  <c r="L257" i="38"/>
  <c r="L304" i="38"/>
  <c r="L256" i="38"/>
  <c r="L303" i="38"/>
  <c r="L240" i="38"/>
  <c r="L156" i="38"/>
  <c r="L103" i="19"/>
  <c r="AE16" i="19"/>
  <c r="AG16" i="19" s="1"/>
  <c r="AE8" i="19"/>
  <c r="AG8" i="19" s="1"/>
  <c r="L130" i="38"/>
  <c r="L185" i="38"/>
  <c r="L124" i="38"/>
  <c r="L128" i="38"/>
  <c r="L183" i="38"/>
  <c r="L193" i="38"/>
  <c r="L118" i="38"/>
  <c r="L224" i="38"/>
  <c r="L197" i="38"/>
  <c r="L120" i="19"/>
  <c r="L117" i="19"/>
  <c r="L123" i="19"/>
  <c r="AE9" i="19"/>
  <c r="AG9" i="19" s="1"/>
  <c r="L172" i="38"/>
  <c r="L116" i="38"/>
  <c r="L182" i="38"/>
  <c r="L114" i="19"/>
  <c r="L171" i="38"/>
  <c r="AE6" i="19"/>
  <c r="AG6" i="19" s="1"/>
  <c r="L196" i="38"/>
  <c r="L122" i="38"/>
  <c r="L177" i="38"/>
  <c r="L120" i="38"/>
  <c r="L175" i="38"/>
  <c r="L329" i="38"/>
  <c r="L231" i="38"/>
  <c r="L181" i="38"/>
  <c r="L163" i="38"/>
  <c r="L126" i="19"/>
  <c r="L229" i="38"/>
  <c r="L179" i="38"/>
  <c r="L124" i="19"/>
  <c r="L184" i="38"/>
  <c r="L116" i="19"/>
  <c r="AE13" i="19"/>
  <c r="AG13" i="19" s="1"/>
  <c r="L189" i="38"/>
  <c r="L114" i="38"/>
  <c r="L169" i="38"/>
  <c r="L187" i="38"/>
  <c r="L119" i="38"/>
  <c r="L167" i="38"/>
  <c r="L225" i="38"/>
  <c r="L164" i="38"/>
  <c r="L173" i="38"/>
  <c r="L125" i="19"/>
  <c r="L122" i="19"/>
  <c r="AE12" i="19"/>
  <c r="AG12" i="19" s="1"/>
  <c r="L161" i="38"/>
  <c r="L227" i="38"/>
  <c r="L159" i="38"/>
  <c r="L165" i="38"/>
  <c r="L186" i="38"/>
  <c r="L190" i="38"/>
  <c r="L174" i="38"/>
  <c r="L157" i="38"/>
  <c r="AE18" i="19"/>
  <c r="AG18" i="19" s="1"/>
  <c r="AE11" i="19"/>
  <c r="AG11" i="19" s="1"/>
  <c r="L178" i="38"/>
  <c r="L195" i="38"/>
  <c r="L121" i="38"/>
  <c r="L176" i="38"/>
  <c r="L131" i="38"/>
  <c r="L166" i="38"/>
  <c r="L192" i="38"/>
  <c r="L125" i="38"/>
  <c r="L127" i="19"/>
  <c r="L115" i="19"/>
  <c r="AE5" i="19"/>
  <c r="AG5" i="19" s="1"/>
  <c r="L162" i="38"/>
  <c r="L160" i="38"/>
  <c r="L123" i="38"/>
  <c r="L232" i="38"/>
  <c r="L118" i="19"/>
  <c r="AE17" i="19"/>
  <c r="AG17" i="19" s="1"/>
  <c r="L129" i="38"/>
  <c r="L115" i="38"/>
  <c r="L121" i="19"/>
  <c r="AE14" i="19"/>
  <c r="AG14" i="19" s="1"/>
  <c r="AE7" i="19"/>
  <c r="AG7" i="19" s="1"/>
  <c r="L170" i="38"/>
  <c r="L188" i="38"/>
  <c r="L113" i="38"/>
  <c r="L168" i="38"/>
  <c r="L194" i="38"/>
  <c r="L230" i="38"/>
  <c r="L158" i="38"/>
  <c r="L328" i="38"/>
  <c r="L117" i="38"/>
  <c r="L119" i="19"/>
  <c r="AE10" i="19"/>
  <c r="AG10" i="19" s="1"/>
  <c r="L228" i="38"/>
  <c r="L180" i="38"/>
  <c r="L226" i="38"/>
  <c r="L126" i="38"/>
  <c r="L191" i="38"/>
  <c r="AE15" i="19"/>
  <c r="AG15" i="19" s="1"/>
  <c r="L127" i="38"/>
  <c r="L56" i="19"/>
  <c r="L61" i="19"/>
  <c r="L49" i="19"/>
  <c r="L59" i="19"/>
  <c r="L106" i="19"/>
  <c r="L107" i="19"/>
  <c r="L53" i="19"/>
  <c r="L31" i="19"/>
  <c r="L98" i="19"/>
  <c r="L23" i="19"/>
  <c r="L57" i="19"/>
  <c r="L136" i="19"/>
  <c r="L60" i="19"/>
  <c r="L34" i="19"/>
  <c r="L99" i="19"/>
  <c r="L51" i="19"/>
  <c r="L94" i="19"/>
  <c r="L91" i="19"/>
  <c r="L97" i="19"/>
  <c r="L24" i="19"/>
  <c r="L108" i="19"/>
  <c r="L38" i="19"/>
  <c r="L27" i="19"/>
  <c r="L26" i="19"/>
  <c r="L110" i="19"/>
  <c r="L24" i="20"/>
  <c r="L21" i="19"/>
  <c r="L58" i="19"/>
  <c r="L101" i="19"/>
  <c r="L137" i="19"/>
  <c r="L39" i="19"/>
  <c r="L96" i="19"/>
  <c r="L30" i="19"/>
  <c r="L40" i="19"/>
  <c r="L102" i="19"/>
  <c r="L105" i="19"/>
  <c r="L32" i="19"/>
  <c r="L33" i="19"/>
  <c r="L92" i="19"/>
  <c r="L28" i="19"/>
  <c r="L46" i="19"/>
  <c r="L47" i="19"/>
  <c r="L22" i="19"/>
  <c r="L90" i="19"/>
  <c r="L35" i="19"/>
  <c r="L52" i="19"/>
  <c r="L37" i="19"/>
  <c r="L104" i="19"/>
  <c r="L48" i="19"/>
  <c r="L93" i="19"/>
  <c r="L109" i="19"/>
  <c r="AI462" i="38"/>
  <c r="R110" i="38"/>
  <c r="L54" i="5"/>
  <c r="N47" i="5" s="1"/>
  <c r="J47" i="5"/>
  <c r="J49" i="4"/>
  <c r="N34" i="4" s="1"/>
  <c r="L34" i="4"/>
  <c r="R34" i="4"/>
  <c r="E47" i="3"/>
  <c r="V47" i="5"/>
  <c r="R308" i="38" l="1"/>
  <c r="AI660" i="38"/>
  <c r="R309" i="38"/>
  <c r="AI661" i="38"/>
  <c r="R307" i="38"/>
  <c r="AI659" i="38"/>
  <c r="R310" i="38"/>
  <c r="AI662" i="38"/>
  <c r="R312" i="38"/>
  <c r="AI664" i="38"/>
  <c r="R311" i="38"/>
  <c r="AI663" i="38"/>
  <c r="R313" i="38"/>
  <c r="AI665" i="38"/>
  <c r="L55" i="38"/>
  <c r="R55" i="38" s="1"/>
  <c r="L106" i="38"/>
  <c r="AI458" i="38" s="1"/>
  <c r="L91" i="38"/>
  <c r="AI443" i="38" s="1"/>
  <c r="R257" i="38"/>
  <c r="AI609" i="38"/>
  <c r="R262" i="38"/>
  <c r="AI614" i="38"/>
  <c r="AI593" i="38"/>
  <c r="R241" i="38"/>
  <c r="R289" i="38"/>
  <c r="AI641" i="38"/>
  <c r="R293" i="38"/>
  <c r="AI645" i="38"/>
  <c r="R320" i="38"/>
  <c r="AI671" i="38"/>
  <c r="AI594" i="38"/>
  <c r="R242" i="38"/>
  <c r="R301" i="38"/>
  <c r="AI653" i="38"/>
  <c r="AI588" i="38"/>
  <c r="L249" i="38"/>
  <c r="R236" i="38"/>
  <c r="R263" i="38"/>
  <c r="AI615" i="38"/>
  <c r="R245" i="38"/>
  <c r="AI597" i="38"/>
  <c r="R295" i="38"/>
  <c r="AI647" i="38"/>
  <c r="AI589" i="38"/>
  <c r="R237" i="38"/>
  <c r="L35" i="38"/>
  <c r="R35" i="38" s="1"/>
  <c r="R260" i="38"/>
  <c r="AI612" i="38"/>
  <c r="AI604" i="38"/>
  <c r="L314" i="38"/>
  <c r="R252" i="38"/>
  <c r="AI591" i="38"/>
  <c r="R239" i="38"/>
  <c r="R305" i="38"/>
  <c r="AI657" i="38"/>
  <c r="R306" i="38"/>
  <c r="AI658" i="38"/>
  <c r="R318" i="38"/>
  <c r="AI670" i="38"/>
  <c r="R317" i="38"/>
  <c r="AI669" i="38"/>
  <c r="L325" i="38"/>
  <c r="AI676" i="38" s="1"/>
  <c r="AI592" i="38"/>
  <c r="R240" i="38"/>
  <c r="R296" i="38"/>
  <c r="AI648" i="38"/>
  <c r="R264" i="38"/>
  <c r="AI616" i="38"/>
  <c r="R298" i="38"/>
  <c r="AI650" i="38"/>
  <c r="R254" i="38"/>
  <c r="AI606" i="38"/>
  <c r="R323" i="38"/>
  <c r="AI674" i="38"/>
  <c r="L45" i="38"/>
  <c r="AI396" i="38" s="1"/>
  <c r="R294" i="38"/>
  <c r="AI646" i="38"/>
  <c r="R299" i="38"/>
  <c r="AI651" i="38"/>
  <c r="R321" i="38"/>
  <c r="AI672" i="38"/>
  <c r="L103" i="38"/>
  <c r="AI455" i="38" s="1"/>
  <c r="L48" i="38"/>
  <c r="R48" i="38" s="1"/>
  <c r="R303" i="38"/>
  <c r="AI655" i="38"/>
  <c r="R246" i="38"/>
  <c r="AI598" i="38"/>
  <c r="R300" i="38"/>
  <c r="AI652" i="38"/>
  <c r="AI600" i="38"/>
  <c r="R248" i="38"/>
  <c r="R290" i="38"/>
  <c r="AI642" i="38"/>
  <c r="AI596" i="38"/>
  <c r="R244" i="38"/>
  <c r="R261" i="38"/>
  <c r="AI613" i="38"/>
  <c r="R256" i="38"/>
  <c r="AI608" i="38"/>
  <c r="R297" i="38"/>
  <c r="AI649" i="38"/>
  <c r="R322" i="38"/>
  <c r="AI673" i="38"/>
  <c r="AI590" i="38"/>
  <c r="R238" i="38"/>
  <c r="R302" i="38"/>
  <c r="AI654" i="38"/>
  <c r="R258" i="38"/>
  <c r="AI610" i="38"/>
  <c r="R291" i="38"/>
  <c r="AI643" i="38"/>
  <c r="R292" i="38"/>
  <c r="AI644" i="38"/>
  <c r="R243" i="38"/>
  <c r="AI595" i="38"/>
  <c r="R259" i="38"/>
  <c r="AI611" i="38"/>
  <c r="R304" i="38"/>
  <c r="AI656" i="38"/>
  <c r="R247" i="38"/>
  <c r="AI599" i="38"/>
  <c r="R255" i="38"/>
  <c r="AI607" i="38"/>
  <c r="R253" i="38"/>
  <c r="AI605" i="38"/>
  <c r="R324" i="38"/>
  <c r="AI675" i="38"/>
  <c r="L28" i="38"/>
  <c r="AI379" i="38" s="1"/>
  <c r="L22" i="38"/>
  <c r="R22" i="38" s="1"/>
  <c r="L30" i="38"/>
  <c r="R30" i="38" s="1"/>
  <c r="L99" i="38"/>
  <c r="AI451" i="38" s="1"/>
  <c r="L20" i="38"/>
  <c r="AI371" i="38" s="1"/>
  <c r="L92" i="38"/>
  <c r="R92" i="38" s="1"/>
  <c r="L60" i="38"/>
  <c r="AI411" i="38" s="1"/>
  <c r="L89" i="38"/>
  <c r="AI441" i="38" s="1"/>
  <c r="L33" i="38"/>
  <c r="AI384" i="38" s="1"/>
  <c r="L46" i="38"/>
  <c r="AI397" i="38" s="1"/>
  <c r="L59" i="38"/>
  <c r="R59" i="38" s="1"/>
  <c r="L36" i="38"/>
  <c r="AI387" i="38" s="1"/>
  <c r="L50" i="38"/>
  <c r="R50" i="38" s="1"/>
  <c r="L96" i="38"/>
  <c r="R96" i="38" s="1"/>
  <c r="L24" i="38"/>
  <c r="AI375" i="38" s="1"/>
  <c r="L27" i="38"/>
  <c r="R27" i="38" s="1"/>
  <c r="L88" i="38"/>
  <c r="AI440" i="38" s="1"/>
  <c r="L102" i="38"/>
  <c r="AI454" i="38" s="1"/>
  <c r="L37" i="38"/>
  <c r="AI388" i="38" s="1"/>
  <c r="L107" i="38"/>
  <c r="R107" i="38" s="1"/>
  <c r="L21" i="38"/>
  <c r="AI372" i="38" s="1"/>
  <c r="L93" i="38"/>
  <c r="R93" i="38" s="1"/>
  <c r="L34" i="38"/>
  <c r="AI385" i="38" s="1"/>
  <c r="L57" i="38"/>
  <c r="AI408" i="38" s="1"/>
  <c r="L61" i="38"/>
  <c r="AI412" i="38" s="1"/>
  <c r="L86" i="38"/>
  <c r="R86" i="38" s="1"/>
  <c r="AI186" i="19"/>
  <c r="R32" i="19"/>
  <c r="Y24" i="24"/>
  <c r="L24" i="24"/>
  <c r="AI521" i="38"/>
  <c r="R169" i="38"/>
  <c r="R181" i="38"/>
  <c r="AI533" i="38"/>
  <c r="L44" i="38"/>
  <c r="R48" i="19"/>
  <c r="AI202" i="19"/>
  <c r="R101" i="19"/>
  <c r="AI255" i="19"/>
  <c r="Y27" i="24"/>
  <c r="L27" i="24"/>
  <c r="AI469" i="38"/>
  <c r="R117" i="38"/>
  <c r="L58" i="38"/>
  <c r="AI476" i="38"/>
  <c r="R124" i="38"/>
  <c r="L47" i="24"/>
  <c r="Y47" i="24"/>
  <c r="Y51" i="24"/>
  <c r="L51" i="24"/>
  <c r="Y46" i="24"/>
  <c r="L46" i="24"/>
  <c r="AI182" i="19"/>
  <c r="AK182" i="19" s="1"/>
  <c r="R28" i="19"/>
  <c r="L23" i="24"/>
  <c r="Y23" i="24"/>
  <c r="AI184" i="19"/>
  <c r="R30" i="19"/>
  <c r="R58" i="19"/>
  <c r="AI212" i="19"/>
  <c r="AI181" i="19"/>
  <c r="R27" i="19"/>
  <c r="L39" i="25"/>
  <c r="Y39" i="25"/>
  <c r="R99" i="19"/>
  <c r="AI253" i="19"/>
  <c r="AI211" i="19"/>
  <c r="AK211" i="19" s="1"/>
  <c r="R57" i="19"/>
  <c r="Y21" i="28"/>
  <c r="L21" i="28"/>
  <c r="R49" i="19"/>
  <c r="AI203" i="19"/>
  <c r="R191" i="38"/>
  <c r="AI543" i="38"/>
  <c r="L330" i="38"/>
  <c r="AI680" i="38"/>
  <c r="R328" i="38"/>
  <c r="AI481" i="38"/>
  <c r="R129" i="38"/>
  <c r="AI269" i="19"/>
  <c r="R115" i="19"/>
  <c r="L51" i="38"/>
  <c r="AI473" i="38"/>
  <c r="R121" i="38"/>
  <c r="AI509" i="38"/>
  <c r="R157" i="38"/>
  <c r="R91" i="38"/>
  <c r="R173" i="38"/>
  <c r="AI525" i="38"/>
  <c r="R189" i="38"/>
  <c r="AI541" i="38"/>
  <c r="L25" i="38"/>
  <c r="L87" i="38"/>
  <c r="R329" i="38"/>
  <c r="AI681" i="38"/>
  <c r="L52" i="38"/>
  <c r="R117" i="19"/>
  <c r="AI271" i="19"/>
  <c r="L47" i="38"/>
  <c r="AI537" i="38"/>
  <c r="R185" i="38"/>
  <c r="L55" i="24"/>
  <c r="Y55" i="24"/>
  <c r="Y28" i="24"/>
  <c r="L28" i="24"/>
  <c r="AI514" i="38"/>
  <c r="R162" i="38"/>
  <c r="R109" i="19"/>
  <c r="AI263" i="19"/>
  <c r="R26" i="19"/>
  <c r="AI180" i="19"/>
  <c r="AI373" i="38"/>
  <c r="AI522" i="38"/>
  <c r="R170" i="38"/>
  <c r="AI528" i="38"/>
  <c r="R176" i="38"/>
  <c r="AI258" i="19"/>
  <c r="R104" i="19"/>
  <c r="R96" i="19"/>
  <c r="AI250" i="19"/>
  <c r="Y29" i="22"/>
  <c r="L29" i="22"/>
  <c r="Y37" i="25"/>
  <c r="L37" i="25"/>
  <c r="R23" i="19"/>
  <c r="AI177" i="19"/>
  <c r="R107" i="19"/>
  <c r="AI261" i="19"/>
  <c r="Y33" i="25"/>
  <c r="L33" i="25"/>
  <c r="AI478" i="38"/>
  <c r="R126" i="38"/>
  <c r="L94" i="38"/>
  <c r="AI510" i="38"/>
  <c r="R158" i="38"/>
  <c r="AI281" i="19"/>
  <c r="R127" i="19"/>
  <c r="R195" i="38"/>
  <c r="AI547" i="38"/>
  <c r="AI526" i="38"/>
  <c r="R174" i="38"/>
  <c r="AI517" i="38"/>
  <c r="R165" i="38"/>
  <c r="L38" i="38"/>
  <c r="AI516" i="38"/>
  <c r="R164" i="38"/>
  <c r="L98" i="38"/>
  <c r="R175" i="38"/>
  <c r="AI527" i="38"/>
  <c r="R120" i="19"/>
  <c r="AI274" i="19"/>
  <c r="L49" i="38"/>
  <c r="R197" i="38"/>
  <c r="AI549" i="38"/>
  <c r="AI482" i="38"/>
  <c r="R130" i="38"/>
  <c r="L28" i="25"/>
  <c r="Y28" i="25"/>
  <c r="R40" i="19"/>
  <c r="AI194" i="19"/>
  <c r="R97" i="19"/>
  <c r="AI251" i="19"/>
  <c r="AK251" i="19" s="1"/>
  <c r="R119" i="19"/>
  <c r="AI273" i="19"/>
  <c r="AI483" i="38"/>
  <c r="R131" i="38"/>
  <c r="AI278" i="19"/>
  <c r="R124" i="19"/>
  <c r="R128" i="38"/>
  <c r="AI480" i="38"/>
  <c r="L57" i="24"/>
  <c r="Y57" i="24"/>
  <c r="AI290" i="19"/>
  <c r="R136" i="19"/>
  <c r="L138" i="19"/>
  <c r="R115" i="38"/>
  <c r="AI467" i="38"/>
  <c r="L54" i="24"/>
  <c r="Y54" i="24"/>
  <c r="AI246" i="19"/>
  <c r="R92" i="19"/>
  <c r="Y33" i="24"/>
  <c r="L33" i="24"/>
  <c r="L52" i="24"/>
  <c r="Y52" i="24"/>
  <c r="Y22" i="22"/>
  <c r="L22" i="22"/>
  <c r="AI247" i="19"/>
  <c r="AK247" i="19" s="1"/>
  <c r="R93" i="19"/>
  <c r="Y56" i="24"/>
  <c r="L56" i="24"/>
  <c r="L35" i="25"/>
  <c r="Y35" i="25"/>
  <c r="Y60" i="24"/>
  <c r="L60" i="24"/>
  <c r="L38" i="25"/>
  <c r="Y38" i="25"/>
  <c r="Y42" i="25"/>
  <c r="L42" i="25"/>
  <c r="L34" i="25"/>
  <c r="Y34" i="25"/>
  <c r="L64" i="24"/>
  <c r="Y64" i="24"/>
  <c r="Y28" i="22"/>
  <c r="L28" i="22"/>
  <c r="Y43" i="24"/>
  <c r="L43" i="24"/>
  <c r="R98" i="19"/>
  <c r="AI252" i="19"/>
  <c r="AI260" i="19"/>
  <c r="R106" i="19"/>
  <c r="AI215" i="19"/>
  <c r="R61" i="19"/>
  <c r="L101" i="38"/>
  <c r="L56" i="38"/>
  <c r="AI578" i="38"/>
  <c r="R226" i="38"/>
  <c r="R230" i="38"/>
  <c r="AI582" i="38"/>
  <c r="R121" i="19"/>
  <c r="AI275" i="19"/>
  <c r="R118" i="19"/>
  <c r="AI272" i="19"/>
  <c r="L100" i="38"/>
  <c r="L97" i="38"/>
  <c r="R125" i="38"/>
  <c r="AI477" i="38"/>
  <c r="R178" i="38"/>
  <c r="AI530" i="38"/>
  <c r="AI542" i="38"/>
  <c r="R190" i="38"/>
  <c r="R159" i="38"/>
  <c r="AI511" i="38"/>
  <c r="L31" i="38"/>
  <c r="AI577" i="38"/>
  <c r="R225" i="38"/>
  <c r="AI406" i="38"/>
  <c r="L40" i="38"/>
  <c r="R120" i="38"/>
  <c r="AI472" i="38"/>
  <c r="L104" i="38"/>
  <c r="L53" i="38"/>
  <c r="AI576" i="38"/>
  <c r="R224" i="38"/>
  <c r="L26" i="22"/>
  <c r="Y26" i="22"/>
  <c r="L61" i="24"/>
  <c r="Y61" i="24"/>
  <c r="Y30" i="25"/>
  <c r="L30" i="25"/>
  <c r="R35" i="19"/>
  <c r="AI189" i="19"/>
  <c r="R91" i="19"/>
  <c r="AI245" i="19"/>
  <c r="R231" i="38"/>
  <c r="AI583" i="38"/>
  <c r="R123" i="19"/>
  <c r="AI277" i="19"/>
  <c r="R90" i="19"/>
  <c r="AI244" i="19"/>
  <c r="Y22" i="25"/>
  <c r="L22" i="25"/>
  <c r="AI191" i="19"/>
  <c r="AK191" i="19" s="1"/>
  <c r="R37" i="19"/>
  <c r="AI176" i="19"/>
  <c r="R22" i="19"/>
  <c r="AI187" i="19"/>
  <c r="R33" i="19"/>
  <c r="AI259" i="19"/>
  <c r="R105" i="19"/>
  <c r="Y34" i="24"/>
  <c r="L34" i="24"/>
  <c r="L42" i="19"/>
  <c r="AI175" i="19"/>
  <c r="R21" i="19"/>
  <c r="R38" i="19"/>
  <c r="AI192" i="19"/>
  <c r="L43" i="25"/>
  <c r="Y43" i="25"/>
  <c r="R34" i="19"/>
  <c r="AI188" i="19"/>
  <c r="Y36" i="24"/>
  <c r="L36" i="24"/>
  <c r="AI213" i="19"/>
  <c r="R59" i="19"/>
  <c r="Y42" i="24"/>
  <c r="L42" i="24"/>
  <c r="R180" i="38"/>
  <c r="AI532" i="38"/>
  <c r="R194" i="38"/>
  <c r="AI546" i="38"/>
  <c r="AI584" i="38"/>
  <c r="R232" i="38"/>
  <c r="R192" i="38"/>
  <c r="AI544" i="38"/>
  <c r="R186" i="38"/>
  <c r="AI538" i="38"/>
  <c r="AI579" i="38"/>
  <c r="R227" i="38"/>
  <c r="L90" i="38"/>
  <c r="AI519" i="38"/>
  <c r="R167" i="38"/>
  <c r="R116" i="19"/>
  <c r="AI270" i="19"/>
  <c r="R179" i="38"/>
  <c r="AI531" i="38"/>
  <c r="L23" i="38"/>
  <c r="AI534" i="38"/>
  <c r="R182" i="38"/>
  <c r="L54" i="38"/>
  <c r="R118" i="38"/>
  <c r="AI470" i="38"/>
  <c r="L35" i="24"/>
  <c r="Y35" i="24"/>
  <c r="R196" i="38"/>
  <c r="AI548" i="38"/>
  <c r="R46" i="19"/>
  <c r="AI200" i="19"/>
  <c r="L111" i="19"/>
  <c r="L36" i="25"/>
  <c r="Y36" i="25"/>
  <c r="R114" i="38"/>
  <c r="AI466" i="38"/>
  <c r="Y44" i="25"/>
  <c r="L44" i="25"/>
  <c r="R47" i="19"/>
  <c r="AI201" i="19"/>
  <c r="R102" i="19"/>
  <c r="AI256" i="19"/>
  <c r="AI193" i="19"/>
  <c r="R39" i="19"/>
  <c r="R108" i="19"/>
  <c r="AI262" i="19"/>
  <c r="AI248" i="19"/>
  <c r="R94" i="19"/>
  <c r="AI214" i="19"/>
  <c r="R60" i="19"/>
  <c r="R31" i="19"/>
  <c r="AI185" i="19"/>
  <c r="Y41" i="24"/>
  <c r="L41" i="24"/>
  <c r="R56" i="19"/>
  <c r="AI210" i="19"/>
  <c r="AI479" i="38"/>
  <c r="R127" i="38"/>
  <c r="AI580" i="38"/>
  <c r="R228" i="38"/>
  <c r="AI520" i="38"/>
  <c r="R168" i="38"/>
  <c r="R123" i="38"/>
  <c r="AI475" i="38"/>
  <c r="AI518" i="38"/>
  <c r="R166" i="38"/>
  <c r="R161" i="38"/>
  <c r="AI513" i="38"/>
  <c r="L32" i="38"/>
  <c r="AI471" i="38"/>
  <c r="R119" i="38"/>
  <c r="L105" i="38"/>
  <c r="AI581" i="38"/>
  <c r="R229" i="38"/>
  <c r="AI529" i="38"/>
  <c r="R177" i="38"/>
  <c r="R171" i="38"/>
  <c r="AI523" i="38"/>
  <c r="R116" i="38"/>
  <c r="AI468" i="38"/>
  <c r="AI545" i="38"/>
  <c r="R193" i="38"/>
  <c r="AI257" i="19"/>
  <c r="R103" i="19"/>
  <c r="Y40" i="24"/>
  <c r="L40" i="24"/>
  <c r="AI291" i="19"/>
  <c r="R137" i="19"/>
  <c r="AI207" i="19"/>
  <c r="AK207" i="19" s="1"/>
  <c r="R53" i="19"/>
  <c r="R188" i="38"/>
  <c r="AI540" i="38"/>
  <c r="R122" i="19"/>
  <c r="AI276" i="19"/>
  <c r="Y29" i="25"/>
  <c r="L29" i="25"/>
  <c r="AI205" i="19"/>
  <c r="AK205" i="19" s="1"/>
  <c r="R51" i="19"/>
  <c r="R125" i="19"/>
  <c r="AI279" i="19"/>
  <c r="AK462" i="38"/>
  <c r="AQ462" i="38"/>
  <c r="AI206" i="19"/>
  <c r="AK206" i="19" s="1"/>
  <c r="R52" i="19"/>
  <c r="Y23" i="25"/>
  <c r="L23" i="25"/>
  <c r="L27" i="20"/>
  <c r="AI62" i="20"/>
  <c r="R24" i="20"/>
  <c r="R27" i="20" s="1"/>
  <c r="L30" i="20" s="1"/>
  <c r="Y36" i="22"/>
  <c r="L36" i="22"/>
  <c r="Y25" i="25"/>
  <c r="L25" i="25"/>
  <c r="L30" i="22"/>
  <c r="Y30" i="22"/>
  <c r="L29" i="24"/>
  <c r="Y29" i="24"/>
  <c r="Y23" i="22"/>
  <c r="L23" i="22"/>
  <c r="L24" i="25"/>
  <c r="Y24" i="25"/>
  <c r="R110" i="19"/>
  <c r="AI264" i="19"/>
  <c r="AI178" i="19"/>
  <c r="R24" i="19"/>
  <c r="L22" i="24"/>
  <c r="Y22" i="24"/>
  <c r="Y48" i="24"/>
  <c r="L48" i="24"/>
  <c r="L32" i="24"/>
  <c r="Y32" i="24"/>
  <c r="Y35" i="22"/>
  <c r="L35" i="22"/>
  <c r="Y53" i="24"/>
  <c r="L53" i="24"/>
  <c r="L26" i="38"/>
  <c r="L43" i="38"/>
  <c r="R113" i="38"/>
  <c r="AI465" i="38"/>
  <c r="L233" i="38"/>
  <c r="L95" i="38"/>
  <c r="AI512" i="38"/>
  <c r="R160" i="38"/>
  <c r="L42" i="38"/>
  <c r="L29" i="38"/>
  <c r="R187" i="38"/>
  <c r="AI539" i="38"/>
  <c r="AI536" i="38"/>
  <c r="R184" i="38"/>
  <c r="AI280" i="19"/>
  <c r="R126" i="19"/>
  <c r="L41" i="38"/>
  <c r="AI515" i="38"/>
  <c r="R163" i="38"/>
  <c r="AI474" i="38"/>
  <c r="R122" i="38"/>
  <c r="AI268" i="19"/>
  <c r="L128" i="19"/>
  <c r="R114" i="19"/>
  <c r="AI524" i="38"/>
  <c r="R172" i="38"/>
  <c r="L39" i="38"/>
  <c r="AI535" i="38"/>
  <c r="R183" i="38"/>
  <c r="R156" i="38"/>
  <c r="AI508" i="38"/>
  <c r="B20" i="40"/>
  <c r="E54" i="3"/>
  <c r="R49" i="4"/>
  <c r="T34" i="4" s="1"/>
  <c r="N24" i="4"/>
  <c r="N22" i="4"/>
  <c r="L49" i="4"/>
  <c r="N31" i="4"/>
  <c r="N42" i="4"/>
  <c r="N33" i="4"/>
  <c r="N37" i="4"/>
  <c r="N26" i="4"/>
  <c r="N46" i="4"/>
  <c r="N29" i="4"/>
  <c r="N27" i="4"/>
  <c r="N45" i="4"/>
  <c r="N20" i="4"/>
  <c r="N23" i="4"/>
  <c r="N38" i="4"/>
  <c r="N43" i="4"/>
  <c r="N36" i="4"/>
  <c r="N30" i="4"/>
  <c r="N41" i="4"/>
  <c r="N47" i="4"/>
  <c r="N40" i="4"/>
  <c r="N32" i="4"/>
  <c r="N28" i="4"/>
  <c r="N39" i="4"/>
  <c r="N35" i="4"/>
  <c r="N48" i="4"/>
  <c r="N44" i="4"/>
  <c r="N25" i="4"/>
  <c r="V54" i="5"/>
  <c r="N50" i="5"/>
  <c r="N51" i="5"/>
  <c r="N53" i="5"/>
  <c r="N48" i="5"/>
  <c r="N52" i="5"/>
  <c r="L67" i="5"/>
  <c r="N54" i="5" s="1"/>
  <c r="N49" i="5"/>
  <c r="J54" i="5"/>
  <c r="R106" i="38" l="1"/>
  <c r="AI381" i="38"/>
  <c r="AI399" i="38"/>
  <c r="R103" i="38"/>
  <c r="AI386" i="38"/>
  <c r="AI378" i="38"/>
  <c r="AQ378" i="38" s="1"/>
  <c r="R28" i="38"/>
  <c r="AK605" i="38"/>
  <c r="AQ605" i="38"/>
  <c r="AQ652" i="38"/>
  <c r="AK652" i="38"/>
  <c r="AI601" i="38"/>
  <c r="AK607" i="38"/>
  <c r="AQ607" i="38"/>
  <c r="AI666" i="38"/>
  <c r="R45" i="38"/>
  <c r="AQ653" i="38"/>
  <c r="AK653" i="38"/>
  <c r="AK676" i="38"/>
  <c r="AQ676" i="38"/>
  <c r="AI677" i="38"/>
  <c r="R314" i="38"/>
  <c r="AQ610" i="38"/>
  <c r="AK610" i="38"/>
  <c r="R249" i="38"/>
  <c r="R325" i="38"/>
  <c r="R99" i="38"/>
  <c r="AI444" i="38"/>
  <c r="R102" i="38"/>
  <c r="R60" i="38"/>
  <c r="R37" i="38"/>
  <c r="R33" i="38"/>
  <c r="R89" i="38"/>
  <c r="R46" i="38"/>
  <c r="R20" i="38"/>
  <c r="AI410" i="38"/>
  <c r="R57" i="38"/>
  <c r="AI401" i="38"/>
  <c r="R34" i="38"/>
  <c r="AI448" i="38"/>
  <c r="R21" i="38"/>
  <c r="R36" i="38"/>
  <c r="R24" i="38"/>
  <c r="AI459" i="38"/>
  <c r="R88" i="38"/>
  <c r="AI438" i="38"/>
  <c r="AI445" i="38"/>
  <c r="R61" i="38"/>
  <c r="R330" i="38"/>
  <c r="R233" i="38"/>
  <c r="R138" i="19"/>
  <c r="R60" i="24"/>
  <c r="AI133" i="24"/>
  <c r="AK271" i="19"/>
  <c r="AQ271" i="19"/>
  <c r="R43" i="38"/>
  <c r="AI394" i="38"/>
  <c r="R43" i="25"/>
  <c r="AI99" i="25"/>
  <c r="AI137" i="24"/>
  <c r="R64" i="24"/>
  <c r="AK246" i="19"/>
  <c r="AQ246" i="19"/>
  <c r="AQ373" i="38"/>
  <c r="AK373" i="38"/>
  <c r="AK212" i="19"/>
  <c r="AQ212" i="19"/>
  <c r="AI80" i="22"/>
  <c r="R30" i="22"/>
  <c r="AI383" i="38"/>
  <c r="R32" i="38"/>
  <c r="AK185" i="19"/>
  <c r="AQ185" i="19"/>
  <c r="AQ270" i="19"/>
  <c r="AK270" i="19"/>
  <c r="AK213" i="19"/>
  <c r="AQ213" i="19"/>
  <c r="AI134" i="24"/>
  <c r="R61" i="24"/>
  <c r="AI449" i="38"/>
  <c r="R97" i="38"/>
  <c r="AI453" i="38"/>
  <c r="R101" i="38"/>
  <c r="AI292" i="19"/>
  <c r="AK290" i="19"/>
  <c r="AQ290" i="19"/>
  <c r="AI403" i="38"/>
  <c r="R52" i="38"/>
  <c r="AK255" i="19"/>
  <c r="AQ255" i="19"/>
  <c r="AK264" i="19"/>
  <c r="AQ264" i="19"/>
  <c r="R34" i="24"/>
  <c r="AI107" i="24"/>
  <c r="R53" i="24"/>
  <c r="AI126" i="24"/>
  <c r="AI79" i="25"/>
  <c r="R23" i="25"/>
  <c r="R35" i="24"/>
  <c r="AI108" i="24"/>
  <c r="R36" i="24"/>
  <c r="AI109" i="24"/>
  <c r="AK192" i="19"/>
  <c r="AQ192" i="19"/>
  <c r="AK176" i="19"/>
  <c r="AQ176" i="19"/>
  <c r="AK244" i="19"/>
  <c r="AQ244" i="19"/>
  <c r="AI391" i="38"/>
  <c r="R40" i="38"/>
  <c r="AI452" i="38"/>
  <c r="R100" i="38"/>
  <c r="AI90" i="25"/>
  <c r="R34" i="25"/>
  <c r="AI91" i="25"/>
  <c r="R35" i="25"/>
  <c r="R54" i="24"/>
  <c r="AI127" i="24"/>
  <c r="AK194" i="19"/>
  <c r="AQ194" i="19"/>
  <c r="R49" i="38"/>
  <c r="AI400" i="38"/>
  <c r="AI446" i="38"/>
  <c r="R94" i="38"/>
  <c r="AK250" i="19"/>
  <c r="AQ250" i="19"/>
  <c r="AK180" i="19"/>
  <c r="AQ180" i="19"/>
  <c r="AI128" i="24"/>
  <c r="R55" i="24"/>
  <c r="AI56" i="28"/>
  <c r="R21" i="28"/>
  <c r="AI119" i="24"/>
  <c r="R46" i="24"/>
  <c r="AI97" i="24"/>
  <c r="R24" i="24"/>
  <c r="AI102" i="24"/>
  <c r="R29" i="24"/>
  <c r="AK187" i="19"/>
  <c r="AQ187" i="19"/>
  <c r="AI456" i="38"/>
  <c r="R104" i="38"/>
  <c r="AQ275" i="19"/>
  <c r="AK275" i="19"/>
  <c r="R29" i="22"/>
  <c r="AI79" i="22"/>
  <c r="AI439" i="38"/>
  <c r="R87" i="38"/>
  <c r="R40" i="24"/>
  <c r="AI113" i="24"/>
  <c r="AK248" i="19"/>
  <c r="AQ248" i="19"/>
  <c r="AI382" i="38"/>
  <c r="R31" i="38"/>
  <c r="AI450" i="38"/>
  <c r="R98" i="38"/>
  <c r="AI376" i="38"/>
  <c r="R25" i="38"/>
  <c r="AI409" i="38"/>
  <c r="R58" i="38"/>
  <c r="AI447" i="38"/>
  <c r="R95" i="38"/>
  <c r="AI81" i="25"/>
  <c r="R25" i="25"/>
  <c r="AK262" i="19"/>
  <c r="AQ262" i="19"/>
  <c r="AI92" i="25"/>
  <c r="R36" i="25"/>
  <c r="AI392" i="38"/>
  <c r="R41" i="38"/>
  <c r="AI380" i="38"/>
  <c r="R29" i="38"/>
  <c r="L65" i="24"/>
  <c r="R22" i="24"/>
  <c r="AI95" i="24"/>
  <c r="AI80" i="25"/>
  <c r="R24" i="25"/>
  <c r="AQ279" i="19"/>
  <c r="AK279" i="19"/>
  <c r="AI85" i="25"/>
  <c r="AK85" i="25" s="1"/>
  <c r="R29" i="25"/>
  <c r="AI76" i="22"/>
  <c r="R26" i="22"/>
  <c r="AI116" i="24"/>
  <c r="R43" i="24"/>
  <c r="AI98" i="25"/>
  <c r="R42" i="25"/>
  <c r="AI129" i="24"/>
  <c r="R56" i="24"/>
  <c r="R52" i="24"/>
  <c r="AI125" i="24"/>
  <c r="AI130" i="24"/>
  <c r="R57" i="24"/>
  <c r="AK177" i="19"/>
  <c r="AQ177" i="19"/>
  <c r="AI682" i="38"/>
  <c r="AI95" i="25"/>
  <c r="R39" i="25"/>
  <c r="AI105" i="24"/>
  <c r="R32" i="24"/>
  <c r="AI101" i="24"/>
  <c r="R28" i="24"/>
  <c r="R47" i="24"/>
  <c r="AI120" i="24"/>
  <c r="R39" i="38"/>
  <c r="AI390" i="38"/>
  <c r="AI121" i="24"/>
  <c r="R48" i="24"/>
  <c r="AK256" i="19"/>
  <c r="AQ256" i="19"/>
  <c r="AI407" i="38"/>
  <c r="R56" i="38"/>
  <c r="L31" i="22"/>
  <c r="R22" i="22"/>
  <c r="AI72" i="22"/>
  <c r="AQ278" i="19"/>
  <c r="AK278" i="19"/>
  <c r="AK203" i="19"/>
  <c r="AQ203" i="19"/>
  <c r="AK253" i="19"/>
  <c r="AQ253" i="19"/>
  <c r="R26" i="38"/>
  <c r="AI377" i="38"/>
  <c r="AQ515" i="38"/>
  <c r="AK515" i="38"/>
  <c r="R128" i="19"/>
  <c r="AI85" i="22"/>
  <c r="L37" i="22"/>
  <c r="R35" i="22"/>
  <c r="AI73" i="22"/>
  <c r="R23" i="22"/>
  <c r="R36" i="22"/>
  <c r="AI86" i="22"/>
  <c r="AK210" i="19"/>
  <c r="AQ210" i="19"/>
  <c r="AK259" i="19"/>
  <c r="AQ259" i="19"/>
  <c r="AK272" i="19"/>
  <c r="AQ272" i="19"/>
  <c r="AK215" i="19"/>
  <c r="AQ215" i="19"/>
  <c r="AI106" i="24"/>
  <c r="R33" i="24"/>
  <c r="AQ273" i="19"/>
  <c r="AK273" i="19"/>
  <c r="AQ274" i="19"/>
  <c r="AK274" i="19"/>
  <c r="AI402" i="38"/>
  <c r="R51" i="38"/>
  <c r="AK184" i="19"/>
  <c r="AQ184" i="19"/>
  <c r="R51" i="24"/>
  <c r="AI124" i="24"/>
  <c r="AK202" i="19"/>
  <c r="AQ202" i="19"/>
  <c r="AQ291" i="19"/>
  <c r="AK291" i="19"/>
  <c r="AI65" i="20"/>
  <c r="AQ62" i="20"/>
  <c r="AK62" i="20"/>
  <c r="AI374" i="38"/>
  <c r="R23" i="38"/>
  <c r="AK520" i="38"/>
  <c r="AQ520" i="38"/>
  <c r="AK214" i="19"/>
  <c r="AQ214" i="19"/>
  <c r="AI100" i="25"/>
  <c r="R44" i="25"/>
  <c r="AI265" i="19"/>
  <c r="AK200" i="19"/>
  <c r="AQ200" i="19"/>
  <c r="AI405" i="38"/>
  <c r="R54" i="38"/>
  <c r="AI442" i="38"/>
  <c r="R90" i="38"/>
  <c r="AI115" i="24"/>
  <c r="R42" i="24"/>
  <c r="AK188" i="19"/>
  <c r="AQ188" i="19"/>
  <c r="R42" i="19"/>
  <c r="AK277" i="19"/>
  <c r="AQ277" i="19"/>
  <c r="AK245" i="19"/>
  <c r="AQ245" i="19"/>
  <c r="R28" i="22"/>
  <c r="AI78" i="22"/>
  <c r="AK375" i="38"/>
  <c r="AQ375" i="38"/>
  <c r="R28" i="25"/>
  <c r="AI84" i="25"/>
  <c r="R33" i="25"/>
  <c r="AI89" i="25"/>
  <c r="AI93" i="25"/>
  <c r="R37" i="25"/>
  <c r="AK263" i="19"/>
  <c r="AQ263" i="19"/>
  <c r="AI398" i="38"/>
  <c r="R47" i="38"/>
  <c r="R30" i="20"/>
  <c r="L32" i="20"/>
  <c r="AI68" i="20"/>
  <c r="AK260" i="19"/>
  <c r="AQ260" i="19"/>
  <c r="AQ269" i="19"/>
  <c r="AK269" i="19"/>
  <c r="AK189" i="19"/>
  <c r="AQ189" i="19"/>
  <c r="AI282" i="19"/>
  <c r="AK268" i="19"/>
  <c r="AQ268" i="19"/>
  <c r="R42" i="38"/>
  <c r="AI393" i="38"/>
  <c r="AI585" i="38"/>
  <c r="AK178" i="19"/>
  <c r="AQ178" i="19"/>
  <c r="AK276" i="19"/>
  <c r="AQ276" i="19"/>
  <c r="AI457" i="38"/>
  <c r="R105" i="38"/>
  <c r="R41" i="24"/>
  <c r="AI114" i="24"/>
  <c r="AK193" i="19"/>
  <c r="AQ193" i="19"/>
  <c r="R111" i="19"/>
  <c r="AK175" i="19"/>
  <c r="AI196" i="19"/>
  <c r="AQ175" i="19"/>
  <c r="AI78" i="25"/>
  <c r="R22" i="25"/>
  <c r="L45" i="25"/>
  <c r="AI86" i="25"/>
  <c r="R30" i="25"/>
  <c r="AI404" i="38"/>
  <c r="R53" i="38"/>
  <c r="R38" i="25"/>
  <c r="AI94" i="25"/>
  <c r="R38" i="38"/>
  <c r="AI389" i="38"/>
  <c r="AK258" i="19"/>
  <c r="AQ258" i="19"/>
  <c r="AK181" i="19"/>
  <c r="AQ181" i="19"/>
  <c r="AI96" i="24"/>
  <c r="R23" i="24"/>
  <c r="R27" i="24"/>
  <c r="AI100" i="24"/>
  <c r="R44" i="38"/>
  <c r="AI395" i="38"/>
  <c r="L108" i="38"/>
  <c r="AK186" i="19"/>
  <c r="AQ186" i="19"/>
  <c r="J67" i="5"/>
  <c r="N44" i="5"/>
  <c r="N23" i="5"/>
  <c r="N37" i="5"/>
  <c r="N33" i="5"/>
  <c r="N65" i="5"/>
  <c r="T35" i="4"/>
  <c r="T42" i="4"/>
  <c r="T27" i="4"/>
  <c r="T39" i="4"/>
  <c r="T30" i="4"/>
  <c r="T32" i="4"/>
  <c r="T23" i="4"/>
  <c r="T41" i="4"/>
  <c r="T40" i="4"/>
  <c r="T37" i="4"/>
  <c r="T20" i="4"/>
  <c r="T29" i="4"/>
  <c r="T26" i="4"/>
  <c r="T48" i="4"/>
  <c r="T31" i="4"/>
  <c r="T28" i="4"/>
  <c r="T43" i="4"/>
  <c r="T24" i="4"/>
  <c r="T47" i="4"/>
  <c r="T45" i="4"/>
  <c r="T46" i="4"/>
  <c r="T38" i="4"/>
  <c r="T33" i="4"/>
  <c r="T44" i="4"/>
  <c r="T36" i="4"/>
  <c r="T25" i="4"/>
  <c r="T22" i="4"/>
  <c r="V67" i="5"/>
  <c r="E59" i="3"/>
  <c r="L20" i="40"/>
  <c r="L28" i="40" s="1"/>
  <c r="B28" i="40"/>
  <c r="AK378" i="38" l="1"/>
  <c r="AQ666" i="38"/>
  <c r="AK666" i="38"/>
  <c r="AK677" i="38"/>
  <c r="AQ677" i="38"/>
  <c r="AI70" i="20"/>
  <c r="AK70" i="20" s="1"/>
  <c r="AK68" i="20"/>
  <c r="AQ68" i="20"/>
  <c r="R37" i="22"/>
  <c r="R45" i="25"/>
  <c r="L48" i="25" s="1"/>
  <c r="R48" i="25" s="1"/>
  <c r="R108" i="38"/>
  <c r="R332" i="38" s="1"/>
  <c r="L335" i="38" s="1"/>
  <c r="L338" i="38" s="1"/>
  <c r="AQ90" i="25"/>
  <c r="AK90" i="25"/>
  <c r="AK76" i="22"/>
  <c r="AQ76" i="22"/>
  <c r="AK377" i="38"/>
  <c r="AQ377" i="38"/>
  <c r="AK382" i="38"/>
  <c r="AQ382" i="38"/>
  <c r="AK439" i="38"/>
  <c r="AQ439" i="38"/>
  <c r="AQ80" i="22"/>
  <c r="AK80" i="22"/>
  <c r="AQ282" i="19"/>
  <c r="AK282" i="19"/>
  <c r="AK78" i="25"/>
  <c r="AQ78" i="25"/>
  <c r="AI101" i="25"/>
  <c r="AQ585" i="38"/>
  <c r="AK196" i="19"/>
  <c r="AQ196" i="19"/>
  <c r="AK65" i="20"/>
  <c r="AQ65" i="20"/>
  <c r="AI81" i="22"/>
  <c r="AK98" i="25"/>
  <c r="AQ98" i="25"/>
  <c r="AI138" i="24"/>
  <c r="AQ81" i="25"/>
  <c r="AK81" i="25"/>
  <c r="AQ137" i="24"/>
  <c r="AK137" i="24"/>
  <c r="AK89" i="25"/>
  <c r="AQ89" i="25"/>
  <c r="AK374" i="38"/>
  <c r="AQ374" i="38"/>
  <c r="AK84" i="25"/>
  <c r="AQ84" i="25"/>
  <c r="L34" i="20"/>
  <c r="N32" i="20" s="1"/>
  <c r="AK265" i="19"/>
  <c r="AQ265" i="19"/>
  <c r="L332" i="38"/>
  <c r="L38" i="22"/>
  <c r="R31" i="22"/>
  <c r="AQ95" i="25"/>
  <c r="AK95" i="25"/>
  <c r="R65" i="24"/>
  <c r="L68" i="24" s="1"/>
  <c r="AK376" i="38"/>
  <c r="AQ376" i="38"/>
  <c r="AK79" i="22"/>
  <c r="AQ79" i="22"/>
  <c r="AQ78" i="22"/>
  <c r="AK78" i="22"/>
  <c r="AK56" i="28"/>
  <c r="AQ56" i="28"/>
  <c r="AK394" i="38"/>
  <c r="AQ394" i="38"/>
  <c r="AK86" i="25"/>
  <c r="AQ86" i="25"/>
  <c r="H53" i="40"/>
  <c r="K53" i="40" s="1"/>
  <c r="R32" i="20"/>
  <c r="R34" i="20" s="1"/>
  <c r="B18" i="41" s="1"/>
  <c r="C18" i="41" s="1"/>
  <c r="AI87" i="22"/>
  <c r="AK91" i="25"/>
  <c r="AQ91" i="25"/>
  <c r="AQ79" i="25"/>
  <c r="AK79" i="25"/>
  <c r="AK292" i="19"/>
  <c r="AQ292" i="19"/>
  <c r="AQ99" i="25"/>
  <c r="AK99" i="25"/>
  <c r="AK395" i="38"/>
  <c r="AQ395" i="38"/>
  <c r="AK93" i="25"/>
  <c r="AQ93" i="25"/>
  <c r="AK92" i="25"/>
  <c r="AQ92" i="25"/>
  <c r="AK80" i="25"/>
  <c r="AQ80" i="25"/>
  <c r="AI460" i="38"/>
  <c r="L131" i="19"/>
  <c r="AK585" i="38"/>
  <c r="L24" i="28"/>
  <c r="E70" i="3"/>
  <c r="AI72" i="20" l="1"/>
  <c r="P48" i="5" s="1"/>
  <c r="AQ70" i="20"/>
  <c r="R38" i="22"/>
  <c r="L41" i="22" s="1"/>
  <c r="AI91" i="22" s="1"/>
  <c r="AI104" i="25"/>
  <c r="L50" i="25"/>
  <c r="L52" i="25" s="1"/>
  <c r="N50" i="25" s="1"/>
  <c r="R335" i="38"/>
  <c r="R338" i="38" s="1"/>
  <c r="R340" i="38" s="1"/>
  <c r="AI687" i="38"/>
  <c r="R24" i="28"/>
  <c r="L26" i="28"/>
  <c r="AI59" i="28"/>
  <c r="R50" i="25"/>
  <c r="R52" i="25" s="1"/>
  <c r="B22" i="41" s="1"/>
  <c r="C22" i="41" s="1"/>
  <c r="H57" i="40"/>
  <c r="K57" i="40" s="1"/>
  <c r="AQ81" i="22"/>
  <c r="AK81" i="22"/>
  <c r="AK87" i="22"/>
  <c r="AQ87" i="22"/>
  <c r="AI88" i="22"/>
  <c r="AK101" i="25"/>
  <c r="AQ101" i="25"/>
  <c r="B53" i="40"/>
  <c r="L53" i="40" s="1"/>
  <c r="B18" i="36"/>
  <c r="C18" i="36" s="1"/>
  <c r="R48" i="6"/>
  <c r="G48" i="3"/>
  <c r="AK138" i="24"/>
  <c r="AQ138" i="24"/>
  <c r="AK460" i="38"/>
  <c r="AQ460" i="38"/>
  <c r="AI684" i="38"/>
  <c r="N27" i="20"/>
  <c r="N31" i="20"/>
  <c r="L48" i="6"/>
  <c r="N24" i="20"/>
  <c r="N30" i="20"/>
  <c r="L133" i="19"/>
  <c r="R131" i="19"/>
  <c r="AI285" i="19"/>
  <c r="AI141" i="24"/>
  <c r="R68" i="24"/>
  <c r="L70" i="24"/>
  <c r="L72" i="24" s="1"/>
  <c r="N68" i="24" s="1"/>
  <c r="L340" i="38"/>
  <c r="N338" i="38" s="1"/>
  <c r="B24" i="36" l="1"/>
  <c r="C24" i="36" s="1"/>
  <c r="B24" i="41"/>
  <c r="C24" i="41" s="1"/>
  <c r="AQ72" i="20"/>
  <c r="AT9" i="35"/>
  <c r="R22" i="34" s="1"/>
  <c r="R24" i="34" s="1"/>
  <c r="AK72" i="20"/>
  <c r="H58" i="40"/>
  <c r="K58" i="40" s="1"/>
  <c r="R41" i="22"/>
  <c r="H55" i="40" s="1"/>
  <c r="K55" i="40" s="1"/>
  <c r="L43" i="22"/>
  <c r="L45" i="22" s="1"/>
  <c r="N41" i="22" s="1"/>
  <c r="AI61" i="28"/>
  <c r="AK61" i="28" s="1"/>
  <c r="AK59" i="28"/>
  <c r="AQ59" i="28"/>
  <c r="AI287" i="19"/>
  <c r="AK285" i="19"/>
  <c r="AQ285" i="19"/>
  <c r="AI690" i="38"/>
  <c r="AK687" i="38"/>
  <c r="AQ687" i="38"/>
  <c r="AI143" i="24"/>
  <c r="AQ143" i="24" s="1"/>
  <c r="AK141" i="24"/>
  <c r="AQ141" i="24"/>
  <c r="AI93" i="22"/>
  <c r="AQ93" i="22" s="1"/>
  <c r="AK91" i="22"/>
  <c r="AQ91" i="22"/>
  <c r="AI106" i="25"/>
  <c r="AQ104" i="25"/>
  <c r="AK104" i="25"/>
  <c r="N332" i="38"/>
  <c r="B58" i="40"/>
  <c r="R53" i="6"/>
  <c r="G53" i="3"/>
  <c r="J48" i="6"/>
  <c r="H52" i="40"/>
  <c r="R133" i="19"/>
  <c r="R139" i="19" s="1"/>
  <c r="B17" i="41" s="1"/>
  <c r="C17" i="41" s="1"/>
  <c r="L52" i="6"/>
  <c r="N49" i="25"/>
  <c r="N24" i="25"/>
  <c r="N33" i="25"/>
  <c r="N22" i="25"/>
  <c r="N25" i="25"/>
  <c r="N34" i="25"/>
  <c r="N42" i="25"/>
  <c r="N44" i="25"/>
  <c r="N38" i="25"/>
  <c r="N30" i="25"/>
  <c r="N43" i="25"/>
  <c r="N36" i="25"/>
  <c r="N37" i="25"/>
  <c r="N23" i="25"/>
  <c r="N35" i="25"/>
  <c r="N29" i="25"/>
  <c r="N39" i="25"/>
  <c r="N28" i="25"/>
  <c r="N45" i="25"/>
  <c r="N48" i="25"/>
  <c r="N314" i="38"/>
  <c r="N249" i="38"/>
  <c r="N340" i="38"/>
  <c r="L53" i="6"/>
  <c r="N325" i="38"/>
  <c r="N110" i="38"/>
  <c r="N22" i="38"/>
  <c r="N33" i="38"/>
  <c r="N36" i="38"/>
  <c r="N57" i="38"/>
  <c r="N61" i="38"/>
  <c r="N46" i="38"/>
  <c r="N91" i="38"/>
  <c r="N21" i="38"/>
  <c r="N60" i="38"/>
  <c r="N102" i="38"/>
  <c r="N30" i="38"/>
  <c r="N20" i="38"/>
  <c r="N92" i="38"/>
  <c r="N89" i="38"/>
  <c r="N24" i="38"/>
  <c r="N34" i="38"/>
  <c r="N55" i="38"/>
  <c r="N103" i="38"/>
  <c r="N106" i="38"/>
  <c r="N28" i="38"/>
  <c r="N27" i="38"/>
  <c r="N107" i="38"/>
  <c r="N45" i="38"/>
  <c r="N48" i="38"/>
  <c r="N50" i="38"/>
  <c r="N93" i="38"/>
  <c r="N96" i="38"/>
  <c r="N35" i="38"/>
  <c r="N88" i="38"/>
  <c r="N86" i="38"/>
  <c r="N37" i="38"/>
  <c r="N99" i="38"/>
  <c r="N59" i="38"/>
  <c r="N43" i="38"/>
  <c r="N58" i="38"/>
  <c r="N54" i="38"/>
  <c r="N47" i="38"/>
  <c r="N23" i="38"/>
  <c r="N100" i="38"/>
  <c r="N101" i="38"/>
  <c r="N29" i="38"/>
  <c r="N39" i="38"/>
  <c r="N56" i="38"/>
  <c r="N51" i="38"/>
  <c r="N52" i="38"/>
  <c r="N87" i="38"/>
  <c r="N32" i="38"/>
  <c r="N98" i="38"/>
  <c r="N233" i="38"/>
  <c r="N44" i="38"/>
  <c r="N38" i="38"/>
  <c r="N97" i="38"/>
  <c r="N31" i="38"/>
  <c r="N53" i="38"/>
  <c r="N40" i="38"/>
  <c r="N95" i="38"/>
  <c r="N90" i="38"/>
  <c r="N105" i="38"/>
  <c r="N94" i="38"/>
  <c r="N49" i="38"/>
  <c r="N42" i="38"/>
  <c r="N26" i="38"/>
  <c r="N25" i="38"/>
  <c r="N41" i="38"/>
  <c r="N104" i="38"/>
  <c r="N330" i="38"/>
  <c r="N108" i="38"/>
  <c r="L139" i="19"/>
  <c r="I48" i="3"/>
  <c r="P11" i="34"/>
  <c r="R52" i="6"/>
  <c r="G52" i="3"/>
  <c r="B22" i="36"/>
  <c r="C22" i="36" s="1"/>
  <c r="B57" i="40"/>
  <c r="L57" i="40" s="1"/>
  <c r="AQ684" i="38"/>
  <c r="AK684" i="38"/>
  <c r="AK88" i="22"/>
  <c r="AQ88" i="22"/>
  <c r="N70" i="24"/>
  <c r="L51" i="6"/>
  <c r="N69" i="24"/>
  <c r="N32" i="24"/>
  <c r="N47" i="24"/>
  <c r="N54" i="24"/>
  <c r="N53" i="24"/>
  <c r="N56" i="24"/>
  <c r="N33" i="24"/>
  <c r="N27" i="24"/>
  <c r="N36" i="24"/>
  <c r="N29" i="24"/>
  <c r="N40" i="24"/>
  <c r="N64" i="24"/>
  <c r="N57" i="24"/>
  <c r="N60" i="24"/>
  <c r="N61" i="24"/>
  <c r="N43" i="24"/>
  <c r="N28" i="24"/>
  <c r="N51" i="24"/>
  <c r="N23" i="24"/>
  <c r="N42" i="24"/>
  <c r="N35" i="24"/>
  <c r="N24" i="24"/>
  <c r="N41" i="24"/>
  <c r="N46" i="24"/>
  <c r="N52" i="24"/>
  <c r="N48" i="24"/>
  <c r="N34" i="24"/>
  <c r="N22" i="24"/>
  <c r="N55" i="24"/>
  <c r="N65" i="24"/>
  <c r="L28" i="28"/>
  <c r="N26" i="28" s="1"/>
  <c r="R70" i="24"/>
  <c r="R72" i="24" s="1"/>
  <c r="B21" i="41" s="1"/>
  <c r="C21" i="41" s="1"/>
  <c r="H56" i="40"/>
  <c r="K56" i="40" s="1"/>
  <c r="X48" i="5"/>
  <c r="R48" i="5"/>
  <c r="R26" i="28"/>
  <c r="R28" i="28" s="1"/>
  <c r="B19" i="41" s="1"/>
  <c r="C19" i="41" s="1"/>
  <c r="H54" i="40"/>
  <c r="K54" i="40" s="1"/>
  <c r="L58" i="40" l="1"/>
  <c r="N26" i="22"/>
  <c r="N42" i="22"/>
  <c r="N38" i="22"/>
  <c r="N31" i="22"/>
  <c r="N22" i="22"/>
  <c r="N36" i="22"/>
  <c r="N30" i="22"/>
  <c r="N28" i="22"/>
  <c r="N37" i="22"/>
  <c r="N23" i="22"/>
  <c r="N35" i="22"/>
  <c r="L50" i="6"/>
  <c r="J50" i="6" s="1"/>
  <c r="N29" i="22"/>
  <c r="N43" i="22"/>
  <c r="R43" i="22"/>
  <c r="R45" i="22" s="1"/>
  <c r="AI145" i="24"/>
  <c r="P51" i="5" s="1"/>
  <c r="AK143" i="24"/>
  <c r="AI63" i="28"/>
  <c r="AK63" i="28" s="1"/>
  <c r="AQ61" i="28"/>
  <c r="K48" i="3"/>
  <c r="AI95" i="22"/>
  <c r="AQ95" i="22" s="1"/>
  <c r="AK93" i="22"/>
  <c r="AQ106" i="25"/>
  <c r="AK106" i="25"/>
  <c r="AI108" i="25"/>
  <c r="AK690" i="38"/>
  <c r="AQ690" i="38"/>
  <c r="AI293" i="19"/>
  <c r="AK287" i="19"/>
  <c r="AQ287" i="19"/>
  <c r="AI692" i="38"/>
  <c r="AK692" i="38" s="1"/>
  <c r="G51" i="3"/>
  <c r="B21" i="36"/>
  <c r="C21" i="36" s="1"/>
  <c r="B56" i="40"/>
  <c r="L56" i="40" s="1"/>
  <c r="R51" i="6"/>
  <c r="J52" i="6"/>
  <c r="B52" i="40"/>
  <c r="R47" i="6"/>
  <c r="G47" i="3"/>
  <c r="B17" i="36"/>
  <c r="C17" i="36" s="1"/>
  <c r="N103" i="19"/>
  <c r="L47" i="6"/>
  <c r="N132" i="19"/>
  <c r="N117" i="19"/>
  <c r="N97" i="19"/>
  <c r="N124" i="19"/>
  <c r="N136" i="19"/>
  <c r="N92" i="19"/>
  <c r="N121" i="19"/>
  <c r="N94" i="19"/>
  <c r="N107" i="19"/>
  <c r="N102" i="19"/>
  <c r="N115" i="19"/>
  <c r="N127" i="19"/>
  <c r="N93" i="19"/>
  <c r="N106" i="19"/>
  <c r="N33" i="19"/>
  <c r="N137" i="19"/>
  <c r="N122" i="19"/>
  <c r="N32" i="19"/>
  <c r="N27" i="19"/>
  <c r="N57" i="19"/>
  <c r="N109" i="19"/>
  <c r="N104" i="19"/>
  <c r="N91" i="19"/>
  <c r="N123" i="19"/>
  <c r="N21" i="19"/>
  <c r="N34" i="19"/>
  <c r="N39" i="19"/>
  <c r="N52" i="19"/>
  <c r="N24" i="19"/>
  <c r="N126" i="19"/>
  <c r="N51" i="19"/>
  <c r="N49" i="19"/>
  <c r="N48" i="19"/>
  <c r="N120" i="19"/>
  <c r="N119" i="19"/>
  <c r="N118" i="19"/>
  <c r="N37" i="19"/>
  <c r="N46" i="19"/>
  <c r="N60" i="19"/>
  <c r="N56" i="19"/>
  <c r="N114" i="19"/>
  <c r="N53" i="19"/>
  <c r="N98" i="19"/>
  <c r="N22" i="19"/>
  <c r="N99" i="19"/>
  <c r="N35" i="19"/>
  <c r="N30" i="19"/>
  <c r="N23" i="19"/>
  <c r="N61" i="19"/>
  <c r="N105" i="19"/>
  <c r="N47" i="19"/>
  <c r="N125" i="19"/>
  <c r="N101" i="19"/>
  <c r="N28" i="19"/>
  <c r="N59" i="19"/>
  <c r="N26" i="19"/>
  <c r="N96" i="19"/>
  <c r="N40" i="19"/>
  <c r="N90" i="19"/>
  <c r="N38" i="19"/>
  <c r="N108" i="19"/>
  <c r="N116" i="19"/>
  <c r="N31" i="19"/>
  <c r="N58" i="19"/>
  <c r="N110" i="19"/>
  <c r="N138" i="19"/>
  <c r="N128" i="19"/>
  <c r="N42" i="19"/>
  <c r="N111" i="19"/>
  <c r="N131" i="19"/>
  <c r="I53" i="3"/>
  <c r="P16" i="34"/>
  <c r="K52" i="40"/>
  <c r="K60" i="40" s="1"/>
  <c r="H60" i="40"/>
  <c r="J53" i="6"/>
  <c r="I52" i="3"/>
  <c r="P15" i="34"/>
  <c r="B54" i="40"/>
  <c r="L54" i="40" s="1"/>
  <c r="R49" i="6"/>
  <c r="G49" i="3"/>
  <c r="B19" i="36"/>
  <c r="C19" i="36" s="1"/>
  <c r="J51" i="6"/>
  <c r="N24" i="28"/>
  <c r="N25" i="28"/>
  <c r="L49" i="6"/>
  <c r="J49" i="6" s="1"/>
  <c r="N21" i="28"/>
  <c r="N28" i="28" s="1"/>
  <c r="N133" i="19"/>
  <c r="B20" i="36" l="1"/>
  <c r="C20" i="36" s="1"/>
  <c r="B20" i="41"/>
  <c r="C20" i="41" s="1"/>
  <c r="B55" i="40"/>
  <c r="L55" i="40" s="1"/>
  <c r="AQ63" i="28"/>
  <c r="AQ145" i="24"/>
  <c r="P49" i="5"/>
  <c r="R49" i="5" s="1"/>
  <c r="AK145" i="24"/>
  <c r="G50" i="3"/>
  <c r="G54" i="3" s="1"/>
  <c r="G59" i="3" s="1"/>
  <c r="R50" i="6"/>
  <c r="R54" i="6" s="1"/>
  <c r="R67" i="6" s="1"/>
  <c r="P50" i="5"/>
  <c r="R50" i="5" s="1"/>
  <c r="AK95" i="22"/>
  <c r="K53" i="3"/>
  <c r="K52" i="3"/>
  <c r="P47" i="5"/>
  <c r="AK293" i="19"/>
  <c r="AQ293" i="19"/>
  <c r="AQ108" i="25"/>
  <c r="AK108" i="25"/>
  <c r="P52" i="5"/>
  <c r="P53" i="5"/>
  <c r="AQ692" i="38"/>
  <c r="L52" i="40"/>
  <c r="P12" i="34"/>
  <c r="I49" i="3"/>
  <c r="P10" i="34"/>
  <c r="I47" i="3"/>
  <c r="X51" i="5"/>
  <c r="R51" i="5"/>
  <c r="J47" i="6"/>
  <c r="L54" i="6"/>
  <c r="N47" i="6" s="1"/>
  <c r="I51" i="3"/>
  <c r="P14" i="34"/>
  <c r="X49" i="5" l="1"/>
  <c r="P13" i="34"/>
  <c r="P17" i="34" s="1"/>
  <c r="L60" i="40"/>
  <c r="B60" i="40"/>
  <c r="X50" i="5"/>
  <c r="I50" i="3"/>
  <c r="K50" i="3" s="1"/>
  <c r="P54" i="5"/>
  <c r="P67" i="5" s="1"/>
  <c r="K51" i="3"/>
  <c r="K49" i="3"/>
  <c r="X53" i="5"/>
  <c r="R53" i="5"/>
  <c r="X52" i="5"/>
  <c r="R52" i="5"/>
  <c r="R47" i="5"/>
  <c r="X47" i="5"/>
  <c r="K47" i="3"/>
  <c r="G70" i="3"/>
  <c r="I59" i="3"/>
  <c r="I70" i="3" s="1"/>
  <c r="N49" i="6"/>
  <c r="J54" i="6"/>
  <c r="L67" i="6"/>
  <c r="N54" i="6" s="1"/>
  <c r="N48" i="6"/>
  <c r="N52" i="6"/>
  <c r="N53" i="6"/>
  <c r="N51" i="6"/>
  <c r="N50" i="6"/>
  <c r="I54" i="3" l="1"/>
  <c r="X54" i="5"/>
  <c r="R54" i="5"/>
  <c r="N33" i="6"/>
  <c r="N37" i="6"/>
  <c r="N23" i="6"/>
  <c r="N65" i="6"/>
  <c r="J67" i="6"/>
  <c r="N44" i="6"/>
  <c r="R67" i="5"/>
  <c r="X67" i="5"/>
  <c r="K59" i="3"/>
  <c r="K54" i="3" l="1"/>
  <c r="K70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Sailers, Bruce L</author>
  </authors>
  <commentList>
    <comment ref="C19" authorId="0" shapeId="0" xr:uid="{E1E3D24F-2594-4419-B52C-5783E44BCCD7}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Calibrate this value to match total forecasted fuel expense of $147,263,213</t>
        </r>
      </text>
    </comment>
    <comment ref="C160" authorId="0" shapeId="0" xr:uid="{3FD3E447-7F81-4FC7-B056-DC0F0425B378}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RTP V3 file</t>
        </r>
      </text>
    </comment>
  </commentList>
</comments>
</file>

<file path=xl/sharedStrings.xml><?xml version="1.0" encoding="utf-8"?>
<sst xmlns="http://schemas.openxmlformats.org/spreadsheetml/2006/main" count="5489" uniqueCount="1146">
  <si>
    <t>AUTOMATED RATE CASE FILING SYSTEM</t>
  </si>
  <si>
    <t>SERVICE:</t>
  </si>
  <si>
    <t>(ELECTRIC SERVICE)</t>
  </si>
  <si>
    <t>WITNESS:</t>
  </si>
  <si>
    <t>WITNESS RESPONSIBLE:</t>
  </si>
  <si>
    <t xml:space="preserve">  CURRENT ANNUALIZED</t>
  </si>
  <si>
    <t>PROPOSED</t>
  </si>
  <si>
    <t>% OF REV TO</t>
  </si>
  <si>
    <t>CURRENT</t>
  </si>
  <si>
    <t>REVENUE</t>
  </si>
  <si>
    <t>% INCR IN</t>
  </si>
  <si>
    <t>TOTAL</t>
  </si>
  <si>
    <t>REVENUE LESS</t>
  </si>
  <si>
    <t>TOTAL LESS</t>
  </si>
  <si>
    <t>MOST</t>
  </si>
  <si>
    <t>INCR LESS</t>
  </si>
  <si>
    <t xml:space="preserve">REV LESS </t>
  </si>
  <si>
    <t>LINE</t>
  </si>
  <si>
    <t>RATE</t>
  </si>
  <si>
    <t>CLASS /</t>
  </si>
  <si>
    <t>CUSTOMER</t>
  </si>
  <si>
    <t>% INCREASE</t>
  </si>
  <si>
    <t xml:space="preserve"> NO.</t>
  </si>
  <si>
    <t>CODE</t>
  </si>
  <si>
    <t>DESCRIPTION</t>
  </si>
  <si>
    <t>BILLS(1)</t>
  </si>
  <si>
    <t>SALES</t>
  </si>
  <si>
    <t>RATES</t>
  </si>
  <si>
    <t>(F + H)</t>
  </si>
  <si>
    <t>(F - K)</t>
  </si>
  <si>
    <t>(M / K)</t>
  </si>
  <si>
    <t>(K + H)</t>
  </si>
  <si>
    <t>(M / K1)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</si>
  <si>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</si>
  <si>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</si>
  <si>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</si>
  <si>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</si>
  <si>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</si>
  <si>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</si>
  <si>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</si>
  <si>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</si>
  <si>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</si>
  <si>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</si>
  <si>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</si>
  <si>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</si>
  <si>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</si>
  <si>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(N)</t>
  </si>
  <si>
    <t>(K1)</t>
  </si>
  <si>
    <t>(O)</t>
  </si>
  <si>
    <t>(KWH)</t>
  </si>
  <si>
    <t>($)</t>
  </si>
  <si>
    <t>(%)</t>
  </si>
  <si>
    <t>RS</t>
  </si>
  <si>
    <t>RESIDENTIAL</t>
  </si>
  <si>
    <t>SUMMER:</t>
  </si>
  <si>
    <t>BILLS</t>
  </si>
  <si>
    <t>TOTAL SUMMER</t>
  </si>
  <si>
    <t>WINTER:</t>
  </si>
  <si>
    <t>TOTAL WINTER</t>
  </si>
  <si>
    <t>(1) BILLS THAT TERMINATE IN RESPECTIVE RATE STEPS.</t>
  </si>
  <si>
    <t>TT</t>
  </si>
  <si>
    <t>TIME OF DAY</t>
  </si>
  <si>
    <t>CUSTOMER CHARGE</t>
  </si>
  <si>
    <t>DEMAND CHARGE:</t>
  </si>
  <si>
    <t xml:space="preserve">  ON PEAK KW</t>
  </si>
  <si>
    <t xml:space="preserve">  OFF PEAK KW</t>
  </si>
  <si>
    <t>TOTAL DEMAND</t>
  </si>
  <si>
    <t>ENERGY CHARGE:</t>
  </si>
  <si>
    <t xml:space="preserve">  ALL KWH</t>
  </si>
  <si>
    <t>($/UNIT)</t>
  </si>
  <si>
    <t>SE</t>
  </si>
  <si>
    <t xml:space="preserve">STREET LIGHTING - </t>
  </si>
  <si>
    <t xml:space="preserve"> OVERHEAD EQUIVALENT RATE</t>
  </si>
  <si>
    <t>SC</t>
  </si>
  <si>
    <t xml:space="preserve"> CUST OWNED/CUST MAINT</t>
  </si>
  <si>
    <t>ENERGY ONLY</t>
  </si>
  <si>
    <t>(1) THESE FIGURES REPRESENT NUMBER OF UNITS BILLED.</t>
  </si>
  <si>
    <t>SL</t>
  </si>
  <si>
    <t>STREET LIGHTING</t>
  </si>
  <si>
    <t>OVERHEAD DISTRIBUTION:</t>
  </si>
  <si>
    <t>UNDERGROUND DISTRIBUTION:</t>
  </si>
  <si>
    <t>TL</t>
  </si>
  <si>
    <t>TRAFFIC LIGHTING</t>
  </si>
  <si>
    <t xml:space="preserve">    SERVICE</t>
  </si>
  <si>
    <t>(A) WHERE COMPANY</t>
  </si>
  <si>
    <t xml:space="preserve">  ALL CONSUMPTION</t>
  </si>
  <si>
    <t>NSU</t>
  </si>
  <si>
    <t xml:space="preserve">  2,500 LUMEN MULTIPLE</t>
  </si>
  <si>
    <t xml:space="preserve">  2,500 LUMEN SERIES</t>
  </si>
  <si>
    <t xml:space="preserve">  21,000 LUMEN</t>
  </si>
  <si>
    <t>TOTAL COMPANY OWNED</t>
  </si>
  <si>
    <t>DS</t>
  </si>
  <si>
    <t>DP</t>
  </si>
  <si>
    <t>GSFL</t>
  </si>
  <si>
    <t>EH</t>
  </si>
  <si>
    <t>SP</t>
  </si>
  <si>
    <t>IS</t>
  </si>
  <si>
    <t>OTHER MISC</t>
  </si>
  <si>
    <t xml:space="preserve">    TOTAL</t>
  </si>
  <si>
    <t>PAGE 1 OF 5</t>
  </si>
  <si>
    <t>WORK PAPER REFERENCE NO(S).: SEE BELOW</t>
  </si>
  <si>
    <t>LEVEL</t>
  </si>
  <si>
    <t>DOLLAR</t>
  </si>
  <si>
    <t>PERCENT</t>
  </si>
  <si>
    <t>of</t>
  </si>
  <si>
    <t>INCREASE</t>
  </si>
  <si>
    <t>FUEL</t>
  </si>
  <si>
    <t>BILL</t>
  </si>
  <si>
    <t>KWH</t>
  </si>
  <si>
    <t>DEMAND</t>
  </si>
  <si>
    <t>USE</t>
  </si>
  <si>
    <t>(D - C)</t>
  </si>
  <si>
    <t>(E / C)</t>
  </si>
  <si>
    <t>FIRST</t>
  </si>
  <si>
    <t>SECOND</t>
  </si>
  <si>
    <t>THIRD</t>
  </si>
  <si>
    <t>CHARGE</t>
  </si>
  <si>
    <t>STEP</t>
  </si>
  <si>
    <t>(KW)</t>
  </si>
  <si>
    <t>NA</t>
  </si>
  <si>
    <t>WINTER</t>
  </si>
  <si>
    <t>PAGE 2 OF 5</t>
  </si>
  <si>
    <t>CST CHRG</t>
  </si>
  <si>
    <t>ALL KWH</t>
  </si>
  <si>
    <t>PAGE 5 OF 5</t>
  </si>
  <si>
    <t xml:space="preserve">   TT (SUMMER)</t>
  </si>
  <si>
    <t xml:space="preserve">   TT (WINTER)</t>
  </si>
  <si>
    <t>PAGE 3 OF 5</t>
  </si>
  <si>
    <t xml:space="preserve">   DT (SUMMER)</t>
  </si>
  <si>
    <t xml:space="preserve">   DT (WINTER)</t>
  </si>
  <si>
    <t>PROPOSED ANNUALIZED</t>
  </si>
  <si>
    <t>CURRENT ANNUALIZED</t>
  </si>
  <si>
    <t>SERVICE AT SECONDARY</t>
  </si>
  <si>
    <t>DISTRIBUTION VOLTAGE</t>
  </si>
  <si>
    <t>CUSTOMER CHARGE:</t>
  </si>
  <si>
    <t xml:space="preserve">  SINGLE PHASE</t>
  </si>
  <si>
    <t xml:space="preserve">  THREE PHASE</t>
  </si>
  <si>
    <t>TOTAL CUSTOMER CHARGE</t>
  </si>
  <si>
    <t xml:space="preserve">  FIRST 15 KW</t>
  </si>
  <si>
    <t xml:space="preserve">  ADDITIONAL KW</t>
  </si>
  <si>
    <t xml:space="preserve">  FIRST  6000 KWH</t>
  </si>
  <si>
    <t xml:space="preserve">  NEXT 300KWH/KW</t>
  </si>
  <si>
    <t xml:space="preserve">  ADDITIONAL KWH</t>
  </si>
  <si>
    <t>TOTAL ENERGY</t>
  </si>
  <si>
    <t>SERVICE AT</t>
  </si>
  <si>
    <t xml:space="preserve">  PRIMARY VOLTAGE</t>
  </si>
  <si>
    <t>SUB-TOTAL</t>
  </si>
  <si>
    <t>PRIMARY SERV. DIS.</t>
  </si>
  <si>
    <t>FIRST 1000 KW</t>
  </si>
  <si>
    <t>ADDITIONAL KW</t>
  </si>
  <si>
    <t>SERVICE AT PRIMARY</t>
  </si>
  <si>
    <t xml:space="preserve">  ALL KW</t>
  </si>
  <si>
    <t xml:space="preserve">  FIRST 300KWH/KW</t>
  </si>
  <si>
    <t>SMALL FIXED LOADS</t>
  </si>
  <si>
    <t xml:space="preserve">    ALL CONSUMPTION</t>
  </si>
  <si>
    <t>OPTIONAL RATE FOR</t>
  </si>
  <si>
    <t>ELEC. SPACE HEATING</t>
  </si>
  <si>
    <t>SCHEDULE M-2.3</t>
  </si>
  <si>
    <t>SCHEDULE M-2.2</t>
  </si>
  <si>
    <t>PAGE  1  OF  1</t>
  </si>
  <si>
    <t>CLASSIFICATION</t>
  </si>
  <si>
    <t>REVENUE AT</t>
  </si>
  <si>
    <t>CHANGE</t>
  </si>
  <si>
    <t>(D=C-B)</t>
  </si>
  <si>
    <t>(AMOUNT)</t>
  </si>
  <si>
    <t>SCHEDULE M</t>
  </si>
  <si>
    <t>(E=D / B)</t>
  </si>
  <si>
    <t xml:space="preserve">  TOTAL DISTRIBUTION</t>
  </si>
  <si>
    <t xml:space="preserve">  TOTAL TRANSMISSION</t>
  </si>
  <si>
    <t xml:space="preserve">  TOTAL LIGHTING</t>
  </si>
  <si>
    <t>TOTAL REVENUE</t>
  </si>
  <si>
    <t>WORK PAPER REFERENCE NO(S).:</t>
  </si>
  <si>
    <t>TYPICAL BILL COMPARISON</t>
  </si>
  <si>
    <t>SCHEDULE N</t>
  </si>
  <si>
    <t xml:space="preserve"> </t>
  </si>
  <si>
    <t>Summer</t>
  </si>
  <si>
    <t>Winter</t>
  </si>
  <si>
    <t xml:space="preserve">CURRENT RATE DS BILL      </t>
  </si>
  <si>
    <t xml:space="preserve">PROPOSED RATE DS BILL      </t>
  </si>
  <si>
    <t xml:space="preserve"> CURRENT RATE EH BILL      </t>
  </si>
  <si>
    <t xml:space="preserve">PROPOSED RATES EH BILL      </t>
  </si>
  <si>
    <t>PAGE 4 OF 5</t>
  </si>
  <si>
    <t>PRIMARY VOLTAGE</t>
  </si>
  <si>
    <t>CURRENT RATES RS BILL</t>
  </si>
  <si>
    <t>PROPOSED RATES RS BILL</t>
  </si>
  <si>
    <t>PRESENT</t>
  </si>
  <si>
    <t>% OF</t>
  </si>
  <si>
    <t xml:space="preserve">WORK PAPER REFERENCE NO(S).: </t>
  </si>
  <si>
    <t>SCHEDULE M-2.1</t>
  </si>
  <si>
    <t>AVERAGE</t>
  </si>
  <si>
    <t>(F=E/D)</t>
  </si>
  <si>
    <t>% OF REV</t>
  </si>
  <si>
    <t>TO TOTAL</t>
  </si>
  <si>
    <t xml:space="preserve">EXCLUSIVE OF </t>
  </si>
  <si>
    <t>NOTE: DETAIL CONTAINED ON SCHEDULES M-2.2 AND M-2.3.</t>
  </si>
  <si>
    <t>Input Areas in Grey</t>
  </si>
  <si>
    <t xml:space="preserve">  TOTAL RESIDENTIAL</t>
  </si>
  <si>
    <t>(KW/KWH)</t>
  </si>
  <si>
    <t>(¢/KWH)</t>
  </si>
  <si>
    <t>MINIMUM BILLS</t>
  </si>
  <si>
    <t xml:space="preserve">  LOAD RANGE 540 TO 720 HRS</t>
  </si>
  <si>
    <t xml:space="preserve">  LOAD RANGE LESS THAN 540 HRS</t>
  </si>
  <si>
    <t>MERCURY VAPOR :</t>
  </si>
  <si>
    <t>SODIUM VAPOR:</t>
  </si>
  <si>
    <t>DECORATIVE SODIUM VAPOR:</t>
  </si>
  <si>
    <t>MERCURY VAPOR:</t>
  </si>
  <si>
    <t xml:space="preserve">     7,000 LUMEN (OPEN)</t>
  </si>
  <si>
    <t xml:space="preserve">     7,000 LUMEN</t>
  </si>
  <si>
    <t xml:space="preserve">    10,000 LUMEN</t>
  </si>
  <si>
    <t xml:space="preserve">    21,000 LUMEN</t>
  </si>
  <si>
    <t xml:space="preserve">     9,500 LUMEN (OPEN)</t>
  </si>
  <si>
    <t xml:space="preserve">     9,500 LUMEN</t>
  </si>
  <si>
    <t xml:space="preserve">   16,000 LUMEN</t>
  </si>
  <si>
    <t xml:space="preserve">   22,000 LUMEN</t>
  </si>
  <si>
    <t xml:space="preserve">   50,000 LUMEN</t>
  </si>
  <si>
    <t xml:space="preserve">  10,000 LUMEN</t>
  </si>
  <si>
    <t xml:space="preserve">    22,000 LUMEN (RECTILINEAR)</t>
  </si>
  <si>
    <t xml:space="preserve">    50,000 LUMEN (RECTILINEAR)</t>
  </si>
  <si>
    <t xml:space="preserve">  21,000 LUMEN MERCURY VAPOR</t>
  </si>
  <si>
    <t>NON STANDARD STREET LIGHT UNITS</t>
  </si>
  <si>
    <t>(A) COMPANY OWNED</t>
  </si>
  <si>
    <t>(1) BOULEVARD INCANDESCENT(UG):</t>
  </si>
  <si>
    <t>(2) HOLOPHANE DECORATIVE:</t>
  </si>
  <si>
    <t xml:space="preserve">  10,000 LUMEN MV W </t>
  </si>
  <si>
    <t xml:space="preserve">     17' FIBERGLASS POLE</t>
  </si>
  <si>
    <t>(3) STREET LGT UNITS (OH)</t>
  </si>
  <si>
    <t xml:space="preserve">    2,500 LUMEN INDANDESCENT</t>
  </si>
  <si>
    <t xml:space="preserve">    2,500 LUMEN MERCURY VAPOR</t>
  </si>
  <si>
    <t>(B) CUSTOMER OWNED WITH LTD MAINT</t>
  </si>
  <si>
    <t>TOTAL CUSTOMER OWNED</t>
  </si>
  <si>
    <t>MERCURY VAPOR 7,000 LUMEN:</t>
  </si>
  <si>
    <t xml:space="preserve">   TOWN &amp; COUNTRY</t>
  </si>
  <si>
    <t xml:space="preserve">    HOLOPHANE</t>
  </si>
  <si>
    <t xml:space="preserve">    GAS REPLICA</t>
  </si>
  <si>
    <t xml:space="preserve">    ASPEN</t>
  </si>
  <si>
    <t>SODIUM VAPOR 9,500 LUMEN:</t>
  </si>
  <si>
    <t xml:space="preserve">    RECTILINEAR</t>
  </si>
  <si>
    <t xml:space="preserve">  50,000 LUMEN (SETBACK)</t>
  </si>
  <si>
    <t xml:space="preserve">  50,000 LUMEN (RECTILINEAR)</t>
  </si>
  <si>
    <t xml:space="preserve">  22,000 LUMEN (RECTILINEAR)</t>
  </si>
  <si>
    <t>UOLS</t>
  </si>
  <si>
    <t>UNMETERED OUTDOOR LIGHTING SERV</t>
  </si>
  <si>
    <t>BASE RATE</t>
  </si>
  <si>
    <t>RESIDENTIAL SERV</t>
  </si>
  <si>
    <t>DISTRIBUTION SERV</t>
  </si>
  <si>
    <t>SPORTS SERV</t>
  </si>
  <si>
    <t>ELEC SPACE HEATING</t>
  </si>
  <si>
    <t>UNMTRD OUTDR LIGHT</t>
  </si>
  <si>
    <t>NON STD STREET LIGHT</t>
  </si>
  <si>
    <t>BAD CHECK CHARGES</t>
  </si>
  <si>
    <t xml:space="preserve">UOLS </t>
  </si>
  <si>
    <t>RENTS</t>
  </si>
  <si>
    <t>RECONNECTION CHGS</t>
  </si>
  <si>
    <t>RIDER</t>
  </si>
  <si>
    <t>DISTRIBUTION</t>
  </si>
  <si>
    <t>TRANSMISSION</t>
  </si>
  <si>
    <t>DSMR (2)</t>
  </si>
  <si>
    <t>DSMR (3)</t>
  </si>
  <si>
    <t>REAL TIME PRICING</t>
  </si>
  <si>
    <t xml:space="preserve"> CUST OWNED/LTD MAINT</t>
  </si>
  <si>
    <t>STREET LIGHTING -- CO OWNED &amp; MAINTAINED</t>
  </si>
  <si>
    <t>DS-RTP</t>
  </si>
  <si>
    <t>TT-RTP</t>
  </si>
  <si>
    <t xml:space="preserve">  TOTAL REAL TIME PRICING</t>
  </si>
  <si>
    <t xml:space="preserve"> TOTAL REAL TIME PRICING</t>
  </si>
  <si>
    <t>TOTAL OVERHEAD</t>
  </si>
  <si>
    <t>STREET LIGHTING -- CO OWNED &amp; MAINTAINED (CONT'D.)</t>
  </si>
  <si>
    <t>TOTAL UNDERGROUND</t>
  </si>
  <si>
    <t>METAL HALIDE:</t>
  </si>
  <si>
    <t xml:space="preserve">    GRANVILLE ACORN</t>
  </si>
  <si>
    <t xml:space="preserve">    36,000 LUMEN</t>
  </si>
  <si>
    <t xml:space="preserve">    14,000 LUMEN</t>
  </si>
  <si>
    <t xml:space="preserve">    20,500 LUMEN</t>
  </si>
  <si>
    <t xml:space="preserve">  7,000 LUMEN  TOWN &amp; COUNTRY</t>
  </si>
  <si>
    <t xml:space="preserve">  7,000 LUMEN HOLOPHANE</t>
  </si>
  <si>
    <t xml:space="preserve">  7,000 LUMEN ASPEN</t>
  </si>
  <si>
    <t>DECORATIVE MERCURY VAPOR:</t>
  </si>
  <si>
    <t xml:space="preserve">  9,500 LUMEN TOWN &amp; COUNTRY</t>
  </si>
  <si>
    <t xml:space="preserve">  9,500 LUMEN HOLOPHANE</t>
  </si>
  <si>
    <t xml:space="preserve">   27,500 LUMEN</t>
  </si>
  <si>
    <t>DECORATIVE METAL HALIDE:</t>
  </si>
  <si>
    <t xml:space="preserve"> 14,000 LUMEN GRANVILLE</t>
  </si>
  <si>
    <t xml:space="preserve">   TRADITIONAIRE</t>
  </si>
  <si>
    <t>Pole Rate Increases</t>
  </si>
  <si>
    <t>w17</t>
  </si>
  <si>
    <t>w30</t>
  </si>
  <si>
    <t>w35</t>
  </si>
  <si>
    <t>w40</t>
  </si>
  <si>
    <t>a12</t>
  </si>
  <si>
    <t>a28</t>
  </si>
  <si>
    <t>a28h</t>
  </si>
  <si>
    <t>a30</t>
  </si>
  <si>
    <t>f17</t>
  </si>
  <si>
    <t>f30</t>
  </si>
  <si>
    <t>f35</t>
  </si>
  <si>
    <t>s27</t>
  </si>
  <si>
    <t>s27h</t>
  </si>
  <si>
    <t>f12</t>
  </si>
  <si>
    <t>code</t>
  </si>
  <si>
    <t>base fuel</t>
  </si>
  <si>
    <t>annual kwh</t>
  </si>
  <si>
    <t>current</t>
  </si>
  <si>
    <t>proposed</t>
  </si>
  <si>
    <t>($/UNIT)/</t>
  </si>
  <si>
    <t>ADD'L FACILITIES CHARGE:</t>
  </si>
  <si>
    <t>TOTAL ADD'L FACILITIES CHG</t>
  </si>
  <si>
    <t>TT  RTP</t>
  </si>
  <si>
    <t>DT  RTP</t>
  </si>
  <si>
    <t>DS RTP</t>
  </si>
  <si>
    <t>DS  RTP</t>
  </si>
  <si>
    <t>TIME OF DAY SERVICE AT</t>
  </si>
  <si>
    <t>TRANSMISSION VOLTAGE</t>
  </si>
  <si>
    <t xml:space="preserve">  BILLS  (Real-Time Pricing)</t>
  </si>
  <si>
    <t>($/KWH)</t>
  </si>
  <si>
    <t>RESIDENTIAL SERVICE  (RS)</t>
  </si>
  <si>
    <t>DISTRIBUTION SERVICE  (DS)</t>
  </si>
  <si>
    <t>SPORTS SERVICE  (SP)</t>
  </si>
  <si>
    <t>SMALL FIXED LOADS  (GSFL)</t>
  </si>
  <si>
    <t>PRIMARY VOLTAGE  (DP)</t>
  </si>
  <si>
    <t>TIME OF DAY  (TT)</t>
  </si>
  <si>
    <t>DS-REAL TIME PRICING  (DS-RTP)</t>
  </si>
  <si>
    <t>TT-REAL TIME PRICING  (TT-RTP)</t>
  </si>
  <si>
    <t>STREET LIGHTING  (SL)</t>
  </si>
  <si>
    <t>TRAFFIC LIGHTING  (TL)</t>
  </si>
  <si>
    <t>REVENUE (2)</t>
  </si>
  <si>
    <t>RATES(3)</t>
  </si>
  <si>
    <t>RATES(1A)</t>
  </si>
  <si>
    <t>INTERDEPARTMENTAL</t>
  </si>
  <si>
    <t>SPECIAL CONTRACTS</t>
  </si>
  <si>
    <t>($/KW)</t>
  </si>
  <si>
    <t>WS</t>
  </si>
  <si>
    <t>8A</t>
  </si>
  <si>
    <t>($/KWH)/</t>
  </si>
  <si>
    <t>$ PER KWH</t>
  </si>
  <si>
    <t>TYPE OF FILING: _X_ ORIGINAL   ___UPDATED  ___ REVISED</t>
  </si>
  <si>
    <t xml:space="preserve">  STANDARD UNIT-COBRAHEAD</t>
  </si>
  <si>
    <t xml:space="preserve">    MERCURY VAPOR --</t>
  </si>
  <si>
    <t xml:space="preserve">   10,000 LUMEN</t>
  </si>
  <si>
    <t xml:space="preserve">   21,000 LUMEN</t>
  </si>
  <si>
    <t xml:space="preserve">  METAL HALIDE --</t>
  </si>
  <si>
    <t xml:space="preserve">   14,000 LUMEN</t>
  </si>
  <si>
    <t xml:space="preserve">   20,500 LUMEN</t>
  </si>
  <si>
    <t xml:space="preserve">   36,000 LUMEN</t>
  </si>
  <si>
    <t xml:space="preserve">  SODIUM VAPOR--</t>
  </si>
  <si>
    <t xml:space="preserve">    9,500 LUMEN</t>
  </si>
  <si>
    <t>DECORATIVE UNITS:</t>
  </si>
  <si>
    <t xml:space="preserve">   7,000 LUMEN MERCURY VAPOR--</t>
  </si>
  <si>
    <t xml:space="preserve">    TOWN &amp; COUNTRY</t>
  </si>
  <si>
    <t xml:space="preserve"> 14,000 LUMEN METAL HALIDE--</t>
  </si>
  <si>
    <t xml:space="preserve">    TRADITIONAIRE</t>
  </si>
  <si>
    <t xml:space="preserve">  9,500 LUMEN SODIUM VAPOR--</t>
  </si>
  <si>
    <t>SODIUM VAPOR --</t>
  </si>
  <si>
    <t>CURRENT BASE</t>
  </si>
  <si>
    <t>ANNUAL</t>
  </si>
  <si>
    <t>BASEFUEL</t>
  </si>
  <si>
    <t>ID01</t>
  </si>
  <si>
    <t xml:space="preserve">  LOAD MANAGEMENT RIDER</t>
  </si>
  <si>
    <t>EXCLUDES ALL RIDERS AND FUEL</t>
  </si>
  <si>
    <t>FAC (1)</t>
  </si>
  <si>
    <t>GS-FL</t>
  </si>
  <si>
    <t>RIDERS</t>
  </si>
  <si>
    <t>PSM (5)</t>
  </si>
  <si>
    <t>FAC (2)</t>
  </si>
  <si>
    <t xml:space="preserve">  NON-CHURCH "CAP" RATE</t>
  </si>
  <si>
    <t xml:space="preserve">  CHURCH CAP RATE</t>
  </si>
  <si>
    <t>TIME OF DAY SERVICE AT SECONDARY</t>
  </si>
  <si>
    <t>TIME OF DAY SERVICE AT PRIMARY</t>
  </si>
  <si>
    <t xml:space="preserve">DT RTP </t>
  </si>
  <si>
    <t xml:space="preserve">REVENUE </t>
  </si>
  <si>
    <t>TOTAL RETAIL REVENUE</t>
  </si>
  <si>
    <t>DT PRIMARY-REAL TIME PRICING  (DT-RTP PRI)</t>
  </si>
  <si>
    <t>DT-RTP PRI</t>
  </si>
  <si>
    <t>DT-RTP SEC</t>
  </si>
  <si>
    <t xml:space="preserve">  COMMODITY CHARGES</t>
  </si>
  <si>
    <t>ENERGY CHARGE (3):</t>
  </si>
  <si>
    <t>BASE RATE (3):</t>
  </si>
  <si>
    <t>SUPPLIES ENERGY ONLY (3):</t>
  </si>
  <si>
    <t xml:space="preserve"> BILL DATA LESS RIDERS</t>
  </si>
  <si>
    <t>TIME OF DAY PRIMARY</t>
  </si>
  <si>
    <t>DT-SEC</t>
  </si>
  <si>
    <t>TIME OF DAY SECONDARY</t>
  </si>
  <si>
    <t>DT-PRI</t>
  </si>
  <si>
    <t>DT PRIMARY TIME OF DAY (DT-PRI)</t>
  </si>
  <si>
    <t>DT SECONDARY TIME OF DAY  (DT-SEC)</t>
  </si>
  <si>
    <t xml:space="preserve">  ALL  KWH</t>
  </si>
  <si>
    <t>DT SECONDARY-REAL TIME PRICING  (DT-RTP SEC)</t>
  </si>
  <si>
    <t xml:space="preserve">  ON PEAK KWH</t>
  </si>
  <si>
    <t xml:space="preserve">  OFF PEAK KWH</t>
  </si>
  <si>
    <t xml:space="preserve"> LIGHTING</t>
  </si>
  <si>
    <t>All Rates</t>
  </si>
  <si>
    <t>(4) 1.5% OF INSTALLED TRANSFORMER AMD METERING COSTS BUT NOT LESS THAN CUSTOMER CHARGE WHETHER SERVICE IS ON OR DISCONNECTED.</t>
  </si>
  <si>
    <t>SEASONAL SPORTS SERVICE</t>
  </si>
  <si>
    <t xml:space="preserve">   50,000 LUMEN SETBACK</t>
  </si>
  <si>
    <t xml:space="preserve">     9,500 LUMEN RECTILINEAR</t>
  </si>
  <si>
    <t xml:space="preserve">   22,000 LUMEN RECTILINEAR</t>
  </si>
  <si>
    <t xml:space="preserve">   50,000 LUMEN RECTILINEAR</t>
  </si>
  <si>
    <t xml:space="preserve">  22,000 LUMEN RECTILINEAR</t>
  </si>
  <si>
    <t xml:space="preserve">  50,000 LUMEN RECTILINEAR</t>
  </si>
  <si>
    <t xml:space="preserve">  50,000 LUMEN SETBACK</t>
  </si>
  <si>
    <t xml:space="preserve">     9,500 LUMEN </t>
  </si>
  <si>
    <t xml:space="preserve">  7,000 LUMEN GRANVILLE </t>
  </si>
  <si>
    <t xml:space="preserve"> 14,000 LUMEN TRADITIONAIRE</t>
  </si>
  <si>
    <t xml:space="preserve">  9,500 LUMEN TRADITIONAIRE</t>
  </si>
  <si>
    <t xml:space="preserve">  9,500 LUMEN GRANVILLE </t>
  </si>
  <si>
    <t xml:space="preserve"> 14,000 LUMEN GAS REPLICA</t>
  </si>
  <si>
    <t>Lighting rate on</t>
  </si>
  <si>
    <t>Tariff Sheet</t>
  </si>
  <si>
    <t>less Base Fuel</t>
  </si>
  <si>
    <t>UNDERGROUND DISTRIBUTION (CONT'D.):</t>
  </si>
  <si>
    <t>METAL HALIDE 14,000 LUMEN:</t>
  </si>
  <si>
    <t xml:space="preserve">   GRANVILLE ACORN</t>
  </si>
  <si>
    <t xml:space="preserve">   GAS REPLICA</t>
  </si>
  <si>
    <t xml:space="preserve">RESIDENTIAL </t>
  </si>
  <si>
    <t>LIGHTING</t>
  </si>
  <si>
    <t>OTHER MISC REVENUE</t>
  </si>
  <si>
    <t xml:space="preserve">  TOTAL MISC REVENUE</t>
  </si>
  <si>
    <t>MINIMUM BILLS (4)</t>
  </si>
  <si>
    <t>ELECTRIC SPACE HEATING  (EH)</t>
  </si>
  <si>
    <t>UNMETERED OUTDOOR LIGHTING (UOLS)</t>
  </si>
  <si>
    <t>NON STANDARD STREET LIGHTING  (NSU)</t>
  </si>
  <si>
    <t>CUST OWNED STREET LIGHTING SERVICE  (SC)</t>
  </si>
  <si>
    <t>OVERHEAD EQUIV STREET LIGHTING SERVICE  (SE)</t>
  </si>
  <si>
    <t>RECONNECTION CHARGES</t>
  </si>
  <si>
    <t>OTHER MISCELLANEOUS</t>
  </si>
  <si>
    <t xml:space="preserve">  TOTAL MISCELLANEOUS REVENUE</t>
  </si>
  <si>
    <t>OTHER MISCELLANEOUS REVENUE</t>
  </si>
  <si>
    <t xml:space="preserve">CUST OWNED STREET LIGHTING </t>
  </si>
  <si>
    <t>OVR HD EQUIV STREET LIGHTING</t>
  </si>
  <si>
    <t>INCLUDES FUEL AND ALL RIDERS</t>
  </si>
  <si>
    <t>SCHEDULE M-2.2       (CURRENT RATES)</t>
  </si>
  <si>
    <t>SCHEDULE M-2.3       (PROPOSED RATES)</t>
  </si>
  <si>
    <t>BASE FUEL COST:</t>
  </si>
  <si>
    <t>RIDERS:</t>
  </si>
  <si>
    <t xml:space="preserve">  TOTAL RATE RS EXCLUDING RIDERS</t>
  </si>
  <si>
    <t>PROFIT SHARING MECHANISM (PSM)</t>
  </si>
  <si>
    <t>HOME ENERGY ASSISTANCE (HEA)</t>
  </si>
  <si>
    <t>DEMAND SIDE MANAGEMENT RIDER (DSMR)</t>
  </si>
  <si>
    <t xml:space="preserve">  TOTAL RIDERS</t>
  </si>
  <si>
    <t xml:space="preserve">  TOTAL RATE RS INCLUDING RIDERS</t>
  </si>
  <si>
    <t>TOTAL RATE DS EXCLUDING RIDERS</t>
  </si>
  <si>
    <t xml:space="preserve"> TOTAL RATE DS INCLUDING RIDERS</t>
  </si>
  <si>
    <t xml:space="preserve">  TOTAL RATE DT PRIMARY EXCLUDING RIDERS</t>
  </si>
  <si>
    <t xml:space="preserve">  TOTAL RATE DT PRIMARY INCLUDING RIDERS</t>
  </si>
  <si>
    <t xml:space="preserve">  TOTAL RATE DT SECONDARY INCLUDING RIDERS</t>
  </si>
  <si>
    <t xml:space="preserve">  TOTAL RATE DT SECONDARY EXCLUDING RIDERS</t>
  </si>
  <si>
    <t xml:space="preserve">  TOTAL RATE EH EXCLUDING RIDERS</t>
  </si>
  <si>
    <t xml:space="preserve">    TOTAL RATE EH INCLUDING RIDERS</t>
  </si>
  <si>
    <t xml:space="preserve">  TOTAL RATE SP EXCLUDING RIDERS</t>
  </si>
  <si>
    <t xml:space="preserve">  TOTAL RATE GS-FL EXCLUDING RIDERS</t>
  </si>
  <si>
    <t>TOTAL RATE GS-FL INCLUDING RIDERS</t>
  </si>
  <si>
    <t>TOTAL RATE SP INCLUDING RIDERS</t>
  </si>
  <si>
    <t xml:space="preserve">  TOTAL RATE DP EXCLUDING RIDERS</t>
  </si>
  <si>
    <t xml:space="preserve"> TOTAL RATE DP INCLUDING RIDERS</t>
  </si>
  <si>
    <t>TOTAL RATE DP INCLUDING RIDERS</t>
  </si>
  <si>
    <t xml:space="preserve">  TOTAL RATE TT EXCLUDING RIDERS</t>
  </si>
  <si>
    <t xml:space="preserve">  TOTAL RATE TT INCLUDING RIDERS</t>
  </si>
  <si>
    <t xml:space="preserve">  TOTAL RATE DT RTP PRIMARY EXCLUDING RIDERS</t>
  </si>
  <si>
    <t xml:space="preserve">  TOTAL RATE  DT RTP PRIMARY INCLUDING RIDERS</t>
  </si>
  <si>
    <t xml:space="preserve">  TOTAL RATE DT RTP SECONDARY EXCLUDING RIDERS</t>
  </si>
  <si>
    <t xml:space="preserve"> TOTAL RATE DT RTP SECONDARY INCLUDING RIDERS</t>
  </si>
  <si>
    <t xml:space="preserve">  TOTAL RATE  DT RTP SECONDARY INCLUDING RIDERS</t>
  </si>
  <si>
    <t xml:space="preserve">  TOTAL RATE  DS RTP INCLUDING RIDERS</t>
  </si>
  <si>
    <t xml:space="preserve">  TOTAL RATE DS RTP  EXCLUDING RIDERS</t>
  </si>
  <si>
    <t xml:space="preserve">  TOTAL RATE TT RTP  EXCLUDING RIDERS</t>
  </si>
  <si>
    <t xml:space="preserve">  TOTAL RATE  TT RTP INCLUDING RIDERS</t>
  </si>
  <si>
    <t xml:space="preserve">  TOTAL RIDERS NOT INCLUDED IN RATES ABOVE</t>
  </si>
  <si>
    <t xml:space="preserve">  TOTAL RATE TL  EXCLUDING RIDERS</t>
  </si>
  <si>
    <t xml:space="preserve">    TOTAL RATE TL INCLUDING RIDERS</t>
  </si>
  <si>
    <t>TOTAL RATE UOLS INCLUDING RIDERS</t>
  </si>
  <si>
    <t>RIDERS NOT INCLUDED IN RATES ABOVE ($/KWH):</t>
  </si>
  <si>
    <t xml:space="preserve">  TOTAL RATE NSU  EXCLUDING RIDERS</t>
  </si>
  <si>
    <t>TOTAL RATE NSU INCLUDING RIDERS</t>
  </si>
  <si>
    <t xml:space="preserve">  TOTAL RATE SC  EXCLUDING RIDERS</t>
  </si>
  <si>
    <t>TOTAL RATE SC INCLUDING RIDERS</t>
  </si>
  <si>
    <t xml:space="preserve">  TOTAL RATE SE  EXCLUDING RIDERS</t>
  </si>
  <si>
    <t xml:space="preserve">  TOTAL RATE SE INCLUDING RIDERS</t>
  </si>
  <si>
    <t xml:space="preserve">TOTAL RATE SLI NCLUDING RIDERS </t>
  </si>
  <si>
    <t>TOTAL RATE SL INCLUDING RIDERS</t>
  </si>
  <si>
    <t>RIDERS NOT INCLUDED IN RATES ABOVE:</t>
  </si>
  <si>
    <t xml:space="preserve"> 14,500 LUMEN GAS REPLICA </t>
  </si>
  <si>
    <t>POLE AND LINE ATTACHMENTS</t>
  </si>
  <si>
    <t>DUKE ENERGY KENTUCKY, INC.</t>
  </si>
  <si>
    <t>$ PER MONTH</t>
  </si>
  <si>
    <t>ENERGY CHARGE</t>
  </si>
  <si>
    <t xml:space="preserve">  Single Phase</t>
  </si>
  <si>
    <t xml:space="preserve">  Three Phase</t>
  </si>
  <si>
    <t xml:space="preserve">  First 6000</t>
  </si>
  <si>
    <t xml:space="preserve">  Next 300 KWH/KW</t>
  </si>
  <si>
    <t xml:space="preserve">  Additional</t>
  </si>
  <si>
    <t>DEMAND CHARGE</t>
  </si>
  <si>
    <t>$ PER KW</t>
  </si>
  <si>
    <t xml:space="preserve">  First 15 KW</t>
  </si>
  <si>
    <t>CAP RATES</t>
  </si>
  <si>
    <t xml:space="preserve">  NON-CHURCH</t>
  </si>
  <si>
    <t xml:space="preserve">  CHURCH</t>
  </si>
  <si>
    <t xml:space="preserve">  Primary Voltage</t>
  </si>
  <si>
    <t xml:space="preserve">  Summer On-Peak</t>
  </si>
  <si>
    <t xml:space="preserve">  Winter On-Peak</t>
  </si>
  <si>
    <t xml:space="preserve">  Off-Peak</t>
  </si>
  <si>
    <t xml:space="preserve">  Summer Off-Peak</t>
  </si>
  <si>
    <t xml:space="preserve">  Winter Off-Peak</t>
  </si>
  <si>
    <t xml:space="preserve">  Primary Service Discount First 1000 KW</t>
  </si>
  <si>
    <t xml:space="preserve">  Primary Service Discount Additional KW</t>
  </si>
  <si>
    <t xml:space="preserve">  All KWH</t>
  </si>
  <si>
    <t xml:space="preserve">  All KW</t>
  </si>
  <si>
    <t xml:space="preserve">  Minimum Bill</t>
  </si>
  <si>
    <t xml:space="preserve">  Loads &lt; 540 Hours Use per Month</t>
  </si>
  <si>
    <t xml:space="preserve">  Loads Between 540 to 720 Hours Use per Month</t>
  </si>
  <si>
    <t>MINIMUM BILL</t>
  </si>
  <si>
    <t xml:space="preserve">  First 300 KWH/KW</t>
  </si>
  <si>
    <t xml:space="preserve">  Customer Charge</t>
  </si>
  <si>
    <t xml:space="preserve">  Secondary Voltage</t>
  </si>
  <si>
    <t xml:space="preserve">  Transmission Voltage</t>
  </si>
  <si>
    <t>ENERGY DELIVERY CHARGE</t>
  </si>
  <si>
    <t>ANSCILLARY SERVICES CHARGE</t>
  </si>
  <si>
    <t>COMMODITY CHARGE</t>
  </si>
  <si>
    <t xml:space="preserve">  Distribution Service</t>
  </si>
  <si>
    <t xml:space="preserve">  Primary Service</t>
  </si>
  <si>
    <t xml:space="preserve">  Transmission Service</t>
  </si>
  <si>
    <t>PROGRAM CHARGE</t>
  </si>
  <si>
    <t xml:space="preserve">  Program Charge</t>
  </si>
  <si>
    <t xml:space="preserve">PJM AND TRANSMISSION </t>
  </si>
  <si>
    <t>PJM AND TRANSMISSION</t>
  </si>
  <si>
    <t>Lighting kWh on</t>
  </si>
  <si>
    <t>Annual kWh / Light</t>
  </si>
  <si>
    <t>PAGE  xx  OF  20</t>
  </si>
  <si>
    <t>EXCLUDES ALL RIDERS AND FUEL-UNFINISHED-NOT USED</t>
  </si>
  <si>
    <t>On-peak Energy %</t>
  </si>
  <si>
    <t>On-peak Demand %</t>
  </si>
  <si>
    <t>EXCLUDES TRANSMISSION</t>
  </si>
  <si>
    <t xml:space="preserve">  CAP RATE KWH</t>
  </si>
  <si>
    <t xml:space="preserve">  Cap Rate</t>
  </si>
  <si>
    <t>RIDER NAMES:</t>
  </si>
  <si>
    <t>ENVIRONMENTAL SURCHARGE MECHANISM RIDER (ESM)</t>
  </si>
  <si>
    <t>ESM (4)</t>
  </si>
  <si>
    <t>FUEL ADJUSTMENT CLAUSE (FAC):</t>
  </si>
  <si>
    <t>ESM (3)</t>
  </si>
  <si>
    <t xml:space="preserve">  On-Peak Summer</t>
  </si>
  <si>
    <t xml:space="preserve">  On-Peak Winter</t>
  </si>
  <si>
    <t>DT-Primary</t>
  </si>
  <si>
    <t>DT-Secondary</t>
  </si>
  <si>
    <t>DATA: ____ BASE PERIOD   __X__FORECASTED PERIOD</t>
  </si>
  <si>
    <t>REVENUE REQUIREMENTS FROM COST OF SERVICE STUDY</t>
  </si>
  <si>
    <t>Total</t>
  </si>
  <si>
    <t>OTHER</t>
  </si>
  <si>
    <t>Proposed Revenue Requirements</t>
  </si>
  <si>
    <t>DT-Secondary - RTP</t>
  </si>
  <si>
    <t>DT-Primary - RTP</t>
  </si>
  <si>
    <t>TT - RTP</t>
  </si>
  <si>
    <t>Lighting</t>
  </si>
  <si>
    <t>Customer Bills</t>
  </si>
  <si>
    <t>Current Average Customer Charge</t>
  </si>
  <si>
    <t>Gap</t>
  </si>
  <si>
    <t>PROPOSED RATE CALCULATIONS</t>
  </si>
  <si>
    <t>COSS - RS Customer Component</t>
  </si>
  <si>
    <t>Rate:  RS</t>
  </si>
  <si>
    <t>Test Period</t>
  </si>
  <si>
    <t>Current Customer Charge</t>
  </si>
  <si>
    <t>Proposed Customer Charge</t>
  </si>
  <si>
    <t>Proposed Customer Charge Revenues</t>
  </si>
  <si>
    <t>COSS - RS Revenue Requirement</t>
  </si>
  <si>
    <t>Proposed Energy Charge</t>
  </si>
  <si>
    <t>Rate:  DS</t>
  </si>
  <si>
    <t>Customer Bills - 3 Phase</t>
  </si>
  <si>
    <t>Customer Bills - Total</t>
  </si>
  <si>
    <t>Customer Bills - Single Phase</t>
  </si>
  <si>
    <t>Proposed Customer Charge - Single Phase</t>
  </si>
  <si>
    <t>Adjusted Customer Charge - Single Phase</t>
  </si>
  <si>
    <t>Adjusted Customer Charge - 3 Phase</t>
  </si>
  <si>
    <t>Proposed Customer Charge - 3 Phase</t>
  </si>
  <si>
    <t>Demand &gt; 15 kW</t>
  </si>
  <si>
    <t>Proposed Demand Charge for kW &gt; 15 kW</t>
  </si>
  <si>
    <t>First 6000 kWh</t>
  </si>
  <si>
    <t>Proposed Energy Charge - First 6000 kWh</t>
  </si>
  <si>
    <t>Next 300 kWh / kW kWh</t>
  </si>
  <si>
    <t>Proposed Energy Charge - Next 300 kWh / kW kWh</t>
  </si>
  <si>
    <t>Additional kWh</t>
  </si>
  <si>
    <t>Proposed Energy Charge - Additional kWh</t>
  </si>
  <si>
    <t>Non-church Cap Rate kWh</t>
  </si>
  <si>
    <t>Proposed Energy Charge - Non-church Cap Rate</t>
  </si>
  <si>
    <t>Church Cap Rate kWh</t>
  </si>
  <si>
    <t>Church Cap Rate Current Revenue Percent</t>
  </si>
  <si>
    <t xml:space="preserve">Proposed Energy Charge - Church Cap Rate </t>
  </si>
  <si>
    <t>Rate:  DS-RTP</t>
  </si>
  <si>
    <t>Rates sourced from COSS - See separate schedules</t>
  </si>
  <si>
    <t>Rate:  DT</t>
  </si>
  <si>
    <t>DT RTP Base Revenues</t>
  </si>
  <si>
    <t>Customer Bills - DT Primary</t>
  </si>
  <si>
    <t>Customer Bills - DT Secondary Three Phase</t>
  </si>
  <si>
    <t>Current Customer Charge - DT Primary</t>
  </si>
  <si>
    <t>Proposed Summer On-Peak kWh</t>
  </si>
  <si>
    <t>Proposed Winter On-Peak kWh</t>
  </si>
  <si>
    <t>Proposed Off-Peak kWh</t>
  </si>
  <si>
    <t>Proposed Summer On-Peak kW</t>
  </si>
  <si>
    <t>Proposed Summer Off-Peak kW</t>
  </si>
  <si>
    <t>Proposed Winter On-Peak kW</t>
  </si>
  <si>
    <t>Proposed Winter Off-Peak kW</t>
  </si>
  <si>
    <t>Proposed Primary Service Discount First 1000 KW</t>
  </si>
  <si>
    <t>Primary Service Discount Additional KW</t>
  </si>
  <si>
    <t>Rate:  EH</t>
  </si>
  <si>
    <t>Current Customer Charge - Average</t>
  </si>
  <si>
    <t>Proposed EH Secondary Customer Charge - Three Phase</t>
  </si>
  <si>
    <t>Proposed EH Customer Charge - Single Phase</t>
  </si>
  <si>
    <t>Proposed Customer Charges - Total</t>
  </si>
  <si>
    <t>Proposed kWh Rate</t>
  </si>
  <si>
    <t>Rate:  SP</t>
  </si>
  <si>
    <t>Customer Bills - SP</t>
  </si>
  <si>
    <t xml:space="preserve">Proposed SP Customer Charge </t>
  </si>
  <si>
    <t>Rate:  GSFL</t>
  </si>
  <si>
    <t>Percentage</t>
  </si>
  <si>
    <t>Minimum Bill Revenues</t>
  </si>
  <si>
    <t>LOAD RANGE 540 TO 720 HRS Revenues</t>
  </si>
  <si>
    <t>LOAD RANGE LESS THAN 540 HRS Revenues</t>
  </si>
  <si>
    <t>Current Period</t>
  </si>
  <si>
    <t>Proposed GSFL Minimum Bill Charge</t>
  </si>
  <si>
    <t>Proposed LOAD RANGE 540 TO 720 HRS Rate</t>
  </si>
  <si>
    <t>Proposed LOAD RANGE LESS THAN 540 HRS Rate</t>
  </si>
  <si>
    <t>GSFL Minimum Bills</t>
  </si>
  <si>
    <t>Rate:  DP</t>
  </si>
  <si>
    <t>Demand Charge Revenues</t>
  </si>
  <si>
    <t>KWH Revenues - FIRST 300KWH/KW</t>
  </si>
  <si>
    <t>KWH Revenues - ADDITIONAL KWH</t>
  </si>
  <si>
    <t>KWH Revenues - CAP RATE</t>
  </si>
  <si>
    <t>Proposed Demand Rate</t>
  </si>
  <si>
    <t>Proposed KWH - FIRST 300KWH/KW Rate</t>
  </si>
  <si>
    <t>Proposed ADDITIONAL KWH Rate</t>
  </si>
  <si>
    <t>Proposed KWH - CAP Rate</t>
  </si>
  <si>
    <t xml:space="preserve">  DS &amp; DP (INTERVAL DATA RECORDER)</t>
  </si>
  <si>
    <t xml:space="preserve">  DS (NO INTERVAL DATA RECORDER)</t>
  </si>
  <si>
    <t>Rate:  TT</t>
  </si>
  <si>
    <t>Customer Bills - TT</t>
  </si>
  <si>
    <t>Proposed TT Custommer Charge</t>
  </si>
  <si>
    <t>TT Customer Charge Revenue</t>
  </si>
  <si>
    <t>TT RTP Base Revenues</t>
  </si>
  <si>
    <t>TT Summer On-Peak kWh Rate</t>
  </si>
  <si>
    <t>TT Winter On-Peak kWh Rate</t>
  </si>
  <si>
    <t>TT Off-Peak kWh Rate</t>
  </si>
  <si>
    <t>TEST PERIOD REVENUES AT CURRENT RATES</t>
  </si>
  <si>
    <t>Lighting Breakdown</t>
  </si>
  <si>
    <t>Lighting Rate Schedule</t>
  </si>
  <si>
    <t>Rate</t>
  </si>
  <si>
    <t>COSS Total - Test Year</t>
  </si>
  <si>
    <t>Rate:  All Street Lighting</t>
  </si>
  <si>
    <t>Street Lighting revenues are allocated and</t>
  </si>
  <si>
    <t>Increase in Street Lighting rate SL per COSS:</t>
  </si>
  <si>
    <t>Customer Bills - DT Secondary Single Phase</t>
  </si>
  <si>
    <t>TEST PERIOD</t>
  </si>
  <si>
    <t>PROPOSED RATE CALCULATION</t>
  </si>
  <si>
    <t>HEA $ / MONTH</t>
  </si>
  <si>
    <t>Customer Bills - DP</t>
  </si>
  <si>
    <t>Proposed EH Primary Customer Charge</t>
  </si>
  <si>
    <t xml:space="preserve">RATE WS: </t>
  </si>
  <si>
    <t>Energy</t>
  </si>
  <si>
    <t xml:space="preserve">  Distribution Service (DS-Secondary)</t>
  </si>
  <si>
    <t xml:space="preserve">  Primary Service (DT-Secondary)</t>
  </si>
  <si>
    <t>Test Period kWh</t>
  </si>
  <si>
    <t>Check to Revenue Requirements</t>
  </si>
  <si>
    <t>Comparison of Calculated Proposed Revenues Less COS Revenue Requirement</t>
  </si>
  <si>
    <t>+ value is high &amp; - value is low</t>
  </si>
  <si>
    <t>Test Year Demand Revenue</t>
  </si>
  <si>
    <t>Proposed DT Primary Customer Charge @ Migration %</t>
  </si>
  <si>
    <t>LOAD RANGE 540 TO 720 HRS - Test Period KWH</t>
  </si>
  <si>
    <t>LOAD RANGE LESS THAN 540 HRS - Test Period KWH</t>
  </si>
  <si>
    <t>SUM</t>
  </si>
  <si>
    <t>rates calculated in the individual rate sheets</t>
  </si>
  <si>
    <t>SCHEDULE M - CURRENT RATE Revenues</t>
  </si>
  <si>
    <t>No Riders but Including Fuel</t>
  </si>
  <si>
    <t>Current Rate Revenues - No Riders - Including Fuel</t>
  </si>
  <si>
    <t>% Change</t>
  </si>
  <si>
    <t>Test Period Revenues Using Current Rates - No Riders - with Fuel</t>
  </si>
  <si>
    <t>COS - no riders - includes fuel and FAC</t>
  </si>
  <si>
    <t>Customer Component RRs</t>
  </si>
  <si>
    <t>not used</t>
  </si>
  <si>
    <t>Water Pumping</t>
  </si>
  <si>
    <t>COSS Customer Charge</t>
  </si>
  <si>
    <t>COSS - DS Customer Component Less RTP Customer Charge</t>
  </si>
  <si>
    <t>COSS Percent Increase</t>
  </si>
  <si>
    <t>% Migration to COSS</t>
  </si>
  <si>
    <t>Test Period % of Revenues @ Current Rates from Demand Charges / Total Revenue Less Customer Charges</t>
  </si>
  <si>
    <t>Demand Charge Target</t>
  </si>
  <si>
    <t>COSS DS Energy Revenue Target</t>
  </si>
  <si>
    <t>First 6000 kWh Block @ Current Rates Percent</t>
  </si>
  <si>
    <t>First 6000 kWh Block Revenue Target</t>
  </si>
  <si>
    <t>Next 300 kWh / kW Block Revenue Target</t>
  </si>
  <si>
    <t>Additional kWh Block @ Current  Rates Percent</t>
  </si>
  <si>
    <t>Additional kWh Block Revenue Target</t>
  </si>
  <si>
    <t>Non-church Cap Rate @ Current Rates Percent</t>
  </si>
  <si>
    <t>Non-church Cap Rate Revenue Target</t>
  </si>
  <si>
    <t>Church Cap Rate Revenue Target</t>
  </si>
  <si>
    <t>Same process for DT-RTP and TT-RTP</t>
  </si>
  <si>
    <t>RTP revenues are deducted from the rate class revenues</t>
  </si>
  <si>
    <t>COSS - DT Secondary Customer Component Less RTP Customer Charge</t>
  </si>
  <si>
    <t>COSS Average Customer Charge</t>
  </si>
  <si>
    <t>COSS Average Customer Charge - DT Secondary</t>
  </si>
  <si>
    <t>Proposed Customer Charge - DT Secondary Three Phase</t>
  </si>
  <si>
    <t>Proposed Customer Charge - DT Secondary Single Phase</t>
  </si>
  <si>
    <t>COSS - DT Primary Customer Component</t>
  </si>
  <si>
    <t>COSS Customer Charge - DT Primary</t>
  </si>
  <si>
    <t>Current Customer Charge - DT Secondary Three Phase</t>
  </si>
  <si>
    <t>Proposed DT Customer Charges Total</t>
  </si>
  <si>
    <t>COSS Target Revenue - Rate DT</t>
  </si>
  <si>
    <t>Target % Based on Current Revenues</t>
  </si>
  <si>
    <t>Calculated Rate</t>
  </si>
  <si>
    <t>DT Revenue Targets</t>
  </si>
  <si>
    <t>Customer Bills - EH Single Phase</t>
  </si>
  <si>
    <t>Customer Bills - EH Three Phase</t>
  </si>
  <si>
    <t>COSS Customer Component</t>
  </si>
  <si>
    <t>COSS Customer Charge @ Migration %</t>
  </si>
  <si>
    <t>Target Minimum Bill Revenues</t>
  </si>
  <si>
    <t xml:space="preserve">Proposed DP Customer Charge </t>
  </si>
  <si>
    <t>COSS Target Demand Charges</t>
  </si>
  <si>
    <t>COSS Target KWH Charges - FIRST 300KWH/KW</t>
  </si>
  <si>
    <t>COSS Target KWH Charges - ADDITIONAL KWH</t>
  </si>
  <si>
    <t>COSS Target KWH Charges - CAP RATE</t>
  </si>
  <si>
    <t>DP Demand kW</t>
  </si>
  <si>
    <t>DP KWH - FIRST 300KWH/KW</t>
  </si>
  <si>
    <t>DP KWH - ADDITIONAL KWH</t>
  </si>
  <si>
    <t>DP KWH - CAP RATE</t>
  </si>
  <si>
    <t>Summer Demand On-Peak Revenues</t>
  </si>
  <si>
    <t>Winter Demand On-Peak Revenues</t>
  </si>
  <si>
    <t>Demand Off-Peak Revenues</t>
  </si>
  <si>
    <t>kWh Revenues</t>
  </si>
  <si>
    <t>COSS Customer Component Less RTP Customer Charges</t>
  </si>
  <si>
    <t>COSS Target Revenue Rate TT</t>
  </si>
  <si>
    <t>Proposed Summer Demand On-Peak Rate</t>
  </si>
  <si>
    <t>Proposed Winter Demand On-Peak Rate</t>
  </si>
  <si>
    <t>Proposed Demand Off-Peak Rate</t>
  </si>
  <si>
    <t>Proposed TT Demand Revenues</t>
  </si>
  <si>
    <t>Less Proposed Customer Charge Revenues Less FAC</t>
  </si>
  <si>
    <t>COSS DS Demand and Energy Components Less RTP Energy Less FAC</t>
  </si>
  <si>
    <t>Target Revenue for Rate DT Less RTP Less Customer Charges Less FAC</t>
  </si>
  <si>
    <t>DT Revenues @ Current Rates</t>
  </si>
  <si>
    <t>DT FAC</t>
  </si>
  <si>
    <t>Target Revenue Less Customer Charges Less FAC</t>
  </si>
  <si>
    <t>COSS - GSFL Revenue Requirement Less FAC</t>
  </si>
  <si>
    <t>COSS - Target Revenue</t>
  </si>
  <si>
    <t>COSS - Target Revenue Less Customer Charges Less FAC</t>
  </si>
  <si>
    <t>COSS Target Revenue Less RTP Less Customer Charges Less FAC</t>
  </si>
  <si>
    <t>Typical Bill Increase Amounts for Newspaper Notice</t>
  </si>
  <si>
    <t>Tariff Description</t>
  </si>
  <si>
    <t>Average Bill Increase</t>
  </si>
  <si>
    <t>$</t>
  </si>
  <si>
    <t>%</t>
  </si>
  <si>
    <t>Rate DS</t>
  </si>
  <si>
    <t>Rate DT Primary</t>
  </si>
  <si>
    <t>Rate DT Secondary</t>
  </si>
  <si>
    <t>Rate EH</t>
  </si>
  <si>
    <t>Rate SP</t>
  </si>
  <si>
    <t>Rate GS-FL</t>
  </si>
  <si>
    <t>Rate DP</t>
  </si>
  <si>
    <t>Rate TT</t>
  </si>
  <si>
    <t>Rate DT-RTP Secondary</t>
  </si>
  <si>
    <t>Rate DS-RTP</t>
  </si>
  <si>
    <t>Rate TT-RTP</t>
  </si>
  <si>
    <t>Rate SL</t>
  </si>
  <si>
    <t>Rate TL</t>
  </si>
  <si>
    <t>Rate UOLS</t>
  </si>
  <si>
    <t>Rate NSU</t>
  </si>
  <si>
    <t>Rate SC</t>
  </si>
  <si>
    <t>Rate SE</t>
  </si>
  <si>
    <t>Rate RS</t>
  </si>
  <si>
    <t>is an average / fixture and not / bill</t>
  </si>
  <si>
    <t>DT Together % Increase</t>
  </si>
  <si>
    <t xml:space="preserve">  9,500 LUMEN ASPEN</t>
  </si>
  <si>
    <t>Duke Energy Kentucky, Inc.</t>
  </si>
  <si>
    <t>Transmission and Distribution Charges for Rate GSS and Rate RTP</t>
  </si>
  <si>
    <t>Data:  Cost of Service Study</t>
  </si>
  <si>
    <t>Type of Filing:  "X" Original    Updated    Revised</t>
  </si>
  <si>
    <t>Line No.</t>
  </si>
  <si>
    <t>Line Description</t>
  </si>
  <si>
    <t>Distribution Energy Allocated-Electric Cost of Service</t>
  </si>
  <si>
    <t>Distribution Demand Allocated-Electric Cost of Service</t>
  </si>
  <si>
    <t>Transmission Energy Allocated-Electric Cost of Service</t>
  </si>
  <si>
    <t>Transmission Demand Allocated-Electric Cost of Service</t>
  </si>
  <si>
    <t>Total T&amp;D Allocated-Electric Cost of Service</t>
  </si>
  <si>
    <t>kWh - Test Period</t>
  </si>
  <si>
    <t>kW - Test Period</t>
  </si>
  <si>
    <t>$ / kW (Rate GSS Reservation Charge)</t>
  </si>
  <si>
    <t>$ / kWh (Rate RTP Delivery Charge)</t>
  </si>
  <si>
    <t>RTP Current Rate - Total</t>
  </si>
  <si>
    <t>% Increase</t>
  </si>
  <si>
    <t>GSS Current Rate - Total</t>
  </si>
  <si>
    <t>Rate DT Sec</t>
  </si>
  <si>
    <t>Total Secondary</t>
  </si>
  <si>
    <t>Rate DT Pri</t>
  </si>
  <si>
    <t>Total Primary</t>
  </si>
  <si>
    <t>Rate DT</t>
  </si>
  <si>
    <t>Increase</t>
  </si>
  <si>
    <t>DT-RTP</t>
  </si>
  <si>
    <t>Current</t>
  </si>
  <si>
    <t>Proposed</t>
  </si>
  <si>
    <t>Rate RTP - Total</t>
  </si>
  <si>
    <t>Enter Here</t>
  </si>
  <si>
    <t>Residential</t>
  </si>
  <si>
    <t>Non Residential</t>
  </si>
  <si>
    <t>% of REV</t>
  </si>
  <si>
    <t>LED</t>
  </si>
  <si>
    <t>STREET LIGHTING -- LED</t>
  </si>
  <si>
    <t xml:space="preserve">   70W LED Open Deluxe Acorn</t>
  </si>
  <si>
    <t xml:space="preserve">   150W LED Teardrop</t>
  </si>
  <si>
    <t xml:space="preserve">   50W LED Teardrop Pedestrian</t>
  </si>
  <si>
    <t xml:space="preserve">   220W LED Shoebox</t>
  </si>
  <si>
    <t xml:space="preserve">   420W LED Shoebox</t>
  </si>
  <si>
    <t xml:space="preserve">   50W Neighborhood</t>
  </si>
  <si>
    <t xml:space="preserve">   50W Neighborhood with Lens</t>
  </si>
  <si>
    <t>Monthly kwh/light</t>
  </si>
  <si>
    <t>TOTAL LED FIXTURES</t>
  </si>
  <si>
    <t>ENERGY CHARGE (1A)</t>
  </si>
  <si>
    <t>FIXTURE</t>
  </si>
  <si>
    <t>MAINTNCE</t>
  </si>
  <si>
    <t>(E1)</t>
  </si>
  <si>
    <t>(E2)</t>
  </si>
  <si>
    <t>MOST CURRENT</t>
  </si>
  <si>
    <t>(J2)</t>
  </si>
  <si>
    <t>(J1)</t>
  </si>
  <si>
    <t>STREET LIGHTING -- LED (CONT'D)</t>
  </si>
  <si>
    <t>POLES</t>
  </si>
  <si>
    <t>FIXTURES</t>
  </si>
  <si>
    <t xml:space="preserve">   30' Class 7 Wood Pole</t>
  </si>
  <si>
    <t xml:space="preserve">   35' Class 5 Wood Pole</t>
  </si>
  <si>
    <t xml:space="preserve">   40' Class 4 Wood Pole</t>
  </si>
  <si>
    <t xml:space="preserve">   45' Class 4 Wood Pole</t>
  </si>
  <si>
    <t>TOTAL LED POLES</t>
  </si>
  <si>
    <t>TOTAL RATE LED INCLUDING RIDERS</t>
  </si>
  <si>
    <t>LED OUTDOOR LIGHT</t>
  </si>
  <si>
    <t>LED OUTDOOR LIGHTING (LED)</t>
  </si>
  <si>
    <t>Interdepartmental</t>
  </si>
  <si>
    <t>Summer On-Peak kWh</t>
  </si>
  <si>
    <t>Winter On-Peak kWh</t>
  </si>
  <si>
    <t>Off Peak kWh</t>
  </si>
  <si>
    <t>BILL(1)(6)</t>
  </si>
  <si>
    <t>BILL (5)</t>
  </si>
  <si>
    <t>PSM (4)</t>
  </si>
  <si>
    <t>BILL (5)(6)</t>
  </si>
  <si>
    <t>Base</t>
  </si>
  <si>
    <t>Total Base and Fuel Revenue per Schedule M</t>
  </si>
  <si>
    <t>Interdepartmental/Special Contracts</t>
  </si>
  <si>
    <t>UOL</t>
  </si>
  <si>
    <t>TT RTP</t>
  </si>
  <si>
    <t>DT RTP-S</t>
  </si>
  <si>
    <t>DT- Sec</t>
  </si>
  <si>
    <t>DT-Pri</t>
  </si>
  <si>
    <t>FAC</t>
  </si>
  <si>
    <t>PSM</t>
  </si>
  <si>
    <t>DSM</t>
  </si>
  <si>
    <t>ESM</t>
  </si>
  <si>
    <t>HEA</t>
  </si>
  <si>
    <t>Revenue</t>
  </si>
  <si>
    <t>Fuel Cost</t>
  </si>
  <si>
    <t>DT RTP-P</t>
  </si>
  <si>
    <t>Riders</t>
  </si>
  <si>
    <t>less Riders &amp;</t>
  </si>
  <si>
    <t>Adjusted Average Customer Charge @ Overall COSS Rate DT Increase</t>
  </si>
  <si>
    <t>Current Revenues</t>
  </si>
  <si>
    <t>Target Revenues</t>
  </si>
  <si>
    <t>Increase in Customer Charge at COSS Overall Class Increase</t>
  </si>
  <si>
    <t>Customer Charge at COSS Overall Class Increase</t>
  </si>
  <si>
    <t xml:space="preserve">   50W Open Monticello LED</t>
  </si>
  <si>
    <t xml:space="preserve">   50W Mitchell Top Hat with Ribs, Bands, and Medallions LED</t>
  </si>
  <si>
    <t xml:space="preserve">   50W Mitchell Top Hat LED</t>
  </si>
  <si>
    <t xml:space="preserve">   50W Mitchell Ribs, Bands, and Medallions LED</t>
  </si>
  <si>
    <t xml:space="preserve">   50W Monticello LED</t>
  </si>
  <si>
    <t xml:space="preserve">   260W Flood LED</t>
  </si>
  <si>
    <t xml:space="preserve">   130W Flood LED</t>
  </si>
  <si>
    <t xml:space="preserve">   150W Clermont LED</t>
  </si>
  <si>
    <t xml:space="preserve">   150W Sanibel LED</t>
  </si>
  <si>
    <t xml:space="preserve">   70W Sanibel LED</t>
  </si>
  <si>
    <t xml:space="preserve">   50W Enterprise LED</t>
  </si>
  <si>
    <t xml:space="preserve">   50W Mini Bell LED</t>
  </si>
  <si>
    <t xml:space="preserve">   50W Open Traditional LED</t>
  </si>
  <si>
    <t xml:space="preserve">   50W Traditional LED</t>
  </si>
  <si>
    <t xml:space="preserve">   50W Deluxe Acorn LED</t>
  </si>
  <si>
    <t xml:space="preserve">   50W Acorn LED</t>
  </si>
  <si>
    <t xml:space="preserve">   280W Standard LED</t>
  </si>
  <si>
    <t xml:space="preserve">   220W Standard LED</t>
  </si>
  <si>
    <t xml:space="preserve">   150W Standard LED</t>
  </si>
  <si>
    <t xml:space="preserve">   110W Standard LED</t>
  </si>
  <si>
    <t xml:space="preserve">   70W Standard LED</t>
  </si>
  <si>
    <t xml:space="preserve">   50W Standard LED</t>
  </si>
  <si>
    <t xml:space="preserve">   530W LED Shoebox</t>
  </si>
  <si>
    <t xml:space="preserve">   50W Mitchell Finial</t>
  </si>
  <si>
    <t xml:space="preserve">   Style A 12 Ft Long Anchor Base Top Tenon Aluminum</t>
  </si>
  <si>
    <t xml:space="preserve">   Style A 15 Ft Long Direct Buried Top Tenon Aluminum</t>
  </si>
  <si>
    <t xml:space="preserve">   Style A 15 Ft Long Anchor Base Top Tenon Aluminum</t>
  </si>
  <si>
    <t xml:space="preserve">   Style A 18 Ft Long Direct Buried Top Tenon Aluminum</t>
  </si>
  <si>
    <t xml:space="preserve">   Style A 17 Ft Long Anchor Base Top Tenon Aluminum</t>
  </si>
  <si>
    <t xml:space="preserve">   Style A 25 Ft Long Direct Buried Top Tenon Aluminum</t>
  </si>
  <si>
    <t xml:space="preserve">   Style A 22 Ft Long Anchor Base Top Tenon Aluminum</t>
  </si>
  <si>
    <t xml:space="preserve">   Style A 30 Ft Long Direct Buried Top Tenon Aluminum</t>
  </si>
  <si>
    <t xml:space="preserve">   Style A 27 Ft Long Anchor Base  Top Tenon Aluminum</t>
  </si>
  <si>
    <t xml:space="preserve">   Style A 35 Ft Long Direct Buried Top Tenon Aluminum</t>
  </si>
  <si>
    <t xml:space="preserve">   Style A 32 Ft Long Anchor Base  Top Tenon Aluminum</t>
  </si>
  <si>
    <t xml:space="preserve">   Style A 41 Ft Long Direct Buried Top Tenon Aluminum</t>
  </si>
  <si>
    <t xml:space="preserve">   Style B 12 Ft Long Anchor Base Post Top Aluminum</t>
  </si>
  <si>
    <t xml:space="preserve">   Style C 12 Ft Long Anchor Base Post Top Aluminum</t>
  </si>
  <si>
    <t xml:space="preserve">   Style C 12 Ft Long Anchor Base Davit Steel</t>
  </si>
  <si>
    <t xml:space="preserve">   Style C 14 Ft Long Anchor Base Top Tenon Steel</t>
  </si>
  <si>
    <t xml:space="preserve">   Style C 21 Ft Long Anchor Base Davit Steel</t>
  </si>
  <si>
    <t xml:space="preserve">   Style C 23 Ft Long Anchor Base Boston Harbor Steel</t>
  </si>
  <si>
    <t xml:space="preserve">   Style D 12 Ft Long Anchor Base Breakaway Aluminum</t>
  </si>
  <si>
    <t xml:space="preserve">   Style E 12 Ft Long Anchor Base Post Top Aluminum</t>
  </si>
  <si>
    <t xml:space="preserve">   Style F 12 Ft Long Anchor Base Post Top Aluminum</t>
  </si>
  <si>
    <t xml:space="preserve">   Legacy Style 39 Ft Direct Buried Single or Twin Side Mount Aluminum Satin Finish</t>
  </si>
  <si>
    <t xml:space="preserve">   Legacy Style 27 Ft Long Anchor Base Side Mount Aluminum Pole Satin Finish Breakaway</t>
  </si>
  <si>
    <t xml:space="preserve">   Legacy Style 33 Ft Long Anchor Base Side Mount Aluminum Pole Satin Finish Breakaway</t>
  </si>
  <si>
    <t xml:space="preserve">   Legacy Style 37 Ft Long Anchor Base Side Mount Aluminum Pole Satin Finish</t>
  </si>
  <si>
    <t xml:space="preserve">   15' Style A - Fluted - for Shroud - Aluminum Direct Buried Pole </t>
  </si>
  <si>
    <t xml:space="preserve">   20' Style A - Fluted - for Shroud - Aluminum Direct Buried Pole </t>
  </si>
  <si>
    <t xml:space="preserve">   15' Style A - Smooth - for Shroud - Aluminum Direct Buried Pole </t>
  </si>
  <si>
    <t xml:space="preserve">   20' Style A - Smooth - for Shroud - Aluminum Direct Buried Pole </t>
  </si>
  <si>
    <t xml:space="preserve">   Shroud - Standard Style for anchor base poles</t>
  </si>
  <si>
    <t xml:space="preserve">   Shroud - Style B Pole for smooth and fluted poles</t>
  </si>
  <si>
    <t xml:space="preserve">   Shroud - Style C Pole for smooth and fluted poles</t>
  </si>
  <si>
    <t xml:space="preserve">   Shroud - Style D Pole for smooth and fluted poles </t>
  </si>
  <si>
    <t>POLE FOUNDATIONS</t>
  </si>
  <si>
    <t>TOTAL LED POLE FOUNDATIONS</t>
  </si>
  <si>
    <t xml:space="preserve">   Flush - Pre-fabricated - Style A Pole</t>
  </si>
  <si>
    <t xml:space="preserve">   Flush - Pre-fabricated - Style B Pole</t>
  </si>
  <si>
    <t xml:space="preserve">   Flush - Pre-fabricated - Style C Pole</t>
  </si>
  <si>
    <t xml:space="preserve">   Flush - Pre-fabricated - Style E Pole</t>
  </si>
  <si>
    <t xml:space="preserve">   Flush - Pre-fabricated - Style F Pole</t>
  </si>
  <si>
    <t xml:space="preserve">   Flush - Pre-fabricated - Style D Pole</t>
  </si>
  <si>
    <t xml:space="preserve">   Reveal - Pre-fabricated - Style A Pole</t>
  </si>
  <si>
    <t xml:space="preserve">   Reveal - Pre-fabricated - Style B Pole</t>
  </si>
  <si>
    <t xml:space="preserve">   Reveal - Pre-fabricated - Style C Pole</t>
  </si>
  <si>
    <t xml:space="preserve">   Reveal - Pre-fabricated - Style D Pole</t>
  </si>
  <si>
    <t xml:space="preserve">   Reveal - Pre-fabricated - Style E Pole</t>
  </si>
  <si>
    <t xml:space="preserve">   Reveal - Pre-fabricated - Style F Pole</t>
  </si>
  <si>
    <t xml:space="preserve">   Screw-in Foundation</t>
  </si>
  <si>
    <t>BRACKETS</t>
  </si>
  <si>
    <t>TOTAL BRACKETS</t>
  </si>
  <si>
    <t xml:space="preserve">   14 inch bracket - wood pole - side mount</t>
  </si>
  <si>
    <t xml:space="preserve">   4 foot bracket - wood pole - side mount</t>
  </si>
  <si>
    <t xml:space="preserve">   6 foot bracket - wood pole - side mount</t>
  </si>
  <si>
    <t xml:space="preserve">   8 foot bracket - wood pole - side mount</t>
  </si>
  <si>
    <t xml:space="preserve">   10 foot bracket - wood pole - side mount</t>
  </si>
  <si>
    <t xml:space="preserve">   12 foot bracket - wood pole - side mount</t>
  </si>
  <si>
    <t xml:space="preserve">   15 foot bracket - wood pole - side mount</t>
  </si>
  <si>
    <t xml:space="preserve">   4 foot bracket - metal pole - side mount</t>
  </si>
  <si>
    <t xml:space="preserve">   6 foot bracket - metal pole - side mount</t>
  </si>
  <si>
    <t xml:space="preserve">   8 foot bracket - metal pole - side mount</t>
  </si>
  <si>
    <t xml:space="preserve">   10 foot bracket - metal pole - side mount</t>
  </si>
  <si>
    <t xml:space="preserve">   12 foot bracket - metal pole - side mount</t>
  </si>
  <si>
    <t xml:space="preserve">   15 foot bracket - metal pole - side mount</t>
  </si>
  <si>
    <t xml:space="preserve">   18 inch bracket - metal pole - double Flood Mount - top mount </t>
  </si>
  <si>
    <t xml:space="preserve">   14 inch bracket - metal pole - single mount - top tenon</t>
  </si>
  <si>
    <t xml:space="preserve">   14 inch bracket - metal pole - double mount - top tenon</t>
  </si>
  <si>
    <t xml:space="preserve">   14 inch bracket - metal pole - triple mount - top tenon</t>
  </si>
  <si>
    <t xml:space="preserve">   14 inch bracket - metal pole - quad mount - top tenon</t>
  </si>
  <si>
    <t xml:space="preserve">   6 foot - metal pole - single - top tenon</t>
  </si>
  <si>
    <t xml:space="preserve">   6 foot - metal pole - double - top tenon</t>
  </si>
  <si>
    <t xml:space="preserve">   4 foot - Boston Harbor - top tenon</t>
  </si>
  <si>
    <t xml:space="preserve">   6 foot - Boston Harbor - top tenon</t>
  </si>
  <si>
    <t xml:space="preserve">   12 foot - Boston Harbor Style C pole double mount - top tenon</t>
  </si>
  <si>
    <t xml:space="preserve">   4 foot - Davit arm - top tenon</t>
  </si>
  <si>
    <t xml:space="preserve">   18 inch - Cobrahead fixture for wood pole</t>
  </si>
  <si>
    <t xml:space="preserve">   18 inch - Flood light for wood pole</t>
  </si>
  <si>
    <t>WIRING EQUIPMENT</t>
  </si>
  <si>
    <t>TOTAL WIRING EQUIPMENT</t>
  </si>
  <si>
    <t xml:space="preserve">   Secondary Pedestal (cost per unit)</t>
  </si>
  <si>
    <t xml:space="preserve">   Handhole (cost per unit)</t>
  </si>
  <si>
    <t>Customers</t>
  </si>
  <si>
    <t>kWh</t>
  </si>
  <si>
    <t>Average</t>
  </si>
  <si>
    <t>FUEL ADJUSTMENT CLAUSE (FAC)</t>
  </si>
  <si>
    <t>FAC REV</t>
  </si>
  <si>
    <t>Number of Pages</t>
  </si>
  <si>
    <t>Schedule M-2.2</t>
  </si>
  <si>
    <t>Schedule M-2.3</t>
  </si>
  <si>
    <t>(L-K) / K</t>
  </si>
  <si>
    <r>
      <t>FUEL COSTS:</t>
    </r>
    <r>
      <rPr>
        <u/>
        <sz val="14"/>
        <color theme="5" tint="-0.249977111117893"/>
        <rFont val="Arial"/>
        <family val="2"/>
      </rPr>
      <t xml:space="preserve">  </t>
    </r>
  </si>
  <si>
    <t>B. L. Sailers</t>
  </si>
  <si>
    <t>TOTAL RATE LED EXCLUDING RIDERS</t>
  </si>
  <si>
    <t>Set to produce the SFR revenues</t>
  </si>
  <si>
    <t>Schedule M Summary  - Current Rates</t>
  </si>
  <si>
    <t>Per Contract, WP increases at DT</t>
  </si>
  <si>
    <t xml:space="preserve">  DISTRIBUTION</t>
  </si>
  <si>
    <t xml:space="preserve">  Distribution</t>
  </si>
  <si>
    <t>Proposed Distribution kW</t>
  </si>
  <si>
    <t>Target Revenue for Rate DT - Distribution Demand</t>
  </si>
  <si>
    <t>DS+GSFL+EH+SP+Int</t>
  </si>
  <si>
    <t xml:space="preserve">   150W LED Shoebox</t>
  </si>
  <si>
    <t xml:space="preserve">   50W Sanibel LED</t>
  </si>
  <si>
    <t xml:space="preserve">   40W Acorn No Finial LED</t>
  </si>
  <si>
    <t xml:space="preserve">   50W Ocala Acorn LED</t>
  </si>
  <si>
    <t xml:space="preserve">   50W Deluxe Traditional LED</t>
  </si>
  <si>
    <t xml:space="preserve">   30W Town &amp; Country LED</t>
  </si>
  <si>
    <t xml:space="preserve">   30W Open Town &amp; Country LED</t>
  </si>
  <si>
    <t xml:space="preserve">   150W Enterprise LED</t>
  </si>
  <si>
    <t xml:space="preserve">   220W Enterprise LED</t>
  </si>
  <si>
    <t xml:space="preserve">   50W Clermont LED</t>
  </si>
  <si>
    <t xml:space="preserve">   30W Gaslight Replica LED</t>
  </si>
  <si>
    <t xml:space="preserve">   50W Cobra LED</t>
  </si>
  <si>
    <t xml:space="preserve">   70W Cobra LED</t>
  </si>
  <si>
    <t>Schedule M Summary  - Proposed Rates</t>
  </si>
  <si>
    <t xml:space="preserve">   21' Style A - Fluted - Direct Buried</t>
  </si>
  <si>
    <t xml:space="preserve">   30' Style A - Transformer Base - Anchor Base</t>
  </si>
  <si>
    <t xml:space="preserve">   35' Style A - Transformer Base - Anchor Base</t>
  </si>
  <si>
    <t xml:space="preserve">   19' Style A - Breakaway - Direct Buried</t>
  </si>
  <si>
    <t xml:space="preserve">   24' Style A - Breakaway - Direct Buried</t>
  </si>
  <si>
    <t xml:space="preserve">   27' Style A - Breakaway - Direct Buried</t>
  </si>
  <si>
    <t xml:space="preserve">   32' Style A - Breakaway - Direct Buried</t>
  </si>
  <si>
    <t xml:space="preserve">   37' Style A - Breakaway - Direct Buried</t>
  </si>
  <si>
    <t xml:space="preserve">   42' Style A - Breakaway - Direct Buried</t>
  </si>
  <si>
    <t xml:space="preserve">   17' Style B - Anchor Base</t>
  </si>
  <si>
    <t xml:space="preserve">   17' Style C - Post Top - Anchor Base</t>
  </si>
  <si>
    <t xml:space="preserve">   17' Style C - Davit - Anchor Base</t>
  </si>
  <si>
    <t xml:space="preserve">   17' Style C - Boston Harbor - Anchor Base</t>
  </si>
  <si>
    <t xml:space="preserve">   25' Style D - Boston Harbor - Anchor Base</t>
  </si>
  <si>
    <t xml:space="preserve">   50' Wood - Direct Buried</t>
  </si>
  <si>
    <t xml:space="preserve">   55' Wood - Direct Buried</t>
  </si>
  <si>
    <t xml:space="preserve">   18' Style C - Breakaway - Direct Buried</t>
  </si>
  <si>
    <t xml:space="preserve">   18" Metal - Flood - Bullhorn - Top Tenon</t>
  </si>
  <si>
    <t xml:space="preserve">   4' Transmission - Top Tenon</t>
  </si>
  <si>
    <t xml:space="preserve">   10' Transmission - Top Tenon</t>
  </si>
  <si>
    <t xml:space="preserve">   15' Transmission - Top Tenon</t>
  </si>
  <si>
    <t xml:space="preserve">   18" Transmission - Flood - Top Tenon</t>
  </si>
  <si>
    <t xml:space="preserve">   3' Shepherds Crook - Single - Top Tenon</t>
  </si>
  <si>
    <t xml:space="preserve">   3' Shepherds Crook w/ Scroll - Single - Top Tenon</t>
  </si>
  <si>
    <t xml:space="preserve">   3' Shepherds Crook - Double - Top Tenon</t>
  </si>
  <si>
    <t xml:space="preserve">   3' Shepherds Crook w/ Scroll - Double - Top Tenon</t>
  </si>
  <si>
    <t xml:space="preserve">   3' Shepherds Crook w/ Scroll &amp; Festoon - Single - Top Tenon</t>
  </si>
  <si>
    <t xml:space="preserve">   3' Shepherds Crook w/ Scroll - Wood - Top Tenon</t>
  </si>
  <si>
    <t xml:space="preserve">   17" Masterpiece - Top Tenon - Double Post Mount - Top Tenon</t>
  </si>
  <si>
    <t xml:space="preserve">   Shroud - Style B - Assembly</t>
  </si>
  <si>
    <t xml:space="preserve">   Shroud - Style C - Assembly</t>
  </si>
  <si>
    <t xml:space="preserve">   Shroud - Style D - Assembly</t>
  </si>
  <si>
    <t xml:space="preserve">   Shroud - Style Standard - Assembly 6"/18"</t>
  </si>
  <si>
    <t xml:space="preserve">   Shroud - Style Standard - Assembly 6"/15"</t>
  </si>
  <si>
    <t xml:space="preserve">   Pullbox</t>
  </si>
  <si>
    <t xml:space="preserve">   6AL DUPLEX and Trench (cost per 10 feet)</t>
  </si>
  <si>
    <t xml:space="preserve">   6AL DUPLEX and Trench with conduit (cost per 10 feet)</t>
  </si>
  <si>
    <t xml:space="preserve">   6AL DUPLEX with existing conduit (cost per 10 feet)</t>
  </si>
  <si>
    <t xml:space="preserve">   6AL DUPLEX and Bore with conduit (cost per 10 feet)</t>
  </si>
  <si>
    <t>(I1)</t>
  </si>
  <si>
    <t>(I2)</t>
  </si>
  <si>
    <t>ESM (7)</t>
  </si>
  <si>
    <t>(C+G+H+I1+J)</t>
  </si>
  <si>
    <t>(D+G+H+I2+J)</t>
  </si>
  <si>
    <t>ESM (6)</t>
  </si>
  <si>
    <t>REVENUE(4)</t>
  </si>
  <si>
    <t>(7) CUSTOMER CHARGE IS BASED ON THREE PHASE SECONDARY SERVICE.</t>
  </si>
  <si>
    <t>BILL (5,7)</t>
  </si>
  <si>
    <t>FOR THE TWELVE MONTHS ENDED June 30, 2026</t>
  </si>
  <si>
    <t>RATE SP:</t>
  </si>
  <si>
    <t>RATE EH:</t>
  </si>
  <si>
    <t>RATE DT:</t>
  </si>
  <si>
    <t>RATE DS:</t>
  </si>
  <si>
    <t xml:space="preserve">RIDER DSMR: </t>
  </si>
  <si>
    <t xml:space="preserve">RIDER PSM : </t>
  </si>
  <si>
    <t>RATE RS:</t>
  </si>
  <si>
    <t xml:space="preserve">Reserved for Future Use: </t>
  </si>
  <si>
    <t>RIDER LM:</t>
  </si>
  <si>
    <t>RATE GSFL:</t>
  </si>
  <si>
    <t>RATE DP:</t>
  </si>
  <si>
    <t>RATE TT:</t>
  </si>
  <si>
    <t>Reserved for Future Use</t>
  </si>
  <si>
    <t>RATE RTP:</t>
  </si>
  <si>
    <t>For Current with riders, calculated value to collect $ in budget</t>
  </si>
  <si>
    <t>RIDER ESM :</t>
  </si>
  <si>
    <t>TOTAL POLE CHARGES</t>
  </si>
  <si>
    <t>POLE CHARGES</t>
  </si>
  <si>
    <t>WOOD 17 FOOT LAMINATED</t>
  </si>
  <si>
    <t>WOOD 30 FOOT</t>
  </si>
  <si>
    <t>WOOD 35 FOOT</t>
  </si>
  <si>
    <t>WOOD 40 FOOT</t>
  </si>
  <si>
    <t>ALUMINUM 12 FOOT DECORATIVE</t>
  </si>
  <si>
    <t>ALUMINUM 28 FOOT</t>
  </si>
  <si>
    <t>ALUMINUM 28 FOOT HEAVY DUTY</t>
  </si>
  <si>
    <t>ALUMINUM 30 FOOT ANCHOR BASE</t>
  </si>
  <si>
    <t>FIBERGLASS 17 FOOT</t>
  </si>
  <si>
    <t>FIBERGLASS 12 FOOT DECORATIVE</t>
  </si>
  <si>
    <t>FIBERGLASS 30 FOOT BRONZE</t>
  </si>
  <si>
    <t>FIBERGLASS 35 FOOT BRONZE</t>
  </si>
  <si>
    <t>STEEL 27 FOOT 11 GAUGE</t>
  </si>
  <si>
    <t>STEEL 27 FOOT 3 GAUGE</t>
  </si>
  <si>
    <t xml:space="preserve">  7,000 LUMEN GAS REPLICA</t>
  </si>
  <si>
    <t xml:space="preserve">  9,500 LUMEN RECTILINEAR</t>
  </si>
  <si>
    <t xml:space="preserve">  9,500 LUMEN GAS REPLICA</t>
  </si>
  <si>
    <t xml:space="preserve">   30W Granville Acorn LED</t>
  </si>
  <si>
    <t xml:space="preserve">   30W Style B Bollard LED</t>
  </si>
  <si>
    <t xml:space="preserve">   30W Style C Bollard LED</t>
  </si>
  <si>
    <t xml:space="preserve">   30W Style D Bollard LED</t>
  </si>
  <si>
    <t xml:space="preserve">   30W Style E Bollard LED</t>
  </si>
  <si>
    <t xml:space="preserve">   40W Colonial Bollard LED</t>
  </si>
  <si>
    <t xml:space="preserve">   40W Washington Bollard LED</t>
  </si>
  <si>
    <t xml:space="preserve">   26W Holiday Riser Receptacle LED</t>
  </si>
  <si>
    <t xml:space="preserve">   26W Holiday Bracket Top Receptacle LED</t>
  </si>
  <si>
    <t xml:space="preserve">   26W Holiday Festoon Receptacle LED</t>
  </si>
  <si>
    <t xml:space="preserve">   26W Holiday Post Top Receptacle LED</t>
  </si>
  <si>
    <t xml:space="preserve">   26W Holiday Post Top with Adapter Receptacle LED</t>
  </si>
  <si>
    <t xml:space="preserve">   26W Dual Post Top Receptacle LED</t>
  </si>
  <si>
    <t xml:space="preserve">   26W Dual Post Top with Adapter Receptacle LED</t>
  </si>
  <si>
    <t xml:space="preserve">   26W Dual Bracket Top Receptacle LED</t>
  </si>
  <si>
    <t xml:space="preserve">   50W Senoia LED</t>
  </si>
  <si>
    <t xml:space="preserve">   50W Halo LED</t>
  </si>
  <si>
    <t xml:space="preserve">   30W Standard LED</t>
  </si>
  <si>
    <t xml:space="preserve">   40W Standard LED</t>
  </si>
  <si>
    <t>SHIELDS</t>
  </si>
  <si>
    <t>TOTAL SHIELDS</t>
  </si>
  <si>
    <t xml:space="preserve">   Standard</t>
  </si>
  <si>
    <t xml:space="preserve">   Decorative</t>
  </si>
  <si>
    <t xml:space="preserve">   17' Wood Laminated</t>
  </si>
  <si>
    <t xml:space="preserve">   12' Aluminum (decorative)</t>
  </si>
  <si>
    <t xml:space="preserve">   28' Aluminum</t>
  </si>
  <si>
    <t xml:space="preserve">   28' Aluminum - Heavy Duty</t>
  </si>
  <si>
    <t xml:space="preserve">   30' Aluminum - Anchor Base</t>
  </si>
  <si>
    <t xml:space="preserve">   17' Fiberglass</t>
  </si>
  <si>
    <t xml:space="preserve">   12' Fiberglass - Decorative</t>
  </si>
  <si>
    <t xml:space="preserve">   30'  Fiberglass (Bronze)</t>
  </si>
  <si>
    <t xml:space="preserve">   35'  Fiberglass (Bronze)</t>
  </si>
  <si>
    <t xml:space="preserve">   27' Steel (11 gauge)</t>
  </si>
  <si>
    <t xml:space="preserve">   27' Steel (3 gauge)</t>
  </si>
  <si>
    <t xml:space="preserve">   30W Open Bottom LED</t>
  </si>
  <si>
    <t>FIXTURES (CONT'D)</t>
  </si>
  <si>
    <t>POLES (CONT'D)</t>
  </si>
  <si>
    <t>BRACKETS (CONT'D)</t>
  </si>
  <si>
    <t>Check Total</t>
  </si>
  <si>
    <t>Total Fuel</t>
  </si>
  <si>
    <t>Billed kW</t>
  </si>
  <si>
    <t>2022 Case</t>
  </si>
  <si>
    <t>Difference</t>
  </si>
  <si>
    <t>Approx $/kW</t>
  </si>
  <si>
    <t>From 12 ME 8/24</t>
  </si>
  <si>
    <t xml:space="preserve">   6AL DUPLEX OH wire (cost per 100 feet)</t>
  </si>
  <si>
    <t xml:space="preserve">    OVERHEAD(3)</t>
  </si>
  <si>
    <t xml:space="preserve">    UNDERGROUND(3)</t>
  </si>
  <si>
    <t>These are credits and must be entered as negative values</t>
  </si>
  <si>
    <t>Not Other Revenues</t>
  </si>
  <si>
    <t>Rate LED</t>
  </si>
  <si>
    <t>Primary Customer Charge @ Overall COSS Rate DT Primary Increase</t>
  </si>
  <si>
    <t>Customer Charge @ Overall COSS Rate DP Increase</t>
  </si>
  <si>
    <t>DT</t>
  </si>
  <si>
    <t>REVENUE (1)</t>
  </si>
  <si>
    <t>RATES(2)</t>
  </si>
  <si>
    <t>(1) THESE FIGURES REPRESENT NUMBER OF BILLS.</t>
  </si>
  <si>
    <t>CASE NO.   2024-00354</t>
  </si>
  <si>
    <t>This is overall Rate DT</t>
  </si>
  <si>
    <t>RES</t>
  </si>
  <si>
    <t>NON-RES</t>
  </si>
  <si>
    <t>CUR</t>
  </si>
  <si>
    <t>PRO</t>
  </si>
  <si>
    <t>Delta</t>
  </si>
  <si>
    <t>ANNUALIZED TEST YEAR REVENUES AT REHEARING ORDER CALCULATED VS. MOST CURRENT RATES</t>
  </si>
  <si>
    <t>REVENUES AT PRESENT AND REHEARING ORDER CALCULATED RATES</t>
  </si>
  <si>
    <r>
      <t xml:space="preserve">RIDERS NOT INCLUDED IN RATES ABOVE </t>
    </r>
    <r>
      <rPr>
        <b/>
        <i/>
        <sz val="11"/>
        <rFont val="Arial"/>
        <family val="2"/>
      </rPr>
      <t>($ PER KWH)</t>
    </r>
    <r>
      <rPr>
        <b/>
        <i/>
        <sz val="12"/>
        <rFont val="Arial"/>
        <family val="2"/>
      </rPr>
      <t>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</si>
</sst>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;;;"/>
    <numFmt numFmtId="165" formatCode="0.0000_)"/>
    <numFmt numFmtId="166" formatCode="0.00_)"/>
    <numFmt numFmtId="167" formatCode="0.000_)"/>
    <numFmt numFmtId="168" formatCode="#,##0.0000_);\(#,##0.0000\)"/>
    <numFmt numFmtId="169" formatCode="0.0_)"/>
    <numFmt numFmtId="170" formatCode="#,##0.0_);\(#,##0.0\)"/>
    <numFmt numFmtId="171" formatCode="0_)"/>
    <numFmt numFmtId="172" formatCode="#,##0.000000_);\(#,##0.000000\)"/>
    <numFmt numFmtId="173" formatCode="0.00_);\(0.00\)"/>
    <numFmt numFmtId="174" formatCode="0.0000_);\(0.0000\)"/>
    <numFmt numFmtId="175" formatCode="0_);\(0\)"/>
    <numFmt numFmtId="176" formatCode="#,##0.000_);\(#,##0.000\)"/>
    <numFmt numFmtId="177" formatCode="0.000000_);\(0.000000\)"/>
    <numFmt numFmtId="178" formatCode="0.000000%"/>
    <numFmt numFmtId="179" formatCode="&quot;$&quot;#,##0.000000_);\(&quot;$&quot;#,##0.000000\)"/>
    <numFmt numFmtId="180" formatCode="0.000000"/>
    <numFmt numFmtId="181" formatCode="0.0_);\(0.0\)"/>
    <numFmt numFmtId="182" formatCode="0.000000_)"/>
    <numFmt numFmtId="183" formatCode="_(* #,##0_);_(* \(#,##0\);_(* &quot;-&quot;??_);_(@_)"/>
    <numFmt numFmtId="184" formatCode="0.0%"/>
    <numFmt numFmtId="185" formatCode="_(&quot;$&quot;* #,##0_);_(&quot;$&quot;* \(#,##0\);_(&quot;$&quot;* &quot;-&quot;??_);_(@_)"/>
    <numFmt numFmtId="186" formatCode="_(* #,##0.000000_);_(* \(#,##0.000000\);_(* &quot;-&quot;??_);_(@_)"/>
    <numFmt numFmtId="187" formatCode="_(&quot;$&quot;* #,##0.000000_);_(&quot;$&quot;* \(#,##0.000000\);_(&quot;$&quot;* &quot;-&quot;??_);_(@_)"/>
    <numFmt numFmtId="188" formatCode="0.0000%"/>
    <numFmt numFmtId="189" formatCode="0.0"/>
    <numFmt numFmtId="190" formatCode="&quot;$&quot;#,##0.00"/>
    <numFmt numFmtId="191" formatCode="#,##0.0000"/>
  </numFmts>
  <fonts count="58" x14ac:knownFonts="1">
    <font>
      <sz val="12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2"/>
      <color indexed="12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u/>
      <sz val="12"/>
      <name val="Arial"/>
      <family val="2"/>
    </font>
    <font>
      <u val="double"/>
      <sz val="12"/>
      <name val="Arial"/>
      <family val="2"/>
    </font>
    <font>
      <sz val="8"/>
      <name val="Courier"/>
      <family val="3"/>
    </font>
    <font>
      <sz val="20"/>
      <name val="Arial"/>
      <family val="2"/>
    </font>
    <font>
      <b/>
      <sz val="12"/>
      <color theme="1"/>
      <name val="Arial"/>
      <family val="2"/>
    </font>
    <font>
      <b/>
      <sz val="11"/>
      <name val="Arial"/>
      <family val="2"/>
    </font>
    <font>
      <sz val="12"/>
      <color theme="8" tint="-0.499984740745262"/>
      <name val="Arial"/>
      <family val="2"/>
    </font>
    <font>
      <b/>
      <sz val="12"/>
      <color theme="5" tint="-0.249977111117893"/>
      <name val="Arial"/>
      <family val="2"/>
    </font>
    <font>
      <b/>
      <i/>
      <sz val="12"/>
      <name val="Arial"/>
      <family val="2"/>
    </font>
    <font>
      <b/>
      <i/>
      <sz val="12"/>
      <color theme="5" tint="-0.249977111117893"/>
      <name val="Arial"/>
      <family val="2"/>
    </font>
    <font>
      <b/>
      <i/>
      <sz val="11"/>
      <name val="Arial"/>
      <family val="2"/>
    </font>
    <font>
      <b/>
      <i/>
      <sz val="10"/>
      <name val="Arial"/>
      <family val="2"/>
    </font>
    <font>
      <b/>
      <sz val="12"/>
      <color rgb="FFC00000"/>
      <name val="Arial"/>
      <family val="2"/>
    </font>
    <font>
      <b/>
      <sz val="12"/>
      <color theme="3" tint="-0.249977111117893"/>
      <name val="Arial"/>
      <family val="2"/>
    </font>
    <font>
      <sz val="12"/>
      <color rgb="FFC00000"/>
      <name val="Arial"/>
      <family val="2"/>
    </font>
    <font>
      <b/>
      <sz val="24"/>
      <name val="Arial"/>
      <family val="2"/>
    </font>
    <font>
      <b/>
      <u/>
      <sz val="12"/>
      <name val="Arial"/>
      <family val="2"/>
    </font>
    <font>
      <b/>
      <u/>
      <sz val="14"/>
      <color theme="5" tint="-0.249977111117893"/>
      <name val="Arial"/>
      <family val="2"/>
    </font>
    <font>
      <b/>
      <sz val="10"/>
      <name val="Arial"/>
      <family val="2"/>
    </font>
    <font>
      <sz val="12"/>
      <name val="Courier"/>
      <family val="3"/>
    </font>
    <font>
      <b/>
      <sz val="12"/>
      <color rgb="FFFF0000"/>
      <name val="Arial"/>
      <family val="2"/>
    </font>
    <font>
      <b/>
      <sz val="8"/>
      <color theme="5" tint="-0.249977111117893"/>
      <name val="Arial"/>
      <family val="2"/>
    </font>
    <font>
      <b/>
      <sz val="12"/>
      <color rgb="FF000000"/>
      <name val="Arial"/>
      <family val="2"/>
    </font>
    <font>
      <b/>
      <sz val="8"/>
      <color rgb="FF000080"/>
      <name val="Arial"/>
      <family val="2"/>
    </font>
    <font>
      <b/>
      <sz val="8"/>
      <color rgb="FF000000"/>
      <name val="Arial"/>
      <family val="2"/>
    </font>
    <font>
      <b/>
      <sz val="8"/>
      <color rgb="FF996666"/>
      <name val="Arial"/>
      <family val="2"/>
    </font>
    <font>
      <u/>
      <sz val="14"/>
      <color theme="5" tint="-0.249977111117893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Courier"/>
      <family val="3"/>
    </font>
    <font>
      <sz val="12"/>
      <name val="Courier"/>
      <family val="3"/>
    </font>
    <font>
      <sz val="10"/>
      <name val="Times New Roman"/>
      <family val="1"/>
    </font>
    <font>
      <u/>
      <sz val="10"/>
      <name val="Times New Roman"/>
      <family val="1"/>
    </font>
    <font>
      <b/>
      <sz val="12"/>
      <color rgb="FF000080"/>
      <name val="Courier"/>
    </font>
    <font>
      <sz val="12"/>
      <color theme="8" tint="0.59999389629810485"/>
      <name val="Arial"/>
      <family val="2"/>
    </font>
    <font>
      <b/>
      <sz val="12"/>
      <color rgb="FF0000FF"/>
      <name val="Arial"/>
      <family val="2"/>
    </font>
    <font>
      <sz val="8"/>
      <color rgb="FF000000"/>
      <name val="Segoe UI"/>
      <family val="2"/>
    </font>
    <font>
      <b/>
      <sz val="15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1"/>
      <name val="Cambria"/>
      <family val="1"/>
      <scheme val="major"/>
    </font>
    <font>
      <sz val="12"/>
      <name val="Cambria"/>
      <family val="1"/>
      <scheme val="major"/>
    </font>
    <font>
      <u/>
      <sz val="11"/>
      <color theme="1"/>
      <name val="Cambria"/>
      <family val="1"/>
      <scheme val="major"/>
    </font>
    <font>
      <sz val="12"/>
      <color rgb="FFFF0000"/>
      <name val="Arial"/>
      <family val="2"/>
    </font>
    <font>
      <sz val="12"/>
      <name val="helv"/>
    </font>
    <font>
      <sz val="10"/>
      <name val="Arial"/>
      <family val="2"/>
    </font>
    <font>
      <b/>
      <i/>
      <u/>
      <sz val="12"/>
      <name val="Arial"/>
      <family val="2"/>
    </font>
    <font>
      <i/>
      <sz val="11"/>
      <name val="Arial"/>
      <family val="2"/>
    </font>
    <font>
      <i/>
      <sz val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0">
    <xf numFmtId="0" fontId="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38" fillId="0" borderId="0" applyFont="0" applyFill="0" applyBorder="0" applyAlignment="0" applyProtection="0"/>
    <xf numFmtId="44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3" fillId="0" borderId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44" fontId="5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74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37" fontId="3" fillId="0" borderId="0" xfId="0" applyNumberFormat="1" applyFont="1"/>
    <xf numFmtId="169" fontId="3" fillId="0" borderId="0" xfId="0" applyNumberFormat="1" applyFont="1"/>
    <xf numFmtId="39" fontId="3" fillId="0" borderId="0" xfId="0" applyNumberFormat="1" applyFont="1"/>
    <xf numFmtId="170" fontId="3" fillId="0" borderId="0" xfId="0" applyNumberFormat="1" applyFont="1"/>
    <xf numFmtId="166" fontId="3" fillId="0" borderId="0" xfId="0" applyNumberFormat="1" applyFon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Continuous"/>
    </xf>
    <xf numFmtId="39" fontId="3" fillId="0" borderId="0" xfId="0" applyNumberFormat="1" applyFont="1" applyAlignment="1">
      <alignment horizontal="center"/>
    </xf>
    <xf numFmtId="0" fontId="5" fillId="0" borderId="1" xfId="0" applyFont="1" applyBorder="1" applyAlignment="1">
      <alignment horizontal="centerContinuous"/>
    </xf>
    <xf numFmtId="39" fontId="4" fillId="0" borderId="0" xfId="0" applyNumberFormat="1" applyFont="1"/>
    <xf numFmtId="171" fontId="3" fillId="0" borderId="0" xfId="0" applyNumberFormat="1" applyFont="1"/>
    <xf numFmtId="0" fontId="3" fillId="2" borderId="0" xfId="0" applyFont="1" applyFill="1"/>
    <xf numFmtId="39" fontId="3" fillId="2" borderId="0" xfId="0" applyNumberFormat="1" applyFont="1" applyFill="1"/>
    <xf numFmtId="39" fontId="4" fillId="2" borderId="0" xfId="0" applyNumberFormat="1" applyFont="1" applyFill="1"/>
    <xf numFmtId="0" fontId="0" fillId="3" borderId="0" xfId="0" applyFill="1"/>
    <xf numFmtId="0" fontId="3" fillId="4" borderId="0" xfId="0" applyFont="1" applyFill="1"/>
    <xf numFmtId="0" fontId="3" fillId="4" borderId="0" xfId="0" applyFont="1" applyFill="1" applyAlignment="1">
      <alignment horizontal="left"/>
    </xf>
    <xf numFmtId="0" fontId="3" fillId="4" borderId="0" xfId="0" quotePrefix="1" applyFont="1" applyFill="1" applyAlignment="1">
      <alignment horizontal="left"/>
    </xf>
    <xf numFmtId="0" fontId="6" fillId="4" borderId="0" xfId="0" applyFont="1" applyFill="1" applyAlignment="1" applyProtection="1">
      <alignment horizontal="left"/>
      <protection locked="0"/>
    </xf>
    <xf numFmtId="0" fontId="3" fillId="4" borderId="0" xfId="0" applyFont="1" applyFill="1" applyAlignment="1">
      <alignment horizontal="centerContinuous"/>
    </xf>
    <xf numFmtId="0" fontId="4" fillId="4" borderId="0" xfId="0" applyFont="1" applyFill="1" applyAlignment="1" applyProtection="1">
      <alignment horizontal="left"/>
      <protection locked="0"/>
    </xf>
    <xf numFmtId="172" fontId="7" fillId="4" borderId="0" xfId="0" applyNumberFormat="1" applyFont="1" applyFill="1" applyProtection="1">
      <protection locked="0"/>
    </xf>
    <xf numFmtId="0" fontId="4" fillId="4" borderId="0" xfId="0" applyFont="1" applyFill="1" applyProtection="1">
      <protection locked="0"/>
    </xf>
    <xf numFmtId="0" fontId="5" fillId="4" borderId="0" xfId="0" applyFont="1" applyFill="1"/>
    <xf numFmtId="0" fontId="8" fillId="4" borderId="0" xfId="0" applyFont="1" applyFill="1"/>
    <xf numFmtId="0" fontId="6" fillId="5" borderId="2" xfId="0" applyFont="1" applyFill="1" applyBorder="1" applyAlignment="1" applyProtection="1">
      <alignment horizontal="left"/>
      <protection locked="0"/>
    </xf>
    <xf numFmtId="0" fontId="3" fillId="5" borderId="3" xfId="0" applyFont="1" applyFill="1" applyBorder="1" applyAlignment="1">
      <alignment horizontal="centerContinuous"/>
    </xf>
    <xf numFmtId="0" fontId="3" fillId="5" borderId="4" xfId="0" applyFont="1" applyFill="1" applyBorder="1" applyAlignment="1">
      <alignment horizontal="centerContinuous"/>
    </xf>
    <xf numFmtId="0" fontId="5" fillId="5" borderId="4" xfId="0" applyFont="1" applyFill="1" applyBorder="1"/>
    <xf numFmtId="0" fontId="3" fillId="5" borderId="4" xfId="0" applyFont="1" applyFill="1" applyBorder="1"/>
    <xf numFmtId="0" fontId="5" fillId="5" borderId="2" xfId="0" applyFont="1" applyFill="1" applyBorder="1" applyAlignment="1" applyProtection="1">
      <alignment horizontal="left"/>
      <protection locked="0"/>
    </xf>
    <xf numFmtId="0" fontId="5" fillId="5" borderId="3" xfId="0" applyFont="1" applyFill="1" applyBorder="1"/>
    <xf numFmtId="0" fontId="5" fillId="5" borderId="3" xfId="0" applyFont="1" applyFill="1" applyBorder="1" applyAlignment="1" applyProtection="1">
      <alignment horizontal="left"/>
      <protection locked="0"/>
    </xf>
    <xf numFmtId="0" fontId="5" fillId="4" borderId="0" xfId="0" applyFont="1" applyFill="1" applyAlignment="1" applyProtection="1">
      <alignment horizontal="left"/>
      <protection locked="0"/>
    </xf>
    <xf numFmtId="0" fontId="5" fillId="4" borderId="0" xfId="0" applyFont="1" applyFill="1" applyAlignment="1">
      <alignment horizontal="left"/>
    </xf>
    <xf numFmtId="0" fontId="5" fillId="5" borderId="2" xfId="0" applyFont="1" applyFill="1" applyBorder="1" applyAlignment="1">
      <alignment horizontal="left"/>
    </xf>
    <xf numFmtId="0" fontId="5" fillId="0" borderId="0" xfId="0" applyFont="1" applyAlignment="1">
      <alignment horizontal="centerContinuous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1" xfId="0" applyFont="1" applyBorder="1" applyAlignment="1">
      <alignment horizontal="fill"/>
    </xf>
    <xf numFmtId="0" fontId="5" fillId="0" borderId="0" xfId="0" applyFont="1" applyAlignment="1">
      <alignment horizontal="center"/>
    </xf>
    <xf numFmtId="0" fontId="5" fillId="0" borderId="0" xfId="0" quotePrefix="1" applyFont="1" applyAlignment="1">
      <alignment horizontal="left"/>
    </xf>
    <xf numFmtId="0" fontId="5" fillId="0" borderId="0" xfId="0" quotePrefix="1" applyFont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37" fontId="3" fillId="0" borderId="1" xfId="0" applyNumberFormat="1" applyFont="1" applyBorder="1"/>
    <xf numFmtId="0" fontId="5" fillId="5" borderId="9" xfId="0" applyFont="1" applyFill="1" applyBorder="1"/>
    <xf numFmtId="0" fontId="5" fillId="5" borderId="10" xfId="0" applyFont="1" applyFill="1" applyBorder="1"/>
    <xf numFmtId="0" fontId="3" fillId="5" borderId="3" xfId="0" applyFont="1" applyFill="1" applyBorder="1"/>
    <xf numFmtId="177" fontId="5" fillId="5" borderId="11" xfId="0" applyNumberFormat="1" applyFont="1" applyFill="1" applyBorder="1" applyProtection="1">
      <protection locked="0"/>
    </xf>
    <xf numFmtId="177" fontId="5" fillId="5" borderId="11" xfId="0" applyNumberFormat="1" applyFont="1" applyFill="1" applyBorder="1" applyAlignment="1" applyProtection="1">
      <alignment horizontal="right"/>
      <protection locked="0"/>
    </xf>
    <xf numFmtId="177" fontId="5" fillId="4" borderId="0" xfId="0" applyNumberFormat="1" applyFont="1" applyFill="1" applyAlignment="1" applyProtection="1">
      <alignment horizontal="left"/>
      <protection locked="0"/>
    </xf>
    <xf numFmtId="7" fontId="5" fillId="5" borderId="11" xfId="0" applyNumberFormat="1" applyFont="1" applyFill="1" applyBorder="1"/>
    <xf numFmtId="172" fontId="5" fillId="5" borderId="11" xfId="0" applyNumberFormat="1" applyFont="1" applyFill="1" applyBorder="1" applyAlignment="1">
      <alignment horizontal="right"/>
    </xf>
    <xf numFmtId="3" fontId="3" fillId="0" borderId="0" xfId="0" applyNumberFormat="1" applyFont="1"/>
    <xf numFmtId="177" fontId="13" fillId="6" borderId="11" xfId="0" applyNumberFormat="1" applyFont="1" applyFill="1" applyBorder="1" applyProtection="1">
      <protection locked="0"/>
    </xf>
    <xf numFmtId="39" fontId="15" fillId="0" borderId="0" xfId="0" applyNumberFormat="1" applyFont="1"/>
    <xf numFmtId="0" fontId="18" fillId="0" borderId="0" xfId="0" applyFont="1"/>
    <xf numFmtId="0" fontId="23" fillId="6" borderId="3" xfId="0" applyFont="1" applyFill="1" applyBorder="1"/>
    <xf numFmtId="0" fontId="23" fillId="6" borderId="4" xfId="0" applyFont="1" applyFill="1" applyBorder="1"/>
    <xf numFmtId="0" fontId="25" fillId="4" borderId="0" xfId="0" applyFont="1" applyFill="1" applyAlignment="1">
      <alignment horizontal="center"/>
    </xf>
    <xf numFmtId="0" fontId="21" fillId="6" borderId="3" xfId="0" applyFont="1" applyFill="1" applyBorder="1"/>
    <xf numFmtId="0" fontId="6" fillId="5" borderId="3" xfId="0" applyFont="1" applyFill="1" applyBorder="1" applyAlignment="1" applyProtection="1">
      <alignment horizontal="left"/>
      <protection locked="0"/>
    </xf>
    <xf numFmtId="0" fontId="5" fillId="4" borderId="0" xfId="0" applyFont="1" applyFill="1" applyProtection="1">
      <protection locked="0"/>
    </xf>
    <xf numFmtId="0" fontId="25" fillId="4" borderId="0" xfId="0" applyFont="1" applyFill="1"/>
    <xf numFmtId="0" fontId="26" fillId="4" borderId="0" xfId="0" applyFont="1" applyFill="1"/>
    <xf numFmtId="0" fontId="27" fillId="4" borderId="0" xfId="0" applyFont="1" applyFill="1"/>
    <xf numFmtId="0" fontId="5" fillId="6" borderId="2" xfId="0" applyFont="1" applyFill="1" applyBorder="1" applyAlignment="1">
      <alignment horizontal="left"/>
    </xf>
    <xf numFmtId="37" fontId="3" fillId="0" borderId="5" xfId="0" applyNumberFormat="1" applyFont="1" applyBorder="1"/>
    <xf numFmtId="0" fontId="16" fillId="4" borderId="0" xfId="0" applyFont="1" applyFill="1" applyProtection="1">
      <protection locked="0"/>
    </xf>
    <xf numFmtId="0" fontId="16" fillId="4" borderId="0" xfId="0" applyFont="1" applyFill="1"/>
    <xf numFmtId="0" fontId="29" fillId="4" borderId="0" xfId="0" applyFont="1" applyFill="1"/>
    <xf numFmtId="0" fontId="30" fillId="4" borderId="0" xfId="0" applyFont="1" applyFill="1" applyProtection="1">
      <protection locked="0"/>
    </xf>
    <xf numFmtId="0" fontId="30" fillId="4" borderId="0" xfId="0" applyFont="1" applyFill="1"/>
    <xf numFmtId="0" fontId="3" fillId="4" borderId="0" xfId="0" applyFont="1" applyFill="1" applyAlignment="1" applyProtection="1">
      <alignment horizontal="left"/>
      <protection locked="0"/>
    </xf>
    <xf numFmtId="173" fontId="5" fillId="5" borderId="11" xfId="0" applyNumberFormat="1" applyFont="1" applyFill="1" applyBorder="1" applyProtection="1">
      <protection locked="0"/>
    </xf>
    <xf numFmtId="0" fontId="4" fillId="0" borderId="0" xfId="0" applyFont="1" applyAlignment="1" applyProtection="1">
      <alignment horizontal="left"/>
      <protection locked="0"/>
    </xf>
    <xf numFmtId="172" fontId="3" fillId="4" borderId="0" xfId="0" applyNumberFormat="1" applyFont="1" applyFill="1"/>
    <xf numFmtId="187" fontId="40" fillId="0" borderId="0" xfId="57" applyNumberFormat="1" applyFont="1" applyFill="1"/>
    <xf numFmtId="0" fontId="26" fillId="4" borderId="0" xfId="0" quotePrefix="1" applyFont="1" applyFill="1" applyAlignment="1" applyProtection="1">
      <alignment horizontal="left"/>
      <protection locked="0"/>
    </xf>
    <xf numFmtId="0" fontId="5" fillId="5" borderId="2" xfId="0" quotePrefix="1" applyFont="1" applyFill="1" applyBorder="1" applyAlignment="1">
      <alignment horizontal="left"/>
    </xf>
    <xf numFmtId="0" fontId="6" fillId="5" borderId="2" xfId="0" quotePrefix="1" applyFont="1" applyFill="1" applyBorder="1" applyAlignment="1" applyProtection="1">
      <alignment horizontal="left"/>
      <protection locked="0"/>
    </xf>
    <xf numFmtId="0" fontId="3" fillId="4" borderId="16" xfId="0" applyFont="1" applyFill="1" applyBorder="1"/>
    <xf numFmtId="0" fontId="3" fillId="4" borderId="18" xfId="0" applyFont="1" applyFill="1" applyBorder="1"/>
    <xf numFmtId="0" fontId="43" fillId="4" borderId="0" xfId="0" applyFont="1" applyFill="1"/>
    <xf numFmtId="177" fontId="44" fillId="5" borderId="11" xfId="0" applyNumberFormat="1" applyFont="1" applyFill="1" applyBorder="1" applyProtection="1">
      <protection locked="0"/>
    </xf>
    <xf numFmtId="172" fontId="44" fillId="5" borderId="11" xfId="0" applyNumberFormat="1" applyFont="1" applyFill="1" applyBorder="1" applyAlignment="1">
      <alignment horizontal="right"/>
    </xf>
    <xf numFmtId="173" fontId="44" fillId="5" borderId="11" xfId="0" applyNumberFormat="1" applyFont="1" applyFill="1" applyBorder="1" applyProtection="1">
      <protection locked="0"/>
    </xf>
    <xf numFmtId="7" fontId="44" fillId="5" borderId="11" xfId="0" applyNumberFormat="1" applyFont="1" applyFill="1" applyBorder="1"/>
    <xf numFmtId="10" fontId="5" fillId="5" borderId="11" xfId="58" applyNumberFormat="1" applyFont="1" applyFill="1" applyBorder="1" applyAlignment="1" applyProtection="1">
      <alignment horizontal="right"/>
    </xf>
    <xf numFmtId="10" fontId="44" fillId="5" borderId="11" xfId="58" applyNumberFormat="1" applyFont="1" applyFill="1" applyBorder="1" applyAlignment="1" applyProtection="1">
      <alignment horizontal="right"/>
    </xf>
    <xf numFmtId="0" fontId="5" fillId="4" borderId="0" xfId="0" quotePrefix="1" applyFont="1" applyFill="1" applyAlignment="1" applyProtection="1">
      <alignment horizontal="left"/>
      <protection locked="0"/>
    </xf>
    <xf numFmtId="185" fontId="47" fillId="0" borderId="0" xfId="57" applyNumberFormat="1" applyFont="1" applyFill="1" applyBorder="1"/>
    <xf numFmtId="44" fontId="47" fillId="0" borderId="10" xfId="57" applyFont="1" applyFill="1" applyBorder="1"/>
    <xf numFmtId="185" fontId="47" fillId="0" borderId="13" xfId="57" applyNumberFormat="1" applyFont="1" applyFill="1" applyBorder="1"/>
    <xf numFmtId="0" fontId="21" fillId="6" borderId="2" xfId="0" quotePrefix="1" applyFont="1" applyFill="1" applyBorder="1" applyAlignment="1">
      <alignment horizontal="left"/>
    </xf>
    <xf numFmtId="0" fontId="49" fillId="0" borderId="0" xfId="59" applyFont="1"/>
    <xf numFmtId="183" fontId="50" fillId="0" borderId="0" xfId="61" applyNumberFormat="1" applyFont="1"/>
    <xf numFmtId="183" fontId="50" fillId="0" borderId="1" xfId="61" applyNumberFormat="1" applyFont="1" applyBorder="1"/>
    <xf numFmtId="0" fontId="49" fillId="0" borderId="0" xfId="59" applyFont="1" applyAlignment="1">
      <alignment horizontal="center" wrapText="1"/>
    </xf>
    <xf numFmtId="0" fontId="49" fillId="0" borderId="0" xfId="59" quotePrefix="1" applyFont="1" applyAlignment="1">
      <alignment horizontal="center" vertical="center"/>
    </xf>
    <xf numFmtId="0" fontId="49" fillId="0" borderId="1" xfId="59" quotePrefix="1" applyFont="1" applyBorder="1" applyAlignment="1">
      <alignment horizontal="centerContinuous" vertical="center"/>
    </xf>
    <xf numFmtId="0" fontId="49" fillId="0" borderId="1" xfId="59" applyFont="1" applyBorder="1" applyAlignment="1">
      <alignment horizontal="centerContinuous"/>
    </xf>
    <xf numFmtId="0" fontId="49" fillId="0" borderId="0" xfId="59" quotePrefix="1" applyFont="1" applyAlignment="1">
      <alignment horizontal="center" wrapText="1"/>
    </xf>
    <xf numFmtId="0" fontId="49" fillId="0" borderId="0" xfId="59" applyFont="1" applyAlignment="1">
      <alignment horizontal="center"/>
    </xf>
    <xf numFmtId="0" fontId="51" fillId="0" borderId="0" xfId="59" quotePrefix="1" applyFont="1" applyAlignment="1">
      <alignment horizontal="center"/>
    </xf>
    <xf numFmtId="0" fontId="51" fillId="0" borderId="0" xfId="59" applyFont="1" applyAlignment="1">
      <alignment horizontal="center"/>
    </xf>
    <xf numFmtId="0" fontId="5" fillId="6" borderId="2" xfId="0" quotePrefix="1" applyFont="1" applyFill="1" applyBorder="1" applyAlignment="1">
      <alignment horizontal="left"/>
    </xf>
    <xf numFmtId="175" fontId="5" fillId="5" borderId="11" xfId="0" applyNumberFormat="1" applyFont="1" applyFill="1" applyBorder="1" applyProtection="1">
      <protection locked="0"/>
    </xf>
    <xf numFmtId="172" fontId="29" fillId="5" borderId="11" xfId="0" applyNumberFormat="1" applyFont="1" applyFill="1" applyBorder="1" applyAlignment="1">
      <alignment horizontal="right"/>
    </xf>
    <xf numFmtId="0" fontId="52" fillId="4" borderId="0" xfId="0" applyFont="1" applyFill="1"/>
    <xf numFmtId="177" fontId="29" fillId="5" borderId="11" xfId="0" applyNumberFormat="1" applyFont="1" applyFill="1" applyBorder="1" applyProtection="1">
      <protection locked="0"/>
    </xf>
    <xf numFmtId="10" fontId="5" fillId="0" borderId="0" xfId="58" applyNumberFormat="1" applyFont="1" applyFill="1" applyBorder="1" applyAlignment="1" applyProtection="1">
      <alignment horizontal="center"/>
    </xf>
    <xf numFmtId="172" fontId="5" fillId="5" borderId="0" xfId="0" applyNumberFormat="1" applyFont="1" applyFill="1" applyAlignment="1">
      <alignment horizontal="right"/>
    </xf>
    <xf numFmtId="183" fontId="49" fillId="0" borderId="0" xfId="59" applyNumberFormat="1" applyFont="1"/>
    <xf numFmtId="183" fontId="49" fillId="0" borderId="0" xfId="56" applyNumberFormat="1" applyFont="1"/>
    <xf numFmtId="44" fontId="50" fillId="0" borderId="0" xfId="57" applyFont="1"/>
    <xf numFmtId="183" fontId="5" fillId="0" borderId="0" xfId="56" applyNumberFormat="1" applyFont="1" applyFill="1" applyAlignment="1">
      <alignment horizontal="center"/>
    </xf>
    <xf numFmtId="3" fontId="5" fillId="0" borderId="0" xfId="0" applyNumberFormat="1" applyFont="1"/>
    <xf numFmtId="37" fontId="5" fillId="0" borderId="0" xfId="0" applyNumberFormat="1" applyFont="1"/>
    <xf numFmtId="185" fontId="5" fillId="0" borderId="0" xfId="57" applyNumberFormat="1" applyFont="1" applyFill="1"/>
    <xf numFmtId="183" fontId="5" fillId="0" borderId="0" xfId="0" applyNumberFormat="1" applyFont="1"/>
    <xf numFmtId="191" fontId="3" fillId="0" borderId="0" xfId="0" applyNumberFormat="1" applyFont="1"/>
    <xf numFmtId="186" fontId="5" fillId="0" borderId="0" xfId="0" applyNumberFormat="1" applyFont="1"/>
    <xf numFmtId="1" fontId="5" fillId="0" borderId="0" xfId="0" applyNumberFormat="1" applyFont="1" applyAlignment="1">
      <alignment horizontal="center"/>
    </xf>
    <xf numFmtId="185" fontId="5" fillId="0" borderId="0" xfId="0" applyNumberFormat="1" applyFont="1"/>
    <xf numFmtId="43" fontId="5" fillId="0" borderId="0" xfId="0" applyNumberFormat="1" applyFont="1"/>
    <xf numFmtId="183" fontId="5" fillId="0" borderId="0" xfId="0" applyNumberFormat="1" applyFont="1" applyAlignment="1">
      <alignment horizontal="center"/>
    </xf>
    <xf numFmtId="0" fontId="17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17" fillId="0" borderId="0" xfId="0" applyFont="1" applyAlignment="1">
      <alignment horizontal="centerContinuous"/>
    </xf>
    <xf numFmtId="0" fontId="5" fillId="0" borderId="0" xfId="0" applyFont="1" applyAlignment="1">
      <alignment horizontal="fill"/>
    </xf>
    <xf numFmtId="0" fontId="17" fillId="0" borderId="1" xfId="0" quotePrefix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1" xfId="0" applyFont="1" applyBorder="1"/>
    <xf numFmtId="0" fontId="20" fillId="0" borderId="0" xfId="0" applyFont="1" applyAlignment="1">
      <alignment horizontal="center"/>
    </xf>
    <xf numFmtId="0" fontId="20" fillId="0" borderId="0" xfId="0" applyFont="1"/>
    <xf numFmtId="0" fontId="17" fillId="0" borderId="0" xfId="0" applyFont="1" applyAlignment="1">
      <alignment horizontal="center"/>
    </xf>
    <xf numFmtId="10" fontId="3" fillId="0" borderId="0" xfId="0" applyNumberFormat="1" applyFont="1" applyAlignment="1">
      <alignment horizontal="center"/>
    </xf>
    <xf numFmtId="10" fontId="3" fillId="0" borderId="1" xfId="0" applyNumberFormat="1" applyFont="1" applyBorder="1" applyAlignment="1">
      <alignment horizontal="center"/>
    </xf>
    <xf numFmtId="0" fontId="17" fillId="0" borderId="0" xfId="0" applyFont="1" applyAlignment="1">
      <alignment horizontal="left" indent="1"/>
    </xf>
    <xf numFmtId="37" fontId="3" fillId="0" borderId="7" xfId="0" applyNumberFormat="1" applyFont="1" applyBorder="1"/>
    <xf numFmtId="10" fontId="3" fillId="0" borderId="7" xfId="0" applyNumberFormat="1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9" fontId="3" fillId="0" borderId="0" xfId="58" applyFont="1" applyFill="1" applyBorder="1" applyAlignment="1" applyProtection="1">
      <alignment horizontal="center"/>
    </xf>
    <xf numFmtId="0" fontId="17" fillId="0" borderId="0" xfId="0" quotePrefix="1" applyFont="1" applyAlignment="1">
      <alignment horizontal="left" indent="1"/>
    </xf>
    <xf numFmtId="10" fontId="9" fillId="0" borderId="0" xfId="0" applyNumberFormat="1" applyFont="1" applyAlignment="1">
      <alignment horizontal="center"/>
    </xf>
    <xf numFmtId="37" fontId="3" fillId="0" borderId="6" xfId="0" applyNumberFormat="1" applyFont="1" applyBorder="1"/>
    <xf numFmtId="10" fontId="10" fillId="0" borderId="0" xfId="0" applyNumberFormat="1" applyFont="1" applyAlignment="1">
      <alignment horizontal="center"/>
    </xf>
    <xf numFmtId="0" fontId="17" fillId="0" borderId="0" xfId="0" applyFont="1"/>
    <xf numFmtId="183" fontId="5" fillId="0" borderId="0" xfId="56" applyNumberFormat="1" applyFont="1" applyFill="1"/>
    <xf numFmtId="22" fontId="5" fillId="0" borderId="0" xfId="0" applyNumberFormat="1" applyFont="1"/>
    <xf numFmtId="0" fontId="17" fillId="0" borderId="0" xfId="0" quotePrefix="1" applyFont="1" applyAlignment="1">
      <alignment horizontal="center"/>
    </xf>
    <xf numFmtId="168" fontId="3" fillId="0" borderId="0" xfId="0" applyNumberFormat="1" applyFont="1" applyAlignment="1">
      <alignment horizontal="right"/>
    </xf>
    <xf numFmtId="39" fontId="3" fillId="0" borderId="0" xfId="0" applyNumberFormat="1" applyFont="1" applyAlignment="1">
      <alignment horizontal="right"/>
    </xf>
    <xf numFmtId="37" fontId="3" fillId="0" borderId="0" xfId="0" applyNumberFormat="1" applyFont="1" applyProtection="1">
      <protection locked="0"/>
    </xf>
    <xf numFmtId="169" fontId="5" fillId="0" borderId="0" xfId="0" applyNumberFormat="1" applyFont="1"/>
    <xf numFmtId="168" fontId="3" fillId="0" borderId="1" xfId="0" applyNumberFormat="1" applyFont="1" applyBorder="1" applyAlignment="1">
      <alignment horizontal="right"/>
    </xf>
    <xf numFmtId="37" fontId="3" fillId="0" borderId="8" xfId="0" applyNumberFormat="1" applyFont="1" applyBorder="1"/>
    <xf numFmtId="168" fontId="3" fillId="0" borderId="6" xfId="0" applyNumberFormat="1" applyFont="1" applyBorder="1" applyAlignment="1">
      <alignment horizontal="right"/>
    </xf>
    <xf numFmtId="39" fontId="3" fillId="0" borderId="8" xfId="0" applyNumberFormat="1" applyFont="1" applyBorder="1" applyAlignment="1">
      <alignment horizontal="right"/>
    </xf>
    <xf numFmtId="181" fontId="5" fillId="0" borderId="0" xfId="0" applyNumberFormat="1" applyFont="1"/>
    <xf numFmtId="181" fontId="5" fillId="0" borderId="0" xfId="0" applyNumberFormat="1" applyFont="1" applyAlignment="1">
      <alignment horizontal="centerContinuous"/>
    </xf>
    <xf numFmtId="181" fontId="5" fillId="0" borderId="1" xfId="0" applyNumberFormat="1" applyFont="1" applyBorder="1" applyAlignment="1">
      <alignment horizontal="fill"/>
    </xf>
    <xf numFmtId="181" fontId="5" fillId="0" borderId="0" xfId="0" applyNumberFormat="1" applyFont="1" applyAlignment="1">
      <alignment horizontal="center"/>
    </xf>
    <xf numFmtId="181" fontId="5" fillId="0" borderId="0" xfId="0" quotePrefix="1" applyNumberFormat="1" applyFont="1" applyAlignment="1">
      <alignment horizontal="center"/>
    </xf>
    <xf numFmtId="181" fontId="17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19" fillId="0" borderId="0" xfId="0" quotePrefix="1" applyFont="1" applyAlignment="1">
      <alignment horizontal="center"/>
    </xf>
    <xf numFmtId="181" fontId="19" fillId="0" borderId="0" xfId="0" applyNumberFormat="1" applyFont="1" applyAlignment="1">
      <alignment horizontal="center"/>
    </xf>
    <xf numFmtId="174" fontId="3" fillId="0" borderId="0" xfId="0" applyNumberFormat="1" applyFont="1" applyAlignment="1">
      <alignment horizontal="center"/>
    </xf>
    <xf numFmtId="181" fontId="3" fillId="0" borderId="0" xfId="0" applyNumberFormat="1" applyFont="1"/>
    <xf numFmtId="39" fontId="3" fillId="0" borderId="1" xfId="0" applyNumberFormat="1" applyFont="1" applyBorder="1"/>
    <xf numFmtId="181" fontId="3" fillId="0" borderId="1" xfId="0" applyNumberFormat="1" applyFont="1" applyBorder="1"/>
    <xf numFmtId="0" fontId="17" fillId="0" borderId="0" xfId="0" quotePrefix="1" applyFont="1" applyAlignment="1">
      <alignment horizontal="left"/>
    </xf>
    <xf numFmtId="39" fontId="3" fillId="0" borderId="7" xfId="0" applyNumberFormat="1" applyFont="1" applyBorder="1"/>
    <xf numFmtId="181" fontId="3" fillId="0" borderId="7" xfId="0" applyNumberFormat="1" applyFont="1" applyBorder="1"/>
    <xf numFmtId="181" fontId="3" fillId="0" borderId="0" xfId="0" applyNumberFormat="1" applyFont="1" applyAlignment="1">
      <alignment horizontal="right"/>
    </xf>
    <xf numFmtId="174" fontId="3" fillId="0" borderId="0" xfId="0" applyNumberFormat="1" applyFont="1" applyAlignment="1" applyProtection="1">
      <alignment horizontal="center"/>
      <protection locked="0"/>
    </xf>
    <xf numFmtId="166" fontId="3" fillId="0" borderId="0" xfId="0" applyNumberFormat="1" applyFont="1" applyProtection="1">
      <protection locked="0"/>
    </xf>
    <xf numFmtId="37" fontId="5" fillId="0" borderId="0" xfId="0" applyNumberFormat="1" applyFont="1" applyProtection="1">
      <protection locked="0"/>
    </xf>
    <xf numFmtId="37" fontId="5" fillId="0" borderId="0" xfId="0" applyNumberFormat="1" applyFont="1" applyAlignment="1">
      <alignment horizontal="center"/>
    </xf>
    <xf numFmtId="39" fontId="3" fillId="0" borderId="6" xfId="0" applyNumberFormat="1" applyFont="1" applyBorder="1"/>
    <xf numFmtId="181" fontId="3" fillId="0" borderId="6" xfId="0" applyNumberFormat="1" applyFont="1" applyBorder="1"/>
    <xf numFmtId="39" fontId="5" fillId="0" borderId="0" xfId="0" applyNumberFormat="1" applyFont="1"/>
    <xf numFmtId="0" fontId="12" fillId="0" borderId="0" xfId="0" applyFont="1" applyAlignment="1">
      <alignment horizontal="center"/>
    </xf>
    <xf numFmtId="5" fontId="5" fillId="0" borderId="0" xfId="0" applyNumberFormat="1" applyFont="1"/>
    <xf numFmtId="0" fontId="5" fillId="0" borderId="5" xfId="0" applyFont="1" applyBorder="1"/>
    <xf numFmtId="0" fontId="5" fillId="0" borderId="0" xfId="0" applyFont="1" applyAlignment="1">
      <alignment horizontal="left" indent="1"/>
    </xf>
    <xf numFmtId="7" fontId="5" fillId="0" borderId="0" xfId="0" applyNumberFormat="1" applyFont="1" applyProtection="1">
      <protection locked="0"/>
    </xf>
    <xf numFmtId="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37" fontId="3" fillId="0" borderId="1" xfId="0" applyNumberFormat="1" applyFont="1" applyBorder="1" applyProtection="1">
      <protection locked="0"/>
    </xf>
    <xf numFmtId="37" fontId="5" fillId="0" borderId="1" xfId="0" applyNumberFormat="1" applyFont="1" applyBorder="1" applyProtection="1">
      <protection locked="0"/>
    </xf>
    <xf numFmtId="172" fontId="5" fillId="0" borderId="0" xfId="0" applyNumberFormat="1" applyFont="1" applyProtection="1">
      <protection locked="0"/>
    </xf>
    <xf numFmtId="165" fontId="3" fillId="0" borderId="0" xfId="0" applyNumberFormat="1" applyFont="1" applyProtection="1">
      <protection locked="0"/>
    </xf>
    <xf numFmtId="179" fontId="5" fillId="0" borderId="0" xfId="0" applyNumberFormat="1" applyFont="1" applyProtection="1">
      <protection locked="0"/>
    </xf>
    <xf numFmtId="10" fontId="5" fillId="0" borderId="0" xfId="58" applyNumberFormat="1" applyFont="1" applyFill="1" applyProtection="1">
      <protection locked="0"/>
    </xf>
    <xf numFmtId="0" fontId="19" fillId="0" borderId="0" xfId="0" applyFont="1" applyAlignment="1">
      <alignment horizontal="left"/>
    </xf>
    <xf numFmtId="0" fontId="5" fillId="0" borderId="0" xfId="10" applyFont="1"/>
    <xf numFmtId="168" fontId="3" fillId="0" borderId="0" xfId="0" applyNumberFormat="1" applyFont="1" applyProtection="1">
      <protection locked="0"/>
    </xf>
    <xf numFmtId="177" fontId="5" fillId="0" borderId="0" xfId="0" applyNumberFormat="1" applyFont="1" applyProtection="1">
      <protection locked="0"/>
    </xf>
    <xf numFmtId="181" fontId="5" fillId="0" borderId="0" xfId="0" applyNumberFormat="1" applyFont="1" applyAlignment="1">
      <alignment horizontal="left"/>
    </xf>
    <xf numFmtId="181" fontId="5" fillId="0" borderId="0" xfId="0" applyNumberFormat="1" applyFont="1" applyAlignment="1">
      <alignment horizontal="fill"/>
    </xf>
    <xf numFmtId="0" fontId="56" fillId="0" borderId="0" xfId="0" applyFont="1"/>
    <xf numFmtId="7" fontId="5" fillId="0" borderId="0" xfId="0" applyNumberFormat="1" applyFont="1"/>
    <xf numFmtId="37" fontId="5" fillId="0" borderId="0" xfId="0" applyNumberFormat="1" applyFont="1" applyAlignment="1">
      <alignment horizontal="right"/>
    </xf>
    <xf numFmtId="169" fontId="3" fillId="0" borderId="7" xfId="0" applyNumberFormat="1" applyFont="1" applyBorder="1"/>
    <xf numFmtId="168" fontId="5" fillId="0" borderId="0" xfId="0" applyNumberFormat="1" applyFont="1" applyProtection="1">
      <protection locked="0"/>
    </xf>
    <xf numFmtId="166" fontId="5" fillId="0" borderId="0" xfId="0" applyNumberFormat="1" applyFont="1" applyProtection="1">
      <protection locked="0"/>
    </xf>
    <xf numFmtId="181" fontId="5" fillId="0" borderId="0" xfId="0" applyNumberFormat="1" applyFont="1" applyAlignment="1">
      <alignment horizontal="right"/>
    </xf>
    <xf numFmtId="183" fontId="5" fillId="0" borderId="0" xfId="56" applyNumberFormat="1" applyFont="1" applyFill="1" applyBorder="1"/>
    <xf numFmtId="177" fontId="3" fillId="0" borderId="0" xfId="0" applyNumberFormat="1" applyFont="1"/>
    <xf numFmtId="177" fontId="5" fillId="0" borderId="0" xfId="0" applyNumberFormat="1" applyFont="1"/>
    <xf numFmtId="169" fontId="3" fillId="0" borderId="6" xfId="0" applyNumberFormat="1" applyFont="1" applyBorder="1"/>
    <xf numFmtId="166" fontId="5" fillId="0" borderId="0" xfId="0" applyNumberFormat="1" applyFont="1"/>
    <xf numFmtId="37" fontId="5" fillId="0" borderId="0" xfId="1" applyNumberFormat="1" applyFont="1"/>
    <xf numFmtId="181" fontId="56" fillId="0" borderId="0" xfId="0" applyNumberFormat="1" applyFont="1"/>
    <xf numFmtId="0" fontId="5" fillId="0" borderId="0" xfId="0" applyFont="1" applyProtection="1">
      <protection locked="0"/>
    </xf>
    <xf numFmtId="181" fontId="3" fillId="0" borderId="1" xfId="0" applyNumberFormat="1" applyFont="1" applyBorder="1" applyAlignment="1">
      <alignment horizontal="right"/>
    </xf>
    <xf numFmtId="181" fontId="3" fillId="0" borderId="7" xfId="0" applyNumberFormat="1" applyFont="1" applyBorder="1" applyAlignment="1">
      <alignment horizontal="right"/>
    </xf>
    <xf numFmtId="181" fontId="3" fillId="0" borderId="0" xfId="0" applyNumberFormat="1" applyFont="1" applyProtection="1">
      <protection locked="0"/>
    </xf>
    <xf numFmtId="170" fontId="3" fillId="0" borderId="0" xfId="0" applyNumberFormat="1" applyFont="1" applyProtection="1">
      <protection locked="0"/>
    </xf>
    <xf numFmtId="165" fontId="5" fillId="0" borderId="0" xfId="0" applyNumberFormat="1" applyFont="1" applyProtection="1">
      <protection locked="0"/>
    </xf>
    <xf numFmtId="0" fontId="5" fillId="0" borderId="16" xfId="0" applyFont="1" applyBorder="1"/>
    <xf numFmtId="0" fontId="5" fillId="0" borderId="17" xfId="0" applyFont="1" applyBorder="1"/>
    <xf numFmtId="0" fontId="5" fillId="0" borderId="18" xfId="0" applyFont="1" applyBorder="1"/>
    <xf numFmtId="10" fontId="5" fillId="0" borderId="0" xfId="58" applyNumberFormat="1" applyFont="1" applyFill="1" applyProtection="1"/>
    <xf numFmtId="181" fontId="3" fillId="0" borderId="6" xfId="0" applyNumberFormat="1" applyFont="1" applyBorder="1" applyAlignment="1">
      <alignment horizontal="right"/>
    </xf>
    <xf numFmtId="181" fontId="5" fillId="0" borderId="0" xfId="0" applyNumberFormat="1" applyFont="1" applyProtection="1">
      <protection locked="0"/>
    </xf>
    <xf numFmtId="170" fontId="5" fillId="0" borderId="0" xfId="0" applyNumberFormat="1" applyFont="1" applyProtection="1">
      <protection locked="0"/>
    </xf>
    <xf numFmtId="169" fontId="5" fillId="0" borderId="0" xfId="0" applyNumberFormat="1" applyFont="1" applyProtection="1">
      <protection locked="0"/>
    </xf>
    <xf numFmtId="170" fontId="5" fillId="0" borderId="0" xfId="0" applyNumberFormat="1" applyFont="1"/>
    <xf numFmtId="167" fontId="5" fillId="0" borderId="0" xfId="0" applyNumberFormat="1" applyFont="1" applyProtection="1">
      <protection locked="0"/>
    </xf>
    <xf numFmtId="39" fontId="5" fillId="0" borderId="0" xfId="0" applyNumberFormat="1" applyFont="1" applyProtection="1">
      <protection locked="0"/>
    </xf>
    <xf numFmtId="164" fontId="5" fillId="0" borderId="0" xfId="0" applyNumberFormat="1" applyFont="1" applyProtection="1">
      <protection locked="0"/>
    </xf>
    <xf numFmtId="7" fontId="5" fillId="0" borderId="0" xfId="0" applyNumberFormat="1" applyFont="1" applyAlignment="1">
      <alignment horizontal="center"/>
    </xf>
    <xf numFmtId="37" fontId="5" fillId="0" borderId="0" xfId="0" applyNumberFormat="1" applyFont="1" applyAlignment="1">
      <alignment horizontal="fill"/>
    </xf>
    <xf numFmtId="37" fontId="5" fillId="0" borderId="0" xfId="0" applyNumberFormat="1" applyFont="1" applyAlignment="1" applyProtection="1">
      <alignment horizontal="fill"/>
      <protection locked="0"/>
    </xf>
    <xf numFmtId="169" fontId="5" fillId="0" borderId="0" xfId="0" applyNumberFormat="1" applyFont="1" applyAlignment="1">
      <alignment horizontal="fill"/>
    </xf>
    <xf numFmtId="39" fontId="5" fillId="0" borderId="0" xfId="0" applyNumberFormat="1" applyFont="1" applyAlignment="1">
      <alignment horizontal="fill"/>
    </xf>
    <xf numFmtId="39" fontId="5" fillId="0" borderId="0" xfId="0" applyNumberFormat="1" applyFont="1" applyAlignment="1">
      <alignment horizontal="center"/>
    </xf>
    <xf numFmtId="171" fontId="5" fillId="0" borderId="0" xfId="0" applyNumberFormat="1" applyFont="1"/>
    <xf numFmtId="0" fontId="5" fillId="0" borderId="0" xfId="0" applyFont="1" applyAlignment="1" applyProtection="1">
      <alignment horizontal="left"/>
      <protection locked="0"/>
    </xf>
    <xf numFmtId="167" fontId="3" fillId="0" borderId="0" xfId="0" applyNumberFormat="1" applyFont="1" applyProtection="1">
      <protection locked="0"/>
    </xf>
    <xf numFmtId="39" fontId="5" fillId="0" borderId="0" xfId="0" applyNumberFormat="1" applyFont="1" applyAlignment="1">
      <alignment horizontal="right"/>
    </xf>
    <xf numFmtId="168" fontId="5" fillId="0" borderId="0" xfId="0" applyNumberFormat="1" applyFont="1" applyAlignment="1">
      <alignment horizontal="right"/>
    </xf>
    <xf numFmtId="2" fontId="5" fillId="0" borderId="0" xfId="0" applyNumberFormat="1" applyFont="1"/>
    <xf numFmtId="2" fontId="5" fillId="0" borderId="0" xfId="0" applyNumberFormat="1" applyFont="1" applyAlignment="1">
      <alignment horizontal="right"/>
    </xf>
    <xf numFmtId="169" fontId="3" fillId="0" borderId="1" xfId="0" applyNumberFormat="1" applyFont="1" applyBorder="1"/>
    <xf numFmtId="164" fontId="3" fillId="0" borderId="0" xfId="0" applyNumberFormat="1" applyFont="1" applyProtection="1">
      <protection locked="0"/>
    </xf>
    <xf numFmtId="0" fontId="3" fillId="0" borderId="0" xfId="0" applyFont="1" applyAlignment="1">
      <alignment horizontal="fill"/>
    </xf>
    <xf numFmtId="37" fontId="3" fillId="0" borderId="0" xfId="0" applyNumberFormat="1" applyFont="1" applyAlignment="1">
      <alignment horizontal="right"/>
    </xf>
    <xf numFmtId="177" fontId="3" fillId="0" borderId="0" xfId="0" applyNumberFormat="1" applyFont="1" applyProtection="1">
      <protection locked="0"/>
    </xf>
    <xf numFmtId="39" fontId="3" fillId="0" borderId="0" xfId="0" applyNumberFormat="1" applyFont="1" applyProtection="1">
      <protection locked="0"/>
    </xf>
    <xf numFmtId="37" fontId="5" fillId="0" borderId="1" xfId="0" applyNumberFormat="1" applyFont="1" applyBorder="1"/>
    <xf numFmtId="172" fontId="3" fillId="0" borderId="0" xfId="0" applyNumberFormat="1" applyFont="1" applyProtection="1">
      <protection locked="0"/>
    </xf>
    <xf numFmtId="7" fontId="3" fillId="0" borderId="0" xfId="0" applyNumberFormat="1" applyFont="1"/>
    <xf numFmtId="37" fontId="3" fillId="0" borderId="7" xfId="0" applyNumberFormat="1" applyFont="1" applyBorder="1" applyProtection="1">
      <protection locked="0"/>
    </xf>
    <xf numFmtId="7" fontId="3" fillId="0" borderId="0" xfId="0" applyNumberFormat="1" applyFont="1" applyAlignment="1">
      <alignment horizontal="center"/>
    </xf>
    <xf numFmtId="0" fontId="19" fillId="0" borderId="0" xfId="0" quotePrefix="1" applyFont="1" applyAlignment="1">
      <alignment horizontal="left"/>
    </xf>
    <xf numFmtId="37" fontId="3" fillId="0" borderId="6" xfId="0" applyNumberFormat="1" applyFont="1" applyBorder="1" applyProtection="1">
      <protection locked="0"/>
    </xf>
    <xf numFmtId="0" fontId="3" fillId="0" borderId="0" xfId="0" quotePrefix="1" applyFont="1" applyAlignment="1">
      <alignment horizontal="center"/>
    </xf>
    <xf numFmtId="181" fontId="3" fillId="0" borderId="0" xfId="0" applyNumberFormat="1" applyFont="1" applyAlignment="1">
      <alignment horizontal="center"/>
    </xf>
    <xf numFmtId="0" fontId="5" fillId="0" borderId="0" xfId="0" applyFont="1" applyAlignment="1">
      <alignment horizontal="right"/>
    </xf>
    <xf numFmtId="169" fontId="9" fillId="0" borderId="0" xfId="0" applyNumberFormat="1" applyFont="1"/>
    <xf numFmtId="0" fontId="19" fillId="0" borderId="5" xfId="0" quotePrefix="1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181" fontId="5" fillId="0" borderId="5" xfId="0" applyNumberFormat="1" applyFont="1" applyBorder="1" applyAlignment="1">
      <alignment horizontal="center"/>
    </xf>
    <xf numFmtId="181" fontId="19" fillId="0" borderId="5" xfId="0" applyNumberFormat="1" applyFont="1" applyBorder="1" applyAlignment="1">
      <alignment horizontal="center"/>
    </xf>
    <xf numFmtId="182" fontId="5" fillId="0" borderId="0" xfId="0" applyNumberFormat="1" applyFont="1"/>
    <xf numFmtId="37" fontId="5" fillId="0" borderId="7" xfId="0" applyNumberFormat="1" applyFont="1" applyBorder="1"/>
    <xf numFmtId="0" fontId="3" fillId="0" borderId="7" xfId="0" applyFont="1" applyBorder="1"/>
    <xf numFmtId="0" fontId="5" fillId="0" borderId="7" xfId="0" applyFont="1" applyBorder="1"/>
    <xf numFmtId="178" fontId="5" fillId="0" borderId="0" xfId="0" applyNumberFormat="1" applyFont="1"/>
    <xf numFmtId="10" fontId="5" fillId="0" borderId="0" xfId="0" applyNumberFormat="1" applyFont="1"/>
    <xf numFmtId="39" fontId="5" fillId="0" borderId="0" xfId="0" applyNumberFormat="1" applyFont="1" applyAlignment="1">
      <alignment horizontal="left"/>
    </xf>
    <xf numFmtId="0" fontId="5" fillId="0" borderId="0" xfId="0" quotePrefix="1" applyFont="1" applyAlignment="1">
      <alignment horizontal="right"/>
    </xf>
    <xf numFmtId="0" fontId="5" fillId="0" borderId="0" xfId="43" applyFont="1"/>
    <xf numFmtId="166" fontId="5" fillId="0" borderId="0" xfId="0" applyNumberFormat="1" applyFont="1" applyAlignment="1">
      <alignment horizontal="right"/>
    </xf>
    <xf numFmtId="39" fontId="3" fillId="0" borderId="0" xfId="0" quotePrefix="1" applyNumberFormat="1" applyFont="1"/>
    <xf numFmtId="183" fontId="5" fillId="0" borderId="0" xfId="56" applyNumberFormat="1" applyFont="1" applyFill="1" applyBorder="1" applyAlignment="1"/>
    <xf numFmtId="0" fontId="5" fillId="0" borderId="0" xfId="1" applyFont="1"/>
    <xf numFmtId="0" fontId="5" fillId="0" borderId="0" xfId="13" applyFont="1"/>
    <xf numFmtId="0" fontId="5" fillId="0" borderId="0" xfId="16" applyFont="1"/>
    <xf numFmtId="0" fontId="5" fillId="0" borderId="0" xfId="17" quotePrefix="1" applyFont="1" applyAlignment="1">
      <alignment horizontal="left"/>
    </xf>
    <xf numFmtId="0" fontId="5" fillId="0" borderId="0" xfId="17" applyFont="1"/>
    <xf numFmtId="0" fontId="5" fillId="0" borderId="0" xfId="19" quotePrefix="1" applyFont="1" applyAlignment="1">
      <alignment horizontal="left"/>
    </xf>
    <xf numFmtId="0" fontId="5" fillId="0" borderId="0" xfId="19" applyFont="1"/>
    <xf numFmtId="0" fontId="19" fillId="0" borderId="0" xfId="0" applyFont="1"/>
    <xf numFmtId="181" fontId="19" fillId="0" borderId="0" xfId="0" applyNumberFormat="1" applyFont="1"/>
    <xf numFmtId="39" fontId="19" fillId="0" borderId="0" xfId="0" applyNumberFormat="1" applyFont="1"/>
    <xf numFmtId="0" fontId="5" fillId="0" borderId="0" xfId="46" applyFont="1"/>
    <xf numFmtId="0" fontId="5" fillId="0" borderId="0" xfId="21" applyFont="1" applyAlignment="1">
      <alignment horizontal="left"/>
    </xf>
    <xf numFmtId="0" fontId="5" fillId="0" borderId="0" xfId="21" applyFont="1"/>
    <xf numFmtId="0" fontId="5" fillId="0" borderId="0" xfId="21" quotePrefix="1" applyFont="1" applyAlignment="1">
      <alignment horizontal="left"/>
    </xf>
    <xf numFmtId="2" fontId="3" fillId="0" borderId="0" xfId="0" applyNumberFormat="1" applyFont="1" applyAlignment="1">
      <alignment horizontal="right"/>
    </xf>
    <xf numFmtId="169" fontId="3" fillId="0" borderId="8" xfId="0" applyNumberFormat="1" applyFont="1" applyBorder="1"/>
    <xf numFmtId="175" fontId="3" fillId="0" borderId="0" xfId="0" applyNumberFormat="1" applyFont="1"/>
    <xf numFmtId="0" fontId="5" fillId="0" borderId="0" xfId="25" applyFont="1"/>
    <xf numFmtId="0" fontId="5" fillId="0" borderId="0" xfId="30" applyFont="1"/>
    <xf numFmtId="0" fontId="5" fillId="0" borderId="0" xfId="31" applyFont="1"/>
    <xf numFmtId="0" fontId="5" fillId="0" borderId="0" xfId="39" applyFont="1"/>
    <xf numFmtId="0" fontId="14" fillId="0" borderId="0" xfId="0" applyFont="1"/>
    <xf numFmtId="181" fontId="14" fillId="0" borderId="0" xfId="0" applyNumberFormat="1" applyFont="1" applyAlignment="1">
      <alignment horizontal="right"/>
    </xf>
    <xf numFmtId="0" fontId="5" fillId="0" borderId="0" xfId="28" applyFont="1" applyAlignment="1">
      <alignment horizontal="left"/>
    </xf>
    <xf numFmtId="0" fontId="5" fillId="0" borderId="0" xfId="28" applyFont="1"/>
    <xf numFmtId="0" fontId="5" fillId="0" borderId="0" xfId="33" applyFont="1"/>
    <xf numFmtId="0" fontId="5" fillId="0" borderId="0" xfId="35" applyFont="1"/>
    <xf numFmtId="0" fontId="5" fillId="0" borderId="0" xfId="37" applyFont="1"/>
    <xf numFmtId="181" fontId="3" fillId="0" borderId="8" xfId="0" applyNumberFormat="1" applyFont="1" applyBorder="1"/>
    <xf numFmtId="181" fontId="3" fillId="0" borderId="8" xfId="0" applyNumberFormat="1" applyFont="1" applyBorder="1" applyAlignment="1">
      <alignment horizontal="right"/>
    </xf>
    <xf numFmtId="188" fontId="5" fillId="0" borderId="0" xfId="0" applyNumberFormat="1" applyFont="1"/>
    <xf numFmtId="10" fontId="5" fillId="0" borderId="0" xfId="58" applyNumberFormat="1" applyFont="1" applyFill="1" applyBorder="1"/>
    <xf numFmtId="175" fontId="5" fillId="0" borderId="0" xfId="0" applyNumberFormat="1" applyFont="1"/>
    <xf numFmtId="0" fontId="17" fillId="0" borderId="0" xfId="0" applyFont="1" applyAlignment="1">
      <alignment horizontal="left" vertical="center"/>
    </xf>
    <xf numFmtId="172" fontId="5" fillId="0" borderId="0" xfId="0" applyNumberFormat="1" applyFont="1"/>
    <xf numFmtId="173" fontId="5" fillId="0" borderId="0" xfId="0" applyNumberFormat="1" applyFont="1"/>
    <xf numFmtId="176" fontId="3" fillId="0" borderId="0" xfId="0" applyNumberFormat="1" applyFont="1"/>
    <xf numFmtId="172" fontId="5" fillId="0" borderId="0" xfId="0" applyNumberFormat="1" applyFont="1" applyAlignment="1">
      <alignment horizontal="right"/>
    </xf>
    <xf numFmtId="174" fontId="3" fillId="0" borderId="0" xfId="0" applyNumberFormat="1" applyFont="1"/>
    <xf numFmtId="37" fontId="5" fillId="0" borderId="0" xfId="0" applyNumberFormat="1" applyFont="1" applyAlignment="1">
      <alignment horizontal="left"/>
    </xf>
    <xf numFmtId="170" fontId="3" fillId="0" borderId="6" xfId="0" applyNumberFormat="1" applyFont="1" applyBorder="1"/>
    <xf numFmtId="0" fontId="17" fillId="0" borderId="5" xfId="0" applyFont="1" applyBorder="1" applyAlignment="1">
      <alignment horizontal="center"/>
    </xf>
    <xf numFmtId="0" fontId="17" fillId="0" borderId="5" xfId="0" quotePrefix="1" applyFont="1" applyBorder="1" applyAlignment="1">
      <alignment horizontal="center"/>
    </xf>
    <xf numFmtId="181" fontId="17" fillId="0" borderId="5" xfId="0" applyNumberFormat="1" applyFont="1" applyBorder="1" applyAlignment="1">
      <alignment horizontal="center"/>
    </xf>
    <xf numFmtId="37" fontId="57" fillId="0" borderId="0" xfId="0" applyNumberFormat="1" applyFont="1"/>
    <xf numFmtId="179" fontId="5" fillId="0" borderId="0" xfId="0" applyNumberFormat="1" applyFont="1"/>
    <xf numFmtId="37" fontId="5" fillId="0" borderId="6" xfId="0" applyNumberFormat="1" applyFont="1" applyBorder="1"/>
    <xf numFmtId="39" fontId="5" fillId="0" borderId="0" xfId="0" applyNumberFormat="1" applyFont="1" applyAlignment="1">
      <alignment horizontal="centerContinuous"/>
    </xf>
    <xf numFmtId="170" fontId="5" fillId="0" borderId="0" xfId="0" applyNumberFormat="1" applyFont="1" applyAlignment="1">
      <alignment horizontal="right"/>
    </xf>
    <xf numFmtId="0" fontId="3" fillId="0" borderId="6" xfId="0" applyFont="1" applyBorder="1"/>
    <xf numFmtId="39" fontId="19" fillId="0" borderId="0" xfId="0" quotePrefix="1" applyNumberFormat="1" applyFont="1" applyAlignment="1">
      <alignment horizontal="center"/>
    </xf>
    <xf numFmtId="182" fontId="5" fillId="0" borderId="0" xfId="0" applyNumberFormat="1" applyFont="1" applyProtection="1">
      <protection locked="0"/>
    </xf>
    <xf numFmtId="180" fontId="5" fillId="0" borderId="0" xfId="0" applyNumberFormat="1" applyFont="1"/>
    <xf numFmtId="190" fontId="47" fillId="0" borderId="0" xfId="62" applyNumberFormat="1" applyFont="1"/>
    <xf numFmtId="0" fontId="48" fillId="0" borderId="0" xfId="62" applyFont="1" applyAlignment="1">
      <alignment horizontal="center" vertical="center"/>
    </xf>
    <xf numFmtId="0" fontId="48" fillId="0" borderId="0" xfId="62" applyFont="1" applyAlignment="1">
      <alignment horizontal="center" vertical="center" wrapText="1"/>
    </xf>
    <xf numFmtId="189" fontId="48" fillId="0" borderId="0" xfId="62" applyNumberFormat="1" applyFont="1" applyAlignment="1">
      <alignment horizontal="center"/>
    </xf>
    <xf numFmtId="0" fontId="48" fillId="0" borderId="0" xfId="62" applyFont="1" applyAlignment="1">
      <alignment horizontal="center"/>
    </xf>
    <xf numFmtId="0" fontId="5" fillId="0" borderId="0" xfId="47" applyFont="1"/>
    <xf numFmtId="0" fontId="5" fillId="0" borderId="0" xfId="0" quotePrefix="1" applyFont="1" applyAlignment="1">
      <alignment horizontal="centerContinuous"/>
    </xf>
    <xf numFmtId="170" fontId="3" fillId="0" borderId="7" xfId="0" applyNumberFormat="1" applyFont="1" applyBorder="1"/>
    <xf numFmtId="183" fontId="5" fillId="0" borderId="1" xfId="56" applyNumberFormat="1" applyFont="1" applyFill="1" applyBorder="1" applyAlignment="1">
      <alignment horizontal="center"/>
    </xf>
    <xf numFmtId="175" fontId="3" fillId="0" borderId="7" xfId="0" applyNumberFormat="1" applyFont="1" applyBorder="1"/>
    <xf numFmtId="37" fontId="3" fillId="0" borderId="8" xfId="0" applyNumberFormat="1" applyFont="1" applyBorder="1" applyProtection="1">
      <protection locked="0"/>
    </xf>
    <xf numFmtId="10" fontId="5" fillId="0" borderId="0" xfId="58" applyNumberFormat="1" applyFont="1" applyFill="1"/>
    <xf numFmtId="0" fontId="5" fillId="0" borderId="1" xfId="0" applyFont="1" applyBorder="1" applyAlignment="1">
      <alignment horizontal="left"/>
    </xf>
    <xf numFmtId="2" fontId="3" fillId="0" borderId="0" xfId="0" applyNumberFormat="1" applyFont="1"/>
    <xf numFmtId="10" fontId="3" fillId="0" borderId="0" xfId="0" applyNumberFormat="1" applyFont="1"/>
    <xf numFmtId="10" fontId="3" fillId="0" borderId="0" xfId="58" applyNumberFormat="1" applyFont="1" applyFill="1"/>
    <xf numFmtId="0" fontId="3" fillId="0" borderId="0" xfId="0" applyFont="1" applyAlignment="1">
      <alignment horizontal="left"/>
    </xf>
    <xf numFmtId="39" fontId="3" fillId="0" borderId="0" xfId="0" quotePrefix="1" applyNumberFormat="1" applyFont="1" applyAlignment="1">
      <alignment horizontal="right"/>
    </xf>
    <xf numFmtId="0" fontId="19" fillId="0" borderId="1" xfId="0" applyFont="1" applyBorder="1" applyAlignment="1">
      <alignment horizontal="center"/>
    </xf>
    <xf numFmtId="0" fontId="46" fillId="0" borderId="0" xfId="0" applyFont="1"/>
    <xf numFmtId="0" fontId="47" fillId="0" borderId="0" xfId="0" applyFont="1"/>
    <xf numFmtId="9" fontId="47" fillId="0" borderId="0" xfId="58" applyFont="1" applyFill="1"/>
    <xf numFmtId="0" fontId="48" fillId="0" borderId="0" xfId="0" applyFont="1"/>
    <xf numFmtId="0" fontId="47" fillId="0" borderId="0" xfId="0" quotePrefix="1" applyFont="1"/>
    <xf numFmtId="0" fontId="47" fillId="0" borderId="0" xfId="0" applyFont="1" applyAlignment="1">
      <alignment wrapText="1"/>
    </xf>
    <xf numFmtId="183" fontId="47" fillId="0" borderId="0" xfId="56" applyNumberFormat="1" applyFont="1" applyFill="1" applyAlignment="1">
      <alignment wrapText="1"/>
    </xf>
    <xf numFmtId="184" fontId="47" fillId="0" borderId="0" xfId="58" applyNumberFormat="1" applyFont="1" applyFill="1"/>
    <xf numFmtId="185" fontId="47" fillId="0" borderId="0" xfId="57" applyNumberFormat="1" applyFont="1" applyFill="1"/>
    <xf numFmtId="183" fontId="47" fillId="0" borderId="0" xfId="56" applyNumberFormat="1" applyFont="1" applyFill="1"/>
    <xf numFmtId="37" fontId="47" fillId="0" borderId="0" xfId="0" applyNumberFormat="1" applyFont="1"/>
    <xf numFmtId="43" fontId="47" fillId="0" borderId="0" xfId="0" applyNumberFormat="1" applyFont="1"/>
    <xf numFmtId="183" fontId="47" fillId="0" borderId="0" xfId="0" applyNumberFormat="1" applyFont="1"/>
    <xf numFmtId="0" fontId="47" fillId="0" borderId="16" xfId="0" applyFont="1" applyBorder="1"/>
    <xf numFmtId="10" fontId="47" fillId="0" borderId="17" xfId="58" applyNumberFormat="1" applyFont="1" applyFill="1" applyBorder="1"/>
    <xf numFmtId="185" fontId="47" fillId="0" borderId="0" xfId="0" applyNumberFormat="1" applyFont="1"/>
    <xf numFmtId="185" fontId="47" fillId="0" borderId="17" xfId="57" applyNumberFormat="1" applyFont="1" applyFill="1" applyBorder="1"/>
    <xf numFmtId="185" fontId="47" fillId="0" borderId="18" xfId="0" applyNumberFormat="1" applyFont="1" applyBorder="1"/>
    <xf numFmtId="188" fontId="47" fillId="0" borderId="0" xfId="58" applyNumberFormat="1" applyFont="1" applyFill="1"/>
    <xf numFmtId="0" fontId="47" fillId="0" borderId="18" xfId="0" applyFont="1" applyBorder="1"/>
    <xf numFmtId="0" fontId="47" fillId="0" borderId="0" xfId="0" quotePrefix="1" applyFont="1" applyAlignment="1">
      <alignment horizontal="left"/>
    </xf>
    <xf numFmtId="188" fontId="47" fillId="0" borderId="0" xfId="0" applyNumberFormat="1" applyFont="1"/>
    <xf numFmtId="0" fontId="47" fillId="0" borderId="21" xfId="0" applyFont="1" applyBorder="1"/>
    <xf numFmtId="0" fontId="47" fillId="0" borderId="5" xfId="0" applyFont="1" applyBorder="1"/>
    <xf numFmtId="0" fontId="47" fillId="0" borderId="22" xfId="0" applyFont="1" applyBorder="1"/>
    <xf numFmtId="0" fontId="47" fillId="0" borderId="12" xfId="0" applyFont="1" applyBorder="1" applyAlignment="1">
      <alignment wrapText="1"/>
    </xf>
    <xf numFmtId="37" fontId="47" fillId="0" borderId="13" xfId="0" applyNumberFormat="1" applyFont="1" applyBorder="1"/>
    <xf numFmtId="0" fontId="47" fillId="0" borderId="23" xfId="0" applyFont="1" applyBorder="1" applyAlignment="1">
      <alignment wrapText="1"/>
    </xf>
    <xf numFmtId="184" fontId="47" fillId="0" borderId="24" xfId="58" applyNumberFormat="1" applyFont="1" applyFill="1" applyBorder="1"/>
    <xf numFmtId="0" fontId="47" fillId="0" borderId="9" xfId="0" applyFont="1" applyBorder="1"/>
    <xf numFmtId="185" fontId="47" fillId="0" borderId="10" xfId="57" applyNumberFormat="1" applyFont="1" applyFill="1" applyBorder="1"/>
    <xf numFmtId="0" fontId="47" fillId="0" borderId="9" xfId="0" applyFont="1" applyBorder="1" applyAlignment="1">
      <alignment wrapText="1"/>
    </xf>
    <xf numFmtId="37" fontId="47" fillId="0" borderId="10" xfId="0" applyNumberFormat="1" applyFont="1" applyBorder="1"/>
    <xf numFmtId="44" fontId="47" fillId="0" borderId="10" xfId="0" applyNumberFormat="1" applyFont="1" applyBorder="1"/>
    <xf numFmtId="184" fontId="47" fillId="0" borderId="25" xfId="58" applyNumberFormat="1" applyFont="1" applyFill="1" applyBorder="1"/>
    <xf numFmtId="0" fontId="47" fillId="0" borderId="10" xfId="0" applyFont="1" applyBorder="1"/>
    <xf numFmtId="0" fontId="47" fillId="0" borderId="12" xfId="0" applyFont="1" applyBorder="1"/>
    <xf numFmtId="0" fontId="47" fillId="0" borderId="13" xfId="0" applyFont="1" applyBorder="1"/>
    <xf numFmtId="183" fontId="47" fillId="0" borderId="10" xfId="56" applyNumberFormat="1" applyFont="1" applyFill="1" applyBorder="1"/>
    <xf numFmtId="0" fontId="47" fillId="0" borderId="2" xfId="0" applyFont="1" applyBorder="1" applyAlignment="1">
      <alignment wrapText="1"/>
    </xf>
    <xf numFmtId="44" fontId="47" fillId="0" borderId="4" xfId="0" applyNumberFormat="1" applyFont="1" applyBorder="1"/>
    <xf numFmtId="9" fontId="47" fillId="0" borderId="10" xfId="58" applyFont="1" applyFill="1" applyBorder="1"/>
    <xf numFmtId="185" fontId="47" fillId="0" borderId="13" xfId="0" applyNumberFormat="1" applyFont="1" applyBorder="1"/>
    <xf numFmtId="44" fontId="47" fillId="0" borderId="13" xfId="57" applyFont="1" applyFill="1" applyBorder="1"/>
    <xf numFmtId="0" fontId="47" fillId="0" borderId="14" xfId="0" applyFont="1" applyBorder="1" applyAlignment="1">
      <alignment wrapText="1"/>
    </xf>
    <xf numFmtId="44" fontId="47" fillId="0" borderId="15" xfId="57" applyFont="1" applyFill="1" applyBorder="1"/>
    <xf numFmtId="44" fontId="47" fillId="0" borderId="4" xfId="57" applyFont="1" applyFill="1" applyBorder="1"/>
    <xf numFmtId="185" fontId="47" fillId="0" borderId="10" xfId="0" applyNumberFormat="1" applyFont="1" applyBorder="1"/>
    <xf numFmtId="44" fontId="47" fillId="0" borderId="13" xfId="0" applyNumberFormat="1" applyFont="1" applyBorder="1"/>
    <xf numFmtId="187" fontId="47" fillId="0" borderId="10" xfId="57" applyNumberFormat="1" applyFont="1" applyFill="1" applyBorder="1"/>
    <xf numFmtId="186" fontId="47" fillId="0" borderId="4" xfId="56" applyNumberFormat="1" applyFont="1" applyFill="1" applyBorder="1"/>
    <xf numFmtId="187" fontId="47" fillId="0" borderId="15" xfId="57" applyNumberFormat="1" applyFont="1" applyFill="1" applyBorder="1"/>
    <xf numFmtId="9" fontId="47" fillId="0" borderId="13" xfId="58" applyFont="1" applyFill="1" applyBorder="1"/>
    <xf numFmtId="187" fontId="47" fillId="0" borderId="4" xfId="57" applyNumberFormat="1" applyFont="1" applyFill="1" applyBorder="1"/>
    <xf numFmtId="185" fontId="47" fillId="0" borderId="19" xfId="57" applyNumberFormat="1" applyFont="1" applyFill="1" applyBorder="1"/>
    <xf numFmtId="0" fontId="47" fillId="0" borderId="19" xfId="0" applyFont="1" applyBorder="1"/>
    <xf numFmtId="172" fontId="47" fillId="0" borderId="10" xfId="0" applyNumberFormat="1" applyFont="1" applyBorder="1"/>
    <xf numFmtId="185" fontId="47" fillId="0" borderId="15" xfId="0" applyNumberFormat="1" applyFont="1" applyBorder="1"/>
    <xf numFmtId="44" fontId="47" fillId="0" borderId="0" xfId="0" applyNumberFormat="1" applyFont="1"/>
    <xf numFmtId="44" fontId="47" fillId="0" borderId="0" xfId="0" applyNumberFormat="1" applyFont="1" applyAlignment="1">
      <alignment wrapText="1"/>
    </xf>
    <xf numFmtId="0" fontId="47" fillId="0" borderId="10" xfId="0" applyFont="1" applyBorder="1" applyAlignment="1">
      <alignment wrapText="1"/>
    </xf>
    <xf numFmtId="0" fontId="47" fillId="0" borderId="14" xfId="0" applyFont="1" applyBorder="1"/>
    <xf numFmtId="0" fontId="47" fillId="0" borderId="15" xfId="0" applyFont="1" applyBorder="1"/>
    <xf numFmtId="9" fontId="47" fillId="0" borderId="0" xfId="58" applyFont="1" applyFill="1" applyBorder="1"/>
    <xf numFmtId="180" fontId="47" fillId="0" borderId="10" xfId="0" applyNumberFormat="1" applyFont="1" applyBorder="1"/>
    <xf numFmtId="187" fontId="47" fillId="0" borderId="4" xfId="0" applyNumberFormat="1" applyFont="1" applyBorder="1"/>
    <xf numFmtId="44" fontId="47" fillId="0" borderId="15" xfId="0" applyNumberFormat="1" applyFont="1" applyBorder="1"/>
    <xf numFmtId="187" fontId="47" fillId="0" borderId="13" xfId="0" applyNumberFormat="1" applyFont="1" applyBorder="1"/>
    <xf numFmtId="187" fontId="47" fillId="0" borderId="0" xfId="0" applyNumberFormat="1" applyFont="1"/>
    <xf numFmtId="187" fontId="47" fillId="0" borderId="10" xfId="0" applyNumberFormat="1" applyFont="1" applyBorder="1"/>
    <xf numFmtId="187" fontId="47" fillId="0" borderId="15" xfId="0" applyNumberFormat="1" applyFont="1" applyBorder="1"/>
    <xf numFmtId="185" fontId="47" fillId="0" borderId="20" xfId="57" applyNumberFormat="1" applyFont="1" applyFill="1" applyBorder="1"/>
    <xf numFmtId="37" fontId="47" fillId="0" borderId="20" xfId="0" applyNumberFormat="1" applyFont="1" applyBorder="1"/>
    <xf numFmtId="9" fontId="47" fillId="0" borderId="20" xfId="58" applyFont="1" applyFill="1" applyBorder="1"/>
    <xf numFmtId="184" fontId="47" fillId="0" borderId="10" xfId="58" applyNumberFormat="1" applyFont="1" applyFill="1" applyBorder="1"/>
    <xf numFmtId="189" fontId="3" fillId="0" borderId="0" xfId="0" applyNumberFormat="1" applyFont="1"/>
    <xf numFmtId="183" fontId="3" fillId="0" borderId="0" xfId="56" applyNumberFormat="1" applyFont="1" applyFill="1"/>
    <xf numFmtId="189" fontId="3" fillId="0" borderId="0" xfId="58" applyNumberFormat="1" applyFont="1" applyFill="1"/>
    <xf numFmtId="183" fontId="3" fillId="0" borderId="0" xfId="0" applyNumberFormat="1" applyFont="1"/>
    <xf numFmtId="0" fontId="3" fillId="0" borderId="21" xfId="0" applyFont="1" applyBorder="1"/>
    <xf numFmtId="0" fontId="3" fillId="0" borderId="5" xfId="0" applyFont="1" applyBorder="1"/>
    <xf numFmtId="189" fontId="3" fillId="0" borderId="5" xfId="0" applyNumberFormat="1" applyFont="1" applyBorder="1"/>
    <xf numFmtId="183" fontId="3" fillId="0" borderId="5" xfId="56" applyNumberFormat="1" applyFont="1" applyFill="1" applyBorder="1"/>
    <xf numFmtId="0" fontId="3" fillId="0" borderId="22" xfId="0" applyFont="1" applyBorder="1"/>
    <xf numFmtId="0" fontId="3" fillId="0" borderId="23" xfId="0" applyFont="1" applyBorder="1"/>
    <xf numFmtId="183" fontId="3" fillId="0" borderId="0" xfId="56" applyNumberFormat="1" applyFont="1" applyFill="1" applyBorder="1"/>
    <xf numFmtId="0" fontId="3" fillId="0" borderId="24" xfId="0" applyFont="1" applyBorder="1"/>
    <xf numFmtId="0" fontId="3" fillId="0" borderId="26" xfId="0" applyFont="1" applyBorder="1"/>
    <xf numFmtId="189" fontId="3" fillId="0" borderId="1" xfId="0" applyNumberFormat="1" applyFont="1" applyBorder="1"/>
    <xf numFmtId="183" fontId="3" fillId="0" borderId="1" xfId="56" applyNumberFormat="1" applyFont="1" applyFill="1" applyBorder="1"/>
    <xf numFmtId="3" fontId="3" fillId="0" borderId="1" xfId="0" applyNumberFormat="1" applyFont="1" applyBorder="1"/>
    <xf numFmtId="0" fontId="3" fillId="0" borderId="25" xfId="0" applyFont="1" applyBorder="1"/>
    <xf numFmtId="43" fontId="3" fillId="0" borderId="0" xfId="56" applyFont="1" applyFill="1"/>
    <xf numFmtId="0" fontId="40" fillId="0" borderId="0" xfId="0" applyFont="1"/>
    <xf numFmtId="0" fontId="41" fillId="0" borderId="0" xfId="0" applyFont="1"/>
    <xf numFmtId="0" fontId="41" fillId="0" borderId="0" xfId="0" applyFont="1" applyAlignment="1">
      <alignment horizontal="center" wrapText="1"/>
    </xf>
    <xf numFmtId="0" fontId="40" fillId="0" borderId="0" xfId="0" applyFont="1" applyAlignment="1">
      <alignment horizontal="center"/>
    </xf>
    <xf numFmtId="185" fontId="40" fillId="0" borderId="0" xfId="57" applyNumberFormat="1" applyFont="1" applyFill="1"/>
    <xf numFmtId="37" fontId="40" fillId="0" borderId="0" xfId="0" applyNumberFormat="1" applyFont="1"/>
    <xf numFmtId="9" fontId="40" fillId="0" borderId="0" xfId="58" applyFont="1" applyFill="1"/>
    <xf numFmtId="0" fontId="26" fillId="4" borderId="0" xfId="0" applyFont="1" applyFill="1" applyAlignment="1" applyProtection="1">
      <alignment horizontal="left"/>
      <protection locked="0"/>
    </xf>
    <xf numFmtId="0" fontId="26" fillId="4" borderId="0" xfId="0" applyFont="1" applyFill="1" applyAlignment="1">
      <alignment horizontal="left"/>
    </xf>
    <xf numFmtId="0" fontId="24" fillId="4" borderId="0" xfId="0" quotePrefix="1" applyFont="1" applyFill="1" applyAlignment="1">
      <alignment horizontal="center"/>
    </xf>
    <xf numFmtId="0" fontId="24" fillId="4" borderId="0" xfId="0" applyFont="1" applyFill="1" applyAlignment="1">
      <alignment horizontal="center"/>
    </xf>
    <xf numFmtId="0" fontId="26" fillId="4" borderId="0" xfId="0" quotePrefix="1" applyFont="1" applyFill="1" applyAlignment="1" applyProtection="1">
      <alignment horizontal="left"/>
      <protection locked="0"/>
    </xf>
    <xf numFmtId="0" fontId="26" fillId="4" borderId="0" xfId="0" quotePrefix="1" applyFont="1" applyFill="1" applyAlignment="1">
      <alignment horizontal="left"/>
    </xf>
    <xf numFmtId="0" fontId="22" fillId="7" borderId="2" xfId="0" applyFont="1" applyFill="1" applyBorder="1" applyAlignment="1">
      <alignment horizontal="center"/>
    </xf>
    <xf numFmtId="0" fontId="22" fillId="7" borderId="3" xfId="0" applyFont="1" applyFill="1" applyBorder="1" applyAlignment="1">
      <alignment horizontal="center"/>
    </xf>
    <xf numFmtId="0" fontId="22" fillId="7" borderId="4" xfId="0" applyFont="1" applyFill="1" applyBorder="1" applyAlignment="1">
      <alignment horizontal="center"/>
    </xf>
    <xf numFmtId="0" fontId="24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5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9" fillId="0" borderId="0" xfId="0" applyFont="1" applyAlignment="1">
      <alignment horizontal="center"/>
    </xf>
  </cellXfs>
  <cellStyles count="70">
    <cellStyle name="Comma" xfId="56" builtinId="3"/>
    <cellStyle name="Comma 2" xfId="61" xr:uid="{00000000-0005-0000-0000-000001000000}"/>
    <cellStyle name="Comma 2 2" xfId="68" xr:uid="{BD3E171E-1C2F-4E21-ADC7-76EF4E8FA4ED}"/>
    <cellStyle name="Comma 3" xfId="63" xr:uid="{B844575C-8ADC-4D67-872E-6594CDF4CFC4}"/>
    <cellStyle name="Currency" xfId="57" builtinId="4"/>
    <cellStyle name="Currency 2" xfId="66" xr:uid="{BC34E618-FB5B-49EF-8D23-BFE65EC1FF1B}"/>
    <cellStyle name="Currency 3" xfId="69" xr:uid="{87DCCA76-DF0B-4E0B-9FAB-CA8826172F6D}"/>
    <cellStyle name="Currency 4" xfId="64" xr:uid="{A500E150-305B-4B3E-AAA4-83938CB5FA8B}"/>
    <cellStyle name="Normal" xfId="0" builtinId="0"/>
    <cellStyle name="Normal 10" xfId="10" xr:uid="{00000000-0005-0000-0000-000004000000}"/>
    <cellStyle name="Normal 11" xfId="11" xr:uid="{00000000-0005-0000-0000-000005000000}"/>
    <cellStyle name="Normal 12" xfId="13" xr:uid="{00000000-0005-0000-0000-000006000000}"/>
    <cellStyle name="Normal 12 2" xfId="50" xr:uid="{00000000-0005-0000-0000-000007000000}"/>
    <cellStyle name="Normal 12 3" xfId="51" xr:uid="{00000000-0005-0000-0000-000008000000}"/>
    <cellStyle name="Normal 12 4" xfId="53" xr:uid="{00000000-0005-0000-0000-000009000000}"/>
    <cellStyle name="Normal 12 5" xfId="52" xr:uid="{00000000-0005-0000-0000-00000A000000}"/>
    <cellStyle name="Normal 12 6" xfId="54" xr:uid="{00000000-0005-0000-0000-00000B000000}"/>
    <cellStyle name="Normal 13" xfId="12" xr:uid="{00000000-0005-0000-0000-00000C000000}"/>
    <cellStyle name="Normal 14" xfId="16" xr:uid="{00000000-0005-0000-0000-00000D000000}"/>
    <cellStyle name="Normal 15" xfId="17" xr:uid="{00000000-0005-0000-0000-00000E000000}"/>
    <cellStyle name="Normal 16" xfId="19" xr:uid="{00000000-0005-0000-0000-00000F000000}"/>
    <cellStyle name="Normal 17" xfId="21" xr:uid="{00000000-0005-0000-0000-000010000000}"/>
    <cellStyle name="Normal 18" xfId="23" xr:uid="{00000000-0005-0000-0000-000011000000}"/>
    <cellStyle name="Normal 19" xfId="25" xr:uid="{00000000-0005-0000-0000-000012000000}"/>
    <cellStyle name="Normal 2" xfId="1" xr:uid="{00000000-0005-0000-0000-000013000000}"/>
    <cellStyle name="Normal 2 10" xfId="29" xr:uid="{00000000-0005-0000-0000-000014000000}"/>
    <cellStyle name="Normal 2 11" xfId="32" xr:uid="{00000000-0005-0000-0000-000015000000}"/>
    <cellStyle name="Normal 2 12" xfId="34" xr:uid="{00000000-0005-0000-0000-000016000000}"/>
    <cellStyle name="Normal 2 13" xfId="36" xr:uid="{00000000-0005-0000-0000-000017000000}"/>
    <cellStyle name="Normal 2 14" xfId="38" xr:uid="{00000000-0005-0000-0000-000018000000}"/>
    <cellStyle name="Normal 2 15" xfId="40" xr:uid="{00000000-0005-0000-0000-000019000000}"/>
    <cellStyle name="Normal 2 16" xfId="27" xr:uid="{00000000-0005-0000-0000-00001A000000}"/>
    <cellStyle name="Normal 2 17" xfId="41" xr:uid="{00000000-0005-0000-0000-00001B000000}"/>
    <cellStyle name="Normal 2 18" xfId="44" xr:uid="{00000000-0005-0000-0000-00001C000000}"/>
    <cellStyle name="Normal 2 19" xfId="45" xr:uid="{00000000-0005-0000-0000-00001D000000}"/>
    <cellStyle name="Normal 2 2" xfId="2" xr:uid="{00000000-0005-0000-0000-00001E000000}"/>
    <cellStyle name="Normal 2 20" xfId="48" xr:uid="{00000000-0005-0000-0000-00001F000000}"/>
    <cellStyle name="Normal 2 3" xfId="14" xr:uid="{00000000-0005-0000-0000-000020000000}"/>
    <cellStyle name="Normal 2 4" xfId="15" xr:uid="{00000000-0005-0000-0000-000021000000}"/>
    <cellStyle name="Normal 2 5" xfId="18" xr:uid="{00000000-0005-0000-0000-000022000000}"/>
    <cellStyle name="Normal 2 6" xfId="20" xr:uid="{00000000-0005-0000-0000-000023000000}"/>
    <cellStyle name="Normal 2 7" xfId="22" xr:uid="{00000000-0005-0000-0000-000024000000}"/>
    <cellStyle name="Normal 2 8" xfId="24" xr:uid="{00000000-0005-0000-0000-000025000000}"/>
    <cellStyle name="Normal 2 9" xfId="26" xr:uid="{00000000-0005-0000-0000-000026000000}"/>
    <cellStyle name="Normal 20" xfId="30" xr:uid="{00000000-0005-0000-0000-000027000000}"/>
    <cellStyle name="Normal 21" xfId="31" xr:uid="{00000000-0005-0000-0000-000028000000}"/>
    <cellStyle name="Normal 22" xfId="33" xr:uid="{00000000-0005-0000-0000-000029000000}"/>
    <cellStyle name="Normal 23" xfId="35" xr:uid="{00000000-0005-0000-0000-00002A000000}"/>
    <cellStyle name="Normal 24" xfId="37" xr:uid="{00000000-0005-0000-0000-00002B000000}"/>
    <cellStyle name="Normal 25" xfId="39" xr:uid="{00000000-0005-0000-0000-00002C000000}"/>
    <cellStyle name="Normal 26" xfId="28" xr:uid="{00000000-0005-0000-0000-00002D000000}"/>
    <cellStyle name="Normal 27" xfId="42" xr:uid="{00000000-0005-0000-0000-00002E000000}"/>
    <cellStyle name="Normal 28" xfId="43" xr:uid="{00000000-0005-0000-0000-00002F000000}"/>
    <cellStyle name="Normal 29" xfId="46" xr:uid="{00000000-0005-0000-0000-000030000000}"/>
    <cellStyle name="Normal 3" xfId="3" xr:uid="{00000000-0005-0000-0000-000031000000}"/>
    <cellStyle name="Normal 3 2" xfId="67" xr:uid="{8FE07A52-7991-447D-A37B-F91F75CE5CE8}"/>
    <cellStyle name="Normal 30" xfId="47" xr:uid="{00000000-0005-0000-0000-000032000000}"/>
    <cellStyle name="Normal 31" xfId="55" xr:uid="{00000000-0005-0000-0000-000033000000}"/>
    <cellStyle name="Normal 32" xfId="49" xr:uid="{00000000-0005-0000-0000-000034000000}"/>
    <cellStyle name="Normal 33" xfId="59" xr:uid="{00000000-0005-0000-0000-000035000000}"/>
    <cellStyle name="Normal 34" xfId="62" xr:uid="{FCE9C858-1F8A-4033-A237-94BEA584FCE0}"/>
    <cellStyle name="Normal 4" xfId="4" xr:uid="{00000000-0005-0000-0000-000036000000}"/>
    <cellStyle name="Normal 5" xfId="5" xr:uid="{00000000-0005-0000-0000-000037000000}"/>
    <cellStyle name="Normal 6" xfId="6" xr:uid="{00000000-0005-0000-0000-000038000000}"/>
    <cellStyle name="Normal 7" xfId="7" xr:uid="{00000000-0005-0000-0000-000039000000}"/>
    <cellStyle name="Normal 8" xfId="8" xr:uid="{00000000-0005-0000-0000-00003A000000}"/>
    <cellStyle name="Normal 9" xfId="9" xr:uid="{00000000-0005-0000-0000-00003B000000}"/>
    <cellStyle name="Percent" xfId="58" builtinId="5"/>
    <cellStyle name="Percent 2" xfId="60" xr:uid="{00000000-0005-0000-0000-00003D000000}"/>
    <cellStyle name="Percent 3" xfId="65" xr:uid="{E18A49BD-A1BE-4879-98B3-992808E35AB3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66CC"/>
      <color rgb="FF3333FF"/>
      <color rgb="FF255997"/>
      <color rgb="FFB919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trlProps/ctrlProp1.xml><?xml version="1.0" encoding="utf-8"?>
<formControlPr xmlns="http://schemas.microsoft.com/office/spreadsheetml/2009/9/main" objectType="Radio" checked="Checked" firstButton="1" fmlaLink="$H$7" lockText="1" noThreeD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4</xdr:row>
          <xdr:rowOff>7620</xdr:rowOff>
        </xdr:from>
        <xdr:to>
          <xdr:col>8</xdr:col>
          <xdr:colOff>0</xdr:colOff>
          <xdr:row>5</xdr:row>
          <xdr:rowOff>7620</xdr:rowOff>
        </xdr:to>
        <xdr:sp macro="" textlink="">
          <xdr:nvSpPr>
            <xdr:cNvPr id="157697" name="Option Button 1" descr="With Riders" hidden="1">
              <a:extLst>
                <a:ext uri="{63B3BB69-23CF-44E3-9099-C40C66FF867C}">
                  <a14:compatExt spid="_x0000_s157697"/>
                </a:ext>
                <a:ext uri="{FF2B5EF4-FFF2-40B4-BE49-F238E27FC236}">
                  <a16:creationId xmlns:a16="http://schemas.microsoft.com/office/drawing/2014/main" id="{00000000-0008-0000-0000-000001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With Riders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5</xdr:row>
          <xdr:rowOff>0</xdr:rowOff>
        </xdr:from>
        <xdr:to>
          <xdr:col>8</xdr:col>
          <xdr:colOff>0</xdr:colOff>
          <xdr:row>6</xdr:row>
          <xdr:rowOff>0</xdr:rowOff>
        </xdr:to>
        <xdr:sp macro="" textlink="">
          <xdr:nvSpPr>
            <xdr:cNvPr id="157698" name="Option Button 2" hidden="1">
              <a:extLst>
                <a:ext uri="{63B3BB69-23CF-44E3-9099-C40C66FF867C}">
                  <a14:compatExt spid="_x0000_s157698"/>
                </a:ext>
                <a:ext uri="{FF2B5EF4-FFF2-40B4-BE49-F238E27FC236}">
                  <a16:creationId xmlns:a16="http://schemas.microsoft.com/office/drawing/2014/main" id="{00000000-0008-0000-0000-000002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Without Riders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</xdr:row>
          <xdr:rowOff>22860</xdr:rowOff>
        </xdr:from>
        <xdr:to>
          <xdr:col>7</xdr:col>
          <xdr:colOff>7620</xdr:colOff>
          <xdr:row>4</xdr:row>
          <xdr:rowOff>7620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Revenue Summary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7620</xdr:colOff>
          <xdr:row>3</xdr:row>
          <xdr:rowOff>0</xdr:rowOff>
        </xdr:from>
        <xdr:to>
          <xdr:col>20</xdr:col>
          <xdr:colOff>0</xdr:colOff>
          <xdr:row>4</xdr:row>
          <xdr:rowOff>7620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N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Typical Bill Comparison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</xdr:row>
          <xdr:rowOff>0</xdr:rowOff>
        </xdr:from>
        <xdr:to>
          <xdr:col>2</xdr:col>
          <xdr:colOff>0</xdr:colOff>
          <xdr:row>8</xdr:row>
          <xdr:rowOff>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(ALL)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754380</xdr:colOff>
          <xdr:row>9</xdr:row>
          <xdr:rowOff>7620</xdr:rowOff>
        </xdr:from>
        <xdr:to>
          <xdr:col>2</xdr:col>
          <xdr:colOff>7620</xdr:colOff>
          <xdr:row>10</xdr:row>
          <xdr:rowOff>7620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(Summary)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11</xdr:row>
          <xdr:rowOff>0</xdr:rowOff>
        </xdr:from>
        <xdr:to>
          <xdr:col>2</xdr:col>
          <xdr:colOff>0</xdr:colOff>
          <xdr:row>12</xdr:row>
          <xdr:rowOff>0</xdr:rowOff>
        </xdr:to>
        <xdr:sp macro="" textlink="">
          <xdr:nvSpPr>
            <xdr:cNvPr id="1029" name="Butto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2-23)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0</xdr:rowOff>
        </xdr:from>
        <xdr:to>
          <xdr:col>4</xdr:col>
          <xdr:colOff>0</xdr:colOff>
          <xdr:row>8</xdr:row>
          <xdr:rowOff>7620</xdr:rowOff>
        </xdr:to>
        <xdr:sp macro="" textlink="">
          <xdr:nvSpPr>
            <xdr:cNvPr id="1030" name="Butto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182880</xdr:rowOff>
        </xdr:from>
        <xdr:to>
          <xdr:col>3</xdr:col>
          <xdr:colOff>1089660</xdr:colOff>
          <xdr:row>10</xdr:row>
          <xdr:rowOff>0</xdr:rowOff>
        </xdr:to>
        <xdr:sp macro="" textlink="">
          <xdr:nvSpPr>
            <xdr:cNvPr id="1031" name="Butto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7620</xdr:rowOff>
        </xdr:from>
        <xdr:to>
          <xdr:col>4</xdr:col>
          <xdr:colOff>0</xdr:colOff>
          <xdr:row>12</xdr:row>
          <xdr:rowOff>0</xdr:rowOff>
        </xdr:to>
        <xdr:sp macro="" textlink="">
          <xdr:nvSpPr>
            <xdr:cNvPr id="1032" name="Butto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DT-PRI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9</xdr:row>
          <xdr:rowOff>7620</xdr:rowOff>
        </xdr:from>
        <xdr:to>
          <xdr:col>5</xdr:col>
          <xdr:colOff>1089660</xdr:colOff>
          <xdr:row>10</xdr:row>
          <xdr:rowOff>7620</xdr:rowOff>
        </xdr:to>
        <xdr:sp macro="" textlink="">
          <xdr:nvSpPr>
            <xdr:cNvPr id="1033" name="Butto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6</xdr:row>
          <xdr:rowOff>190500</xdr:rowOff>
        </xdr:from>
        <xdr:to>
          <xdr:col>6</xdr:col>
          <xdr:colOff>0</xdr:colOff>
          <xdr:row>8</xdr:row>
          <xdr:rowOff>0</xdr:rowOff>
        </xdr:to>
        <xdr:sp macro="" textlink="">
          <xdr:nvSpPr>
            <xdr:cNvPr id="1034" name="Button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SP &amp; GSFL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182880</xdr:rowOff>
        </xdr:from>
        <xdr:to>
          <xdr:col>4</xdr:col>
          <xdr:colOff>7620</xdr:colOff>
          <xdr:row>15</xdr:row>
          <xdr:rowOff>495300</xdr:rowOff>
        </xdr:to>
        <xdr:sp macro="" textlink="">
          <xdr:nvSpPr>
            <xdr:cNvPr id="1035" name="Butto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1074420</xdr:colOff>
          <xdr:row>10</xdr:row>
          <xdr:rowOff>182880</xdr:rowOff>
        </xdr:from>
        <xdr:to>
          <xdr:col>6</xdr:col>
          <xdr:colOff>0</xdr:colOff>
          <xdr:row>11</xdr:row>
          <xdr:rowOff>495300</xdr:rowOff>
        </xdr:to>
        <xdr:sp macro="" textlink="">
          <xdr:nvSpPr>
            <xdr:cNvPr id="1036" name="Button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9</xdr:row>
          <xdr:rowOff>7620</xdr:rowOff>
        </xdr:from>
        <xdr:to>
          <xdr:col>8</xdr:col>
          <xdr:colOff>0</xdr:colOff>
          <xdr:row>10</xdr:row>
          <xdr:rowOff>0</xdr:rowOff>
        </xdr:to>
        <xdr:sp macro="" textlink="">
          <xdr:nvSpPr>
            <xdr:cNvPr id="1037" name="Butto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1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13-14)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22860</xdr:colOff>
          <xdr:row>9</xdr:row>
          <xdr:rowOff>7620</xdr:rowOff>
        </xdr:from>
        <xdr:to>
          <xdr:col>10</xdr:col>
          <xdr:colOff>7620</xdr:colOff>
          <xdr:row>10</xdr:row>
          <xdr:rowOff>7620</xdr:rowOff>
        </xdr:to>
        <xdr:sp macro="" textlink="">
          <xdr:nvSpPr>
            <xdr:cNvPr id="1038" name="Butto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1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11</xdr:row>
          <xdr:rowOff>7620</xdr:rowOff>
        </xdr:from>
        <xdr:to>
          <xdr:col>8</xdr:col>
          <xdr:colOff>0</xdr:colOff>
          <xdr:row>11</xdr:row>
          <xdr:rowOff>502920</xdr:rowOff>
        </xdr:to>
        <xdr:sp macro="" textlink="">
          <xdr:nvSpPr>
            <xdr:cNvPr id="1039" name="Butto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1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22860</xdr:colOff>
          <xdr:row>15</xdr:row>
          <xdr:rowOff>0</xdr:rowOff>
        </xdr:from>
        <xdr:to>
          <xdr:col>8</xdr:col>
          <xdr:colOff>22860</xdr:colOff>
          <xdr:row>16</xdr:row>
          <xdr:rowOff>0</xdr:rowOff>
        </xdr:to>
        <xdr:sp macro="" textlink="">
          <xdr:nvSpPr>
            <xdr:cNvPr id="1041" name="Butto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1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NSU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7</xdr:row>
          <xdr:rowOff>7620</xdr:rowOff>
        </xdr:from>
        <xdr:to>
          <xdr:col>12</xdr:col>
          <xdr:colOff>0</xdr:colOff>
          <xdr:row>7</xdr:row>
          <xdr:rowOff>495300</xdr:rowOff>
        </xdr:to>
        <xdr:sp macro="" textlink="">
          <xdr:nvSpPr>
            <xdr:cNvPr id="1043" name="Butto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1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(ALL)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746760</xdr:colOff>
          <xdr:row>9</xdr:row>
          <xdr:rowOff>0</xdr:rowOff>
        </xdr:from>
        <xdr:to>
          <xdr:col>12</xdr:col>
          <xdr:colOff>0</xdr:colOff>
          <xdr:row>10</xdr:row>
          <xdr:rowOff>0</xdr:rowOff>
        </xdr:to>
        <xdr:sp macro="" textlink="">
          <xdr:nvSpPr>
            <xdr:cNvPr id="1044" name="Butto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1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(Summary)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11</xdr:row>
          <xdr:rowOff>0</xdr:rowOff>
        </xdr:from>
        <xdr:to>
          <xdr:col>12</xdr:col>
          <xdr:colOff>0</xdr:colOff>
          <xdr:row>12</xdr:row>
          <xdr:rowOff>22860</xdr:rowOff>
        </xdr:to>
        <xdr:sp macro="" textlink="">
          <xdr:nvSpPr>
            <xdr:cNvPr id="1045" name="Butto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1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2-23)</a:t>
              </a:r>
              <a:endParaRPr lang="en-US" sz="800" b="1" i="0" u="none" strike="noStrike" baseline="0">
                <a:solidFill>
                  <a:srgbClr val="00008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en-US" sz="800" b="1" i="0" u="none" strike="noStrike" baseline="0">
                <a:solidFill>
                  <a:srgbClr val="00008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7</xdr:row>
          <xdr:rowOff>7620</xdr:rowOff>
        </xdr:from>
        <xdr:to>
          <xdr:col>14</xdr:col>
          <xdr:colOff>0</xdr:colOff>
          <xdr:row>8</xdr:row>
          <xdr:rowOff>7620</xdr:rowOff>
        </xdr:to>
        <xdr:sp macro="" textlink="">
          <xdr:nvSpPr>
            <xdr:cNvPr id="1046" name="Butto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1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160020</xdr:colOff>
          <xdr:row>8</xdr:row>
          <xdr:rowOff>182880</xdr:rowOff>
        </xdr:from>
        <xdr:to>
          <xdr:col>13</xdr:col>
          <xdr:colOff>1089660</xdr:colOff>
          <xdr:row>10</xdr:row>
          <xdr:rowOff>7620</xdr:rowOff>
        </xdr:to>
        <xdr:sp macro="" textlink="">
          <xdr:nvSpPr>
            <xdr:cNvPr id="1047" name="Butto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1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(</a:t>
              </a: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Pg3)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160020</xdr:colOff>
          <xdr:row>11</xdr:row>
          <xdr:rowOff>0</xdr:rowOff>
        </xdr:from>
        <xdr:to>
          <xdr:col>14</xdr:col>
          <xdr:colOff>0</xdr:colOff>
          <xdr:row>12</xdr:row>
          <xdr:rowOff>22860</xdr:rowOff>
        </xdr:to>
        <xdr:sp macro="" textlink="">
          <xdr:nvSpPr>
            <xdr:cNvPr id="1048" name="Butto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1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DT-PRI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0</xdr:colOff>
          <xdr:row>9</xdr:row>
          <xdr:rowOff>7620</xdr:rowOff>
        </xdr:from>
        <xdr:to>
          <xdr:col>15</xdr:col>
          <xdr:colOff>1089660</xdr:colOff>
          <xdr:row>10</xdr:row>
          <xdr:rowOff>7620</xdr:rowOff>
        </xdr:to>
        <xdr:sp macro="" textlink="">
          <xdr:nvSpPr>
            <xdr:cNvPr id="1049" name="Butto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1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0</xdr:colOff>
          <xdr:row>7</xdr:row>
          <xdr:rowOff>7620</xdr:rowOff>
        </xdr:from>
        <xdr:to>
          <xdr:col>15</xdr:col>
          <xdr:colOff>1089660</xdr:colOff>
          <xdr:row>8</xdr:row>
          <xdr:rowOff>0</xdr:rowOff>
        </xdr:to>
        <xdr:sp macro="" textlink="">
          <xdr:nvSpPr>
            <xdr:cNvPr id="1050" name="Butto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1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SP &amp; GSFL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15</xdr:row>
          <xdr:rowOff>0</xdr:rowOff>
        </xdr:from>
        <xdr:to>
          <xdr:col>13</xdr:col>
          <xdr:colOff>1089660</xdr:colOff>
          <xdr:row>16</xdr:row>
          <xdr:rowOff>7620</xdr:rowOff>
        </xdr:to>
        <xdr:sp macro="" textlink="">
          <xdr:nvSpPr>
            <xdr:cNvPr id="1051" name="Butto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1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7620</xdr:colOff>
          <xdr:row>11</xdr:row>
          <xdr:rowOff>7620</xdr:rowOff>
        </xdr:from>
        <xdr:to>
          <xdr:col>15</xdr:col>
          <xdr:colOff>1089660</xdr:colOff>
          <xdr:row>11</xdr:row>
          <xdr:rowOff>495300</xdr:rowOff>
        </xdr:to>
        <xdr:sp macro="" textlink="">
          <xdr:nvSpPr>
            <xdr:cNvPr id="1052" name="Butto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1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9</xdr:row>
          <xdr:rowOff>7620</xdr:rowOff>
        </xdr:from>
        <xdr:to>
          <xdr:col>18</xdr:col>
          <xdr:colOff>22860</xdr:colOff>
          <xdr:row>9</xdr:row>
          <xdr:rowOff>502920</xdr:rowOff>
        </xdr:to>
        <xdr:sp macro="" textlink="">
          <xdr:nvSpPr>
            <xdr:cNvPr id="1053" name="Butto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1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13-14)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30480</xdr:colOff>
          <xdr:row>8</xdr:row>
          <xdr:rowOff>152400</xdr:rowOff>
        </xdr:from>
        <xdr:to>
          <xdr:col>20</xdr:col>
          <xdr:colOff>7620</xdr:colOff>
          <xdr:row>10</xdr:row>
          <xdr:rowOff>0</xdr:rowOff>
        </xdr:to>
        <xdr:sp macro="" textlink="">
          <xdr:nvSpPr>
            <xdr:cNvPr id="1054" name="Butto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1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7620</xdr:colOff>
          <xdr:row>11</xdr:row>
          <xdr:rowOff>7620</xdr:rowOff>
        </xdr:from>
        <xdr:to>
          <xdr:col>18</xdr:col>
          <xdr:colOff>7620</xdr:colOff>
          <xdr:row>12</xdr:row>
          <xdr:rowOff>0</xdr:rowOff>
        </xdr:to>
        <xdr:sp macro="" textlink="">
          <xdr:nvSpPr>
            <xdr:cNvPr id="1055" name="Butto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1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15</xdr:row>
          <xdr:rowOff>7620</xdr:rowOff>
        </xdr:from>
        <xdr:to>
          <xdr:col>18</xdr:col>
          <xdr:colOff>38100</xdr:colOff>
          <xdr:row>16</xdr:row>
          <xdr:rowOff>7620</xdr:rowOff>
        </xdr:to>
        <xdr:sp macro="" textlink="">
          <xdr:nvSpPr>
            <xdr:cNvPr id="1057" name="Butto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1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NSU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2</xdr:row>
          <xdr:rowOff>213360</xdr:rowOff>
        </xdr:from>
        <xdr:to>
          <xdr:col>13</xdr:col>
          <xdr:colOff>7620</xdr:colOff>
          <xdr:row>4</xdr:row>
          <xdr:rowOff>0</xdr:rowOff>
        </xdr:to>
        <xdr:sp macro="" textlink="">
          <xdr:nvSpPr>
            <xdr:cNvPr id="1059" name="Butto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1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M-2.1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Revenue at Average Rates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7620</xdr:colOff>
          <xdr:row>7</xdr:row>
          <xdr:rowOff>7620</xdr:rowOff>
        </xdr:from>
        <xdr:to>
          <xdr:col>10</xdr:col>
          <xdr:colOff>0</xdr:colOff>
          <xdr:row>8</xdr:row>
          <xdr:rowOff>7620</xdr:rowOff>
        </xdr:to>
        <xdr:sp macro="" textlink="">
          <xdr:nvSpPr>
            <xdr:cNvPr id="1060" name="Butto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1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7620</xdr:colOff>
          <xdr:row>7</xdr:row>
          <xdr:rowOff>7620</xdr:rowOff>
        </xdr:from>
        <xdr:to>
          <xdr:col>20</xdr:col>
          <xdr:colOff>7620</xdr:colOff>
          <xdr:row>7</xdr:row>
          <xdr:rowOff>495300</xdr:rowOff>
        </xdr:to>
        <xdr:sp macro="" textlink="">
          <xdr:nvSpPr>
            <xdr:cNvPr id="1061" name="Butto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746760</xdr:colOff>
          <xdr:row>13</xdr:row>
          <xdr:rowOff>7620</xdr:rowOff>
        </xdr:from>
        <xdr:to>
          <xdr:col>2</xdr:col>
          <xdr:colOff>7620</xdr:colOff>
          <xdr:row>13</xdr:row>
          <xdr:rowOff>495300</xdr:rowOff>
        </xdr:to>
        <xdr:sp macro="" textlink="">
          <xdr:nvSpPr>
            <xdr:cNvPr id="1062" name="Butto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1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RTP SCH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(Only)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13</xdr:row>
          <xdr:rowOff>22860</xdr:rowOff>
        </xdr:from>
        <xdr:to>
          <xdr:col>12</xdr:col>
          <xdr:colOff>0</xdr:colOff>
          <xdr:row>13</xdr:row>
          <xdr:rowOff>495300</xdr:rowOff>
        </xdr:to>
        <xdr:sp macro="" textlink="">
          <xdr:nvSpPr>
            <xdr:cNvPr id="1063" name="Butto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1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RTP SCH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(Only)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7620</xdr:colOff>
          <xdr:row>13</xdr:row>
          <xdr:rowOff>0</xdr:rowOff>
        </xdr:from>
        <xdr:to>
          <xdr:col>14</xdr:col>
          <xdr:colOff>0</xdr:colOff>
          <xdr:row>13</xdr:row>
          <xdr:rowOff>495300</xdr:rowOff>
        </xdr:to>
        <xdr:sp macro="" textlink="">
          <xdr:nvSpPr>
            <xdr:cNvPr id="1064" name="Butto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1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1089660</xdr:colOff>
          <xdr:row>12</xdr:row>
          <xdr:rowOff>182880</xdr:rowOff>
        </xdr:from>
        <xdr:to>
          <xdr:col>4</xdr:col>
          <xdr:colOff>7620</xdr:colOff>
          <xdr:row>13</xdr:row>
          <xdr:rowOff>487680</xdr:rowOff>
        </xdr:to>
        <xdr:sp macro="" textlink="">
          <xdr:nvSpPr>
            <xdr:cNvPr id="1065" name="Butto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1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22860</xdr:colOff>
          <xdr:row>13</xdr:row>
          <xdr:rowOff>7620</xdr:rowOff>
        </xdr:from>
        <xdr:to>
          <xdr:col>18</xdr:col>
          <xdr:colOff>22860</xdr:colOff>
          <xdr:row>13</xdr:row>
          <xdr:rowOff>502920</xdr:rowOff>
        </xdr:to>
        <xdr:sp macro="" textlink="">
          <xdr:nvSpPr>
            <xdr:cNvPr id="1067" name="Butto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1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UOLS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7620</xdr:colOff>
          <xdr:row>13</xdr:row>
          <xdr:rowOff>0</xdr:rowOff>
        </xdr:from>
        <xdr:to>
          <xdr:col>8</xdr:col>
          <xdr:colOff>0</xdr:colOff>
          <xdr:row>14</xdr:row>
          <xdr:rowOff>7620</xdr:rowOff>
        </xdr:to>
        <xdr:sp macro="" textlink="">
          <xdr:nvSpPr>
            <xdr:cNvPr id="1070" name="Button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1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UOLS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1089660</xdr:colOff>
          <xdr:row>13</xdr:row>
          <xdr:rowOff>0</xdr:rowOff>
        </xdr:from>
        <xdr:to>
          <xdr:col>6</xdr:col>
          <xdr:colOff>0</xdr:colOff>
          <xdr:row>14</xdr:row>
          <xdr:rowOff>0</xdr:rowOff>
        </xdr:to>
        <xdr:sp macro="" textlink="">
          <xdr:nvSpPr>
            <xdr:cNvPr id="1071" name="Button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1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DT-RTP 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(Pg10)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7620</xdr:colOff>
          <xdr:row>15</xdr:row>
          <xdr:rowOff>0</xdr:rowOff>
        </xdr:from>
        <xdr:to>
          <xdr:col>6</xdr:col>
          <xdr:colOff>0</xdr:colOff>
          <xdr:row>15</xdr:row>
          <xdr:rowOff>495300</xdr:rowOff>
        </xdr:to>
        <xdr:sp macro="" textlink="">
          <xdr:nvSpPr>
            <xdr:cNvPr id="1072" name="Button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1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(Pg11)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7620</xdr:colOff>
          <xdr:row>7</xdr:row>
          <xdr:rowOff>7620</xdr:rowOff>
        </xdr:from>
        <xdr:to>
          <xdr:col>8</xdr:col>
          <xdr:colOff>7620</xdr:colOff>
          <xdr:row>8</xdr:row>
          <xdr:rowOff>0</xdr:rowOff>
        </xdr:to>
        <xdr:sp macro="" textlink="">
          <xdr:nvSpPr>
            <xdr:cNvPr id="1073" name="Button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1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175260</xdr:colOff>
          <xdr:row>13</xdr:row>
          <xdr:rowOff>7620</xdr:rowOff>
        </xdr:from>
        <xdr:to>
          <xdr:col>15</xdr:col>
          <xdr:colOff>1089660</xdr:colOff>
          <xdr:row>14</xdr:row>
          <xdr:rowOff>0</xdr:rowOff>
        </xdr:to>
        <xdr:sp macro="" textlink="">
          <xdr:nvSpPr>
            <xdr:cNvPr id="1075" name="Button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1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DT-RTP 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(Pg10)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152400</xdr:colOff>
          <xdr:row>15</xdr:row>
          <xdr:rowOff>7620</xdr:rowOff>
        </xdr:from>
        <xdr:to>
          <xdr:col>16</xdr:col>
          <xdr:colOff>7620</xdr:colOff>
          <xdr:row>16</xdr:row>
          <xdr:rowOff>0</xdr:rowOff>
        </xdr:to>
        <xdr:sp macro="" textlink="">
          <xdr:nvSpPr>
            <xdr:cNvPr id="1076" name="Button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1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(Pg11)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1074420</xdr:colOff>
          <xdr:row>7</xdr:row>
          <xdr:rowOff>7620</xdr:rowOff>
        </xdr:from>
        <xdr:to>
          <xdr:col>18</xdr:col>
          <xdr:colOff>7620</xdr:colOff>
          <xdr:row>7</xdr:row>
          <xdr:rowOff>495300</xdr:rowOff>
        </xdr:to>
        <xdr:sp macro="" textlink="">
          <xdr:nvSpPr>
            <xdr:cNvPr id="1077" name="Button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1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22860</xdr:colOff>
          <xdr:row>11</xdr:row>
          <xdr:rowOff>7620</xdr:rowOff>
        </xdr:from>
        <xdr:to>
          <xdr:col>10</xdr:col>
          <xdr:colOff>7620</xdr:colOff>
          <xdr:row>12</xdr:row>
          <xdr:rowOff>7620</xdr:rowOff>
        </xdr:to>
        <xdr:sp macro="" textlink="">
          <xdr:nvSpPr>
            <xdr:cNvPr id="1078" name="Button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1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LED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(Pg20-22)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22860</xdr:colOff>
          <xdr:row>11</xdr:row>
          <xdr:rowOff>7620</xdr:rowOff>
        </xdr:from>
        <xdr:to>
          <xdr:col>20</xdr:col>
          <xdr:colOff>7620</xdr:colOff>
          <xdr:row>12</xdr:row>
          <xdr:rowOff>7620</xdr:rowOff>
        </xdr:to>
        <xdr:sp macro="" textlink="">
          <xdr:nvSpPr>
            <xdr:cNvPr id="1080" name="Button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1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LED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(Pg20-22)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comments" Target="../comments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ctrlProp" Target="../ctrlProps/ctrlProp2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1.x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3" Type="http://schemas.openxmlformats.org/officeDocument/2006/relationships/printerSettings" Target="../printerSettings/printerSettings108.bin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0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6.bin"/><Relationship Id="rId13" Type="http://schemas.openxmlformats.org/officeDocument/2006/relationships/printerSettings" Target="../printerSettings/printerSettings131.bin"/><Relationship Id="rId3" Type="http://schemas.openxmlformats.org/officeDocument/2006/relationships/printerSettings" Target="../printerSettings/printerSettings121.bin"/><Relationship Id="rId7" Type="http://schemas.openxmlformats.org/officeDocument/2006/relationships/printerSettings" Target="../printerSettings/printerSettings125.bin"/><Relationship Id="rId12" Type="http://schemas.openxmlformats.org/officeDocument/2006/relationships/printerSettings" Target="../printerSettings/printerSettings130.bin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Relationship Id="rId6" Type="http://schemas.openxmlformats.org/officeDocument/2006/relationships/printerSettings" Target="../printerSettings/printerSettings124.bin"/><Relationship Id="rId11" Type="http://schemas.openxmlformats.org/officeDocument/2006/relationships/printerSettings" Target="../printerSettings/printerSettings129.bin"/><Relationship Id="rId5" Type="http://schemas.openxmlformats.org/officeDocument/2006/relationships/printerSettings" Target="../printerSettings/printerSettings123.bin"/><Relationship Id="rId10" Type="http://schemas.openxmlformats.org/officeDocument/2006/relationships/printerSettings" Target="../printerSettings/printerSettings128.bin"/><Relationship Id="rId4" Type="http://schemas.openxmlformats.org/officeDocument/2006/relationships/printerSettings" Target="../printerSettings/printerSettings122.bin"/><Relationship Id="rId9" Type="http://schemas.openxmlformats.org/officeDocument/2006/relationships/printerSettings" Target="../printerSettings/printerSettings127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9.bin"/><Relationship Id="rId13" Type="http://schemas.openxmlformats.org/officeDocument/2006/relationships/printerSettings" Target="../printerSettings/printerSettings144.bin"/><Relationship Id="rId3" Type="http://schemas.openxmlformats.org/officeDocument/2006/relationships/printerSettings" Target="../printerSettings/printerSettings134.bin"/><Relationship Id="rId7" Type="http://schemas.openxmlformats.org/officeDocument/2006/relationships/printerSettings" Target="../printerSettings/printerSettings138.bin"/><Relationship Id="rId12" Type="http://schemas.openxmlformats.org/officeDocument/2006/relationships/printerSettings" Target="../printerSettings/printerSettings143.bin"/><Relationship Id="rId2" Type="http://schemas.openxmlformats.org/officeDocument/2006/relationships/printerSettings" Target="../printerSettings/printerSettings133.bin"/><Relationship Id="rId1" Type="http://schemas.openxmlformats.org/officeDocument/2006/relationships/printerSettings" Target="../printerSettings/printerSettings132.bin"/><Relationship Id="rId6" Type="http://schemas.openxmlformats.org/officeDocument/2006/relationships/printerSettings" Target="../printerSettings/printerSettings137.bin"/><Relationship Id="rId11" Type="http://schemas.openxmlformats.org/officeDocument/2006/relationships/printerSettings" Target="../printerSettings/printerSettings142.bin"/><Relationship Id="rId5" Type="http://schemas.openxmlformats.org/officeDocument/2006/relationships/printerSettings" Target="../printerSettings/printerSettings136.bin"/><Relationship Id="rId10" Type="http://schemas.openxmlformats.org/officeDocument/2006/relationships/printerSettings" Target="../printerSettings/printerSettings141.bin"/><Relationship Id="rId4" Type="http://schemas.openxmlformats.org/officeDocument/2006/relationships/printerSettings" Target="../printerSettings/printerSettings135.bin"/><Relationship Id="rId9" Type="http://schemas.openxmlformats.org/officeDocument/2006/relationships/printerSettings" Target="../printerSettings/printerSettings140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2.bin"/><Relationship Id="rId13" Type="http://schemas.openxmlformats.org/officeDocument/2006/relationships/printerSettings" Target="../printerSettings/printerSettings157.bin"/><Relationship Id="rId3" Type="http://schemas.openxmlformats.org/officeDocument/2006/relationships/printerSettings" Target="../printerSettings/printerSettings147.bin"/><Relationship Id="rId7" Type="http://schemas.openxmlformats.org/officeDocument/2006/relationships/printerSettings" Target="../printerSettings/printerSettings151.bin"/><Relationship Id="rId12" Type="http://schemas.openxmlformats.org/officeDocument/2006/relationships/printerSettings" Target="../printerSettings/printerSettings156.bin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Relationship Id="rId6" Type="http://schemas.openxmlformats.org/officeDocument/2006/relationships/printerSettings" Target="../printerSettings/printerSettings150.bin"/><Relationship Id="rId11" Type="http://schemas.openxmlformats.org/officeDocument/2006/relationships/printerSettings" Target="../printerSettings/printerSettings155.bin"/><Relationship Id="rId5" Type="http://schemas.openxmlformats.org/officeDocument/2006/relationships/printerSettings" Target="../printerSettings/printerSettings149.bin"/><Relationship Id="rId10" Type="http://schemas.openxmlformats.org/officeDocument/2006/relationships/printerSettings" Target="../printerSettings/printerSettings154.bin"/><Relationship Id="rId4" Type="http://schemas.openxmlformats.org/officeDocument/2006/relationships/printerSettings" Target="../printerSettings/printerSettings148.bin"/><Relationship Id="rId9" Type="http://schemas.openxmlformats.org/officeDocument/2006/relationships/printerSettings" Target="../printerSettings/printerSettings15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5.bin"/><Relationship Id="rId13" Type="http://schemas.openxmlformats.org/officeDocument/2006/relationships/printerSettings" Target="../printerSettings/printerSettings170.bin"/><Relationship Id="rId3" Type="http://schemas.openxmlformats.org/officeDocument/2006/relationships/printerSettings" Target="../printerSettings/printerSettings160.bin"/><Relationship Id="rId7" Type="http://schemas.openxmlformats.org/officeDocument/2006/relationships/printerSettings" Target="../printerSettings/printerSettings164.bin"/><Relationship Id="rId12" Type="http://schemas.openxmlformats.org/officeDocument/2006/relationships/printerSettings" Target="../printerSettings/printerSettings169.bin"/><Relationship Id="rId2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8.bin"/><Relationship Id="rId6" Type="http://schemas.openxmlformats.org/officeDocument/2006/relationships/printerSettings" Target="../printerSettings/printerSettings163.bin"/><Relationship Id="rId11" Type="http://schemas.openxmlformats.org/officeDocument/2006/relationships/printerSettings" Target="../printerSettings/printerSettings168.bin"/><Relationship Id="rId5" Type="http://schemas.openxmlformats.org/officeDocument/2006/relationships/printerSettings" Target="../printerSettings/printerSettings162.bin"/><Relationship Id="rId10" Type="http://schemas.openxmlformats.org/officeDocument/2006/relationships/printerSettings" Target="../printerSettings/printerSettings167.bin"/><Relationship Id="rId4" Type="http://schemas.openxmlformats.org/officeDocument/2006/relationships/printerSettings" Target="../printerSettings/printerSettings161.bin"/><Relationship Id="rId9" Type="http://schemas.openxmlformats.org/officeDocument/2006/relationships/printerSettings" Target="../printerSettings/printerSettings166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8.bin"/><Relationship Id="rId13" Type="http://schemas.openxmlformats.org/officeDocument/2006/relationships/printerSettings" Target="../printerSettings/printerSettings183.bin"/><Relationship Id="rId3" Type="http://schemas.openxmlformats.org/officeDocument/2006/relationships/printerSettings" Target="../printerSettings/printerSettings173.bin"/><Relationship Id="rId7" Type="http://schemas.openxmlformats.org/officeDocument/2006/relationships/printerSettings" Target="../printerSettings/printerSettings177.bin"/><Relationship Id="rId12" Type="http://schemas.openxmlformats.org/officeDocument/2006/relationships/printerSettings" Target="../printerSettings/printerSettings182.bin"/><Relationship Id="rId2" Type="http://schemas.openxmlformats.org/officeDocument/2006/relationships/printerSettings" Target="../printerSettings/printerSettings172.bin"/><Relationship Id="rId1" Type="http://schemas.openxmlformats.org/officeDocument/2006/relationships/printerSettings" Target="../printerSettings/printerSettings171.bin"/><Relationship Id="rId6" Type="http://schemas.openxmlformats.org/officeDocument/2006/relationships/printerSettings" Target="../printerSettings/printerSettings176.bin"/><Relationship Id="rId11" Type="http://schemas.openxmlformats.org/officeDocument/2006/relationships/printerSettings" Target="../printerSettings/printerSettings181.bin"/><Relationship Id="rId5" Type="http://schemas.openxmlformats.org/officeDocument/2006/relationships/printerSettings" Target="../printerSettings/printerSettings175.bin"/><Relationship Id="rId10" Type="http://schemas.openxmlformats.org/officeDocument/2006/relationships/printerSettings" Target="../printerSettings/printerSettings180.bin"/><Relationship Id="rId4" Type="http://schemas.openxmlformats.org/officeDocument/2006/relationships/printerSettings" Target="../printerSettings/printerSettings174.bin"/><Relationship Id="rId9" Type="http://schemas.openxmlformats.org/officeDocument/2006/relationships/printerSettings" Target="../printerSettings/printerSettings17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6.bin"/><Relationship Id="rId18" Type="http://schemas.openxmlformats.org/officeDocument/2006/relationships/ctrlProp" Target="../ctrlProps/ctrlProp5.xml"/><Relationship Id="rId26" Type="http://schemas.openxmlformats.org/officeDocument/2006/relationships/ctrlProp" Target="../ctrlProps/ctrlProp13.xml"/><Relationship Id="rId39" Type="http://schemas.openxmlformats.org/officeDocument/2006/relationships/ctrlProp" Target="../ctrlProps/ctrlProp26.xml"/><Relationship Id="rId21" Type="http://schemas.openxmlformats.org/officeDocument/2006/relationships/ctrlProp" Target="../ctrlProps/ctrlProp8.xml"/><Relationship Id="rId34" Type="http://schemas.openxmlformats.org/officeDocument/2006/relationships/ctrlProp" Target="../ctrlProps/ctrlProp21.xml"/><Relationship Id="rId42" Type="http://schemas.openxmlformats.org/officeDocument/2006/relationships/ctrlProp" Target="../ctrlProps/ctrlProp29.xml"/><Relationship Id="rId47" Type="http://schemas.openxmlformats.org/officeDocument/2006/relationships/ctrlProp" Target="../ctrlProps/ctrlProp34.xml"/><Relationship Id="rId50" Type="http://schemas.openxmlformats.org/officeDocument/2006/relationships/ctrlProp" Target="../ctrlProps/ctrlProp37.xml"/><Relationship Id="rId55" Type="http://schemas.openxmlformats.org/officeDocument/2006/relationships/ctrlProp" Target="../ctrlProps/ctrlProp42.xml"/><Relationship Id="rId7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5.bin"/><Relationship Id="rId16" Type="http://schemas.openxmlformats.org/officeDocument/2006/relationships/ctrlProp" Target="../ctrlProps/ctrlProp3.xml"/><Relationship Id="rId29" Type="http://schemas.openxmlformats.org/officeDocument/2006/relationships/ctrlProp" Target="../ctrlProps/ctrlProp16.xml"/><Relationship Id="rId11" Type="http://schemas.openxmlformats.org/officeDocument/2006/relationships/printerSettings" Target="../printerSettings/printerSettings24.bin"/><Relationship Id="rId24" Type="http://schemas.openxmlformats.org/officeDocument/2006/relationships/ctrlProp" Target="../ctrlProps/ctrlProp11.xml"/><Relationship Id="rId32" Type="http://schemas.openxmlformats.org/officeDocument/2006/relationships/ctrlProp" Target="../ctrlProps/ctrlProp19.xml"/><Relationship Id="rId37" Type="http://schemas.openxmlformats.org/officeDocument/2006/relationships/ctrlProp" Target="../ctrlProps/ctrlProp24.xml"/><Relationship Id="rId40" Type="http://schemas.openxmlformats.org/officeDocument/2006/relationships/ctrlProp" Target="../ctrlProps/ctrlProp27.xml"/><Relationship Id="rId45" Type="http://schemas.openxmlformats.org/officeDocument/2006/relationships/ctrlProp" Target="../ctrlProps/ctrlProp32.xml"/><Relationship Id="rId53" Type="http://schemas.openxmlformats.org/officeDocument/2006/relationships/ctrlProp" Target="../ctrlProps/ctrlProp40.xml"/><Relationship Id="rId58" Type="http://schemas.openxmlformats.org/officeDocument/2006/relationships/ctrlProp" Target="../ctrlProps/ctrlProp45.xml"/><Relationship Id="rId5" Type="http://schemas.openxmlformats.org/officeDocument/2006/relationships/printerSettings" Target="../printerSettings/printerSettings18.bin"/><Relationship Id="rId61" Type="http://schemas.openxmlformats.org/officeDocument/2006/relationships/ctrlProp" Target="../ctrlProps/ctrlProp48.xml"/><Relationship Id="rId19" Type="http://schemas.openxmlformats.org/officeDocument/2006/relationships/ctrlProp" Target="../ctrlProps/ctrlProp6.xml"/><Relationship Id="rId14" Type="http://schemas.openxmlformats.org/officeDocument/2006/relationships/drawing" Target="../drawings/drawing2.xml"/><Relationship Id="rId22" Type="http://schemas.openxmlformats.org/officeDocument/2006/relationships/ctrlProp" Target="../ctrlProps/ctrlProp9.xml"/><Relationship Id="rId27" Type="http://schemas.openxmlformats.org/officeDocument/2006/relationships/ctrlProp" Target="../ctrlProps/ctrlProp14.xml"/><Relationship Id="rId30" Type="http://schemas.openxmlformats.org/officeDocument/2006/relationships/ctrlProp" Target="../ctrlProps/ctrlProp17.xml"/><Relationship Id="rId35" Type="http://schemas.openxmlformats.org/officeDocument/2006/relationships/ctrlProp" Target="../ctrlProps/ctrlProp22.xml"/><Relationship Id="rId43" Type="http://schemas.openxmlformats.org/officeDocument/2006/relationships/ctrlProp" Target="../ctrlProps/ctrlProp30.xml"/><Relationship Id="rId48" Type="http://schemas.openxmlformats.org/officeDocument/2006/relationships/ctrlProp" Target="../ctrlProps/ctrlProp35.xml"/><Relationship Id="rId56" Type="http://schemas.openxmlformats.org/officeDocument/2006/relationships/ctrlProp" Target="../ctrlProps/ctrlProp43.xml"/><Relationship Id="rId8" Type="http://schemas.openxmlformats.org/officeDocument/2006/relationships/printerSettings" Target="../printerSettings/printerSettings21.bin"/><Relationship Id="rId51" Type="http://schemas.openxmlformats.org/officeDocument/2006/relationships/ctrlProp" Target="../ctrlProps/ctrlProp38.xml"/><Relationship Id="rId3" Type="http://schemas.openxmlformats.org/officeDocument/2006/relationships/printerSettings" Target="../printerSettings/printerSettings16.bin"/><Relationship Id="rId12" Type="http://schemas.openxmlformats.org/officeDocument/2006/relationships/printerSettings" Target="../printerSettings/printerSettings25.bin"/><Relationship Id="rId17" Type="http://schemas.openxmlformats.org/officeDocument/2006/relationships/ctrlProp" Target="../ctrlProps/ctrlProp4.xml"/><Relationship Id="rId25" Type="http://schemas.openxmlformats.org/officeDocument/2006/relationships/ctrlProp" Target="../ctrlProps/ctrlProp12.xml"/><Relationship Id="rId33" Type="http://schemas.openxmlformats.org/officeDocument/2006/relationships/ctrlProp" Target="../ctrlProps/ctrlProp20.xml"/><Relationship Id="rId38" Type="http://schemas.openxmlformats.org/officeDocument/2006/relationships/ctrlProp" Target="../ctrlProps/ctrlProp25.xml"/><Relationship Id="rId46" Type="http://schemas.openxmlformats.org/officeDocument/2006/relationships/ctrlProp" Target="../ctrlProps/ctrlProp33.xml"/><Relationship Id="rId59" Type="http://schemas.openxmlformats.org/officeDocument/2006/relationships/ctrlProp" Target="../ctrlProps/ctrlProp46.xml"/><Relationship Id="rId20" Type="http://schemas.openxmlformats.org/officeDocument/2006/relationships/ctrlProp" Target="../ctrlProps/ctrlProp7.xml"/><Relationship Id="rId41" Type="http://schemas.openxmlformats.org/officeDocument/2006/relationships/ctrlProp" Target="../ctrlProps/ctrlProp28.xml"/><Relationship Id="rId54" Type="http://schemas.openxmlformats.org/officeDocument/2006/relationships/ctrlProp" Target="../ctrlProps/ctrlProp41.xml"/><Relationship Id="rId62" Type="http://schemas.openxmlformats.org/officeDocument/2006/relationships/ctrlProp" Target="../ctrlProps/ctrlProp49.xml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5" Type="http://schemas.openxmlformats.org/officeDocument/2006/relationships/vmlDrawing" Target="../drawings/vmlDrawing2.vml"/><Relationship Id="rId23" Type="http://schemas.openxmlformats.org/officeDocument/2006/relationships/ctrlProp" Target="../ctrlProps/ctrlProp10.xml"/><Relationship Id="rId28" Type="http://schemas.openxmlformats.org/officeDocument/2006/relationships/ctrlProp" Target="../ctrlProps/ctrlProp15.xml"/><Relationship Id="rId36" Type="http://schemas.openxmlformats.org/officeDocument/2006/relationships/ctrlProp" Target="../ctrlProps/ctrlProp23.xml"/><Relationship Id="rId49" Type="http://schemas.openxmlformats.org/officeDocument/2006/relationships/ctrlProp" Target="../ctrlProps/ctrlProp36.xml"/><Relationship Id="rId57" Type="http://schemas.openxmlformats.org/officeDocument/2006/relationships/ctrlProp" Target="../ctrlProps/ctrlProp44.xml"/><Relationship Id="rId10" Type="http://schemas.openxmlformats.org/officeDocument/2006/relationships/printerSettings" Target="../printerSettings/printerSettings23.bin"/><Relationship Id="rId31" Type="http://schemas.openxmlformats.org/officeDocument/2006/relationships/ctrlProp" Target="../ctrlProps/ctrlProp18.xml"/><Relationship Id="rId44" Type="http://schemas.openxmlformats.org/officeDocument/2006/relationships/ctrlProp" Target="../ctrlProps/ctrlProp31.xml"/><Relationship Id="rId52" Type="http://schemas.openxmlformats.org/officeDocument/2006/relationships/ctrlProp" Target="../ctrlProps/ctrlProp39.xml"/><Relationship Id="rId60" Type="http://schemas.openxmlformats.org/officeDocument/2006/relationships/ctrlProp" Target="../ctrlProps/ctrlProp47.xml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5.bin"/><Relationship Id="rId13" Type="http://schemas.openxmlformats.org/officeDocument/2006/relationships/printerSettings" Target="../printerSettings/printerSettings200.bin"/><Relationship Id="rId3" Type="http://schemas.openxmlformats.org/officeDocument/2006/relationships/printerSettings" Target="../printerSettings/printerSettings190.bin"/><Relationship Id="rId7" Type="http://schemas.openxmlformats.org/officeDocument/2006/relationships/printerSettings" Target="../printerSettings/printerSettings194.bin"/><Relationship Id="rId12" Type="http://schemas.openxmlformats.org/officeDocument/2006/relationships/printerSettings" Target="../printerSettings/printerSettings199.bin"/><Relationship Id="rId2" Type="http://schemas.openxmlformats.org/officeDocument/2006/relationships/printerSettings" Target="../printerSettings/printerSettings189.bin"/><Relationship Id="rId1" Type="http://schemas.openxmlformats.org/officeDocument/2006/relationships/printerSettings" Target="../printerSettings/printerSettings188.bin"/><Relationship Id="rId6" Type="http://schemas.openxmlformats.org/officeDocument/2006/relationships/printerSettings" Target="../printerSettings/printerSettings193.bin"/><Relationship Id="rId11" Type="http://schemas.openxmlformats.org/officeDocument/2006/relationships/printerSettings" Target="../printerSettings/printerSettings198.bin"/><Relationship Id="rId5" Type="http://schemas.openxmlformats.org/officeDocument/2006/relationships/printerSettings" Target="../printerSettings/printerSettings192.bin"/><Relationship Id="rId10" Type="http://schemas.openxmlformats.org/officeDocument/2006/relationships/printerSettings" Target="../printerSettings/printerSettings197.bin"/><Relationship Id="rId4" Type="http://schemas.openxmlformats.org/officeDocument/2006/relationships/printerSettings" Target="../printerSettings/printerSettings191.bin"/><Relationship Id="rId9" Type="http://schemas.openxmlformats.org/officeDocument/2006/relationships/printerSettings" Target="../printerSettings/printerSettings196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8.bin"/><Relationship Id="rId13" Type="http://schemas.openxmlformats.org/officeDocument/2006/relationships/printerSettings" Target="../printerSettings/printerSettings213.bin"/><Relationship Id="rId3" Type="http://schemas.openxmlformats.org/officeDocument/2006/relationships/printerSettings" Target="../printerSettings/printerSettings203.bin"/><Relationship Id="rId7" Type="http://schemas.openxmlformats.org/officeDocument/2006/relationships/printerSettings" Target="../printerSettings/printerSettings207.bin"/><Relationship Id="rId12" Type="http://schemas.openxmlformats.org/officeDocument/2006/relationships/printerSettings" Target="../printerSettings/printerSettings212.bin"/><Relationship Id="rId2" Type="http://schemas.openxmlformats.org/officeDocument/2006/relationships/printerSettings" Target="../printerSettings/printerSettings202.bin"/><Relationship Id="rId1" Type="http://schemas.openxmlformats.org/officeDocument/2006/relationships/printerSettings" Target="../printerSettings/printerSettings201.bin"/><Relationship Id="rId6" Type="http://schemas.openxmlformats.org/officeDocument/2006/relationships/printerSettings" Target="../printerSettings/printerSettings206.bin"/><Relationship Id="rId11" Type="http://schemas.openxmlformats.org/officeDocument/2006/relationships/printerSettings" Target="../printerSettings/printerSettings211.bin"/><Relationship Id="rId5" Type="http://schemas.openxmlformats.org/officeDocument/2006/relationships/printerSettings" Target="../printerSettings/printerSettings205.bin"/><Relationship Id="rId10" Type="http://schemas.openxmlformats.org/officeDocument/2006/relationships/printerSettings" Target="../printerSettings/printerSettings210.bin"/><Relationship Id="rId4" Type="http://schemas.openxmlformats.org/officeDocument/2006/relationships/printerSettings" Target="../printerSettings/printerSettings204.bin"/><Relationship Id="rId9" Type="http://schemas.openxmlformats.org/officeDocument/2006/relationships/printerSettings" Target="../printerSettings/printerSettings20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2.bin"/><Relationship Id="rId13" Type="http://schemas.openxmlformats.org/officeDocument/2006/relationships/printerSettings" Target="../printerSettings/printerSettings227.bin"/><Relationship Id="rId3" Type="http://schemas.openxmlformats.org/officeDocument/2006/relationships/printerSettings" Target="../printerSettings/printerSettings217.bin"/><Relationship Id="rId7" Type="http://schemas.openxmlformats.org/officeDocument/2006/relationships/printerSettings" Target="../printerSettings/printerSettings221.bin"/><Relationship Id="rId12" Type="http://schemas.openxmlformats.org/officeDocument/2006/relationships/printerSettings" Target="../printerSettings/printerSettings226.bin"/><Relationship Id="rId2" Type="http://schemas.openxmlformats.org/officeDocument/2006/relationships/printerSettings" Target="../printerSettings/printerSettings216.bin"/><Relationship Id="rId1" Type="http://schemas.openxmlformats.org/officeDocument/2006/relationships/printerSettings" Target="../printerSettings/printerSettings215.bin"/><Relationship Id="rId6" Type="http://schemas.openxmlformats.org/officeDocument/2006/relationships/printerSettings" Target="../printerSettings/printerSettings220.bin"/><Relationship Id="rId11" Type="http://schemas.openxmlformats.org/officeDocument/2006/relationships/printerSettings" Target="../printerSettings/printerSettings225.bin"/><Relationship Id="rId5" Type="http://schemas.openxmlformats.org/officeDocument/2006/relationships/printerSettings" Target="../printerSettings/printerSettings219.bin"/><Relationship Id="rId10" Type="http://schemas.openxmlformats.org/officeDocument/2006/relationships/printerSettings" Target="../printerSettings/printerSettings224.bin"/><Relationship Id="rId4" Type="http://schemas.openxmlformats.org/officeDocument/2006/relationships/printerSettings" Target="../printerSettings/printerSettings218.bin"/><Relationship Id="rId9" Type="http://schemas.openxmlformats.org/officeDocument/2006/relationships/printerSettings" Target="../printerSettings/printerSettings223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5.bin"/><Relationship Id="rId13" Type="http://schemas.openxmlformats.org/officeDocument/2006/relationships/printerSettings" Target="../printerSettings/printerSettings240.bin"/><Relationship Id="rId3" Type="http://schemas.openxmlformats.org/officeDocument/2006/relationships/printerSettings" Target="../printerSettings/printerSettings230.bin"/><Relationship Id="rId7" Type="http://schemas.openxmlformats.org/officeDocument/2006/relationships/printerSettings" Target="../printerSettings/printerSettings234.bin"/><Relationship Id="rId12" Type="http://schemas.openxmlformats.org/officeDocument/2006/relationships/printerSettings" Target="../printerSettings/printerSettings239.bin"/><Relationship Id="rId2" Type="http://schemas.openxmlformats.org/officeDocument/2006/relationships/printerSettings" Target="../printerSettings/printerSettings229.bin"/><Relationship Id="rId1" Type="http://schemas.openxmlformats.org/officeDocument/2006/relationships/printerSettings" Target="../printerSettings/printerSettings228.bin"/><Relationship Id="rId6" Type="http://schemas.openxmlformats.org/officeDocument/2006/relationships/printerSettings" Target="../printerSettings/printerSettings233.bin"/><Relationship Id="rId11" Type="http://schemas.openxmlformats.org/officeDocument/2006/relationships/printerSettings" Target="../printerSettings/printerSettings238.bin"/><Relationship Id="rId5" Type="http://schemas.openxmlformats.org/officeDocument/2006/relationships/printerSettings" Target="../printerSettings/printerSettings232.bin"/><Relationship Id="rId10" Type="http://schemas.openxmlformats.org/officeDocument/2006/relationships/printerSettings" Target="../printerSettings/printerSettings237.bin"/><Relationship Id="rId4" Type="http://schemas.openxmlformats.org/officeDocument/2006/relationships/printerSettings" Target="../printerSettings/printerSettings231.bin"/><Relationship Id="rId9" Type="http://schemas.openxmlformats.org/officeDocument/2006/relationships/printerSettings" Target="../printerSettings/printerSettings236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8.bin"/><Relationship Id="rId13" Type="http://schemas.openxmlformats.org/officeDocument/2006/relationships/printerSettings" Target="../printerSettings/printerSettings253.bin"/><Relationship Id="rId3" Type="http://schemas.openxmlformats.org/officeDocument/2006/relationships/printerSettings" Target="../printerSettings/printerSettings243.bin"/><Relationship Id="rId7" Type="http://schemas.openxmlformats.org/officeDocument/2006/relationships/printerSettings" Target="../printerSettings/printerSettings247.bin"/><Relationship Id="rId12" Type="http://schemas.openxmlformats.org/officeDocument/2006/relationships/printerSettings" Target="../printerSettings/printerSettings252.bin"/><Relationship Id="rId2" Type="http://schemas.openxmlformats.org/officeDocument/2006/relationships/printerSettings" Target="../printerSettings/printerSettings242.bin"/><Relationship Id="rId1" Type="http://schemas.openxmlformats.org/officeDocument/2006/relationships/printerSettings" Target="../printerSettings/printerSettings241.bin"/><Relationship Id="rId6" Type="http://schemas.openxmlformats.org/officeDocument/2006/relationships/printerSettings" Target="../printerSettings/printerSettings246.bin"/><Relationship Id="rId11" Type="http://schemas.openxmlformats.org/officeDocument/2006/relationships/printerSettings" Target="../printerSettings/printerSettings251.bin"/><Relationship Id="rId5" Type="http://schemas.openxmlformats.org/officeDocument/2006/relationships/printerSettings" Target="../printerSettings/printerSettings245.bin"/><Relationship Id="rId10" Type="http://schemas.openxmlformats.org/officeDocument/2006/relationships/printerSettings" Target="../printerSettings/printerSettings250.bin"/><Relationship Id="rId4" Type="http://schemas.openxmlformats.org/officeDocument/2006/relationships/printerSettings" Target="../printerSettings/printerSettings244.bin"/><Relationship Id="rId9" Type="http://schemas.openxmlformats.org/officeDocument/2006/relationships/printerSettings" Target="../printerSettings/printerSettings24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2.bin"/><Relationship Id="rId13" Type="http://schemas.openxmlformats.org/officeDocument/2006/relationships/printerSettings" Target="../printerSettings/printerSettings267.bin"/><Relationship Id="rId3" Type="http://schemas.openxmlformats.org/officeDocument/2006/relationships/printerSettings" Target="../printerSettings/printerSettings257.bin"/><Relationship Id="rId7" Type="http://schemas.openxmlformats.org/officeDocument/2006/relationships/printerSettings" Target="../printerSettings/printerSettings261.bin"/><Relationship Id="rId12" Type="http://schemas.openxmlformats.org/officeDocument/2006/relationships/printerSettings" Target="../printerSettings/printerSettings266.bin"/><Relationship Id="rId2" Type="http://schemas.openxmlformats.org/officeDocument/2006/relationships/printerSettings" Target="../printerSettings/printerSettings256.bin"/><Relationship Id="rId1" Type="http://schemas.openxmlformats.org/officeDocument/2006/relationships/printerSettings" Target="../printerSettings/printerSettings255.bin"/><Relationship Id="rId6" Type="http://schemas.openxmlformats.org/officeDocument/2006/relationships/printerSettings" Target="../printerSettings/printerSettings260.bin"/><Relationship Id="rId11" Type="http://schemas.openxmlformats.org/officeDocument/2006/relationships/printerSettings" Target="../printerSettings/printerSettings265.bin"/><Relationship Id="rId5" Type="http://schemas.openxmlformats.org/officeDocument/2006/relationships/printerSettings" Target="../printerSettings/printerSettings259.bin"/><Relationship Id="rId10" Type="http://schemas.openxmlformats.org/officeDocument/2006/relationships/printerSettings" Target="../printerSettings/printerSettings264.bin"/><Relationship Id="rId4" Type="http://schemas.openxmlformats.org/officeDocument/2006/relationships/printerSettings" Target="../printerSettings/printerSettings258.bin"/><Relationship Id="rId9" Type="http://schemas.openxmlformats.org/officeDocument/2006/relationships/printerSettings" Target="../printerSettings/printerSettings263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5.bin"/><Relationship Id="rId13" Type="http://schemas.openxmlformats.org/officeDocument/2006/relationships/printerSettings" Target="../printerSettings/printerSettings280.bin"/><Relationship Id="rId3" Type="http://schemas.openxmlformats.org/officeDocument/2006/relationships/printerSettings" Target="../printerSettings/printerSettings270.bin"/><Relationship Id="rId7" Type="http://schemas.openxmlformats.org/officeDocument/2006/relationships/printerSettings" Target="../printerSettings/printerSettings274.bin"/><Relationship Id="rId12" Type="http://schemas.openxmlformats.org/officeDocument/2006/relationships/printerSettings" Target="../printerSettings/printerSettings279.bin"/><Relationship Id="rId2" Type="http://schemas.openxmlformats.org/officeDocument/2006/relationships/printerSettings" Target="../printerSettings/printerSettings269.bin"/><Relationship Id="rId1" Type="http://schemas.openxmlformats.org/officeDocument/2006/relationships/printerSettings" Target="../printerSettings/printerSettings268.bin"/><Relationship Id="rId6" Type="http://schemas.openxmlformats.org/officeDocument/2006/relationships/printerSettings" Target="../printerSettings/printerSettings273.bin"/><Relationship Id="rId11" Type="http://schemas.openxmlformats.org/officeDocument/2006/relationships/printerSettings" Target="../printerSettings/printerSettings278.bin"/><Relationship Id="rId5" Type="http://schemas.openxmlformats.org/officeDocument/2006/relationships/printerSettings" Target="../printerSettings/printerSettings272.bin"/><Relationship Id="rId10" Type="http://schemas.openxmlformats.org/officeDocument/2006/relationships/printerSettings" Target="../printerSettings/printerSettings277.bin"/><Relationship Id="rId4" Type="http://schemas.openxmlformats.org/officeDocument/2006/relationships/printerSettings" Target="../printerSettings/printerSettings271.bin"/><Relationship Id="rId9" Type="http://schemas.openxmlformats.org/officeDocument/2006/relationships/printerSettings" Target="../printerSettings/printerSettings27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.bin"/><Relationship Id="rId13" Type="http://schemas.openxmlformats.org/officeDocument/2006/relationships/printerSettings" Target="../printerSettings/printerSettings40.bin"/><Relationship Id="rId3" Type="http://schemas.openxmlformats.org/officeDocument/2006/relationships/printerSettings" Target="../printerSettings/printerSettings30.bin"/><Relationship Id="rId7" Type="http://schemas.openxmlformats.org/officeDocument/2006/relationships/printerSettings" Target="../printerSettings/printerSettings34.bin"/><Relationship Id="rId12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printerSettings" Target="../printerSettings/printerSettings33.bin"/><Relationship Id="rId1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32.bin"/><Relationship Id="rId10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1.bin"/><Relationship Id="rId9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13" Type="http://schemas.openxmlformats.org/officeDocument/2006/relationships/printerSettings" Target="../printerSettings/printerSettings53.bin"/><Relationship Id="rId3" Type="http://schemas.openxmlformats.org/officeDocument/2006/relationships/printerSettings" Target="../printerSettings/printerSettings43.bin"/><Relationship Id="rId7" Type="http://schemas.openxmlformats.org/officeDocument/2006/relationships/printerSettings" Target="../printerSettings/printerSettings47.bin"/><Relationship Id="rId12" Type="http://schemas.openxmlformats.org/officeDocument/2006/relationships/printerSettings" Target="../printerSettings/printerSettings52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1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45.bin"/><Relationship Id="rId10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.bin"/><Relationship Id="rId13" Type="http://schemas.openxmlformats.org/officeDocument/2006/relationships/printerSettings" Target="../printerSettings/printerSettings66.bin"/><Relationship Id="rId3" Type="http://schemas.openxmlformats.org/officeDocument/2006/relationships/printerSettings" Target="../printerSettings/printerSettings56.bin"/><Relationship Id="rId7" Type="http://schemas.openxmlformats.org/officeDocument/2006/relationships/printerSettings" Target="../printerSettings/printerSettings60.bin"/><Relationship Id="rId12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6" Type="http://schemas.openxmlformats.org/officeDocument/2006/relationships/printerSettings" Target="../printerSettings/printerSettings59.bin"/><Relationship Id="rId11" Type="http://schemas.openxmlformats.org/officeDocument/2006/relationships/printerSettings" Target="../printerSettings/printerSettings64.bin"/><Relationship Id="rId5" Type="http://schemas.openxmlformats.org/officeDocument/2006/relationships/printerSettings" Target="../printerSettings/printerSettings58.bin"/><Relationship Id="rId10" Type="http://schemas.openxmlformats.org/officeDocument/2006/relationships/printerSettings" Target="../printerSettings/printerSettings63.bin"/><Relationship Id="rId4" Type="http://schemas.openxmlformats.org/officeDocument/2006/relationships/printerSettings" Target="../printerSettings/printerSettings57.bin"/><Relationship Id="rId9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4.bin"/><Relationship Id="rId13" Type="http://schemas.openxmlformats.org/officeDocument/2006/relationships/printerSettings" Target="../printerSettings/printerSettings79.bin"/><Relationship Id="rId3" Type="http://schemas.openxmlformats.org/officeDocument/2006/relationships/printerSettings" Target="../printerSettings/printerSettings69.bin"/><Relationship Id="rId7" Type="http://schemas.openxmlformats.org/officeDocument/2006/relationships/printerSettings" Target="../printerSettings/printerSettings73.bin"/><Relationship Id="rId12" Type="http://schemas.openxmlformats.org/officeDocument/2006/relationships/printerSettings" Target="../printerSettings/printerSettings78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printerSettings" Target="../printerSettings/printerSettings72.bin"/><Relationship Id="rId11" Type="http://schemas.openxmlformats.org/officeDocument/2006/relationships/printerSettings" Target="../printerSettings/printerSettings77.bin"/><Relationship Id="rId5" Type="http://schemas.openxmlformats.org/officeDocument/2006/relationships/printerSettings" Target="../printerSettings/printerSettings71.bin"/><Relationship Id="rId10" Type="http://schemas.openxmlformats.org/officeDocument/2006/relationships/printerSettings" Target="../printerSettings/printerSettings76.bin"/><Relationship Id="rId4" Type="http://schemas.openxmlformats.org/officeDocument/2006/relationships/printerSettings" Target="../printerSettings/printerSettings70.bin"/><Relationship Id="rId9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7.bin"/><Relationship Id="rId13" Type="http://schemas.openxmlformats.org/officeDocument/2006/relationships/printerSettings" Target="../printerSettings/printerSettings92.bin"/><Relationship Id="rId3" Type="http://schemas.openxmlformats.org/officeDocument/2006/relationships/printerSettings" Target="../printerSettings/printerSettings82.bin"/><Relationship Id="rId7" Type="http://schemas.openxmlformats.org/officeDocument/2006/relationships/printerSettings" Target="../printerSettings/printerSettings86.bin"/><Relationship Id="rId12" Type="http://schemas.openxmlformats.org/officeDocument/2006/relationships/printerSettings" Target="../printerSettings/printerSettings91.bin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Relationship Id="rId6" Type="http://schemas.openxmlformats.org/officeDocument/2006/relationships/printerSettings" Target="../printerSettings/printerSettings85.bin"/><Relationship Id="rId11" Type="http://schemas.openxmlformats.org/officeDocument/2006/relationships/printerSettings" Target="../printerSettings/printerSettings90.bin"/><Relationship Id="rId5" Type="http://schemas.openxmlformats.org/officeDocument/2006/relationships/printerSettings" Target="../printerSettings/printerSettings84.bin"/><Relationship Id="rId10" Type="http://schemas.openxmlformats.org/officeDocument/2006/relationships/printerSettings" Target="../printerSettings/printerSettings89.bin"/><Relationship Id="rId4" Type="http://schemas.openxmlformats.org/officeDocument/2006/relationships/printerSettings" Target="../printerSettings/printerSettings83.bin"/><Relationship Id="rId9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0.bin"/><Relationship Id="rId13" Type="http://schemas.openxmlformats.org/officeDocument/2006/relationships/printerSettings" Target="../printerSettings/printerSettings105.bin"/><Relationship Id="rId3" Type="http://schemas.openxmlformats.org/officeDocument/2006/relationships/printerSettings" Target="../printerSettings/printerSettings95.bin"/><Relationship Id="rId7" Type="http://schemas.openxmlformats.org/officeDocument/2006/relationships/printerSettings" Target="../printerSettings/printerSettings99.bin"/><Relationship Id="rId12" Type="http://schemas.openxmlformats.org/officeDocument/2006/relationships/printerSettings" Target="../printerSettings/printerSettings104.bin"/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Relationship Id="rId6" Type="http://schemas.openxmlformats.org/officeDocument/2006/relationships/printerSettings" Target="../printerSettings/printerSettings98.bin"/><Relationship Id="rId11" Type="http://schemas.openxmlformats.org/officeDocument/2006/relationships/printerSettings" Target="../printerSettings/printerSettings103.bin"/><Relationship Id="rId5" Type="http://schemas.openxmlformats.org/officeDocument/2006/relationships/printerSettings" Target="../printerSettings/printerSettings97.bin"/><Relationship Id="rId10" Type="http://schemas.openxmlformats.org/officeDocument/2006/relationships/printerSettings" Target="../printerSettings/printerSettings102.bin"/><Relationship Id="rId4" Type="http://schemas.openxmlformats.org/officeDocument/2006/relationships/printerSettings" Target="../printerSettings/printerSettings96.bin"/><Relationship Id="rId9" Type="http://schemas.openxmlformats.org/officeDocument/2006/relationships/printerSettings" Target="../printerSettings/printerSettings10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207"/>
  <sheetViews>
    <sheetView workbookViewId="0">
      <selection sqref="A1:J1"/>
    </sheetView>
  </sheetViews>
  <sheetFormatPr defaultColWidth="8.9140625" defaultRowHeight="15" x14ac:dyDescent="0.25"/>
  <cols>
    <col min="1" max="1" width="4.9140625" style="1" customWidth="1"/>
    <col min="2" max="2" width="34.33203125" style="1" customWidth="1"/>
    <col min="3" max="4" width="12.75" style="1" customWidth="1"/>
    <col min="5" max="5" width="11.75" style="1" customWidth="1"/>
    <col min="6" max="7" width="10.6640625" style="1" customWidth="1"/>
    <col min="8" max="9" width="12.75" style="1" customWidth="1"/>
    <col min="10" max="10" width="10.58203125" style="1" customWidth="1"/>
    <col min="11" max="16384" width="8.9140625" style="1"/>
  </cols>
  <sheetData>
    <row r="1" spans="1:12" ht="27.75" customHeight="1" x14ac:dyDescent="0.5">
      <c r="A1" s="461" t="str">
        <f>IF(H7=1,"TEST PERIOD WITH RIDERS","TEST PERIOD WITHOUT RIDERS")</f>
        <v>TEST PERIOD WITH RIDERS</v>
      </c>
      <c r="B1" s="462"/>
      <c r="C1" s="462"/>
      <c r="D1" s="462"/>
      <c r="E1" s="462"/>
      <c r="F1" s="462"/>
      <c r="G1" s="462"/>
      <c r="H1" s="462"/>
      <c r="I1" s="462"/>
      <c r="J1" s="462"/>
      <c r="K1" s="19"/>
      <c r="L1" s="19"/>
    </row>
    <row r="2" spans="1:12" ht="15.6" x14ac:dyDescent="0.3">
      <c r="A2" s="75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</row>
    <row r="3" spans="1:12" x14ac:dyDescent="0.25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</row>
    <row r="4" spans="1:12" ht="16.2" thickBot="1" x14ac:dyDescent="0.35">
      <c r="A4" s="28" t="s">
        <v>195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</row>
    <row r="5" spans="1:12" ht="16.2" thickBot="1" x14ac:dyDescent="0.35">
      <c r="A5" s="19"/>
      <c r="B5" s="99" t="s">
        <v>174</v>
      </c>
      <c r="C5" s="65"/>
      <c r="D5" s="62"/>
      <c r="E5" s="62"/>
      <c r="F5" s="63"/>
      <c r="G5" s="19"/>
      <c r="H5" s="86"/>
      <c r="I5" s="20"/>
      <c r="J5" s="19"/>
      <c r="K5" s="19"/>
      <c r="L5" s="19"/>
    </row>
    <row r="6" spans="1:12" ht="16.2" thickBot="1" x14ac:dyDescent="0.35">
      <c r="A6" s="19"/>
      <c r="B6" s="99" t="str">
        <f>IF(H$7=1,"12 Months Projected with Riders","12 Months Projected without Riders but incl FAC")</f>
        <v>12 Months Projected with Riders</v>
      </c>
      <c r="C6" s="65"/>
      <c r="D6" s="62"/>
      <c r="E6" s="62"/>
      <c r="F6" s="63"/>
      <c r="G6" s="19"/>
      <c r="H6" s="87"/>
      <c r="I6" s="21"/>
      <c r="J6" s="19"/>
      <c r="K6" s="19"/>
      <c r="L6" s="19"/>
    </row>
    <row r="7" spans="1:12" ht="16.2" thickBot="1" x14ac:dyDescent="0.35">
      <c r="A7" s="28"/>
      <c r="B7" s="19"/>
      <c r="C7" s="19"/>
      <c r="D7" s="19"/>
      <c r="E7" s="19"/>
      <c r="F7" s="19"/>
      <c r="G7" s="19"/>
      <c r="H7" s="88">
        <v>1</v>
      </c>
      <c r="I7" s="21"/>
      <c r="J7" s="19"/>
      <c r="K7" s="19"/>
      <c r="L7" s="19"/>
    </row>
    <row r="8" spans="1:12" ht="16.2" thickBot="1" x14ac:dyDescent="0.35">
      <c r="A8" s="19"/>
      <c r="B8" s="29" t="s">
        <v>481</v>
      </c>
      <c r="C8" s="66"/>
      <c r="D8" s="30"/>
      <c r="E8" s="30"/>
      <c r="F8" s="31"/>
      <c r="G8" s="23"/>
      <c r="H8" s="23"/>
      <c r="I8" s="20"/>
      <c r="J8" s="19"/>
      <c r="K8" s="19"/>
      <c r="L8" s="19"/>
    </row>
    <row r="9" spans="1:12" ht="16.2" thickBot="1" x14ac:dyDescent="0.35">
      <c r="A9" s="19"/>
      <c r="B9" s="22" t="s">
        <v>0</v>
      </c>
      <c r="C9" s="22"/>
      <c r="D9" s="23"/>
      <c r="E9" s="23"/>
      <c r="F9" s="23"/>
      <c r="G9" s="23"/>
      <c r="H9" s="23"/>
      <c r="I9" s="20"/>
      <c r="J9" s="19"/>
      <c r="K9" s="19"/>
      <c r="L9" s="19"/>
    </row>
    <row r="10" spans="1:12" ht="16.2" thickBot="1" x14ac:dyDescent="0.35">
      <c r="A10" s="19"/>
      <c r="B10" s="85" t="s">
        <v>1043</v>
      </c>
      <c r="C10" s="66"/>
      <c r="D10" s="30"/>
      <c r="E10" s="30"/>
      <c r="F10" s="30"/>
      <c r="G10" s="31"/>
      <c r="H10" s="23"/>
      <c r="I10" s="20"/>
      <c r="J10" s="19"/>
      <c r="K10" s="19"/>
      <c r="L10" s="19"/>
    </row>
    <row r="11" spans="1:12" ht="16.2" thickBot="1" x14ac:dyDescent="0.35">
      <c r="A11" s="19"/>
      <c r="B11" s="84" t="s">
        <v>1136</v>
      </c>
      <c r="C11" s="35"/>
      <c r="D11" s="52"/>
      <c r="E11" s="52"/>
      <c r="F11" s="52"/>
      <c r="G11" s="33"/>
      <c r="H11" s="19"/>
      <c r="I11" s="21"/>
      <c r="J11" s="19"/>
      <c r="K11" s="19"/>
      <c r="L11" s="19"/>
    </row>
    <row r="12" spans="1:12" ht="16.2" thickBot="1" x14ac:dyDescent="0.35">
      <c r="A12" s="19"/>
      <c r="B12" s="27" t="s">
        <v>1</v>
      </c>
      <c r="C12" s="27"/>
      <c r="D12" s="50" t="s">
        <v>2</v>
      </c>
      <c r="E12" s="51"/>
      <c r="F12" s="19"/>
      <c r="G12" s="19"/>
      <c r="H12" s="19"/>
      <c r="I12" s="21"/>
      <c r="J12" s="19"/>
      <c r="K12" s="19"/>
      <c r="L12" s="19"/>
    </row>
    <row r="13" spans="1:12" ht="16.2" thickBot="1" x14ac:dyDescent="0.35">
      <c r="A13" s="19"/>
      <c r="B13" s="34" t="s">
        <v>541</v>
      </c>
      <c r="C13" s="36"/>
      <c r="D13" s="35"/>
      <c r="E13" s="35"/>
      <c r="F13" s="35"/>
      <c r="G13" s="32"/>
      <c r="H13" s="19"/>
      <c r="I13" s="20" t="s">
        <v>966</v>
      </c>
      <c r="J13" s="19"/>
      <c r="K13" s="19"/>
      <c r="L13" s="19"/>
    </row>
    <row r="14" spans="1:12" ht="16.2" thickBot="1" x14ac:dyDescent="0.35">
      <c r="A14" s="19"/>
      <c r="B14" s="34" t="s">
        <v>334</v>
      </c>
      <c r="C14" s="36"/>
      <c r="D14" s="36"/>
      <c r="E14" s="35"/>
      <c r="F14" s="35"/>
      <c r="G14" s="32"/>
      <c r="H14" s="19"/>
      <c r="I14" s="20" t="s">
        <v>967</v>
      </c>
      <c r="J14" s="112">
        <v>24</v>
      </c>
      <c r="K14" s="19"/>
      <c r="L14" s="19"/>
    </row>
    <row r="15" spans="1:12" ht="16.2" thickBot="1" x14ac:dyDescent="0.35">
      <c r="A15" s="19"/>
      <c r="B15" s="71" t="s">
        <v>1143</v>
      </c>
      <c r="C15" s="36"/>
      <c r="D15" s="36"/>
      <c r="E15" s="35"/>
      <c r="F15" s="35"/>
      <c r="G15" s="32"/>
      <c r="H15" s="19"/>
      <c r="I15" s="20" t="s">
        <v>968</v>
      </c>
      <c r="J15" s="112">
        <v>24</v>
      </c>
      <c r="K15" s="19"/>
      <c r="L15" s="19"/>
    </row>
    <row r="16" spans="1:12" ht="42" customHeight="1" x14ac:dyDescent="0.25">
      <c r="A16" s="19"/>
      <c r="B16" s="19"/>
      <c r="C16" s="19"/>
      <c r="D16" s="19"/>
      <c r="E16" s="19"/>
      <c r="F16" s="19"/>
      <c r="G16" s="19"/>
      <c r="H16" s="19"/>
      <c r="I16" s="20"/>
      <c r="J16" s="19"/>
      <c r="K16" s="19"/>
      <c r="L16" s="19"/>
    </row>
    <row r="17" spans="1:12" ht="19.5" customHeight="1" x14ac:dyDescent="0.3">
      <c r="A17" s="19"/>
      <c r="B17" s="19"/>
      <c r="C17" s="64" t="s">
        <v>8</v>
      </c>
      <c r="D17" s="64" t="s">
        <v>6</v>
      </c>
      <c r="E17" s="68"/>
      <c r="F17" s="19"/>
      <c r="G17" s="19"/>
      <c r="H17" s="19"/>
      <c r="I17" s="20"/>
      <c r="J17" s="19"/>
      <c r="K17" s="19"/>
      <c r="L17" s="19"/>
    </row>
    <row r="18" spans="1:12" ht="19.5" customHeight="1" thickBot="1" x14ac:dyDescent="0.35">
      <c r="A18" s="19"/>
      <c r="B18" s="69" t="s">
        <v>970</v>
      </c>
      <c r="C18" s="19"/>
      <c r="D18" s="19"/>
      <c r="E18" s="64"/>
      <c r="F18" s="19"/>
      <c r="G18" s="19"/>
      <c r="H18" s="19"/>
      <c r="I18" s="20"/>
      <c r="J18" s="19"/>
      <c r="K18" s="19"/>
      <c r="L18" s="19"/>
    </row>
    <row r="19" spans="1:12" ht="16.2" thickBot="1" x14ac:dyDescent="0.35">
      <c r="A19" s="19"/>
      <c r="B19" s="67" t="s">
        <v>535</v>
      </c>
      <c r="C19" s="53">
        <v>3.4872127999999998E-3</v>
      </c>
      <c r="D19" s="53">
        <f>CUR_FAC</f>
        <v>3.4872127999999998E-3</v>
      </c>
      <c r="E19" s="37" t="s">
        <v>333</v>
      </c>
      <c r="F19" s="73">
        <f>CUR_FAC</f>
        <v>3.4872127999999998E-3</v>
      </c>
      <c r="G19" s="74"/>
      <c r="H19" s="74"/>
      <c r="I19" s="53"/>
      <c r="J19" s="76" t="s">
        <v>672</v>
      </c>
      <c r="K19" s="77"/>
      <c r="L19" s="77"/>
    </row>
    <row r="20" spans="1:12" ht="16.2" thickBot="1" x14ac:dyDescent="0.35">
      <c r="A20" s="19"/>
      <c r="B20" s="37" t="s">
        <v>431</v>
      </c>
      <c r="C20" s="54">
        <v>3.3779999999999998E-2</v>
      </c>
      <c r="D20" s="54">
        <v>3.3779999999999998E-2</v>
      </c>
      <c r="E20" s="37" t="s">
        <v>333</v>
      </c>
      <c r="F20" s="26"/>
      <c r="G20" s="19"/>
      <c r="H20" s="19"/>
      <c r="I20" s="19"/>
      <c r="J20" s="37"/>
      <c r="K20" s="19"/>
      <c r="L20" s="19"/>
    </row>
    <row r="21" spans="1:12" ht="15.6" x14ac:dyDescent="0.3">
      <c r="A21" s="19"/>
      <c r="B21" s="37"/>
      <c r="C21" s="37"/>
      <c r="D21" s="37"/>
      <c r="E21" s="37"/>
      <c r="F21" s="26"/>
      <c r="G21" s="19"/>
      <c r="H21" s="19"/>
      <c r="I21" s="19"/>
      <c r="J21" s="37"/>
      <c r="K21" s="19"/>
      <c r="L21" s="19"/>
    </row>
    <row r="22" spans="1:12" ht="18" thickBot="1" x14ac:dyDescent="0.35">
      <c r="A22" s="19"/>
      <c r="B22" s="459" t="s">
        <v>1051</v>
      </c>
      <c r="C22" s="459"/>
      <c r="D22" s="459"/>
      <c r="E22" s="37"/>
      <c r="F22" s="26"/>
      <c r="G22" s="19"/>
      <c r="H22" s="19"/>
      <c r="I22" s="19"/>
      <c r="J22" s="37"/>
      <c r="K22" s="19"/>
      <c r="L22" s="19"/>
    </row>
    <row r="23" spans="1:12" ht="16.2" thickBot="1" x14ac:dyDescent="0.35">
      <c r="A23" s="19"/>
      <c r="B23" s="37" t="s">
        <v>53</v>
      </c>
      <c r="C23" s="57"/>
      <c r="D23" s="57"/>
      <c r="E23" s="37" t="s">
        <v>333</v>
      </c>
      <c r="F23" s="26"/>
      <c r="G23" s="19"/>
      <c r="H23" s="19"/>
      <c r="I23" s="19"/>
      <c r="J23" s="37"/>
      <c r="K23" s="19"/>
      <c r="L23" s="19"/>
    </row>
    <row r="24" spans="1:12" ht="16.2" thickBot="1" x14ac:dyDescent="0.35">
      <c r="A24" s="19"/>
      <c r="B24" s="37" t="s">
        <v>254</v>
      </c>
      <c r="C24" s="57"/>
      <c r="D24" s="57"/>
      <c r="E24" s="37" t="s">
        <v>333</v>
      </c>
      <c r="F24" s="26"/>
      <c r="G24" s="19"/>
      <c r="H24" s="19"/>
      <c r="I24" s="19"/>
      <c r="J24" s="37"/>
      <c r="K24" s="19"/>
      <c r="L24" s="19"/>
    </row>
    <row r="25" spans="1:12" ht="16.2" thickBot="1" x14ac:dyDescent="0.35">
      <c r="A25" s="19"/>
      <c r="B25" s="37" t="s">
        <v>255</v>
      </c>
      <c r="C25" s="57"/>
      <c r="D25" s="57"/>
      <c r="E25" s="37" t="s">
        <v>333</v>
      </c>
      <c r="F25" s="26"/>
      <c r="G25" s="19"/>
      <c r="H25" s="19"/>
      <c r="I25" s="19"/>
      <c r="J25" s="37"/>
      <c r="K25" s="19"/>
      <c r="L25" s="19"/>
    </row>
    <row r="26" spans="1:12" ht="16.2" thickBot="1" x14ac:dyDescent="0.35">
      <c r="A26" s="19"/>
      <c r="B26" s="37" t="s">
        <v>388</v>
      </c>
      <c r="C26" s="59"/>
      <c r="D26" s="57"/>
      <c r="E26" s="37" t="s">
        <v>333</v>
      </c>
      <c r="F26" s="26"/>
      <c r="G26" s="19"/>
      <c r="H26" s="19"/>
      <c r="I26" s="19"/>
      <c r="J26" s="37"/>
      <c r="K26" s="19"/>
      <c r="L26" s="19"/>
    </row>
    <row r="27" spans="1:12" ht="15.6" x14ac:dyDescent="0.3">
      <c r="A27" s="19"/>
      <c r="B27" s="37"/>
      <c r="C27" s="37"/>
      <c r="D27" s="26"/>
      <c r="E27" s="37"/>
      <c r="F27" s="26"/>
      <c r="G27" s="19"/>
      <c r="H27" s="19"/>
      <c r="I27" s="19"/>
      <c r="J27" s="37"/>
      <c r="K27" s="19"/>
      <c r="L27" s="19"/>
    </row>
    <row r="28" spans="1:12" ht="18" thickBot="1" x14ac:dyDescent="0.35">
      <c r="A28" s="19"/>
      <c r="B28" s="83" t="s">
        <v>1048</v>
      </c>
      <c r="C28" s="37"/>
      <c r="D28" s="55"/>
      <c r="E28" s="37"/>
      <c r="F28" s="19" t="s">
        <v>792</v>
      </c>
      <c r="G28" s="26"/>
      <c r="H28" s="19"/>
      <c r="I28" s="20"/>
      <c r="J28" s="19"/>
      <c r="K28" s="19"/>
      <c r="L28" s="19"/>
    </row>
    <row r="29" spans="1:12" ht="16.2" thickBot="1" x14ac:dyDescent="0.35">
      <c r="A29" s="19"/>
      <c r="B29" s="37" t="s">
        <v>53</v>
      </c>
      <c r="C29" s="53">
        <f t="shared" ref="C29:D31" si="0">IF($H$7=1,F29,0)</f>
        <v>1.3519999999999999E-3</v>
      </c>
      <c r="D29" s="53">
        <f t="shared" si="0"/>
        <v>1.3519999999999999E-3</v>
      </c>
      <c r="E29" s="37" t="s">
        <v>333</v>
      </c>
      <c r="F29" s="89">
        <v>1.3519999999999999E-3</v>
      </c>
      <c r="G29" s="89">
        <f>+F29</f>
        <v>1.3519999999999999E-3</v>
      </c>
      <c r="H29" s="19"/>
      <c r="I29" s="92">
        <v>0.3</v>
      </c>
      <c r="J29" s="56">
        <f>IF($H$7=1,I29,0)</f>
        <v>0.3</v>
      </c>
      <c r="K29" s="27" t="s">
        <v>648</v>
      </c>
      <c r="L29" s="19"/>
    </row>
    <row r="30" spans="1:12" ht="16.2" thickBot="1" x14ac:dyDescent="0.35">
      <c r="A30" s="19"/>
      <c r="B30" s="37" t="s">
        <v>254</v>
      </c>
      <c r="C30" s="53">
        <f t="shared" si="0"/>
        <v>3.503E-3</v>
      </c>
      <c r="D30" s="53">
        <f t="shared" si="0"/>
        <v>3.503E-3</v>
      </c>
      <c r="E30" s="37" t="s">
        <v>333</v>
      </c>
      <c r="F30" s="89">
        <v>3.503E-3</v>
      </c>
      <c r="G30" s="89">
        <f>+F30</f>
        <v>3.503E-3</v>
      </c>
      <c r="H30" s="19"/>
      <c r="I30" s="20"/>
      <c r="J30" s="19"/>
      <c r="K30" s="19"/>
      <c r="L30" s="19"/>
    </row>
    <row r="31" spans="1:12" ht="16.2" thickBot="1" x14ac:dyDescent="0.35">
      <c r="A31" s="19"/>
      <c r="B31" s="37" t="s">
        <v>255</v>
      </c>
      <c r="C31" s="53">
        <f t="shared" si="0"/>
        <v>5.1400000000000003E-4</v>
      </c>
      <c r="D31" s="53">
        <f t="shared" si="0"/>
        <v>5.1400000000000003E-4</v>
      </c>
      <c r="E31" s="37" t="s">
        <v>333</v>
      </c>
      <c r="F31" s="89">
        <v>5.1400000000000003E-4</v>
      </c>
      <c r="G31" s="89">
        <f>+F31</f>
        <v>5.1400000000000003E-4</v>
      </c>
      <c r="H31" s="19"/>
      <c r="I31" s="20"/>
      <c r="J31" s="19"/>
      <c r="K31" s="19"/>
      <c r="L31" s="19"/>
    </row>
    <row r="32" spans="1:12" x14ac:dyDescent="0.25">
      <c r="A32" s="19"/>
      <c r="B32" s="24"/>
      <c r="C32" s="24"/>
      <c r="D32" s="19"/>
      <c r="E32" s="25"/>
      <c r="F32" s="24"/>
      <c r="G32" s="26"/>
      <c r="H32" s="19"/>
      <c r="I32" s="20"/>
      <c r="J32" s="19"/>
      <c r="K32" s="19"/>
      <c r="L32" s="19"/>
    </row>
    <row r="33" spans="1:12" ht="18" thickBot="1" x14ac:dyDescent="0.35">
      <c r="A33" s="19"/>
      <c r="B33" s="464" t="s">
        <v>1049</v>
      </c>
      <c r="C33" s="460"/>
      <c r="D33" s="19"/>
      <c r="E33" s="25"/>
      <c r="F33" s="24"/>
      <c r="G33" s="26"/>
      <c r="H33" s="19"/>
      <c r="I33" s="20"/>
      <c r="J33" s="19"/>
      <c r="K33" s="19"/>
      <c r="L33" s="19"/>
    </row>
    <row r="34" spans="1:12" ht="16.2" thickBot="1" x14ac:dyDescent="0.35">
      <c r="A34" s="19"/>
      <c r="B34" s="27" t="s">
        <v>389</v>
      </c>
      <c r="C34" s="53">
        <f>IF($H$7=1,F34,0)</f>
        <v>2.4750000000000002E-3</v>
      </c>
      <c r="D34" s="53">
        <f>IF($H$7=1,G34,0)</f>
        <v>2.4750000000000002E-3</v>
      </c>
      <c r="E34" s="37" t="s">
        <v>333</v>
      </c>
      <c r="F34" s="90">
        <v>2.4750000000000002E-3</v>
      </c>
      <c r="G34" s="90">
        <f>F34</f>
        <v>2.4750000000000002E-3</v>
      </c>
      <c r="H34" s="19"/>
      <c r="I34" s="20"/>
      <c r="J34" s="19"/>
      <c r="K34" s="19"/>
      <c r="L34" s="19"/>
    </row>
    <row r="35" spans="1:12" x14ac:dyDescent="0.25">
      <c r="A35" s="19"/>
      <c r="B35" s="24"/>
      <c r="C35" s="24"/>
      <c r="D35" s="19"/>
      <c r="E35" s="25"/>
      <c r="F35" s="26"/>
      <c r="G35" s="26"/>
      <c r="H35" s="19"/>
      <c r="I35" s="20"/>
      <c r="J35" s="19"/>
      <c r="K35" s="19"/>
      <c r="L35" s="19"/>
    </row>
    <row r="36" spans="1:12" x14ac:dyDescent="0.25">
      <c r="A36" s="19"/>
      <c r="B36" s="24"/>
      <c r="C36" s="24"/>
      <c r="D36" s="19"/>
      <c r="E36" s="25"/>
      <c r="F36" s="24"/>
      <c r="G36" s="26"/>
      <c r="H36" s="19"/>
      <c r="I36" s="20"/>
      <c r="J36" s="19"/>
      <c r="K36" s="19"/>
      <c r="L36" s="19"/>
    </row>
    <row r="37" spans="1:12" ht="15.6" thickBot="1" x14ac:dyDescent="0.3">
      <c r="A37" s="19"/>
      <c r="B37" s="24"/>
      <c r="C37" s="24"/>
      <c r="D37" s="19"/>
      <c r="E37" s="25"/>
      <c r="F37" s="24"/>
      <c r="G37" s="26"/>
      <c r="H37" s="19"/>
      <c r="I37" s="20"/>
      <c r="J37" s="19"/>
      <c r="K37" s="19"/>
      <c r="L37" s="19"/>
    </row>
    <row r="38" spans="1:12" ht="16.2" thickBot="1" x14ac:dyDescent="0.35">
      <c r="A38" s="19"/>
      <c r="B38" s="38" t="s">
        <v>3</v>
      </c>
      <c r="C38" s="38"/>
      <c r="D38" s="39" t="s">
        <v>971</v>
      </c>
      <c r="E38" s="33"/>
      <c r="F38" s="19"/>
      <c r="G38" s="19"/>
      <c r="H38" s="19"/>
      <c r="I38" s="19"/>
      <c r="J38" s="19"/>
      <c r="K38" s="19"/>
      <c r="L38" s="19"/>
    </row>
    <row r="39" spans="1:12" ht="15.6" x14ac:dyDescent="0.3">
      <c r="A39" s="19"/>
      <c r="B39" s="24"/>
      <c r="C39" s="24"/>
      <c r="D39" s="26"/>
      <c r="E39" s="26"/>
      <c r="F39" s="24"/>
      <c r="G39" s="26"/>
      <c r="H39" s="19"/>
      <c r="I39" s="19"/>
      <c r="J39" s="37"/>
      <c r="K39" s="19"/>
      <c r="L39" s="19"/>
    </row>
    <row r="40" spans="1:12" ht="15.6" x14ac:dyDescent="0.3">
      <c r="A40" s="19"/>
      <c r="B40" s="19"/>
      <c r="C40" s="19"/>
      <c r="D40" s="19"/>
      <c r="E40" s="19"/>
      <c r="F40" s="19"/>
      <c r="G40" s="19"/>
      <c r="H40" s="27"/>
      <c r="I40" s="19"/>
      <c r="J40" s="37"/>
      <c r="K40" s="19"/>
      <c r="L40" s="19"/>
    </row>
    <row r="41" spans="1:12" ht="15.6" x14ac:dyDescent="0.3">
      <c r="A41" s="19"/>
      <c r="B41" s="19"/>
      <c r="C41" s="64" t="s">
        <v>8</v>
      </c>
      <c r="D41" s="64" t="s">
        <v>6</v>
      </c>
      <c r="E41" s="19"/>
      <c r="F41" s="19"/>
      <c r="G41" s="19"/>
      <c r="H41" s="27"/>
      <c r="I41" s="19"/>
      <c r="J41" s="37"/>
      <c r="K41" s="19"/>
      <c r="L41" s="19"/>
    </row>
    <row r="42" spans="1:12" ht="18" thickBot="1" x14ac:dyDescent="0.35">
      <c r="A42" s="19"/>
      <c r="B42" s="463" t="s">
        <v>1050</v>
      </c>
      <c r="C42" s="459"/>
      <c r="D42" s="459"/>
      <c r="E42" s="19"/>
      <c r="F42" s="19"/>
      <c r="G42" s="19"/>
      <c r="H42" s="27"/>
      <c r="I42" s="19"/>
      <c r="J42" s="37"/>
      <c r="K42" s="19"/>
      <c r="L42" s="19"/>
    </row>
    <row r="43" spans="1:12" ht="16.2" thickBot="1" x14ac:dyDescent="0.35">
      <c r="A43" s="19"/>
      <c r="B43" s="37" t="s">
        <v>62</v>
      </c>
      <c r="C43" s="57">
        <v>13</v>
      </c>
      <c r="D43" s="57">
        <v>14.75</v>
      </c>
      <c r="E43" s="37" t="s">
        <v>482</v>
      </c>
      <c r="F43" s="19"/>
      <c r="G43" s="19">
        <f>D43/C43-1</f>
        <v>0.13461538461538458</v>
      </c>
      <c r="H43" s="27"/>
      <c r="I43" s="19"/>
      <c r="J43" s="37"/>
      <c r="K43" s="19"/>
      <c r="L43" s="19"/>
    </row>
    <row r="44" spans="1:12" ht="16.2" thickBot="1" x14ac:dyDescent="0.35">
      <c r="A44" s="19"/>
      <c r="B44" s="37" t="s">
        <v>483</v>
      </c>
      <c r="C44" s="57">
        <v>0.111639</v>
      </c>
      <c r="D44" s="57">
        <v>0.122409</v>
      </c>
      <c r="E44" s="37" t="s">
        <v>333</v>
      </c>
      <c r="F44" s="24"/>
      <c r="G44" s="19">
        <f>D44/C44-1</f>
        <v>9.6471663128476548E-2</v>
      </c>
      <c r="H44" s="27"/>
      <c r="I44" s="81"/>
      <c r="J44" s="37"/>
      <c r="K44" s="19"/>
      <c r="L44" s="19"/>
    </row>
    <row r="45" spans="1:12" ht="15.6" x14ac:dyDescent="0.3">
      <c r="A45" s="19"/>
      <c r="B45" s="19"/>
      <c r="C45" s="19"/>
      <c r="D45" s="19"/>
      <c r="E45" s="19"/>
      <c r="F45" s="19"/>
      <c r="G45" s="19"/>
      <c r="H45" s="27"/>
      <c r="I45" s="19"/>
      <c r="J45" s="37"/>
      <c r="K45" s="19"/>
      <c r="L45" s="19"/>
    </row>
    <row r="46" spans="1:12" ht="17.399999999999999" x14ac:dyDescent="0.3">
      <c r="A46" s="26"/>
      <c r="B46" s="463" t="s">
        <v>1047</v>
      </c>
      <c r="C46" s="459"/>
      <c r="D46" s="459"/>
      <c r="E46" s="19"/>
      <c r="F46" s="19"/>
      <c r="G46" s="19"/>
      <c r="H46" s="27"/>
      <c r="I46" s="19"/>
      <c r="J46" s="37"/>
      <c r="K46" s="19"/>
      <c r="L46" s="19"/>
    </row>
    <row r="47" spans="1:12" ht="16.2" thickBot="1" x14ac:dyDescent="0.35">
      <c r="A47" s="19"/>
      <c r="B47" s="37" t="s">
        <v>62</v>
      </c>
      <c r="C47" s="19"/>
      <c r="D47" s="19"/>
      <c r="E47" s="19"/>
      <c r="F47" s="19"/>
      <c r="G47" s="19"/>
      <c r="H47" s="19"/>
      <c r="I47" s="19"/>
      <c r="J47" s="19"/>
      <c r="K47" s="19"/>
      <c r="L47" s="19"/>
    </row>
    <row r="48" spans="1:12" ht="16.2" thickBot="1" x14ac:dyDescent="0.35">
      <c r="A48" s="19"/>
      <c r="B48" s="37" t="s">
        <v>484</v>
      </c>
      <c r="C48" s="57">
        <v>15</v>
      </c>
      <c r="D48" s="57">
        <f>'Proposed Rates - Not Used'!G18</f>
        <v>15</v>
      </c>
      <c r="E48" s="37" t="s">
        <v>482</v>
      </c>
      <c r="F48" s="19"/>
      <c r="G48" s="19">
        <f>D48/C48-1</f>
        <v>0</v>
      </c>
      <c r="H48" s="19"/>
      <c r="I48" s="19"/>
      <c r="J48" s="19"/>
      <c r="K48" s="19"/>
      <c r="L48" s="19"/>
    </row>
    <row r="49" spans="1:12" ht="16.2" thickBot="1" x14ac:dyDescent="0.35">
      <c r="A49" s="19"/>
      <c r="B49" s="37" t="s">
        <v>485</v>
      </c>
      <c r="C49" s="57">
        <v>30</v>
      </c>
      <c r="D49" s="57">
        <f>'Proposed Rates - Not Used'!G19</f>
        <v>30</v>
      </c>
      <c r="E49" s="37" t="s">
        <v>482</v>
      </c>
      <c r="F49" s="19"/>
      <c r="G49" s="19">
        <f>D49/C49-1</f>
        <v>0</v>
      </c>
      <c r="H49" s="19"/>
      <c r="I49" s="19"/>
      <c r="J49" s="19"/>
      <c r="K49" s="19"/>
      <c r="L49" s="19"/>
    </row>
    <row r="50" spans="1:12" ht="16.2" thickBot="1" x14ac:dyDescent="0.35">
      <c r="A50" s="19"/>
      <c r="B50" s="37" t="s">
        <v>483</v>
      </c>
      <c r="C50" s="19"/>
      <c r="D50" s="19"/>
      <c r="E50" s="19"/>
      <c r="F50" s="19"/>
      <c r="G50" s="19"/>
      <c r="H50" s="19"/>
      <c r="I50" s="19"/>
      <c r="J50" s="19"/>
      <c r="K50" s="19"/>
      <c r="L50" s="19"/>
    </row>
    <row r="51" spans="1:12" ht="16.2" thickBot="1" x14ac:dyDescent="0.35">
      <c r="A51" s="19"/>
      <c r="B51" s="19" t="s">
        <v>486</v>
      </c>
      <c r="C51" s="57">
        <v>0.114788</v>
      </c>
      <c r="D51" s="57">
        <v>0.123027</v>
      </c>
      <c r="E51" s="37" t="s">
        <v>333</v>
      </c>
      <c r="F51" s="19"/>
      <c r="G51" s="19">
        <f>D51/C51-1</f>
        <v>7.1775795379307894E-2</v>
      </c>
      <c r="H51" s="19"/>
      <c r="I51" s="19"/>
      <c r="J51" s="19"/>
      <c r="K51" s="19"/>
      <c r="L51" s="19"/>
    </row>
    <row r="52" spans="1:12" ht="16.2" thickBot="1" x14ac:dyDescent="0.35">
      <c r="A52" s="19"/>
      <c r="B52" s="19" t="s">
        <v>487</v>
      </c>
      <c r="C52" s="57">
        <v>7.4619000000000005E-2</v>
      </c>
      <c r="D52" s="57">
        <v>8.2853999999999997E-2</v>
      </c>
      <c r="E52" s="37" t="s">
        <v>333</v>
      </c>
      <c r="F52" s="19"/>
      <c r="G52" s="19">
        <f>D52/C52-1</f>
        <v>0.11036063201061386</v>
      </c>
      <c r="H52" s="19"/>
      <c r="I52" s="19"/>
      <c r="J52" s="19"/>
      <c r="K52" s="19"/>
      <c r="L52" s="19"/>
    </row>
    <row r="53" spans="1:12" ht="16.2" thickBot="1" x14ac:dyDescent="0.35">
      <c r="A53" s="19"/>
      <c r="B53" s="19" t="s">
        <v>488</v>
      </c>
      <c r="C53" s="57">
        <v>6.3056000000000001E-2</v>
      </c>
      <c r="D53" s="57">
        <v>6.0887999999999998E-2</v>
      </c>
      <c r="E53" s="37" t="s">
        <v>333</v>
      </c>
      <c r="F53" s="19"/>
      <c r="G53" s="19">
        <f>D53/C53-1</f>
        <v>-3.4382136513575245E-2</v>
      </c>
      <c r="H53" s="19"/>
      <c r="I53" s="19"/>
      <c r="J53" s="19"/>
      <c r="K53" s="19"/>
      <c r="L53" s="19"/>
    </row>
    <row r="54" spans="1:12" ht="16.2" thickBot="1" x14ac:dyDescent="0.35">
      <c r="A54" s="19"/>
      <c r="B54" s="37" t="s">
        <v>489</v>
      </c>
      <c r="C54" s="19"/>
      <c r="D54" s="19"/>
      <c r="E54" s="19"/>
      <c r="F54" s="19"/>
      <c r="G54" s="19"/>
      <c r="H54" s="19"/>
      <c r="I54" s="19"/>
      <c r="J54" s="19"/>
      <c r="K54" s="19"/>
      <c r="L54" s="19"/>
    </row>
    <row r="55" spans="1:12" ht="16.2" thickBot="1" x14ac:dyDescent="0.35">
      <c r="A55" s="19"/>
      <c r="B55" s="19" t="s">
        <v>491</v>
      </c>
      <c r="C55" s="57">
        <v>0</v>
      </c>
      <c r="D55" s="57">
        <v>0</v>
      </c>
      <c r="E55" s="37" t="s">
        <v>490</v>
      </c>
      <c r="F55" s="19"/>
      <c r="G55" s="19"/>
      <c r="H55" s="19"/>
      <c r="I55" s="19"/>
      <c r="J55" s="19"/>
      <c r="K55" s="19"/>
      <c r="L55" s="19"/>
    </row>
    <row r="56" spans="1:12" ht="16.2" thickBot="1" x14ac:dyDescent="0.35">
      <c r="A56" s="19"/>
      <c r="B56" s="19" t="s">
        <v>488</v>
      </c>
      <c r="C56" s="57">
        <v>10.68</v>
      </c>
      <c r="D56" s="57">
        <v>12.97</v>
      </c>
      <c r="E56" s="37" t="s">
        <v>490</v>
      </c>
      <c r="F56" s="19"/>
      <c r="G56" s="19">
        <f>D56/C56-1</f>
        <v>0.21441947565543074</v>
      </c>
      <c r="H56" s="19"/>
      <c r="I56" s="19"/>
      <c r="J56" s="19"/>
      <c r="K56" s="19"/>
      <c r="L56" s="19"/>
    </row>
    <row r="57" spans="1:12" ht="16.2" thickBot="1" x14ac:dyDescent="0.35">
      <c r="A57" s="19"/>
      <c r="B57" s="37" t="s">
        <v>492</v>
      </c>
      <c r="C57" s="19"/>
      <c r="D57" s="19"/>
      <c r="E57" s="19"/>
      <c r="F57" s="19"/>
      <c r="G57" s="19"/>
      <c r="H57" s="19"/>
      <c r="I57" s="19"/>
      <c r="J57" s="19"/>
      <c r="K57" s="19"/>
      <c r="L57" s="19"/>
    </row>
    <row r="58" spans="1:12" ht="16.2" thickBot="1" x14ac:dyDescent="0.35">
      <c r="A58" s="19"/>
      <c r="B58" s="19" t="s">
        <v>493</v>
      </c>
      <c r="C58" s="57">
        <v>0.30729699999999999</v>
      </c>
      <c r="D58" s="57">
        <v>0.331538</v>
      </c>
      <c r="E58" s="37" t="s">
        <v>333</v>
      </c>
      <c r="F58" s="19"/>
      <c r="G58" s="19">
        <f>D58/C58-1</f>
        <v>7.8884596985977717E-2</v>
      </c>
      <c r="H58" s="19"/>
      <c r="I58" s="19"/>
      <c r="J58" s="19"/>
      <c r="K58" s="19"/>
      <c r="L58" s="19"/>
    </row>
    <row r="59" spans="1:12" ht="16.2" thickBot="1" x14ac:dyDescent="0.35">
      <c r="A59" s="19"/>
      <c r="B59" s="19" t="s">
        <v>494</v>
      </c>
      <c r="C59" s="57">
        <v>0.18865199999999999</v>
      </c>
      <c r="D59" s="57">
        <v>0.203537</v>
      </c>
      <c r="E59" s="37" t="s">
        <v>333</v>
      </c>
      <c r="F59" s="19"/>
      <c r="G59" s="19">
        <f>D59/C59-1</f>
        <v>7.8901893433411807E-2</v>
      </c>
      <c r="H59" s="19"/>
      <c r="I59" s="19"/>
      <c r="J59" s="19"/>
      <c r="K59" s="19"/>
      <c r="L59" s="19"/>
    </row>
    <row r="60" spans="1:12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</row>
    <row r="61" spans="1:12" ht="17.399999999999999" x14ac:dyDescent="0.3">
      <c r="A61" s="19"/>
      <c r="B61" s="463" t="s">
        <v>1052</v>
      </c>
      <c r="C61" s="459"/>
      <c r="D61" s="459"/>
      <c r="E61" s="19"/>
      <c r="F61" s="19"/>
      <c r="G61" s="19"/>
      <c r="H61" s="19"/>
      <c r="I61" s="19"/>
      <c r="J61" s="19"/>
      <c r="K61" s="19"/>
      <c r="L61" s="19"/>
    </row>
    <row r="62" spans="1:12" ht="16.2" thickBot="1" x14ac:dyDescent="0.35">
      <c r="A62" s="19"/>
      <c r="B62" s="37" t="s">
        <v>62</v>
      </c>
      <c r="C62" s="19"/>
      <c r="D62" s="19"/>
      <c r="E62" s="19"/>
      <c r="F62" s="19"/>
      <c r="G62" s="19"/>
      <c r="H62" s="19"/>
      <c r="I62" s="19"/>
      <c r="J62" s="19"/>
      <c r="K62" s="19"/>
      <c r="L62" s="19"/>
    </row>
    <row r="63" spans="1:12" ht="16.2" thickBot="1" x14ac:dyDescent="0.35">
      <c r="A63" s="19"/>
      <c r="B63" s="19" t="s">
        <v>628</v>
      </c>
      <c r="C63" s="57">
        <v>5</v>
      </c>
      <c r="D63" s="57">
        <v>5</v>
      </c>
      <c r="E63" s="37" t="s">
        <v>482</v>
      </c>
      <c r="F63" s="19"/>
      <c r="G63" s="19">
        <f t="shared" ref="G63:G119" si="1">D63/C63-1</f>
        <v>0</v>
      </c>
      <c r="H63" s="19"/>
      <c r="I63" s="19"/>
      <c r="J63" s="19"/>
      <c r="K63" s="19"/>
      <c r="L63" s="19"/>
    </row>
    <row r="64" spans="1:12" ht="16.2" thickBot="1" x14ac:dyDescent="0.35">
      <c r="A64" s="19"/>
      <c r="B64" s="19" t="s">
        <v>627</v>
      </c>
      <c r="C64" s="57">
        <v>5</v>
      </c>
      <c r="D64" s="57">
        <v>5</v>
      </c>
      <c r="E64" s="37" t="s">
        <v>482</v>
      </c>
      <c r="F64" s="19"/>
      <c r="G64" s="19">
        <f t="shared" si="1"/>
        <v>0</v>
      </c>
      <c r="H64" s="19"/>
      <c r="I64" s="19"/>
      <c r="J64" s="19"/>
      <c r="K64" s="19"/>
      <c r="L64" s="19"/>
    </row>
    <row r="65" spans="1:12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</row>
    <row r="66" spans="1:12" ht="17.399999999999999" x14ac:dyDescent="0.3">
      <c r="A66" s="26"/>
      <c r="B66" s="463" t="s">
        <v>1046</v>
      </c>
      <c r="C66" s="459"/>
      <c r="D66" s="459"/>
      <c r="E66" s="19"/>
      <c r="F66" s="19"/>
      <c r="G66" s="19"/>
      <c r="H66" s="27"/>
      <c r="I66" s="19"/>
      <c r="J66" s="37"/>
      <c r="K66" s="19"/>
      <c r="L66" s="19"/>
    </row>
    <row r="67" spans="1:12" ht="16.2" thickBot="1" x14ac:dyDescent="0.35">
      <c r="A67" s="19"/>
      <c r="B67" s="37" t="s">
        <v>62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</row>
    <row r="68" spans="1:12" ht="16.2" thickBot="1" x14ac:dyDescent="0.35">
      <c r="A68" s="19"/>
      <c r="B68" s="37" t="s">
        <v>484</v>
      </c>
      <c r="C68" s="57">
        <v>63.5</v>
      </c>
      <c r="D68" s="57">
        <v>63.5</v>
      </c>
      <c r="E68" s="37" t="s">
        <v>482</v>
      </c>
      <c r="F68" s="19"/>
      <c r="G68" s="19">
        <f t="shared" si="1"/>
        <v>0</v>
      </c>
      <c r="H68" s="19"/>
      <c r="I68" s="19"/>
      <c r="J68" s="19"/>
      <c r="K68" s="19"/>
      <c r="L68" s="19"/>
    </row>
    <row r="69" spans="1:12" ht="16.2" thickBot="1" x14ac:dyDescent="0.35">
      <c r="A69" s="19"/>
      <c r="B69" s="37" t="s">
        <v>485</v>
      </c>
      <c r="C69" s="57">
        <v>127</v>
      </c>
      <c r="D69" s="57">
        <v>127</v>
      </c>
      <c r="E69" s="37" t="s">
        <v>482</v>
      </c>
      <c r="F69" s="19"/>
      <c r="G69" s="19">
        <f t="shared" si="1"/>
        <v>0</v>
      </c>
      <c r="H69" s="19"/>
      <c r="I69" s="19"/>
      <c r="J69" s="19"/>
      <c r="K69" s="19"/>
      <c r="L69" s="19"/>
    </row>
    <row r="70" spans="1:12" ht="16.2" thickBot="1" x14ac:dyDescent="0.35">
      <c r="A70" s="19"/>
      <c r="B70" s="37" t="s">
        <v>495</v>
      </c>
      <c r="C70" s="57">
        <v>138</v>
      </c>
      <c r="D70" s="57">
        <v>155</v>
      </c>
      <c r="E70" s="37" t="s">
        <v>482</v>
      </c>
      <c r="F70" s="19"/>
      <c r="G70" s="19">
        <f t="shared" si="1"/>
        <v>0.12318840579710155</v>
      </c>
      <c r="H70" s="19"/>
      <c r="I70" s="19"/>
      <c r="J70" s="19"/>
      <c r="K70" s="19"/>
      <c r="L70" s="19"/>
    </row>
    <row r="71" spans="1:12" ht="16.2" thickBot="1" x14ac:dyDescent="0.35">
      <c r="A71" s="19"/>
      <c r="B71" s="37" t="s">
        <v>483</v>
      </c>
      <c r="C71" s="19"/>
      <c r="D71" s="19"/>
      <c r="E71" s="19"/>
      <c r="F71" s="19"/>
      <c r="G71" s="19"/>
      <c r="H71" s="19"/>
      <c r="I71" s="19"/>
      <c r="J71" s="19"/>
      <c r="K71" s="19"/>
      <c r="L71" s="19"/>
    </row>
    <row r="72" spans="1:12" ht="16.2" thickBot="1" x14ac:dyDescent="0.35">
      <c r="A72" s="19"/>
      <c r="B72" s="19" t="s">
        <v>496</v>
      </c>
      <c r="C72" s="57">
        <v>5.6746999999999999E-2</v>
      </c>
      <c r="D72" s="57">
        <v>6.2944E-2</v>
      </c>
      <c r="E72" s="37" t="s">
        <v>333</v>
      </c>
      <c r="F72" s="19"/>
      <c r="G72" s="19">
        <f t="shared" si="1"/>
        <v>0.1092040107847112</v>
      </c>
      <c r="H72" s="19"/>
      <c r="I72" s="19"/>
      <c r="J72" s="19"/>
      <c r="K72" s="19"/>
      <c r="L72" s="19"/>
    </row>
    <row r="73" spans="1:12" ht="16.2" thickBot="1" x14ac:dyDescent="0.35">
      <c r="A73" s="19"/>
      <c r="B73" s="19" t="s">
        <v>497</v>
      </c>
      <c r="C73" s="57">
        <v>5.4640000000000001E-2</v>
      </c>
      <c r="D73" s="57">
        <v>6.0547999999999998E-2</v>
      </c>
      <c r="E73" s="37" t="s">
        <v>333</v>
      </c>
      <c r="F73" s="19"/>
      <c r="G73" s="19">
        <f t="shared" si="1"/>
        <v>0.10812591508052694</v>
      </c>
      <c r="H73" s="19"/>
      <c r="I73" s="19"/>
      <c r="J73" s="19"/>
      <c r="K73" s="19"/>
      <c r="L73" s="19"/>
    </row>
    <row r="74" spans="1:12" ht="16.2" thickBot="1" x14ac:dyDescent="0.35">
      <c r="A74" s="19"/>
      <c r="B74" s="19" t="s">
        <v>498</v>
      </c>
      <c r="C74" s="57">
        <v>4.8348000000000002E-2</v>
      </c>
      <c r="D74" s="57">
        <v>5.3392000000000002E-2</v>
      </c>
      <c r="E74" s="37" t="s">
        <v>333</v>
      </c>
      <c r="F74" s="19"/>
      <c r="G74" s="19">
        <f t="shared" si="1"/>
        <v>0.10432696285265153</v>
      </c>
      <c r="H74" s="19"/>
      <c r="I74" s="19"/>
      <c r="J74" s="19"/>
      <c r="K74" s="19"/>
      <c r="L74" s="19"/>
    </row>
    <row r="75" spans="1:12" ht="16.2" thickBot="1" x14ac:dyDescent="0.35">
      <c r="A75" s="19"/>
      <c r="B75" s="37" t="s">
        <v>489</v>
      </c>
      <c r="C75" s="19"/>
      <c r="D75" s="19"/>
      <c r="E75" s="19"/>
      <c r="F75" s="19"/>
      <c r="G75" s="19"/>
      <c r="H75" s="19"/>
      <c r="I75" s="19"/>
      <c r="J75" s="19"/>
      <c r="K75" s="19"/>
      <c r="L75" s="19"/>
    </row>
    <row r="76" spans="1:12" ht="16.2" thickBot="1" x14ac:dyDescent="0.35">
      <c r="A76" s="19"/>
      <c r="B76" s="19" t="s">
        <v>496</v>
      </c>
      <c r="C76" s="57">
        <v>14.71</v>
      </c>
      <c r="D76" s="57">
        <v>15.72</v>
      </c>
      <c r="E76" s="37" t="s">
        <v>490</v>
      </c>
      <c r="F76" s="19"/>
      <c r="G76" s="19">
        <f t="shared" si="1"/>
        <v>6.8660774983004824E-2</v>
      </c>
      <c r="H76" s="19"/>
      <c r="I76" s="19"/>
      <c r="J76" s="19"/>
      <c r="K76" s="19"/>
      <c r="L76" s="19"/>
    </row>
    <row r="77" spans="1:12" ht="16.2" thickBot="1" x14ac:dyDescent="0.35">
      <c r="A77" s="19"/>
      <c r="B77" s="19" t="s">
        <v>499</v>
      </c>
      <c r="C77" s="57">
        <v>1.32</v>
      </c>
      <c r="D77" s="57">
        <v>1.41</v>
      </c>
      <c r="E77" s="37" t="s">
        <v>490</v>
      </c>
      <c r="F77" s="19"/>
      <c r="G77" s="19">
        <f t="shared" si="1"/>
        <v>6.8181818181818121E-2</v>
      </c>
      <c r="H77" s="19"/>
      <c r="I77" s="19"/>
      <c r="J77" s="19"/>
      <c r="K77" s="19"/>
      <c r="L77" s="19"/>
    </row>
    <row r="78" spans="1:12" ht="16.2" thickBot="1" x14ac:dyDescent="0.35">
      <c r="A78" s="19"/>
      <c r="B78" s="19" t="s">
        <v>497</v>
      </c>
      <c r="C78" s="57">
        <v>13.92</v>
      </c>
      <c r="D78" s="57">
        <v>14.88</v>
      </c>
      <c r="E78" s="37" t="s">
        <v>490</v>
      </c>
      <c r="F78" s="19"/>
      <c r="G78" s="19">
        <f t="shared" si="1"/>
        <v>6.8965517241379448E-2</v>
      </c>
      <c r="H78" s="19"/>
      <c r="I78" s="19"/>
      <c r="J78" s="19"/>
      <c r="K78" s="19"/>
      <c r="L78" s="19"/>
    </row>
    <row r="79" spans="1:12" ht="16.2" thickBot="1" x14ac:dyDescent="0.35">
      <c r="A79" s="19"/>
      <c r="B79" s="19" t="s">
        <v>500</v>
      </c>
      <c r="C79" s="57">
        <v>1.32</v>
      </c>
      <c r="D79" s="57">
        <v>1.41</v>
      </c>
      <c r="E79" s="37" t="s">
        <v>490</v>
      </c>
      <c r="F79" s="19"/>
      <c r="G79" s="19">
        <f t="shared" si="1"/>
        <v>6.8181818181818121E-2</v>
      </c>
      <c r="H79" s="19"/>
      <c r="I79" s="19"/>
      <c r="J79" s="19"/>
      <c r="K79" s="19"/>
      <c r="L79" s="19"/>
    </row>
    <row r="80" spans="1:12" ht="16.2" thickBot="1" x14ac:dyDescent="0.35">
      <c r="A80" s="19"/>
      <c r="B80" s="19" t="s">
        <v>501</v>
      </c>
      <c r="C80" s="57">
        <v>-0.75</v>
      </c>
      <c r="D80" s="57">
        <v>-0.8</v>
      </c>
      <c r="E80" s="37" t="s">
        <v>490</v>
      </c>
      <c r="F80" s="19"/>
      <c r="G80" s="19">
        <f t="shared" si="1"/>
        <v>6.6666666666666652E-2</v>
      </c>
      <c r="H80" s="114" t="s">
        <v>1127</v>
      </c>
      <c r="I80" s="19"/>
      <c r="J80" s="19"/>
      <c r="K80" s="19"/>
      <c r="L80" s="19"/>
    </row>
    <row r="81" spans="1:12" ht="16.2" thickBot="1" x14ac:dyDescent="0.35">
      <c r="A81" s="19"/>
      <c r="B81" s="19" t="s">
        <v>502</v>
      </c>
      <c r="C81" s="57">
        <v>-0.57999999999999996</v>
      </c>
      <c r="D81" s="57">
        <v>-0.62</v>
      </c>
      <c r="E81" s="37" t="s">
        <v>490</v>
      </c>
      <c r="F81" s="19"/>
      <c r="G81" s="19">
        <f t="shared" si="1"/>
        <v>6.8965517241379448E-2</v>
      </c>
      <c r="H81" s="114" t="s">
        <v>1127</v>
      </c>
      <c r="I81" s="19"/>
      <c r="J81" s="19"/>
      <c r="K81" s="19"/>
      <c r="L81" s="19"/>
    </row>
    <row r="82" spans="1:12" ht="15.6" x14ac:dyDescent="0.3">
      <c r="A82" s="19"/>
      <c r="B82" s="19" t="s">
        <v>977</v>
      </c>
      <c r="C82" s="117">
        <v>6.07</v>
      </c>
      <c r="D82" s="117">
        <v>6.77</v>
      </c>
      <c r="E82" s="37" t="s">
        <v>490</v>
      </c>
      <c r="F82" s="19"/>
      <c r="G82" s="19">
        <f t="shared" si="1"/>
        <v>0.11532125205930788</v>
      </c>
      <c r="H82" s="19"/>
      <c r="I82" s="19"/>
      <c r="J82" s="19"/>
      <c r="K82" s="19"/>
      <c r="L82" s="19"/>
    </row>
    <row r="83" spans="1:12" x14ac:dyDescent="0.2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</row>
    <row r="84" spans="1:12" ht="17.399999999999999" x14ac:dyDescent="0.3">
      <c r="A84" s="26"/>
      <c r="B84" s="463" t="s">
        <v>1045</v>
      </c>
      <c r="C84" s="459"/>
      <c r="D84" s="459"/>
      <c r="E84" s="19"/>
      <c r="F84" s="19"/>
      <c r="G84" s="19"/>
      <c r="H84" s="27"/>
      <c r="I84" s="19"/>
      <c r="J84" s="37"/>
      <c r="K84" s="19"/>
      <c r="L84" s="19"/>
    </row>
    <row r="85" spans="1:12" ht="16.2" thickBot="1" x14ac:dyDescent="0.35">
      <c r="A85" s="19"/>
      <c r="B85" s="37" t="s">
        <v>62</v>
      </c>
      <c r="C85" s="19"/>
      <c r="D85" s="19"/>
      <c r="E85" s="19"/>
      <c r="F85" s="19"/>
      <c r="G85" s="19"/>
      <c r="H85" s="19"/>
      <c r="I85" s="19"/>
      <c r="J85" s="19"/>
      <c r="K85" s="19"/>
      <c r="L85" s="19"/>
    </row>
    <row r="86" spans="1:12" ht="16.2" thickBot="1" x14ac:dyDescent="0.35">
      <c r="A86" s="19"/>
      <c r="B86" s="37" t="s">
        <v>484</v>
      </c>
      <c r="C86" s="57">
        <v>15</v>
      </c>
      <c r="D86" s="57">
        <f>'Proposed Rates - Not Used'!W17</f>
        <v>15</v>
      </c>
      <c r="E86" s="37" t="s">
        <v>482</v>
      </c>
      <c r="F86" s="19"/>
      <c r="G86" s="19">
        <f t="shared" si="1"/>
        <v>0</v>
      </c>
      <c r="H86" s="19"/>
      <c r="I86" s="19"/>
      <c r="J86" s="19"/>
      <c r="K86" s="19"/>
      <c r="L86" s="19"/>
    </row>
    <row r="87" spans="1:12" ht="16.2" thickBot="1" x14ac:dyDescent="0.35">
      <c r="A87" s="19"/>
      <c r="B87" s="37" t="s">
        <v>485</v>
      </c>
      <c r="C87" s="57">
        <v>30</v>
      </c>
      <c r="D87" s="57">
        <f>'Proposed Rates - Not Used'!W16</f>
        <v>30</v>
      </c>
      <c r="E87" s="37" t="s">
        <v>482</v>
      </c>
      <c r="F87" s="19"/>
      <c r="G87" s="19">
        <f t="shared" si="1"/>
        <v>0</v>
      </c>
      <c r="H87" s="19"/>
      <c r="I87" s="19"/>
      <c r="J87" s="19"/>
      <c r="K87" s="19"/>
      <c r="L87" s="19"/>
    </row>
    <row r="88" spans="1:12" ht="16.2" thickBot="1" x14ac:dyDescent="0.35">
      <c r="A88" s="19"/>
      <c r="B88" s="37" t="s">
        <v>495</v>
      </c>
      <c r="C88" s="57">
        <v>117</v>
      </c>
      <c r="D88" s="57">
        <f>'Proposed Rates - Not Used'!W19</f>
        <v>120</v>
      </c>
      <c r="E88" s="37" t="s">
        <v>482</v>
      </c>
      <c r="F88" s="19"/>
      <c r="G88" s="19">
        <f t="shared" si="1"/>
        <v>2.564102564102555E-2</v>
      </c>
      <c r="H88" s="19"/>
      <c r="I88" s="19"/>
      <c r="J88" s="19"/>
      <c r="K88" s="19"/>
      <c r="L88" s="19"/>
    </row>
    <row r="89" spans="1:12" ht="16.2" thickBot="1" x14ac:dyDescent="0.35">
      <c r="A89" s="19"/>
      <c r="B89" s="37" t="s">
        <v>483</v>
      </c>
      <c r="C89" s="19"/>
      <c r="D89" s="19"/>
      <c r="E89" s="19"/>
      <c r="F89" s="19"/>
      <c r="G89" s="19"/>
      <c r="H89" s="19"/>
      <c r="I89" s="19"/>
      <c r="J89" s="19"/>
      <c r="K89" s="19"/>
      <c r="L89" s="19"/>
    </row>
    <row r="90" spans="1:12" ht="16.2" thickBot="1" x14ac:dyDescent="0.35">
      <c r="A90" s="19"/>
      <c r="B90" s="19" t="s">
        <v>503</v>
      </c>
      <c r="C90" s="57">
        <v>9.0635999999999994E-2</v>
      </c>
      <c r="D90" s="57">
        <v>0.104842</v>
      </c>
      <c r="E90" s="37" t="s">
        <v>333</v>
      </c>
      <c r="F90" s="19"/>
      <c r="G90" s="19">
        <f t="shared" si="1"/>
        <v>0.15673683745972911</v>
      </c>
      <c r="H90" s="19"/>
      <c r="I90" s="19"/>
      <c r="J90" s="19"/>
      <c r="K90" s="19"/>
      <c r="L90" s="19"/>
    </row>
    <row r="91" spans="1:12" ht="16.2" thickBot="1" x14ac:dyDescent="0.35">
      <c r="A91" s="19"/>
      <c r="B91" s="37" t="s">
        <v>489</v>
      </c>
      <c r="C91" s="19"/>
      <c r="D91" s="19"/>
      <c r="E91" s="19"/>
      <c r="F91" s="19"/>
      <c r="G91" s="19"/>
      <c r="H91" s="19"/>
      <c r="I91" s="19"/>
      <c r="J91" s="19"/>
      <c r="K91" s="19"/>
      <c r="L91" s="19"/>
    </row>
    <row r="92" spans="1:12" ht="16.2" thickBot="1" x14ac:dyDescent="0.35">
      <c r="A92" s="19"/>
      <c r="B92" s="19" t="s">
        <v>504</v>
      </c>
      <c r="C92" s="57">
        <v>0</v>
      </c>
      <c r="D92" s="57">
        <v>0</v>
      </c>
      <c r="E92" s="37" t="s">
        <v>490</v>
      </c>
      <c r="F92" s="19"/>
      <c r="G92" s="19"/>
      <c r="H92" s="19"/>
      <c r="I92" s="19"/>
      <c r="J92" s="19"/>
      <c r="K92" s="19"/>
      <c r="L92" s="19"/>
    </row>
    <row r="93" spans="1:12" x14ac:dyDescent="0.2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</row>
    <row r="94" spans="1:12" ht="17.399999999999999" x14ac:dyDescent="0.3">
      <c r="A94" s="26"/>
      <c r="B94" s="463" t="s">
        <v>1044</v>
      </c>
      <c r="C94" s="459"/>
      <c r="D94" s="459"/>
      <c r="E94" s="19"/>
      <c r="F94" s="19"/>
      <c r="G94" s="19"/>
      <c r="H94" s="27"/>
      <c r="I94" s="19"/>
      <c r="J94" s="37"/>
      <c r="K94" s="19"/>
      <c r="L94" s="19"/>
    </row>
    <row r="95" spans="1:12" ht="16.2" thickBot="1" x14ac:dyDescent="0.35">
      <c r="A95" s="19"/>
      <c r="B95" s="37" t="s">
        <v>62</v>
      </c>
      <c r="C95" s="19"/>
      <c r="D95" s="19"/>
      <c r="E95" s="19"/>
      <c r="F95" s="19"/>
      <c r="G95" s="19"/>
      <c r="H95" s="19"/>
      <c r="I95" s="19"/>
      <c r="J95" s="19"/>
      <c r="K95" s="19"/>
      <c r="L95" s="19"/>
    </row>
    <row r="96" spans="1:12" ht="16.2" thickBot="1" x14ac:dyDescent="0.35">
      <c r="A96" s="19"/>
      <c r="B96" s="37" t="s">
        <v>484</v>
      </c>
      <c r="C96" s="57">
        <v>15</v>
      </c>
      <c r="D96" s="57">
        <f>'Proposed Rates - Not Used'!AA17</f>
        <v>15</v>
      </c>
      <c r="E96" s="37" t="s">
        <v>482</v>
      </c>
      <c r="F96" s="19"/>
      <c r="G96" s="19">
        <f t="shared" si="1"/>
        <v>0</v>
      </c>
      <c r="H96" s="19"/>
      <c r="I96" s="19"/>
      <c r="J96" s="19"/>
      <c r="K96" s="19"/>
      <c r="L96" s="19"/>
    </row>
    <row r="97" spans="1:12" ht="16.2" thickBot="1" x14ac:dyDescent="0.35">
      <c r="A97" s="19"/>
      <c r="B97" s="37" t="s">
        <v>483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</row>
    <row r="98" spans="1:12" ht="16.2" thickBot="1" x14ac:dyDescent="0.35">
      <c r="A98" s="19"/>
      <c r="B98" s="19" t="s">
        <v>503</v>
      </c>
      <c r="C98" s="57">
        <v>0.14451900000000001</v>
      </c>
      <c r="D98" s="57">
        <v>0.167657</v>
      </c>
      <c r="E98" s="37" t="s">
        <v>333</v>
      </c>
      <c r="F98" s="19"/>
      <c r="G98" s="19">
        <f t="shared" si="1"/>
        <v>0.16010351580069049</v>
      </c>
      <c r="H98" s="19"/>
      <c r="I98" s="19"/>
      <c r="J98" s="19"/>
      <c r="K98" s="19"/>
      <c r="L98" s="19"/>
    </row>
    <row r="99" spans="1:12" ht="16.2" thickBot="1" x14ac:dyDescent="0.35">
      <c r="A99" s="19"/>
      <c r="B99" s="37" t="s">
        <v>489</v>
      </c>
      <c r="C99" s="19"/>
      <c r="D99" s="19"/>
      <c r="E99" s="19"/>
      <c r="F99" s="19"/>
      <c r="G99" s="19"/>
      <c r="H99" s="19"/>
      <c r="I99" s="19"/>
      <c r="J99" s="19"/>
      <c r="K99" s="19"/>
      <c r="L99" s="19"/>
    </row>
    <row r="100" spans="1:12" ht="16.2" thickBot="1" x14ac:dyDescent="0.35">
      <c r="A100" s="19"/>
      <c r="B100" s="19" t="s">
        <v>504</v>
      </c>
      <c r="C100" s="57">
        <v>0</v>
      </c>
      <c r="D100" s="57">
        <v>0</v>
      </c>
      <c r="E100" s="37" t="s">
        <v>490</v>
      </c>
      <c r="F100" s="19"/>
      <c r="G100" s="19"/>
      <c r="H100" s="19"/>
      <c r="I100" s="19"/>
      <c r="J100" s="19"/>
      <c r="K100" s="19"/>
      <c r="L100" s="19"/>
    </row>
    <row r="101" spans="1:12" x14ac:dyDescent="0.2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</row>
    <row r="102" spans="1:12" ht="17.399999999999999" x14ac:dyDescent="0.3">
      <c r="A102" s="26"/>
      <c r="B102" s="463" t="s">
        <v>1053</v>
      </c>
      <c r="C102" s="459"/>
      <c r="D102" s="459"/>
      <c r="E102" s="19"/>
      <c r="F102" s="19"/>
      <c r="G102" s="19"/>
      <c r="H102" s="27"/>
      <c r="I102" s="19"/>
      <c r="J102" s="37"/>
      <c r="K102" s="19"/>
      <c r="L102" s="19"/>
    </row>
    <row r="103" spans="1:12" ht="16.2" thickBot="1" x14ac:dyDescent="0.35">
      <c r="A103" s="19"/>
      <c r="B103" s="37" t="s">
        <v>508</v>
      </c>
      <c r="C103" s="19"/>
      <c r="D103" s="19"/>
      <c r="E103" s="19"/>
      <c r="F103" s="19"/>
      <c r="G103" s="19"/>
      <c r="H103" s="19"/>
      <c r="I103" s="19"/>
      <c r="J103" s="19"/>
      <c r="K103" s="19"/>
      <c r="L103" s="19"/>
    </row>
    <row r="104" spans="1:12" ht="16.2" thickBot="1" x14ac:dyDescent="0.35">
      <c r="A104" s="19"/>
      <c r="B104" s="37" t="s">
        <v>505</v>
      </c>
      <c r="C104" s="57">
        <v>3.79</v>
      </c>
      <c r="D104" s="57">
        <v>4.37</v>
      </c>
      <c r="E104" s="37" t="s">
        <v>482</v>
      </c>
      <c r="F104" s="19"/>
      <c r="G104" s="19">
        <f t="shared" si="1"/>
        <v>0.15303430079155667</v>
      </c>
      <c r="H104" s="19"/>
      <c r="I104" s="19"/>
      <c r="J104" s="19"/>
      <c r="K104" s="19"/>
      <c r="L104" s="19"/>
    </row>
    <row r="105" spans="1:12" ht="16.2" thickBot="1" x14ac:dyDescent="0.35">
      <c r="A105" s="19"/>
      <c r="B105" s="37" t="s">
        <v>483</v>
      </c>
      <c r="C105" s="19"/>
      <c r="D105" s="19"/>
      <c r="E105" s="19"/>
      <c r="F105" s="19"/>
      <c r="G105" s="19"/>
      <c r="H105" s="19"/>
      <c r="I105" s="19"/>
      <c r="J105" s="19"/>
      <c r="K105" s="19"/>
      <c r="L105" s="19"/>
    </row>
    <row r="106" spans="1:12" ht="16.2" thickBot="1" x14ac:dyDescent="0.35">
      <c r="A106" s="19"/>
      <c r="B106" s="19" t="s">
        <v>507</v>
      </c>
      <c r="C106" s="57">
        <v>0.115594</v>
      </c>
      <c r="D106" s="57">
        <v>0.13300200000000001</v>
      </c>
      <c r="E106" s="37" t="s">
        <v>333</v>
      </c>
      <c r="F106" s="19"/>
      <c r="G106" s="19">
        <f t="shared" si="1"/>
        <v>0.15059605169818502</v>
      </c>
      <c r="H106" s="19"/>
      <c r="I106" s="19"/>
      <c r="J106" s="19"/>
      <c r="K106" s="19"/>
      <c r="L106" s="19"/>
    </row>
    <row r="107" spans="1:12" ht="16.2" thickBot="1" x14ac:dyDescent="0.35">
      <c r="A107" s="19"/>
      <c r="B107" s="19" t="s">
        <v>506</v>
      </c>
      <c r="C107" s="57">
        <v>0.13156599999999999</v>
      </c>
      <c r="D107" s="57">
        <v>0.151647</v>
      </c>
      <c r="E107" s="37" t="s">
        <v>333</v>
      </c>
      <c r="F107" s="19"/>
      <c r="G107" s="19">
        <f t="shared" si="1"/>
        <v>0.15263061885289519</v>
      </c>
      <c r="H107" s="19"/>
      <c r="I107" s="19"/>
      <c r="J107" s="19"/>
      <c r="K107" s="19"/>
      <c r="L107" s="19"/>
    </row>
    <row r="108" spans="1:12" ht="16.2" thickBot="1" x14ac:dyDescent="0.35">
      <c r="A108" s="19"/>
      <c r="B108" s="37" t="s">
        <v>489</v>
      </c>
      <c r="C108" s="19"/>
      <c r="D108" s="19"/>
      <c r="E108" s="19"/>
      <c r="F108" s="19"/>
      <c r="G108" s="19"/>
      <c r="H108" s="19"/>
      <c r="I108" s="19"/>
      <c r="J108" s="19"/>
      <c r="K108" s="19"/>
      <c r="L108" s="19"/>
    </row>
    <row r="109" spans="1:12" ht="16.2" thickBot="1" x14ac:dyDescent="0.35">
      <c r="A109" s="19"/>
      <c r="B109" s="19" t="s">
        <v>504</v>
      </c>
      <c r="C109" s="57">
        <v>0</v>
      </c>
      <c r="D109" s="57">
        <v>0</v>
      </c>
      <c r="E109" s="37" t="s">
        <v>490</v>
      </c>
      <c r="F109" s="19"/>
      <c r="G109" s="19"/>
      <c r="H109" s="19"/>
      <c r="I109" s="19"/>
      <c r="J109" s="19"/>
      <c r="K109" s="19"/>
      <c r="L109" s="19"/>
    </row>
    <row r="110" spans="1:12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</row>
    <row r="111" spans="1:12" ht="17.399999999999999" x14ac:dyDescent="0.3">
      <c r="A111" s="26"/>
      <c r="B111" s="463" t="s">
        <v>1054</v>
      </c>
      <c r="C111" s="459"/>
      <c r="D111" s="459"/>
      <c r="E111" s="19"/>
      <c r="F111" s="19"/>
      <c r="G111" s="19"/>
      <c r="H111" s="27"/>
      <c r="I111" s="19"/>
      <c r="J111" s="37"/>
      <c r="K111" s="19"/>
      <c r="L111" s="19"/>
    </row>
    <row r="112" spans="1:12" ht="16.2" thickBot="1" x14ac:dyDescent="0.35">
      <c r="A112" s="19"/>
      <c r="B112" s="37" t="s">
        <v>62</v>
      </c>
      <c r="C112" s="19"/>
      <c r="D112" s="19"/>
      <c r="E112" s="19"/>
      <c r="F112" s="19"/>
      <c r="G112" s="19"/>
      <c r="H112" s="19"/>
      <c r="I112" s="19"/>
      <c r="J112" s="19"/>
      <c r="K112" s="19"/>
      <c r="L112" s="19"/>
    </row>
    <row r="113" spans="1:12" ht="16.2" thickBot="1" x14ac:dyDescent="0.35">
      <c r="A113" s="19"/>
      <c r="B113" s="37" t="s">
        <v>495</v>
      </c>
      <c r="C113" s="57">
        <v>117</v>
      </c>
      <c r="D113" s="57">
        <f>'Proposed Rates - Not Used'!AJ19</f>
        <v>120</v>
      </c>
      <c r="E113" s="37" t="s">
        <v>482</v>
      </c>
      <c r="F113" s="19"/>
      <c r="G113" s="19">
        <f t="shared" si="1"/>
        <v>2.564102564102555E-2</v>
      </c>
      <c r="H113" s="19"/>
      <c r="I113" s="19"/>
      <c r="J113" s="19"/>
      <c r="K113" s="19"/>
      <c r="L113" s="19"/>
    </row>
    <row r="114" spans="1:12" ht="16.2" thickBot="1" x14ac:dyDescent="0.35">
      <c r="A114" s="19"/>
      <c r="B114" s="37" t="s">
        <v>483</v>
      </c>
      <c r="C114" s="19"/>
      <c r="D114" s="19"/>
      <c r="E114" s="19"/>
      <c r="F114" s="19"/>
      <c r="G114" s="19"/>
      <c r="H114" s="19"/>
      <c r="I114" s="19"/>
      <c r="J114" s="19"/>
      <c r="K114" s="19"/>
      <c r="L114" s="19"/>
    </row>
    <row r="115" spans="1:12" ht="16.2" thickBot="1" x14ac:dyDescent="0.35">
      <c r="A115" s="19"/>
      <c r="B115" s="19" t="s">
        <v>509</v>
      </c>
      <c r="C115" s="57">
        <v>7.1562000000000001E-2</v>
      </c>
      <c r="D115" s="57">
        <v>7.6301999999999995E-2</v>
      </c>
      <c r="E115" s="37" t="s">
        <v>333</v>
      </c>
      <c r="F115" s="19"/>
      <c r="G115" s="19">
        <f t="shared" si="1"/>
        <v>6.6236270646432338E-2</v>
      </c>
      <c r="H115" s="19"/>
      <c r="I115" s="19"/>
      <c r="J115" s="19"/>
      <c r="K115" s="19"/>
      <c r="L115" s="19"/>
    </row>
    <row r="116" spans="1:12" ht="16.2" thickBot="1" x14ac:dyDescent="0.35">
      <c r="A116" s="19"/>
      <c r="B116" s="19" t="s">
        <v>488</v>
      </c>
      <c r="C116" s="57">
        <v>6.2067999999999998E-2</v>
      </c>
      <c r="D116" s="57">
        <v>6.6118999999999997E-2</v>
      </c>
      <c r="E116" s="37" t="s">
        <v>333</v>
      </c>
      <c r="F116" s="19"/>
      <c r="G116" s="19">
        <f t="shared" si="1"/>
        <v>6.5267126377521523E-2</v>
      </c>
      <c r="H116" s="19"/>
      <c r="I116" s="19"/>
      <c r="J116" s="19"/>
      <c r="K116" s="19"/>
      <c r="L116" s="19"/>
    </row>
    <row r="117" spans="1:12" ht="16.2" thickBot="1" x14ac:dyDescent="0.35">
      <c r="A117" s="19"/>
      <c r="B117" s="19" t="s">
        <v>531</v>
      </c>
      <c r="C117" s="57">
        <v>0.289184</v>
      </c>
      <c r="D117" s="57">
        <v>0.308166</v>
      </c>
      <c r="E117" s="37" t="s">
        <v>333</v>
      </c>
      <c r="F117" s="19"/>
      <c r="G117" s="19">
        <f t="shared" si="1"/>
        <v>6.563986942569433E-2</v>
      </c>
      <c r="H117" s="19"/>
      <c r="I117" s="19"/>
      <c r="J117" s="19"/>
      <c r="K117" s="19"/>
      <c r="L117" s="19"/>
    </row>
    <row r="118" spans="1:12" ht="16.2" thickBot="1" x14ac:dyDescent="0.35">
      <c r="A118" s="19"/>
      <c r="B118" s="37" t="s">
        <v>489</v>
      </c>
      <c r="C118" s="19"/>
      <c r="D118" s="19"/>
      <c r="E118" s="19"/>
      <c r="F118" s="19"/>
      <c r="G118" s="19"/>
      <c r="H118" s="19"/>
      <c r="I118" s="19"/>
      <c r="J118" s="19"/>
      <c r="K118" s="19"/>
      <c r="L118" s="19"/>
    </row>
    <row r="119" spans="1:12" ht="16.2" thickBot="1" x14ac:dyDescent="0.35">
      <c r="A119" s="19"/>
      <c r="B119" s="19" t="s">
        <v>504</v>
      </c>
      <c r="C119" s="57">
        <v>9.5</v>
      </c>
      <c r="D119" s="57">
        <v>10.130000000000001</v>
      </c>
      <c r="E119" s="37" t="s">
        <v>490</v>
      </c>
      <c r="F119" s="19"/>
      <c r="G119" s="19">
        <f t="shared" si="1"/>
        <v>6.6315789473684328E-2</v>
      </c>
      <c r="H119" s="19"/>
      <c r="I119" s="19"/>
      <c r="J119" s="19"/>
      <c r="K119" s="19"/>
      <c r="L119" s="19"/>
    </row>
    <row r="120" spans="1:12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</row>
    <row r="121" spans="1:12" ht="17.399999999999999" x14ac:dyDescent="0.3">
      <c r="A121" s="26"/>
      <c r="B121" s="463" t="s">
        <v>1055</v>
      </c>
      <c r="C121" s="459"/>
      <c r="D121" s="459"/>
      <c r="E121" s="19"/>
      <c r="F121" s="19"/>
      <c r="G121" s="19"/>
      <c r="H121" s="27"/>
      <c r="I121" s="19"/>
      <c r="J121" s="37"/>
      <c r="K121" s="19"/>
      <c r="L121" s="19"/>
    </row>
    <row r="122" spans="1:12" ht="16.2" thickBot="1" x14ac:dyDescent="0.35">
      <c r="A122" s="19"/>
      <c r="B122" s="37" t="s">
        <v>62</v>
      </c>
      <c r="C122" s="19"/>
      <c r="D122" s="19"/>
      <c r="E122" s="19"/>
      <c r="F122" s="19"/>
      <c r="G122" s="19"/>
      <c r="H122" s="19"/>
      <c r="I122" s="19"/>
      <c r="J122" s="19"/>
      <c r="K122" s="19"/>
      <c r="L122" s="19"/>
    </row>
    <row r="123" spans="1:12" ht="16.2" thickBot="1" x14ac:dyDescent="0.35">
      <c r="A123" s="19"/>
      <c r="B123" s="37" t="s">
        <v>510</v>
      </c>
      <c r="C123" s="57">
        <v>500</v>
      </c>
      <c r="D123" s="57">
        <f>'Proposed Rates - Not Used'!AO18</f>
        <v>500</v>
      </c>
      <c r="E123" s="37" t="s">
        <v>482</v>
      </c>
      <c r="F123" s="19"/>
      <c r="G123" s="19">
        <f t="shared" ref="G123:G132" si="2">D123/C123-1</f>
        <v>0</v>
      </c>
      <c r="H123" s="19"/>
      <c r="I123" s="19"/>
      <c r="J123" s="19"/>
      <c r="K123" s="19"/>
      <c r="L123" s="19"/>
    </row>
    <row r="124" spans="1:12" ht="16.2" thickBot="1" x14ac:dyDescent="0.35">
      <c r="A124" s="19"/>
      <c r="B124" s="37" t="s">
        <v>483</v>
      </c>
      <c r="C124" s="19"/>
      <c r="D124" s="19"/>
      <c r="E124" s="19"/>
      <c r="F124" s="19"/>
      <c r="G124" s="19"/>
      <c r="H124" s="19"/>
      <c r="I124" s="19"/>
      <c r="J124" s="19"/>
      <c r="K124" s="19"/>
      <c r="L124" s="19"/>
    </row>
    <row r="125" spans="1:12" ht="16.2" thickBot="1" x14ac:dyDescent="0.35">
      <c r="A125" s="19"/>
      <c r="B125" s="19" t="s">
        <v>537</v>
      </c>
      <c r="C125" s="57">
        <v>6.7652000000000004E-2</v>
      </c>
      <c r="D125" s="57">
        <v>7.3565000000000005E-2</v>
      </c>
      <c r="E125" s="37" t="s">
        <v>333</v>
      </c>
      <c r="F125" s="19"/>
      <c r="G125" s="19">
        <f t="shared" si="2"/>
        <v>8.7403180985041073E-2</v>
      </c>
      <c r="H125" s="19"/>
      <c r="I125" s="19"/>
      <c r="J125" s="19"/>
      <c r="K125" s="19"/>
      <c r="L125" s="19"/>
    </row>
    <row r="126" spans="1:12" ht="16.2" thickBot="1" x14ac:dyDescent="0.35">
      <c r="A126" s="19"/>
      <c r="B126" s="19" t="s">
        <v>538</v>
      </c>
      <c r="C126" s="57">
        <v>6.5057000000000004E-2</v>
      </c>
      <c r="D126" s="57">
        <v>7.0743E-2</v>
      </c>
      <c r="E126" s="37"/>
      <c r="F126" s="19"/>
      <c r="G126" s="19">
        <f t="shared" si="2"/>
        <v>8.740027975467668E-2</v>
      </c>
      <c r="H126" s="19"/>
      <c r="I126" s="19"/>
      <c r="J126" s="19"/>
      <c r="K126" s="19"/>
      <c r="L126" s="19"/>
    </row>
    <row r="127" spans="1:12" ht="16.2" thickBot="1" x14ac:dyDescent="0.35">
      <c r="A127" s="19"/>
      <c r="B127" s="19" t="s">
        <v>498</v>
      </c>
      <c r="C127" s="57">
        <v>5.7296E-2</v>
      </c>
      <c r="D127" s="57">
        <v>6.2302999999999997E-2</v>
      </c>
      <c r="E127" s="37"/>
      <c r="F127" s="19"/>
      <c r="G127" s="19">
        <f t="shared" si="2"/>
        <v>8.73882993577213E-2</v>
      </c>
      <c r="H127" s="19"/>
      <c r="I127" s="19"/>
      <c r="J127" s="19"/>
      <c r="K127" s="19"/>
      <c r="L127" s="19"/>
    </row>
    <row r="128" spans="1:12" ht="16.2" thickBot="1" x14ac:dyDescent="0.35">
      <c r="A128" s="19"/>
      <c r="B128" s="37" t="s">
        <v>489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</row>
    <row r="129" spans="1:12" ht="16.2" thickBot="1" x14ac:dyDescent="0.35">
      <c r="A129" s="19"/>
      <c r="B129" s="19" t="s">
        <v>496</v>
      </c>
      <c r="C129" s="57">
        <v>9.41</v>
      </c>
      <c r="D129" s="57">
        <v>10.23</v>
      </c>
      <c r="E129" s="37" t="s">
        <v>490</v>
      </c>
      <c r="F129" s="19"/>
      <c r="G129" s="19">
        <f t="shared" si="2"/>
        <v>8.714133900106269E-2</v>
      </c>
      <c r="H129" s="19"/>
      <c r="I129" s="19"/>
      <c r="J129" s="19"/>
      <c r="K129" s="19"/>
      <c r="L129" s="19"/>
    </row>
    <row r="130" spans="1:12" ht="16.2" thickBot="1" x14ac:dyDescent="0.35">
      <c r="A130" s="19"/>
      <c r="B130" s="19" t="s">
        <v>499</v>
      </c>
      <c r="C130" s="57">
        <v>1.43</v>
      </c>
      <c r="D130" s="57">
        <v>1.55</v>
      </c>
      <c r="E130" s="37" t="s">
        <v>490</v>
      </c>
      <c r="F130" s="19"/>
      <c r="G130" s="19">
        <f t="shared" si="2"/>
        <v>8.3916083916083961E-2</v>
      </c>
      <c r="H130" s="19"/>
      <c r="I130" s="19"/>
      <c r="J130" s="19"/>
      <c r="K130" s="19"/>
      <c r="L130" s="19"/>
    </row>
    <row r="131" spans="1:12" ht="16.2" thickBot="1" x14ac:dyDescent="0.35">
      <c r="A131" s="19"/>
      <c r="B131" s="19" t="s">
        <v>497</v>
      </c>
      <c r="C131" s="57">
        <v>7.72</v>
      </c>
      <c r="D131" s="57">
        <v>8.39</v>
      </c>
      <c r="E131" s="37" t="s">
        <v>490</v>
      </c>
      <c r="F131" s="19"/>
      <c r="G131" s="19">
        <f t="shared" si="2"/>
        <v>8.6787564766839465E-2</v>
      </c>
      <c r="H131" s="19"/>
      <c r="I131" s="19"/>
      <c r="J131" s="19"/>
      <c r="K131" s="19"/>
      <c r="L131" s="19"/>
    </row>
    <row r="132" spans="1:12" ht="16.2" thickBot="1" x14ac:dyDescent="0.35">
      <c r="A132" s="19"/>
      <c r="B132" s="19" t="s">
        <v>500</v>
      </c>
      <c r="C132" s="57">
        <v>1.43</v>
      </c>
      <c r="D132" s="57">
        <v>1.55</v>
      </c>
      <c r="E132" s="37" t="s">
        <v>490</v>
      </c>
      <c r="F132" s="19"/>
      <c r="G132" s="19">
        <f t="shared" si="2"/>
        <v>8.3916083916083961E-2</v>
      </c>
      <c r="H132" s="19"/>
      <c r="I132" s="19"/>
      <c r="J132" s="19"/>
      <c r="K132" s="19"/>
      <c r="L132" s="19"/>
    </row>
    <row r="133" spans="1:12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</row>
    <row r="134" spans="1:12" ht="17.399999999999999" x14ac:dyDescent="0.3">
      <c r="A134" s="26"/>
      <c r="B134" s="459" t="s">
        <v>1056</v>
      </c>
      <c r="C134" s="459"/>
      <c r="D134" s="459"/>
      <c r="E134" s="19"/>
      <c r="F134" s="19"/>
      <c r="G134" s="19"/>
      <c r="H134" s="27"/>
      <c r="I134" s="19"/>
      <c r="J134" s="37"/>
      <c r="K134" s="19"/>
      <c r="L134" s="19"/>
    </row>
    <row r="135" spans="1:12" ht="16.2" thickBot="1" x14ac:dyDescent="0.35">
      <c r="A135" s="19"/>
      <c r="B135" s="37" t="s">
        <v>62</v>
      </c>
      <c r="C135" s="19"/>
      <c r="D135" s="19"/>
      <c r="E135" s="19"/>
      <c r="F135" s="19"/>
      <c r="G135" s="19"/>
      <c r="H135" s="19"/>
      <c r="I135" s="19"/>
      <c r="J135" s="19"/>
      <c r="K135" s="19"/>
      <c r="L135" s="19"/>
    </row>
    <row r="136" spans="1:12" ht="16.2" thickBot="1" x14ac:dyDescent="0.35">
      <c r="A136" s="19"/>
      <c r="B136" s="19" t="s">
        <v>511</v>
      </c>
      <c r="C136" s="57">
        <v>0</v>
      </c>
      <c r="D136" s="57"/>
      <c r="E136" s="37" t="s">
        <v>482</v>
      </c>
      <c r="F136" s="19"/>
      <c r="G136" s="19"/>
      <c r="H136" s="19"/>
      <c r="I136" s="19"/>
      <c r="J136" s="19"/>
      <c r="K136" s="19"/>
      <c r="L136" s="19"/>
    </row>
    <row r="137" spans="1:12" ht="16.2" thickBot="1" x14ac:dyDescent="0.35">
      <c r="A137" s="19"/>
      <c r="B137" s="19" t="s">
        <v>495</v>
      </c>
      <c r="C137" s="57">
        <v>0</v>
      </c>
      <c r="D137" s="57"/>
      <c r="E137" s="37" t="s">
        <v>482</v>
      </c>
      <c r="F137" s="19"/>
      <c r="G137" s="19"/>
      <c r="H137" s="19"/>
      <c r="I137" s="19"/>
      <c r="J137" s="19"/>
      <c r="K137" s="19"/>
      <c r="L137" s="19"/>
    </row>
    <row r="138" spans="1:12" ht="16.2" thickBot="1" x14ac:dyDescent="0.35">
      <c r="A138" s="19"/>
      <c r="B138" s="19" t="s">
        <v>512</v>
      </c>
      <c r="C138" s="57">
        <v>0</v>
      </c>
      <c r="D138" s="57"/>
      <c r="E138" s="37" t="s">
        <v>482</v>
      </c>
      <c r="F138" s="19"/>
      <c r="G138" s="19"/>
      <c r="H138" s="19"/>
      <c r="I138" s="19"/>
      <c r="J138" s="19"/>
      <c r="K138" s="19"/>
      <c r="L138" s="19"/>
    </row>
    <row r="139" spans="1:12" ht="16.2" thickBot="1" x14ac:dyDescent="0.35">
      <c r="A139" s="19"/>
      <c r="B139" s="37" t="s">
        <v>513</v>
      </c>
      <c r="C139" s="19"/>
      <c r="D139" s="19"/>
      <c r="E139" s="19"/>
      <c r="F139" s="19"/>
      <c r="G139" s="19"/>
      <c r="H139" s="19"/>
      <c r="I139" s="19"/>
      <c r="J139" s="19"/>
      <c r="K139" s="19"/>
      <c r="L139" s="19"/>
    </row>
    <row r="140" spans="1:12" ht="16.2" thickBot="1" x14ac:dyDescent="0.35">
      <c r="A140" s="19"/>
      <c r="B140" s="19" t="s">
        <v>511</v>
      </c>
      <c r="C140" s="57">
        <v>0</v>
      </c>
      <c r="D140" s="57"/>
      <c r="E140" s="37" t="s">
        <v>333</v>
      </c>
      <c r="F140" s="19"/>
      <c r="G140" s="19"/>
      <c r="H140" s="19"/>
      <c r="I140" s="19"/>
      <c r="J140" s="19"/>
      <c r="K140" s="19"/>
      <c r="L140" s="19"/>
    </row>
    <row r="141" spans="1:12" ht="16.2" thickBot="1" x14ac:dyDescent="0.35">
      <c r="A141" s="19"/>
      <c r="B141" s="19" t="s">
        <v>495</v>
      </c>
      <c r="C141" s="57">
        <v>0</v>
      </c>
      <c r="D141" s="57"/>
      <c r="E141" s="37" t="s">
        <v>333</v>
      </c>
      <c r="F141" s="19"/>
      <c r="G141" s="19"/>
      <c r="H141" s="19"/>
      <c r="I141" s="19"/>
      <c r="J141" s="19"/>
      <c r="K141" s="19"/>
      <c r="L141" s="19"/>
    </row>
    <row r="142" spans="1:12" ht="16.2" thickBot="1" x14ac:dyDescent="0.35">
      <c r="A142" s="19"/>
      <c r="B142" s="19" t="s">
        <v>512</v>
      </c>
      <c r="C142" s="57">
        <v>0</v>
      </c>
      <c r="D142" s="57"/>
      <c r="E142" s="37" t="s">
        <v>333</v>
      </c>
      <c r="F142" s="19"/>
      <c r="G142" s="19"/>
      <c r="H142" s="19"/>
      <c r="I142" s="19"/>
      <c r="J142" s="19"/>
      <c r="K142" s="19"/>
      <c r="L142" s="19"/>
    </row>
    <row r="143" spans="1:12" ht="16.2" thickBot="1" x14ac:dyDescent="0.35">
      <c r="A143" s="19"/>
      <c r="B143" s="37" t="s">
        <v>514</v>
      </c>
      <c r="C143" s="19"/>
      <c r="D143" s="19"/>
      <c r="E143" s="19"/>
      <c r="F143" s="19"/>
      <c r="G143" s="19"/>
      <c r="H143" s="19"/>
      <c r="I143" s="19"/>
      <c r="J143" s="19"/>
      <c r="K143" s="19"/>
      <c r="L143" s="19"/>
    </row>
    <row r="144" spans="1:12" ht="16.2" thickBot="1" x14ac:dyDescent="0.35">
      <c r="A144" s="19"/>
      <c r="B144" s="19" t="s">
        <v>511</v>
      </c>
      <c r="C144" s="57">
        <v>0</v>
      </c>
      <c r="D144" s="57"/>
      <c r="E144" s="37" t="s">
        <v>333</v>
      </c>
      <c r="F144" s="19"/>
      <c r="G144" s="19"/>
      <c r="H144" s="19"/>
      <c r="I144" s="19"/>
      <c r="J144" s="19"/>
      <c r="K144" s="19"/>
      <c r="L144" s="19"/>
    </row>
    <row r="145" spans="1:12" ht="16.2" thickBot="1" x14ac:dyDescent="0.35">
      <c r="A145" s="19"/>
      <c r="B145" s="19" t="s">
        <v>495</v>
      </c>
      <c r="C145" s="57">
        <v>0</v>
      </c>
      <c r="D145" s="57"/>
      <c r="E145" s="37" t="s">
        <v>333</v>
      </c>
      <c r="F145" s="19"/>
      <c r="G145" s="19"/>
      <c r="H145" s="19"/>
      <c r="I145" s="19"/>
      <c r="J145" s="19"/>
      <c r="K145" s="19"/>
      <c r="L145" s="19"/>
    </row>
    <row r="146" spans="1:12" ht="16.2" thickBot="1" x14ac:dyDescent="0.35">
      <c r="A146" s="19"/>
      <c r="B146" s="19" t="s">
        <v>512</v>
      </c>
      <c r="C146" s="57">
        <v>0</v>
      </c>
      <c r="D146" s="57"/>
      <c r="E146" s="37" t="s">
        <v>333</v>
      </c>
      <c r="F146" s="19"/>
      <c r="G146" s="19"/>
      <c r="H146" s="19"/>
      <c r="I146" s="19"/>
      <c r="J146" s="19"/>
      <c r="K146" s="19"/>
      <c r="L146" s="19"/>
    </row>
    <row r="147" spans="1:12" ht="16.2" thickBot="1" x14ac:dyDescent="0.35">
      <c r="A147" s="19"/>
      <c r="B147" s="37" t="s">
        <v>515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</row>
    <row r="148" spans="1:12" ht="16.2" thickBot="1" x14ac:dyDescent="0.35">
      <c r="A148" s="19"/>
      <c r="B148" s="19" t="s">
        <v>516</v>
      </c>
      <c r="C148" s="57">
        <v>0</v>
      </c>
      <c r="D148" s="57"/>
      <c r="E148" s="37" t="s">
        <v>333</v>
      </c>
      <c r="F148" s="19"/>
      <c r="G148" s="19"/>
      <c r="H148" s="19"/>
      <c r="I148" s="19"/>
      <c r="J148" s="19"/>
      <c r="K148" s="19"/>
      <c r="L148" s="19"/>
    </row>
    <row r="149" spans="1:12" ht="16.2" thickBot="1" x14ac:dyDescent="0.35">
      <c r="A149" s="19"/>
      <c r="B149" s="19" t="s">
        <v>517</v>
      </c>
      <c r="C149" s="57">
        <v>0</v>
      </c>
      <c r="D149" s="57"/>
      <c r="E149" s="37" t="s">
        <v>333</v>
      </c>
      <c r="F149" s="19"/>
      <c r="G149" s="19"/>
      <c r="H149" s="19"/>
      <c r="I149" s="19"/>
      <c r="J149" s="19"/>
      <c r="K149" s="19"/>
      <c r="L149" s="19"/>
    </row>
    <row r="150" spans="1:12" ht="16.2" thickBot="1" x14ac:dyDescent="0.35">
      <c r="A150" s="19"/>
      <c r="B150" s="19" t="s">
        <v>518</v>
      </c>
      <c r="C150" s="57">
        <v>0</v>
      </c>
      <c r="D150" s="57"/>
      <c r="E150" s="37" t="s">
        <v>333</v>
      </c>
      <c r="F150" s="19"/>
      <c r="G150" s="19"/>
      <c r="H150" s="19"/>
      <c r="I150" s="19"/>
      <c r="J150" s="19"/>
      <c r="K150" s="19"/>
      <c r="L150" s="19"/>
    </row>
    <row r="151" spans="1:12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</row>
    <row r="152" spans="1:12" ht="17.399999999999999" x14ac:dyDescent="0.3">
      <c r="A152" s="26"/>
      <c r="B152" s="463" t="s">
        <v>1057</v>
      </c>
      <c r="C152" s="459"/>
      <c r="D152" s="459"/>
      <c r="E152" s="19"/>
      <c r="F152" s="19"/>
      <c r="G152" s="19"/>
      <c r="H152" s="27"/>
      <c r="I152" s="19"/>
      <c r="J152" s="37"/>
      <c r="K152" s="19"/>
      <c r="L152" s="19"/>
    </row>
    <row r="153" spans="1:12" ht="16.2" thickBot="1" x14ac:dyDescent="0.35">
      <c r="A153" s="19"/>
      <c r="B153" s="37" t="s">
        <v>519</v>
      </c>
      <c r="C153" s="19"/>
      <c r="D153" s="19"/>
      <c r="E153" s="19"/>
      <c r="F153" s="19"/>
      <c r="G153" s="19"/>
      <c r="H153" s="19"/>
      <c r="I153" s="19"/>
      <c r="J153" s="19"/>
      <c r="K153" s="19"/>
      <c r="L153" s="19"/>
    </row>
    <row r="154" spans="1:12" ht="16.2" thickBot="1" x14ac:dyDescent="0.35">
      <c r="A154" s="19"/>
      <c r="B154" s="19" t="s">
        <v>520</v>
      </c>
      <c r="C154" s="113">
        <v>183</v>
      </c>
      <c r="D154" s="57">
        <v>183</v>
      </c>
      <c r="E154" s="37" t="s">
        <v>482</v>
      </c>
      <c r="F154" s="19"/>
      <c r="G154" s="19">
        <f t="shared" ref="G154:G162" si="3">D154/C154-1</f>
        <v>0</v>
      </c>
      <c r="H154" s="19"/>
      <c r="I154" s="19"/>
      <c r="J154" s="19"/>
      <c r="K154" s="19"/>
      <c r="L154" s="19"/>
    </row>
    <row r="155" spans="1:12" ht="16.2" thickBot="1" x14ac:dyDescent="0.35">
      <c r="A155" s="19"/>
      <c r="B155" s="37" t="s">
        <v>513</v>
      </c>
      <c r="C155" s="114"/>
      <c r="D155" s="19"/>
      <c r="E155" s="19"/>
      <c r="F155" s="19"/>
      <c r="G155" s="19"/>
      <c r="H155" s="19"/>
      <c r="I155" s="19"/>
      <c r="J155" s="19"/>
      <c r="K155" s="19"/>
      <c r="L155" s="19"/>
    </row>
    <row r="156" spans="1:12" ht="16.2" thickBot="1" x14ac:dyDescent="0.35">
      <c r="A156" s="19"/>
      <c r="B156" s="19" t="s">
        <v>511</v>
      </c>
      <c r="C156" s="113">
        <v>2.0034E-2</v>
      </c>
      <c r="D156" s="57">
        <v>3.0051000000000001E-2</v>
      </c>
      <c r="E156" s="37" t="s">
        <v>333</v>
      </c>
      <c r="F156" s="19"/>
      <c r="G156" s="19">
        <f t="shared" si="3"/>
        <v>0.5</v>
      </c>
      <c r="H156" s="19"/>
      <c r="I156" s="19"/>
      <c r="J156" s="19"/>
      <c r="K156" s="19"/>
      <c r="L156" s="19"/>
    </row>
    <row r="157" spans="1:12" ht="16.2" thickBot="1" x14ac:dyDescent="0.35">
      <c r="A157" s="19"/>
      <c r="B157" s="19" t="s">
        <v>495</v>
      </c>
      <c r="C157" s="113">
        <v>1.6479000000000001E-2</v>
      </c>
      <c r="D157" s="57">
        <v>2.4719000000000001E-2</v>
      </c>
      <c r="E157" s="37" t="s">
        <v>333</v>
      </c>
      <c r="F157" s="19"/>
      <c r="G157" s="19">
        <f t="shared" si="3"/>
        <v>0.50003034164694471</v>
      </c>
      <c r="H157" s="19"/>
      <c r="I157" s="19"/>
      <c r="J157" s="19"/>
      <c r="K157" s="19"/>
      <c r="L157" s="19"/>
    </row>
    <row r="158" spans="1:12" ht="16.2" thickBot="1" x14ac:dyDescent="0.35">
      <c r="A158" s="19"/>
      <c r="B158" s="19" t="s">
        <v>512</v>
      </c>
      <c r="C158" s="113">
        <v>6.9150000000000001E-3</v>
      </c>
      <c r="D158" s="57">
        <v>1.0373E-2</v>
      </c>
      <c r="E158" s="37" t="s">
        <v>333</v>
      </c>
      <c r="F158" s="19"/>
      <c r="G158" s="19">
        <f t="shared" si="3"/>
        <v>0.50007230657989887</v>
      </c>
      <c r="H158" s="19"/>
      <c r="I158" s="19"/>
      <c r="J158" s="19"/>
      <c r="K158" s="19"/>
      <c r="L158" s="19"/>
    </row>
    <row r="159" spans="1:12" ht="16.2" thickBot="1" x14ac:dyDescent="0.35">
      <c r="A159" s="19"/>
      <c r="B159" s="37" t="s">
        <v>515</v>
      </c>
      <c r="C159" s="114"/>
      <c r="D159" s="19"/>
      <c r="E159" s="19"/>
      <c r="F159" s="19"/>
      <c r="G159" s="19"/>
      <c r="H159" s="19"/>
      <c r="I159" s="19"/>
      <c r="J159" s="19"/>
      <c r="K159" s="19"/>
      <c r="L159" s="19"/>
    </row>
    <row r="160" spans="1:12" ht="16.2" thickBot="1" x14ac:dyDescent="0.35">
      <c r="A160" s="19"/>
      <c r="B160" s="19" t="s">
        <v>653</v>
      </c>
      <c r="C160" s="113">
        <v>3.8117999999999999E-2</v>
      </c>
      <c r="D160" s="57">
        <f>C160</f>
        <v>3.8117999999999999E-2</v>
      </c>
      <c r="E160" s="37" t="s">
        <v>333</v>
      </c>
      <c r="F160" s="19"/>
      <c r="G160" s="19">
        <f t="shared" si="3"/>
        <v>0</v>
      </c>
      <c r="H160" s="19"/>
      <c r="I160" s="19"/>
      <c r="J160" s="19"/>
      <c r="K160" s="19"/>
      <c r="L160" s="19"/>
    </row>
    <row r="161" spans="1:12" ht="16.2" thickBot="1" x14ac:dyDescent="0.35">
      <c r="A161" s="19"/>
      <c r="B161" s="19" t="s">
        <v>654</v>
      </c>
      <c r="C161" s="113">
        <v>3.9684999999999998E-2</v>
      </c>
      <c r="D161" s="57">
        <f>C161</f>
        <v>3.9684999999999998E-2</v>
      </c>
      <c r="E161" s="37" t="s">
        <v>333</v>
      </c>
      <c r="F161" s="19"/>
      <c r="G161" s="19">
        <f t="shared" si="3"/>
        <v>0</v>
      </c>
      <c r="H161" s="19"/>
      <c r="I161" s="19"/>
      <c r="J161" s="19"/>
      <c r="K161" s="19"/>
      <c r="L161" s="19"/>
    </row>
    <row r="162" spans="1:12" ht="16.2" thickBot="1" x14ac:dyDescent="0.35">
      <c r="A162" s="19"/>
      <c r="B162" s="19" t="s">
        <v>518</v>
      </c>
      <c r="C162" s="113">
        <v>3.4157E-2</v>
      </c>
      <c r="D162" s="57">
        <f>C162</f>
        <v>3.4157E-2</v>
      </c>
      <c r="E162" s="37" t="s">
        <v>333</v>
      </c>
      <c r="F162" s="19"/>
      <c r="G162" s="19">
        <f t="shared" si="3"/>
        <v>0</v>
      </c>
      <c r="H162" s="19"/>
      <c r="I162" s="19"/>
      <c r="J162" s="19"/>
      <c r="K162" s="19"/>
      <c r="L162" s="19"/>
    </row>
    <row r="163" spans="1:12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</row>
    <row r="164" spans="1:12" ht="18" thickBot="1" x14ac:dyDescent="0.35">
      <c r="A164" s="19"/>
      <c r="B164" s="460" t="s">
        <v>1059</v>
      </c>
      <c r="C164" s="460"/>
      <c r="D164" s="19"/>
      <c r="E164" s="25"/>
      <c r="F164" s="26" t="s">
        <v>792</v>
      </c>
      <c r="G164" s="19"/>
      <c r="H164" s="19"/>
      <c r="I164" s="20"/>
      <c r="J164" s="19"/>
      <c r="K164" s="19"/>
      <c r="L164" s="19"/>
    </row>
    <row r="165" spans="1:12" ht="16.2" thickBot="1" x14ac:dyDescent="0.35">
      <c r="A165" s="19"/>
      <c r="B165" s="27" t="s">
        <v>793</v>
      </c>
      <c r="C165" s="93">
        <f>IF($H$7=1,F165,0)</f>
        <v>4.2117566880979784E-3</v>
      </c>
      <c r="D165" s="93">
        <f>IF($H$7=1,G165,0)</f>
        <v>3.7612909999999999E-3</v>
      </c>
      <c r="E165" s="95" t="s">
        <v>795</v>
      </c>
      <c r="F165" s="94">
        <v>4.2117566880979784E-3</v>
      </c>
      <c r="G165" s="94">
        <v>3.7612909999999999E-3</v>
      </c>
      <c r="H165" s="19" t="s">
        <v>973</v>
      </c>
      <c r="I165" s="20"/>
      <c r="J165" s="19"/>
      <c r="K165" s="19"/>
      <c r="L165" s="19"/>
    </row>
    <row r="166" spans="1:12" ht="16.2" thickBot="1" x14ac:dyDescent="0.35">
      <c r="A166" s="19"/>
      <c r="B166" s="27" t="s">
        <v>794</v>
      </c>
      <c r="C166" s="93">
        <f>IF($H$7=1,F166,0)</f>
        <v>6.4941608437496566E-3</v>
      </c>
      <c r="D166" s="93">
        <f>IF($H$7=1,G166,0)</f>
        <v>5.7995821086186533E-3</v>
      </c>
      <c r="E166" s="95" t="s">
        <v>795</v>
      </c>
      <c r="F166" s="94">
        <f>(0.1306/0.0847)*F165</f>
        <v>6.4941608437496566E-3</v>
      </c>
      <c r="G166" s="94">
        <f>(0.1306/0.0847)*G165</f>
        <v>5.7995821086186533E-3</v>
      </c>
      <c r="H166" s="19" t="s">
        <v>1058</v>
      </c>
      <c r="I166" s="20"/>
      <c r="J166" s="19"/>
      <c r="K166" s="19"/>
      <c r="L166" s="19"/>
    </row>
    <row r="167" spans="1:12" x14ac:dyDescent="0.25">
      <c r="A167" s="19"/>
      <c r="B167" s="24"/>
      <c r="C167" s="24"/>
      <c r="D167" s="19"/>
      <c r="E167" s="25"/>
      <c r="F167" s="26"/>
      <c r="G167" s="19"/>
      <c r="H167" s="19"/>
      <c r="I167" s="20"/>
      <c r="J167" s="19"/>
      <c r="K167" s="19"/>
      <c r="L167" s="19"/>
    </row>
    <row r="168" spans="1:12" ht="18" thickBot="1" x14ac:dyDescent="0.35">
      <c r="A168" s="19"/>
      <c r="B168" s="460"/>
      <c r="C168" s="460"/>
      <c r="D168" s="19"/>
      <c r="E168" s="25"/>
      <c r="F168" s="26"/>
      <c r="G168" s="19"/>
      <c r="H168" s="19"/>
      <c r="I168" s="20"/>
      <c r="J168" s="19"/>
      <c r="K168" s="19"/>
      <c r="L168" s="19"/>
    </row>
    <row r="169" spans="1:12" ht="16.2" thickBot="1" x14ac:dyDescent="0.35">
      <c r="A169" s="19"/>
      <c r="B169" s="37"/>
      <c r="C169" s="53"/>
      <c r="D169" s="53"/>
      <c r="E169" s="37"/>
      <c r="F169" s="94"/>
      <c r="G169" s="89"/>
      <c r="H169" s="19"/>
      <c r="I169" s="20"/>
      <c r="J169" s="20"/>
      <c r="K169" s="27"/>
      <c r="L169" s="19"/>
    </row>
    <row r="170" spans="1:12" ht="16.2" thickBot="1" x14ac:dyDescent="0.35">
      <c r="A170" s="19"/>
      <c r="B170" s="37"/>
      <c r="C170" s="53"/>
      <c r="D170" s="53"/>
      <c r="E170" s="37"/>
      <c r="F170" s="94"/>
      <c r="G170" s="89"/>
      <c r="H170" s="19"/>
      <c r="I170" s="20"/>
      <c r="J170" s="19"/>
      <c r="K170" s="19"/>
      <c r="L170" s="19"/>
    </row>
    <row r="171" spans="1:12" ht="16.2" thickBot="1" x14ac:dyDescent="0.35">
      <c r="A171" s="19"/>
      <c r="B171" s="37"/>
      <c r="C171" s="53"/>
      <c r="D171" s="53"/>
      <c r="E171" s="37"/>
      <c r="F171" s="89"/>
      <c r="G171" s="89"/>
      <c r="H171" s="19"/>
      <c r="I171" s="20"/>
      <c r="J171" s="19"/>
      <c r="K171" s="19"/>
      <c r="L171" s="19"/>
    </row>
    <row r="172" spans="1:12" ht="16.2" thickBot="1" x14ac:dyDescent="0.35">
      <c r="A172" s="19"/>
      <c r="B172" s="37"/>
      <c r="C172" s="53"/>
      <c r="D172" s="53"/>
      <c r="E172" s="37"/>
      <c r="F172" s="89"/>
      <c r="G172" s="89"/>
      <c r="H172" s="19"/>
      <c r="I172" s="20"/>
      <c r="J172" s="19"/>
      <c r="K172" s="19"/>
      <c r="L172" s="19"/>
    </row>
    <row r="173" spans="1:12" ht="16.2" thickBot="1" x14ac:dyDescent="0.35">
      <c r="A173" s="19"/>
      <c r="B173" s="37"/>
      <c r="C173" s="53"/>
      <c r="D173" s="53"/>
      <c r="E173" s="37"/>
      <c r="F173" s="89"/>
      <c r="G173" s="89"/>
      <c r="H173" s="19"/>
      <c r="I173" s="20"/>
      <c r="J173" s="19"/>
      <c r="K173" s="19"/>
      <c r="L173" s="19"/>
    </row>
    <row r="174" spans="1:12" ht="16.2" thickBot="1" x14ac:dyDescent="0.35">
      <c r="A174" s="19"/>
      <c r="B174" s="37"/>
      <c r="C174" s="53"/>
      <c r="D174" s="53"/>
      <c r="E174" s="37"/>
      <c r="F174" s="89"/>
      <c r="G174" s="89"/>
      <c r="H174" s="19"/>
      <c r="I174" s="20"/>
      <c r="J174" s="19"/>
      <c r="K174" s="19"/>
      <c r="L174" s="19"/>
    </row>
    <row r="175" spans="1:12" ht="16.2" thickBot="1" x14ac:dyDescent="0.35">
      <c r="A175" s="19"/>
      <c r="B175" s="37"/>
      <c r="C175" s="53"/>
      <c r="D175" s="53"/>
      <c r="E175" s="37"/>
      <c r="F175" s="89"/>
      <c r="G175" s="89"/>
      <c r="H175" s="19"/>
      <c r="I175" s="20"/>
      <c r="J175" s="19"/>
      <c r="K175" s="19"/>
      <c r="L175" s="19"/>
    </row>
    <row r="176" spans="1:12" ht="16.2" thickBot="1" x14ac:dyDescent="0.35">
      <c r="A176" s="19"/>
      <c r="B176" s="37"/>
      <c r="C176" s="53"/>
      <c r="D176" s="53"/>
      <c r="E176" s="37"/>
      <c r="F176" s="89"/>
      <c r="G176" s="89"/>
      <c r="H176" s="19"/>
      <c r="I176" s="20"/>
      <c r="J176" s="19"/>
      <c r="K176" s="19"/>
      <c r="L176" s="19"/>
    </row>
    <row r="177" spans="1:12" ht="16.2" thickBot="1" x14ac:dyDescent="0.35">
      <c r="A177" s="19"/>
      <c r="B177" s="37"/>
      <c r="C177" s="79"/>
      <c r="D177" s="79"/>
      <c r="E177" s="37"/>
      <c r="F177" s="91"/>
      <c r="G177" s="91"/>
      <c r="H177" s="19"/>
      <c r="I177" s="20"/>
      <c r="J177" s="19"/>
      <c r="K177" s="19"/>
      <c r="L177" s="19"/>
    </row>
    <row r="178" spans="1:12" ht="16.2" thickBot="1" x14ac:dyDescent="0.35">
      <c r="A178" s="19"/>
      <c r="B178" s="37"/>
      <c r="C178" s="53"/>
      <c r="D178" s="53"/>
      <c r="E178" s="37"/>
      <c r="F178" s="89"/>
      <c r="G178" s="89"/>
      <c r="H178" s="19"/>
      <c r="I178" s="20"/>
      <c r="J178" s="19"/>
      <c r="K178" s="19"/>
      <c r="L178" s="19"/>
    </row>
    <row r="179" spans="1:12" ht="16.2" thickBot="1" x14ac:dyDescent="0.35">
      <c r="A179" s="19"/>
      <c r="B179" s="37"/>
      <c r="C179" s="79"/>
      <c r="D179" s="79"/>
      <c r="E179" s="37"/>
      <c r="F179" s="91"/>
      <c r="G179" s="91"/>
      <c r="H179" s="19"/>
      <c r="I179" s="20"/>
      <c r="J179" s="19"/>
      <c r="K179" s="19"/>
      <c r="L179" s="19"/>
    </row>
    <row r="180" spans="1:12" ht="15.6" x14ac:dyDescent="0.3">
      <c r="A180" s="19"/>
      <c r="B180" s="78" t="s">
        <v>529</v>
      </c>
      <c r="C180" s="26"/>
      <c r="D180" s="26"/>
      <c r="E180" s="37"/>
      <c r="F180" s="26"/>
      <c r="G180" s="19"/>
      <c r="H180" s="19"/>
      <c r="I180" s="20"/>
      <c r="J180" s="19"/>
      <c r="K180" s="19"/>
      <c r="L180" s="19"/>
    </row>
    <row r="181" spans="1:12" x14ac:dyDescent="0.25">
      <c r="A181" s="19"/>
      <c r="B181" s="24"/>
      <c r="C181" s="24"/>
      <c r="D181" s="19"/>
      <c r="E181" s="25"/>
      <c r="F181" s="26"/>
      <c r="G181" s="19"/>
      <c r="H181" s="19"/>
      <c r="I181" s="20"/>
      <c r="J181" s="19"/>
      <c r="K181" s="19"/>
      <c r="L181" s="19"/>
    </row>
    <row r="182" spans="1:12" ht="18" thickBot="1" x14ac:dyDescent="0.35">
      <c r="A182" s="19"/>
      <c r="B182" s="460"/>
      <c r="C182" s="460"/>
      <c r="D182" s="19"/>
      <c r="E182" s="25"/>
      <c r="F182" s="26"/>
      <c r="G182" s="19"/>
      <c r="H182" s="19"/>
      <c r="I182" s="20"/>
      <c r="J182" s="19"/>
      <c r="K182" s="19"/>
      <c r="L182" s="19"/>
    </row>
    <row r="183" spans="1:12" ht="16.2" thickBot="1" x14ac:dyDescent="0.35">
      <c r="A183" s="19"/>
      <c r="B183" s="37"/>
      <c r="C183" s="53"/>
      <c r="D183" s="53"/>
      <c r="E183" s="37"/>
      <c r="F183" s="89"/>
      <c r="G183" s="89"/>
      <c r="H183" s="19"/>
      <c r="I183" s="20"/>
      <c r="J183" s="20"/>
      <c r="K183" s="27"/>
      <c r="L183" s="19"/>
    </row>
    <row r="184" spans="1:12" ht="16.2" thickBot="1" x14ac:dyDescent="0.35">
      <c r="A184" s="19"/>
      <c r="B184" s="37"/>
      <c r="C184" s="53"/>
      <c r="D184" s="53"/>
      <c r="E184" s="37"/>
      <c r="F184" s="89"/>
      <c r="G184" s="89"/>
      <c r="H184" s="19"/>
      <c r="I184" s="20"/>
      <c r="J184" s="19"/>
      <c r="K184" s="19"/>
      <c r="L184" s="19"/>
    </row>
    <row r="185" spans="1:12" ht="16.2" thickBot="1" x14ac:dyDescent="0.35">
      <c r="A185" s="19"/>
      <c r="B185" s="37"/>
      <c r="C185" s="53"/>
      <c r="D185" s="53"/>
      <c r="E185" s="37"/>
      <c r="F185" s="89"/>
      <c r="G185" s="89"/>
      <c r="H185" s="19"/>
      <c r="I185" s="20"/>
      <c r="J185" s="19"/>
      <c r="K185" s="19"/>
      <c r="L185" s="19"/>
    </row>
    <row r="186" spans="1:12" ht="16.2" thickBot="1" x14ac:dyDescent="0.35">
      <c r="A186" s="19"/>
      <c r="B186" s="37"/>
      <c r="C186" s="53"/>
      <c r="D186" s="53"/>
      <c r="E186" s="37"/>
      <c r="F186" s="89"/>
      <c r="G186" s="89"/>
      <c r="H186" s="19"/>
      <c r="I186" s="20"/>
      <c r="J186" s="19"/>
      <c r="K186" s="19"/>
      <c r="L186" s="19"/>
    </row>
    <row r="187" spans="1:12" ht="16.2" thickBot="1" x14ac:dyDescent="0.35">
      <c r="A187" s="19"/>
      <c r="B187" s="37"/>
      <c r="C187" s="53"/>
      <c r="D187" s="53"/>
      <c r="E187" s="37"/>
      <c r="F187" s="89"/>
      <c r="G187" s="89"/>
      <c r="H187" s="19"/>
      <c r="I187" s="20"/>
      <c r="J187" s="19"/>
      <c r="K187" s="19"/>
      <c r="L187" s="19"/>
    </row>
    <row r="188" spans="1:12" ht="16.2" thickBot="1" x14ac:dyDescent="0.35">
      <c r="A188" s="19"/>
      <c r="B188" s="37"/>
      <c r="C188" s="53"/>
      <c r="D188" s="53"/>
      <c r="E188" s="37"/>
      <c r="F188" s="89"/>
      <c r="G188" s="89"/>
      <c r="H188" s="19"/>
      <c r="I188" s="20"/>
      <c r="J188" s="19"/>
      <c r="K188" s="19"/>
      <c r="L188" s="19"/>
    </row>
    <row r="189" spans="1:12" ht="16.2" thickBot="1" x14ac:dyDescent="0.35">
      <c r="A189" s="19"/>
      <c r="B189" s="37"/>
      <c r="C189" s="53"/>
      <c r="D189" s="53"/>
      <c r="E189" s="37"/>
      <c r="F189" s="89"/>
      <c r="G189" s="89"/>
      <c r="H189" s="19"/>
      <c r="I189" s="20"/>
      <c r="J189" s="19"/>
      <c r="K189" s="19"/>
      <c r="L189" s="19"/>
    </row>
    <row r="190" spans="1:12" ht="16.2" thickBot="1" x14ac:dyDescent="0.35">
      <c r="A190" s="19"/>
      <c r="B190" s="37"/>
      <c r="C190" s="53"/>
      <c r="D190" s="53"/>
      <c r="E190" s="37"/>
      <c r="F190" s="89"/>
      <c r="G190" s="89"/>
      <c r="H190" s="19"/>
      <c r="I190" s="20"/>
      <c r="J190" s="19"/>
      <c r="K190" s="19"/>
      <c r="L190" s="19"/>
    </row>
    <row r="191" spans="1:12" ht="16.2" thickBot="1" x14ac:dyDescent="0.35">
      <c r="A191" s="19"/>
      <c r="B191" s="37"/>
      <c r="C191" s="53"/>
      <c r="D191" s="53"/>
      <c r="E191" s="37"/>
      <c r="F191" s="89"/>
      <c r="G191" s="89"/>
      <c r="H191" s="19"/>
      <c r="I191" s="20"/>
      <c r="J191" s="19"/>
      <c r="K191" s="19"/>
      <c r="L191" s="19"/>
    </row>
    <row r="192" spans="1:12" ht="16.2" thickBot="1" x14ac:dyDescent="0.35">
      <c r="A192" s="19"/>
      <c r="B192" s="37"/>
      <c r="C192" s="53"/>
      <c r="D192" s="53"/>
      <c r="E192" s="37"/>
      <c r="F192" s="89"/>
      <c r="G192" s="89"/>
      <c r="H192" s="19"/>
      <c r="I192" s="20"/>
      <c r="J192" s="19"/>
      <c r="K192" s="19"/>
      <c r="L192" s="19"/>
    </row>
    <row r="193" spans="1:12" x14ac:dyDescent="0.25">
      <c r="A193" s="19"/>
      <c r="B193" s="24"/>
      <c r="C193" s="24"/>
      <c r="D193" s="19"/>
      <c r="E193" s="25"/>
      <c r="F193" s="24"/>
      <c r="G193" s="26"/>
      <c r="H193" s="19"/>
      <c r="I193" s="20"/>
      <c r="J193" s="19"/>
      <c r="K193" s="19"/>
      <c r="L193" s="19"/>
    </row>
    <row r="194" spans="1:12" ht="16.2" thickBot="1" x14ac:dyDescent="0.35">
      <c r="A194" s="19"/>
      <c r="B194" s="37" t="s">
        <v>532</v>
      </c>
      <c r="C194" s="24"/>
      <c r="D194" s="19"/>
      <c r="E194" s="25"/>
      <c r="F194" s="24"/>
      <c r="G194" s="26"/>
      <c r="H194" s="19"/>
      <c r="I194" s="20"/>
      <c r="J194" s="19"/>
      <c r="K194" s="19"/>
      <c r="L194" s="19"/>
    </row>
    <row r="195" spans="1:12" ht="16.2" thickBot="1" x14ac:dyDescent="0.35">
      <c r="A195" s="19"/>
      <c r="B195" s="34" t="s">
        <v>435</v>
      </c>
      <c r="C195" s="36"/>
      <c r="D195" s="35"/>
      <c r="E195" s="35"/>
      <c r="F195" s="35"/>
      <c r="G195" s="32"/>
      <c r="H195" s="19"/>
      <c r="I195" s="20"/>
      <c r="J195" s="19"/>
      <c r="K195" s="19"/>
      <c r="L195" s="19"/>
    </row>
    <row r="196" spans="1:12" ht="16.2" thickBot="1" x14ac:dyDescent="0.35">
      <c r="A196" s="19"/>
      <c r="B196" s="34" t="s">
        <v>436</v>
      </c>
      <c r="C196" s="36"/>
      <c r="D196" s="36"/>
      <c r="E196" s="35"/>
      <c r="F196" s="35"/>
      <c r="G196" s="32"/>
      <c r="H196" s="19"/>
      <c r="I196" s="20"/>
      <c r="J196" s="19"/>
      <c r="K196" s="19"/>
      <c r="L196" s="19"/>
    </row>
    <row r="197" spans="1:12" ht="16.2" thickBot="1" x14ac:dyDescent="0.35">
      <c r="A197" s="19"/>
      <c r="B197" s="71" t="s">
        <v>533</v>
      </c>
      <c r="C197" s="36"/>
      <c r="D197" s="36"/>
      <c r="E197" s="35"/>
      <c r="F197" s="35"/>
      <c r="G197" s="32"/>
      <c r="H197" s="19"/>
      <c r="I197" s="20"/>
      <c r="J197" s="19"/>
      <c r="K197" s="19"/>
      <c r="L197" s="19"/>
    </row>
    <row r="198" spans="1:12" ht="16.2" thickBot="1" x14ac:dyDescent="0.35">
      <c r="A198" s="19"/>
      <c r="B198" s="111" t="s">
        <v>964</v>
      </c>
      <c r="C198" s="36"/>
      <c r="D198" s="36"/>
      <c r="E198" s="35"/>
      <c r="F198" s="35"/>
      <c r="G198" s="32"/>
      <c r="H198" s="19"/>
      <c r="I198" s="20"/>
      <c r="J198" s="19"/>
      <c r="K198" s="19"/>
      <c r="L198" s="19"/>
    </row>
    <row r="199" spans="1:12" ht="16.2" thickBot="1" x14ac:dyDescent="0.35">
      <c r="A199" s="19"/>
      <c r="B199" s="71" t="s">
        <v>434</v>
      </c>
      <c r="C199" s="36"/>
      <c r="D199" s="36"/>
      <c r="E199" s="35"/>
      <c r="F199" s="35"/>
      <c r="G199" s="32"/>
      <c r="H199" s="19"/>
      <c r="I199" s="20"/>
      <c r="J199" s="19"/>
      <c r="K199" s="19"/>
      <c r="L199" s="19"/>
    </row>
    <row r="200" spans="1:12" ht="16.2" thickBot="1" x14ac:dyDescent="0.35">
      <c r="A200" s="19"/>
      <c r="B200" s="71"/>
      <c r="C200" s="36"/>
      <c r="D200" s="36"/>
      <c r="E200" s="35"/>
      <c r="F200" s="35"/>
      <c r="G200" s="32"/>
      <c r="H200" s="19"/>
      <c r="I200" s="20"/>
      <c r="J200" s="19"/>
      <c r="K200" s="19"/>
      <c r="L200" s="19"/>
    </row>
    <row r="201" spans="1:12" ht="16.2" thickBot="1" x14ac:dyDescent="0.35">
      <c r="A201" s="19"/>
      <c r="B201" s="71"/>
      <c r="C201" s="36"/>
      <c r="D201" s="36"/>
      <c r="E201" s="35"/>
      <c r="F201" s="35"/>
      <c r="G201" s="32"/>
      <c r="H201" s="19"/>
      <c r="I201" s="20"/>
      <c r="J201" s="19"/>
      <c r="K201" s="19"/>
      <c r="L201" s="19"/>
    </row>
    <row r="202" spans="1:12" x14ac:dyDescent="0.25">
      <c r="A202" s="19"/>
      <c r="B202" s="24"/>
      <c r="C202" s="24"/>
      <c r="D202" s="19"/>
      <c r="E202" s="25"/>
      <c r="F202" s="24"/>
      <c r="G202" s="26"/>
      <c r="H202" s="19"/>
      <c r="I202" s="20"/>
      <c r="J202" s="19"/>
      <c r="K202" s="19"/>
      <c r="L202" s="19"/>
    </row>
    <row r="203" spans="1:12" ht="18" thickBot="1" x14ac:dyDescent="0.35">
      <c r="A203" s="19"/>
      <c r="B203" s="460" t="s">
        <v>651</v>
      </c>
      <c r="C203" s="460"/>
      <c r="D203" s="19"/>
      <c r="E203" s="25"/>
      <c r="F203" s="24"/>
      <c r="G203" s="26"/>
      <c r="H203" s="19"/>
      <c r="I203" s="20"/>
      <c r="J203" s="19"/>
      <c r="K203" s="19"/>
      <c r="L203" s="19"/>
    </row>
    <row r="204" spans="1:12" ht="16.2" thickBot="1" x14ac:dyDescent="0.35">
      <c r="A204" s="19"/>
      <c r="B204" s="37" t="s">
        <v>652</v>
      </c>
      <c r="C204" s="115">
        <v>7.0913000000000004E-2</v>
      </c>
      <c r="D204" s="53">
        <f>C204</f>
        <v>7.0913000000000004E-2</v>
      </c>
      <c r="E204" s="37" t="s">
        <v>333</v>
      </c>
      <c r="F204" s="70"/>
      <c r="G204" s="19">
        <f>D204/C204-1</f>
        <v>0</v>
      </c>
      <c r="H204" s="19"/>
      <c r="I204" s="20"/>
      <c r="J204" s="20"/>
      <c r="K204" s="27"/>
      <c r="L204" s="19"/>
    </row>
    <row r="207" spans="1:12" x14ac:dyDescent="0.25">
      <c r="B207" s="80"/>
    </row>
  </sheetData>
  <customSheetViews>
    <customSheetView guid="{195DF303-1BBD-4236-94B5-47432850B006}" showRuler="0">
      <pageMargins left="0.75" right="0.75" top="1" bottom="1" header="0.5" footer="0.5"/>
      <pageSetup orientation="portrait" r:id="rId1"/>
      <headerFooter alignWithMargins="0">
        <oddHeader>&amp;A</oddHeader>
        <oddFooter>Page &amp;P</oddFooter>
      </headerFooter>
    </customSheetView>
    <customSheetView guid="{0C49E549-011E-46F4-A82E-2CC8951A9C1E}" showRuler="0">
      <selection activeCell="C17" sqref="C17"/>
      <pageMargins left="0.75" right="0.75" top="1" bottom="1" header="0.5" footer="0.5"/>
      <pageSetup orientation="portrait" r:id="rId2"/>
      <headerFooter alignWithMargins="0">
        <oddHeader>&amp;A</oddHeader>
        <oddFooter>Page &amp;P</oddFooter>
      </headerFooter>
    </customSheetView>
    <customSheetView guid="{4BC93440-BA85-4935-A8C9-66DC6AE5DE5E}" showRuler="0">
      <selection activeCell="C15" sqref="C15"/>
      <pageMargins left="0.75" right="0.75" top="1" bottom="1" header="0.5" footer="0.5"/>
      <pageSetup orientation="portrait" r:id="rId3"/>
      <headerFooter alignWithMargins="0">
        <oddHeader>&amp;A</oddHeader>
        <oddFooter>Page &amp;P</oddFooter>
      </headerFooter>
    </customSheetView>
    <customSheetView guid="{2431C9E5-7CC2-4B8D-99C3-962247B1DBF5}" showRuler="0">
      <selection activeCell="B4" sqref="B4"/>
      <pageMargins left="0.75" right="0.75" top="1" bottom="1" header="0.5" footer="0.5"/>
      <pageSetup orientation="portrait" r:id="rId4"/>
      <headerFooter alignWithMargins="0">
        <oddHeader>&amp;A</oddHeader>
        <oddFooter>Page &amp;P</oddFooter>
      </headerFooter>
    </customSheetView>
    <customSheetView guid="{2EA35095-1ADC-4CC7-8C3C-B487D65FA247}" showRuler="0">
      <selection activeCell="B4" sqref="B4"/>
      <pageMargins left="0.75" right="0.75" top="1" bottom="1" header="0.5" footer="0.5"/>
      <pageSetup orientation="portrait" r:id="rId5"/>
      <headerFooter alignWithMargins="0">
        <oddHeader>&amp;A</oddHeader>
        <oddFooter>Page &amp;P</oddFooter>
      </headerFooter>
    </customSheetView>
    <customSheetView guid="{8FC77C99-DBF7-40B8-99B8-01B75826CDCB}" showRuler="0">
      <selection activeCell="C13" sqref="C13"/>
      <pageMargins left="0.75" right="0.75" top="1" bottom="1" header="0.5" footer="0.5"/>
      <pageSetup orientation="portrait" r:id="rId6"/>
      <headerFooter alignWithMargins="0">
        <oddHeader>&amp;A</oddHeader>
        <oddFooter>Page &amp;P</oddFooter>
      </headerFooter>
    </customSheetView>
    <customSheetView guid="{8FB94551-8874-4095-B8FB-5316E0D2FD2C}" showRuler="0">
      <pageMargins left="0.75" right="0.75" top="1" bottom="1" header="0.5" footer="0.5"/>
      <pageSetup orientation="portrait" r:id="rId7"/>
      <headerFooter alignWithMargins="0">
        <oddHeader>&amp;A</oddHeader>
        <oddFooter>Page &amp;P</oddFooter>
      </headerFooter>
    </customSheetView>
    <customSheetView guid="{6B3D5C27-2FDE-4561-9575-1E98BFB869D0}" showRuler="0">
      <selection activeCell="C15" sqref="C15"/>
      <pageMargins left="0.75" right="0.75" top="1" bottom="1" header="0.5" footer="0.5"/>
      <pageSetup orientation="portrait" r:id="rId8"/>
      <headerFooter alignWithMargins="0">
        <oddHeader>&amp;A</oddHeader>
        <oddFooter>Page &amp;P</oddFooter>
      </headerFooter>
    </customSheetView>
    <customSheetView guid="{0BC1F393-8A13-47D5-BC6C-0C99615B5AB9}" showRuler="0">
      <selection activeCell="C14" sqref="C14"/>
      <pageMargins left="0.75" right="0.75" top="1" bottom="1" header="0.5" footer="0.5"/>
      <pageSetup orientation="portrait" r:id="rId9"/>
      <headerFooter alignWithMargins="0">
        <oddHeader>&amp;A</oddHeader>
        <oddFooter>Page &amp;P</oddFooter>
      </headerFooter>
    </customSheetView>
    <customSheetView guid="{18BDED73-BFA0-442E-87EC-CED86EE4CF94}" showRuler="0">
      <selection activeCell="B4" sqref="B4"/>
      <pageMargins left="0.75" right="0.75" top="1" bottom="1" header="0.5" footer="0.5"/>
      <pageSetup orientation="portrait" r:id="rId10"/>
      <headerFooter alignWithMargins="0">
        <oddHeader>&amp;A</oddHeader>
        <oddFooter>Page &amp;P</oddFooter>
      </headerFooter>
    </customSheetView>
    <customSheetView guid="{35F19056-2E6F-4935-B863-78836FE990BF}" showPageBreaks="1" showRuler="0">
      <selection activeCell="C15" sqref="C15"/>
      <pageMargins left="0.75" right="0.75" top="1" bottom="1" header="0.5" footer="0.5"/>
      <pageSetup orientation="portrait" r:id="rId11"/>
      <headerFooter alignWithMargins="0">
        <oddHeader>&amp;A</oddHeader>
        <oddFooter>Page &amp;P</oddFooter>
      </headerFooter>
    </customSheetView>
    <customSheetView guid="{F562D92E-120C-4AE9-9663-89E64D41DC53}" topLeftCell="A5">
      <selection activeCell="C15" sqref="C15"/>
      <pageMargins left="0.75" right="0.75" top="1" bottom="1" header="0.5" footer="0.5"/>
      <pageSetup orientation="portrait" r:id="rId12"/>
      <headerFooter alignWithMargins="0">
        <oddHeader>&amp;A</oddHeader>
        <oddFooter>Page &amp;P</oddFooter>
      </headerFooter>
    </customSheetView>
  </customSheetViews>
  <mergeCells count="18">
    <mergeCell ref="B203:C203"/>
    <mergeCell ref="B152:D152"/>
    <mergeCell ref="B33:C33"/>
    <mergeCell ref="B121:D121"/>
    <mergeCell ref="B182:C182"/>
    <mergeCell ref="B22:D22"/>
    <mergeCell ref="B164:C164"/>
    <mergeCell ref="B168:C168"/>
    <mergeCell ref="B134:D134"/>
    <mergeCell ref="A1:J1"/>
    <mergeCell ref="B42:D42"/>
    <mergeCell ref="B46:D46"/>
    <mergeCell ref="B111:D111"/>
    <mergeCell ref="B61:D61"/>
    <mergeCell ref="B66:D66"/>
    <mergeCell ref="B84:D84"/>
    <mergeCell ref="B94:D94"/>
    <mergeCell ref="B102:D102"/>
  </mergeCells>
  <phoneticPr fontId="11" type="noConversion"/>
  <pageMargins left="0.75" right="0.75" top="1" bottom="1" header="0.5" footer="0.5"/>
  <pageSetup orientation="portrait" r:id="rId13"/>
  <headerFooter alignWithMargins="0">
    <oddHeader>&amp;A</oddHeader>
    <oddFooter>Page &amp;P</oddFooter>
  </headerFooter>
  <drawing r:id="rId14"/>
  <legacyDrawing r:id="rId1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7697" r:id="rId16" name="Option Button 1">
              <controlPr defaultSize="0" autoFill="0" autoLine="0" autoPict="0" altText="With Riders">
                <anchor moveWithCells="1">
                  <from>
                    <xdr:col>7</xdr:col>
                    <xdr:colOff>68580</xdr:colOff>
                    <xdr:row>4</xdr:row>
                    <xdr:rowOff>7620</xdr:rowOff>
                  </from>
                  <to>
                    <xdr:col>8</xdr:col>
                    <xdr:colOff>0</xdr:colOff>
                    <xdr:row>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98" r:id="rId17" name="Option Button 2">
              <controlPr defaultSize="0" autoFill="0" autoLine="0" autoPict="0">
                <anchor moveWithCells="1">
                  <from>
                    <xdr:col>7</xdr:col>
                    <xdr:colOff>68580</xdr:colOff>
                    <xdr:row>5</xdr:row>
                    <xdr:rowOff>0</xdr:rowOff>
                  </from>
                  <to>
                    <xdr:col>8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syncVertical="1" syncRef="A1" transitionEvaluation="1" transitionEntry="1" codeName="Sheet8">
    <pageSetUpPr fitToPage="1"/>
  </sheetPr>
  <dimension ref="A1:BW1101"/>
  <sheetViews>
    <sheetView zoomScale="75" workbookViewId="0"/>
  </sheetViews>
  <sheetFormatPr defaultColWidth="9.75" defaultRowHeight="15.6" x14ac:dyDescent="0.3"/>
  <cols>
    <col min="1" max="1" width="5" style="41" customWidth="1"/>
    <col min="2" max="2" width="0.6640625" style="41" customWidth="1"/>
    <col min="3" max="3" width="7.75" style="41" customWidth="1"/>
    <col min="4" max="4" width="35.4140625" style="41" customWidth="1"/>
    <col min="5" max="5" width="0.7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2.66406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2.75" style="41" customWidth="1"/>
    <col min="17" max="17" width="0.58203125" style="41" customWidth="1"/>
    <col min="18" max="18" width="17.25" style="41" customWidth="1"/>
    <col min="19" max="19" width="6.6640625" style="41" customWidth="1"/>
    <col min="20" max="20" width="5.25" style="41" customWidth="1"/>
    <col min="21" max="21" width="0.58203125" style="41" customWidth="1"/>
    <col min="22" max="22" width="9.4140625" style="41" customWidth="1"/>
    <col min="23" max="23" width="36.58203125" style="41" customWidth="1"/>
    <col min="24" max="24" width="0.7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4140625" style="41" customWidth="1"/>
    <col min="29" max="29" width="11.4140625" style="41" customWidth="1"/>
    <col min="30" max="30" width="0.33203125" style="41" customWidth="1"/>
    <col min="31" max="31" width="12.9140625" style="41" customWidth="1"/>
    <col min="32" max="32" width="0.75" style="41" customWidth="1"/>
    <col min="33" max="33" width="13.6640625" style="165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165" customWidth="1"/>
    <col min="38" max="38" width="0.66406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165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REHEARING ORDER CALCULATED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157</v>
      </c>
      <c r="AK6" s="206"/>
      <c r="AL6" s="42"/>
    </row>
    <row r="7" spans="1:40" x14ac:dyDescent="0.3">
      <c r="A7" s="41" t="str">
        <f>TYPE</f>
        <v>TYPE OF FILING: _X_ ORIGINAL   ___UPDATED  ___ REVISED</v>
      </c>
      <c r="R7" s="45" t="str">
        <f>"PAGE 4 OF "&amp;TEXT(Page_Num_2.3,"00")</f>
        <v>PAGE 4 OF 24</v>
      </c>
      <c r="AK7" s="206"/>
      <c r="AL7" s="42"/>
    </row>
    <row r="8" spans="1:40" x14ac:dyDescent="0.3">
      <c r="A8" s="42" t="s">
        <v>171</v>
      </c>
      <c r="R8" s="42" t="s">
        <v>3</v>
      </c>
      <c r="AK8" s="206"/>
      <c r="AL8" s="42"/>
    </row>
    <row r="9" spans="1:40" x14ac:dyDescent="0.3">
      <c r="A9" s="132" t="str">
        <f>TIME</f>
        <v>12 Months Projected with Riders</v>
      </c>
      <c r="R9" s="41" t="str">
        <f>WIT</f>
        <v>B. L. Sailers</v>
      </c>
      <c r="AK9" s="206"/>
      <c r="AL9" s="42"/>
    </row>
    <row r="10" spans="1:40" x14ac:dyDescent="0.3">
      <c r="A10" s="132" t="str">
        <f>INPUT!B5</f>
        <v xml:space="preserve"> </v>
      </c>
      <c r="AK10" s="206"/>
      <c r="AL10" s="42"/>
    </row>
    <row r="11" spans="1:40" x14ac:dyDescent="0.3">
      <c r="A11" s="40" t="s">
        <v>130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207"/>
      <c r="AH12" s="135"/>
      <c r="AI12" s="135"/>
      <c r="AJ12" s="135"/>
      <c r="AK12" s="207"/>
      <c r="AL12" s="135"/>
      <c r="AM12" s="135"/>
      <c r="AN12" s="135"/>
    </row>
    <row r="13" spans="1:40" ht="18" customHeight="1" x14ac:dyDescent="0.3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68"/>
      <c r="AH13" s="44"/>
      <c r="AK13" s="168"/>
      <c r="AL13" s="44"/>
      <c r="AM13" s="44"/>
      <c r="AN13" s="44"/>
    </row>
    <row r="14" spans="1:40" x14ac:dyDescent="0.3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68"/>
      <c r="AH14" s="44"/>
      <c r="AK14" s="168"/>
      <c r="AL14" s="44"/>
      <c r="AM14" s="44"/>
      <c r="AN14" s="44"/>
    </row>
    <row r="15" spans="1:4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842</v>
      </c>
      <c r="M15" s="44"/>
      <c r="N15" s="44" t="s">
        <v>842</v>
      </c>
      <c r="O15" s="44"/>
      <c r="P15" s="44" t="s">
        <v>842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68"/>
      <c r="AH15" s="44"/>
      <c r="AI15" s="44"/>
      <c r="AJ15" s="44"/>
      <c r="AK15" s="168"/>
      <c r="AL15" s="44"/>
      <c r="AM15" s="44"/>
      <c r="AN15" s="44"/>
    </row>
    <row r="16" spans="1:40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324</v>
      </c>
      <c r="Q16" s="44"/>
      <c r="R16" s="141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68"/>
      <c r="AH16" s="44"/>
      <c r="AI16" s="44"/>
      <c r="AJ16" s="44"/>
      <c r="AK16" s="168"/>
      <c r="AL16" s="44"/>
      <c r="AM16" s="44"/>
      <c r="AN16" s="44"/>
    </row>
    <row r="17" spans="1:40" x14ac:dyDescent="0.3">
      <c r="C17" s="141" t="s">
        <v>33</v>
      </c>
      <c r="D17" s="141" t="s">
        <v>34</v>
      </c>
      <c r="E17" s="141"/>
      <c r="F17" s="141" t="s">
        <v>35</v>
      </c>
      <c r="G17" s="153"/>
      <c r="H17" s="141" t="s">
        <v>36</v>
      </c>
      <c r="I17" s="141"/>
      <c r="J17" s="141" t="s">
        <v>37</v>
      </c>
      <c r="K17" s="141"/>
      <c r="L17" s="141" t="s">
        <v>38</v>
      </c>
      <c r="M17" s="141"/>
      <c r="N17" s="141" t="s">
        <v>39</v>
      </c>
      <c r="O17" s="141"/>
      <c r="P17" s="141" t="s">
        <v>40</v>
      </c>
      <c r="Q17" s="141"/>
      <c r="R17" s="141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68"/>
      <c r="AH17" s="44"/>
      <c r="AI17" s="44"/>
      <c r="AJ17" s="44"/>
      <c r="AK17" s="168"/>
      <c r="AL17" s="44"/>
      <c r="AM17" s="44"/>
      <c r="AN17" s="44"/>
    </row>
    <row r="18" spans="1:40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207"/>
      <c r="AH18" s="135"/>
      <c r="AI18" s="135"/>
      <c r="AJ18" s="135"/>
      <c r="AK18" s="207"/>
      <c r="AL18" s="135"/>
      <c r="AM18" s="135"/>
      <c r="AN18" s="135"/>
    </row>
    <row r="19" spans="1:40" ht="17.100000000000001" customHeight="1" x14ac:dyDescent="0.3">
      <c r="H19" s="172" t="s">
        <v>197</v>
      </c>
      <c r="I19" s="171"/>
      <c r="J19" s="172" t="s">
        <v>332</v>
      </c>
      <c r="K19" s="171"/>
      <c r="L19" s="171" t="s">
        <v>50</v>
      </c>
      <c r="M19" s="171"/>
      <c r="N19" s="171" t="s">
        <v>51</v>
      </c>
      <c r="O19" s="171"/>
      <c r="P19" s="171" t="s">
        <v>50</v>
      </c>
      <c r="Q19" s="171"/>
      <c r="R19" s="171" t="s">
        <v>50</v>
      </c>
      <c r="Y19" s="44"/>
      <c r="Z19" s="44"/>
      <c r="AA19" s="44"/>
      <c r="AB19" s="44"/>
      <c r="AC19" s="44"/>
      <c r="AD19" s="44"/>
      <c r="AE19" s="44"/>
      <c r="AF19" s="44"/>
      <c r="AG19" s="168"/>
      <c r="AH19" s="44"/>
      <c r="AI19" s="44"/>
      <c r="AJ19" s="44"/>
      <c r="AK19" s="168"/>
      <c r="AL19" s="44"/>
      <c r="AM19" s="44"/>
      <c r="AN19" s="44"/>
    </row>
    <row r="20" spans="1:40" x14ac:dyDescent="0.3">
      <c r="A20" s="41">
        <v>1</v>
      </c>
      <c r="C20" s="132" t="s">
        <v>381</v>
      </c>
      <c r="D20" s="132" t="s">
        <v>378</v>
      </c>
      <c r="E20" s="42"/>
      <c r="F20" s="1"/>
      <c r="G20" s="1"/>
      <c r="H20" s="208"/>
      <c r="I20" s="208"/>
      <c r="J20" s="172" t="s">
        <v>329</v>
      </c>
      <c r="K20" s="208"/>
      <c r="L20" s="208"/>
      <c r="M20" s="208"/>
      <c r="N20" s="208"/>
      <c r="O20" s="208"/>
      <c r="P20" s="208"/>
      <c r="Q20" s="208"/>
      <c r="R20" s="208"/>
      <c r="T20" s="42"/>
      <c r="U20" s="42"/>
    </row>
    <row r="21" spans="1:40" x14ac:dyDescent="0.3">
      <c r="A21" s="41">
        <v>2</v>
      </c>
      <c r="C21" s="132" t="s">
        <v>54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 x14ac:dyDescent="0.3">
      <c r="A22" s="41">
        <v>3</v>
      </c>
      <c r="C22" s="132" t="s">
        <v>134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23"/>
      <c r="T22" s="42"/>
      <c r="V22" s="123"/>
      <c r="Y22" s="123"/>
      <c r="Z22" s="193"/>
      <c r="AA22" s="123"/>
      <c r="AB22" s="123"/>
      <c r="AC22" s="160"/>
      <c r="AD22" s="160"/>
      <c r="AE22" s="123"/>
      <c r="AF22" s="123"/>
      <c r="AH22" s="160"/>
      <c r="AI22" s="123"/>
      <c r="AJ22" s="123"/>
      <c r="AL22" s="123"/>
      <c r="AM22" s="160"/>
      <c r="AN22" s="160"/>
    </row>
    <row r="23" spans="1:40" x14ac:dyDescent="0.3">
      <c r="A23" s="41">
        <v>4</v>
      </c>
      <c r="C23" s="42" t="s">
        <v>145</v>
      </c>
      <c r="F23" s="184">
        <v>131</v>
      </c>
      <c r="G23" s="1"/>
      <c r="H23" s="159"/>
      <c r="I23" s="1"/>
      <c r="J23" s="193">
        <f>INPUT!D70</f>
        <v>155</v>
      </c>
      <c r="K23" s="1"/>
      <c r="L23" s="3">
        <f>ROUND(+F23*J23,0)</f>
        <v>20305</v>
      </c>
      <c r="M23" s="1"/>
      <c r="N23" s="177">
        <f>ROUND((+L23/$L$65)*100,1)</f>
        <v>0</v>
      </c>
      <c r="O23" s="1"/>
      <c r="P23" s="3"/>
      <c r="Q23" s="1"/>
      <c r="R23" s="3">
        <f>L23+P23</f>
        <v>20305</v>
      </c>
      <c r="S23" s="123"/>
      <c r="T23" s="42"/>
      <c r="V23" s="123"/>
      <c r="Y23" s="123"/>
      <c r="Z23" s="212"/>
      <c r="AA23" s="123"/>
      <c r="AB23" s="123"/>
      <c r="AC23" s="160"/>
      <c r="AD23" s="160"/>
      <c r="AE23" s="123"/>
      <c r="AF23" s="123"/>
      <c r="AH23" s="160"/>
      <c r="AI23" s="123"/>
      <c r="AJ23" s="123"/>
      <c r="AL23" s="123"/>
      <c r="AM23" s="160"/>
      <c r="AN23" s="160"/>
    </row>
    <row r="24" spans="1:40" ht="20.100000000000001" customHeight="1" x14ac:dyDescent="0.3">
      <c r="A24" s="41">
        <v>5</v>
      </c>
      <c r="C24" s="132" t="s">
        <v>137</v>
      </c>
      <c r="F24" s="145">
        <f>SUM(F23:F23)</f>
        <v>131</v>
      </c>
      <c r="G24" s="1"/>
      <c r="H24" s="3"/>
      <c r="I24" s="1"/>
      <c r="J24" s="183"/>
      <c r="K24" s="1"/>
      <c r="L24" s="145">
        <f>SUM(L23:L23)</f>
        <v>20305</v>
      </c>
      <c r="M24" s="1"/>
      <c r="N24" s="180">
        <f>ROUND((+L24/$L$65)*100,1)</f>
        <v>0</v>
      </c>
      <c r="O24" s="1"/>
      <c r="P24" s="145"/>
      <c r="Q24" s="3"/>
      <c r="R24" s="145">
        <f>SUM(R23:R23)</f>
        <v>20305</v>
      </c>
      <c r="S24" s="123"/>
      <c r="V24" s="210"/>
      <c r="Y24" s="210"/>
      <c r="Z24" s="213"/>
      <c r="AA24" s="210"/>
      <c r="AB24" s="210"/>
      <c r="AC24" s="210"/>
      <c r="AD24" s="210"/>
      <c r="AE24" s="210"/>
      <c r="AF24" s="210"/>
      <c r="AI24" s="210"/>
      <c r="AJ24" s="210"/>
      <c r="AK24" s="214"/>
      <c r="AL24" s="210"/>
      <c r="AM24" s="160"/>
      <c r="AN24" s="160"/>
    </row>
    <row r="25" spans="1:40" x14ac:dyDescent="0.3">
      <c r="A25" s="41">
        <v>6</v>
      </c>
      <c r="C25" s="132" t="s">
        <v>63</v>
      </c>
      <c r="F25" s="159"/>
      <c r="G25" s="1"/>
      <c r="H25" s="159"/>
      <c r="I25" s="1"/>
      <c r="J25" s="248"/>
      <c r="K25" s="1"/>
      <c r="L25" s="3"/>
      <c r="M25" s="1"/>
      <c r="N25" s="175"/>
      <c r="O25" s="1"/>
      <c r="P25" s="3"/>
      <c r="Q25" s="3"/>
      <c r="R25" s="3"/>
      <c r="S25" s="123"/>
      <c r="V25" s="184"/>
      <c r="Y25" s="184"/>
      <c r="Z25" s="213"/>
      <c r="AA25" s="123"/>
      <c r="AB25" s="123"/>
      <c r="AC25" s="160"/>
      <c r="AD25" s="160"/>
      <c r="AE25" s="123"/>
      <c r="AF25" s="123"/>
      <c r="AI25" s="123"/>
      <c r="AJ25" s="123"/>
      <c r="AL25" s="123"/>
      <c r="AM25" s="160"/>
      <c r="AN25" s="160"/>
    </row>
    <row r="26" spans="1:40" x14ac:dyDescent="0.3">
      <c r="A26" s="41">
        <v>7</v>
      </c>
      <c r="C26" s="42" t="s">
        <v>64</v>
      </c>
      <c r="F26" s="159"/>
      <c r="G26" s="1"/>
      <c r="H26" s="184">
        <v>338380</v>
      </c>
      <c r="I26" s="1"/>
      <c r="J26" s="193">
        <f>INPUT!D76</f>
        <v>15.72</v>
      </c>
      <c r="K26" s="1"/>
      <c r="L26" s="3">
        <f>ROUND(+H26*J26,0)</f>
        <v>5319334</v>
      </c>
      <c r="M26" s="1"/>
      <c r="N26" s="175">
        <f>ROUND((+L26/$L$65)*100,1)</f>
        <v>10.7</v>
      </c>
      <c r="O26" s="1"/>
      <c r="P26" s="3"/>
      <c r="Q26" s="3"/>
      <c r="R26" s="3">
        <f>L26+P26</f>
        <v>5319334</v>
      </c>
      <c r="S26" s="123"/>
      <c r="V26" s="249"/>
      <c r="Y26" s="184"/>
      <c r="Z26" s="213"/>
      <c r="AA26" s="123"/>
      <c r="AB26" s="123"/>
      <c r="AC26" s="160"/>
      <c r="AD26" s="160"/>
      <c r="AE26" s="123"/>
      <c r="AF26" s="123"/>
      <c r="AH26" s="160"/>
      <c r="AI26" s="123"/>
      <c r="AJ26" s="123"/>
      <c r="AL26" s="123"/>
      <c r="AM26" s="160"/>
      <c r="AN26" s="160"/>
    </row>
    <row r="27" spans="1:40" x14ac:dyDescent="0.3">
      <c r="A27" s="41">
        <v>8</v>
      </c>
      <c r="C27" s="42" t="s">
        <v>65</v>
      </c>
      <c r="F27" s="159"/>
      <c r="G27" s="1"/>
      <c r="H27" s="184">
        <v>7223</v>
      </c>
      <c r="I27" s="1"/>
      <c r="J27" s="193">
        <f>INPUT!D77</f>
        <v>1.41</v>
      </c>
      <c r="K27" s="1"/>
      <c r="L27" s="3">
        <f>ROUND(+H27*J27,0)</f>
        <v>10184</v>
      </c>
      <c r="M27" s="1"/>
      <c r="N27" s="175">
        <f>ROUND((+L27/$L$65)*100,1)</f>
        <v>0</v>
      </c>
      <c r="O27" s="1"/>
      <c r="P27" s="3"/>
      <c r="Q27" s="3"/>
      <c r="R27" s="3">
        <f>L27+P27</f>
        <v>10184</v>
      </c>
      <c r="S27" s="123"/>
      <c r="T27" s="42"/>
      <c r="V27" s="238"/>
      <c r="Y27" s="123"/>
      <c r="Z27" s="212"/>
      <c r="AA27" s="123"/>
      <c r="AB27" s="123"/>
      <c r="AC27" s="160"/>
      <c r="AD27" s="160"/>
      <c r="AE27" s="123"/>
      <c r="AF27" s="123"/>
      <c r="AH27" s="160"/>
      <c r="AI27" s="123"/>
      <c r="AJ27" s="123"/>
      <c r="AL27" s="123"/>
      <c r="AM27" s="160"/>
      <c r="AN27" s="160"/>
    </row>
    <row r="28" spans="1:40" x14ac:dyDescent="0.3">
      <c r="A28" s="41">
        <v>9</v>
      </c>
      <c r="C28" s="42" t="s">
        <v>976</v>
      </c>
      <c r="F28" s="159"/>
      <c r="G28" s="1"/>
      <c r="H28" s="184">
        <f>H26+H27</f>
        <v>345603</v>
      </c>
      <c r="I28" s="1"/>
      <c r="J28" s="193">
        <f>INPUT!$D$82</f>
        <v>6.77</v>
      </c>
      <c r="K28" s="1"/>
      <c r="L28" s="3">
        <f>ROUND(+H28*J28,0)</f>
        <v>2339732</v>
      </c>
      <c r="M28" s="1"/>
      <c r="N28" s="177">
        <f>ROUND((+L28/$L$65)*100,1)</f>
        <v>4.7</v>
      </c>
      <c r="O28" s="1"/>
      <c r="P28" s="3"/>
      <c r="Q28" s="3"/>
      <c r="R28" s="3">
        <f>L28+P28</f>
        <v>2339732</v>
      </c>
      <c r="S28" s="123"/>
      <c r="T28" s="42"/>
      <c r="V28" s="238"/>
      <c r="Y28" s="123"/>
      <c r="Z28" s="212"/>
      <c r="AA28" s="123"/>
      <c r="AB28" s="123"/>
      <c r="AC28" s="160"/>
      <c r="AD28" s="160"/>
      <c r="AE28" s="123"/>
      <c r="AF28" s="123"/>
      <c r="AH28" s="160"/>
      <c r="AI28" s="123"/>
      <c r="AJ28" s="123"/>
      <c r="AL28" s="123"/>
      <c r="AM28" s="160"/>
      <c r="AN28" s="160"/>
    </row>
    <row r="29" spans="1:40" ht="20.100000000000001" customHeight="1" x14ac:dyDescent="0.3">
      <c r="A29" s="41">
        <v>10</v>
      </c>
      <c r="C29" s="132" t="s">
        <v>146</v>
      </c>
      <c r="F29" s="3"/>
      <c r="G29" s="1"/>
      <c r="H29" s="145">
        <f>SUM(H26:H27)</f>
        <v>345603</v>
      </c>
      <c r="I29" s="1"/>
      <c r="J29" s="183"/>
      <c r="K29" s="1"/>
      <c r="L29" s="145">
        <f>SUM(L26:L28)</f>
        <v>7669250</v>
      </c>
      <c r="M29" s="1"/>
      <c r="N29" s="180">
        <f>ROUND((+L29/$L$65)*100,1)</f>
        <v>15.4</v>
      </c>
      <c r="O29" s="1"/>
      <c r="P29" s="145"/>
      <c r="Q29" s="159"/>
      <c r="R29" s="145">
        <f>SUM(R26:R28)</f>
        <v>7669250</v>
      </c>
      <c r="S29" s="123"/>
      <c r="V29" s="210"/>
      <c r="Y29" s="210"/>
      <c r="Z29" s="213"/>
      <c r="AA29" s="210"/>
      <c r="AB29" s="210"/>
      <c r="AC29" s="210"/>
      <c r="AD29" s="210"/>
      <c r="AE29" s="210"/>
      <c r="AF29" s="210"/>
      <c r="AI29" s="210"/>
      <c r="AJ29" s="210"/>
      <c r="AK29" s="214"/>
      <c r="AL29" s="210"/>
      <c r="AM29" s="160"/>
      <c r="AN29" s="160"/>
    </row>
    <row r="30" spans="1:40" x14ac:dyDescent="0.3">
      <c r="A30" s="41">
        <v>11</v>
      </c>
      <c r="C30" s="132" t="s">
        <v>147</v>
      </c>
      <c r="F30" s="3"/>
      <c r="G30" s="1"/>
      <c r="H30" s="3"/>
      <c r="I30" s="1"/>
      <c r="J30" s="183"/>
      <c r="K30" s="1"/>
      <c r="L30" s="3"/>
      <c r="M30" s="1"/>
      <c r="N30" s="175"/>
      <c r="O30" s="1"/>
      <c r="P30" s="3"/>
      <c r="Q30" s="159"/>
      <c r="R30" s="3"/>
      <c r="S30" s="123"/>
      <c r="V30" s="250"/>
      <c r="Y30" s="210"/>
      <c r="Z30" s="213"/>
      <c r="AA30" s="210"/>
      <c r="AB30" s="210"/>
      <c r="AC30" s="210"/>
      <c r="AD30" s="210"/>
      <c r="AE30" s="210"/>
      <c r="AF30" s="210"/>
      <c r="AI30" s="210"/>
      <c r="AJ30" s="210"/>
      <c r="AK30" s="214"/>
      <c r="AL30" s="210"/>
      <c r="AM30" s="160"/>
      <c r="AN30" s="160"/>
    </row>
    <row r="31" spans="1:40" x14ac:dyDescent="0.3">
      <c r="A31" s="41">
        <v>12</v>
      </c>
      <c r="C31" s="192" t="s">
        <v>148</v>
      </c>
      <c r="F31" s="3"/>
      <c r="G31" s="1"/>
      <c r="H31" s="184">
        <v>115458</v>
      </c>
      <c r="I31" s="1"/>
      <c r="J31" s="193">
        <f>INPUT!D80</f>
        <v>-0.8</v>
      </c>
      <c r="K31" s="1"/>
      <c r="L31" s="3">
        <f>ROUND(+H31*J31,0)</f>
        <v>-92366</v>
      </c>
      <c r="M31" s="1"/>
      <c r="N31" s="175">
        <f>ROUND((+L31/$L$65)*100,1)</f>
        <v>-0.2</v>
      </c>
      <c r="O31" s="1"/>
      <c r="P31" s="3"/>
      <c r="Q31" s="159"/>
      <c r="R31" s="3">
        <f>L31+P31</f>
        <v>-92366</v>
      </c>
      <c r="S31" s="123"/>
      <c r="T31" s="42"/>
      <c r="V31" s="251"/>
      <c r="Z31" s="213"/>
      <c r="AA31" s="123"/>
      <c r="AB31" s="123"/>
      <c r="AC31" s="160"/>
      <c r="AD31" s="160"/>
      <c r="AE31" s="123"/>
      <c r="AF31" s="123"/>
      <c r="AH31" s="160"/>
      <c r="AI31" s="123"/>
      <c r="AJ31" s="123"/>
      <c r="AL31" s="123"/>
      <c r="AM31" s="160"/>
      <c r="AN31" s="160"/>
    </row>
    <row r="32" spans="1:40" x14ac:dyDescent="0.3">
      <c r="A32" s="41">
        <v>13</v>
      </c>
      <c r="C32" s="192" t="s">
        <v>149</v>
      </c>
      <c r="F32" s="1"/>
      <c r="G32" s="1"/>
      <c r="H32" s="197">
        <f>H29-H31</f>
        <v>230145</v>
      </c>
      <c r="I32" s="1"/>
      <c r="J32" s="193">
        <f>INPUT!D81</f>
        <v>-0.62</v>
      </c>
      <c r="K32" s="1"/>
      <c r="L32" s="3">
        <f>ROUND(+H32*J32,0)</f>
        <v>-142690</v>
      </c>
      <c r="M32" s="1"/>
      <c r="N32" s="175">
        <f>ROUND((+L32/$L$65)*100,1)</f>
        <v>-0.3</v>
      </c>
      <c r="O32" s="1"/>
      <c r="P32" s="3"/>
      <c r="Q32" s="3"/>
      <c r="R32" s="3">
        <f>L32+P32</f>
        <v>-142690</v>
      </c>
      <c r="S32" s="123"/>
      <c r="V32" s="252"/>
      <c r="Y32" s="210"/>
      <c r="Z32" s="213"/>
      <c r="AA32" s="210"/>
      <c r="AB32" s="210"/>
      <c r="AC32" s="210"/>
      <c r="AD32" s="210"/>
      <c r="AE32" s="210"/>
      <c r="AF32" s="210"/>
      <c r="AI32" s="210"/>
      <c r="AJ32" s="210"/>
      <c r="AK32" s="214"/>
      <c r="AL32" s="210"/>
    </row>
    <row r="33" spans="1:38" ht="20.100000000000001" customHeight="1" x14ac:dyDescent="0.3">
      <c r="A33" s="41">
        <v>14</v>
      </c>
      <c r="C33" s="132" t="s">
        <v>66</v>
      </c>
      <c r="F33" s="3"/>
      <c r="G33" s="1"/>
      <c r="H33" s="145">
        <f>SUM(H31:H32)</f>
        <v>345603</v>
      </c>
      <c r="I33" s="1"/>
      <c r="J33" s="7"/>
      <c r="K33" s="1"/>
      <c r="L33" s="145">
        <f>L29+L31+L32</f>
        <v>7434194</v>
      </c>
      <c r="M33" s="1"/>
      <c r="N33" s="180">
        <f>ROUND((+L33/$L$65)*100,1)</f>
        <v>14.9</v>
      </c>
      <c r="O33" s="1"/>
      <c r="P33" s="145"/>
      <c r="Q33" s="3"/>
      <c r="R33" s="145">
        <f>R29+R31+R32</f>
        <v>7434194</v>
      </c>
      <c r="S33" s="123"/>
      <c r="AA33" s="123"/>
      <c r="AB33" s="123"/>
      <c r="AC33" s="123"/>
      <c r="AD33" s="123"/>
      <c r="AI33" s="123"/>
      <c r="AJ33" s="123"/>
      <c r="AL33" s="123"/>
    </row>
    <row r="34" spans="1:38" x14ac:dyDescent="0.3">
      <c r="A34" s="41">
        <v>15</v>
      </c>
      <c r="C34" s="178" t="s">
        <v>374</v>
      </c>
      <c r="F34" s="3"/>
      <c r="G34" s="1"/>
      <c r="H34" s="3"/>
      <c r="I34" s="1"/>
      <c r="J34" s="7"/>
      <c r="K34" s="1"/>
      <c r="L34" s="3"/>
      <c r="M34" s="1"/>
      <c r="N34" s="175"/>
      <c r="O34" s="1"/>
      <c r="P34" s="3"/>
      <c r="Q34" s="3"/>
      <c r="R34" s="3"/>
      <c r="Y34" s="42"/>
    </row>
    <row r="35" spans="1:38" x14ac:dyDescent="0.3">
      <c r="A35" s="41">
        <v>16</v>
      </c>
      <c r="C35" s="42" t="s">
        <v>386</v>
      </c>
      <c r="F35" s="3"/>
      <c r="G35" s="1"/>
      <c r="H35" s="123">
        <v>47977504</v>
      </c>
      <c r="I35" s="1"/>
      <c r="J35" s="198">
        <f>INPUT!D72</f>
        <v>6.2944E-2</v>
      </c>
      <c r="K35" s="1"/>
      <c r="L35" s="3">
        <f>ROUND((+H35*J35),0)-P35</f>
        <v>3019896</v>
      </c>
      <c r="M35" s="1"/>
      <c r="N35" s="4">
        <f>ROUND((+L35/$L$65)*100,1)</f>
        <v>6.1</v>
      </c>
      <c r="O35" s="1"/>
      <c r="P35" s="3"/>
      <c r="Q35" s="3"/>
      <c r="R35" s="3">
        <f>L35+P35</f>
        <v>3019896</v>
      </c>
      <c r="Y35" s="42"/>
    </row>
    <row r="36" spans="1:38" x14ac:dyDescent="0.3">
      <c r="A36" s="41">
        <v>17</v>
      </c>
      <c r="C36" s="42" t="s">
        <v>387</v>
      </c>
      <c r="F36" s="49"/>
      <c r="G36" s="1"/>
      <c r="H36" s="197">
        <v>122342951</v>
      </c>
      <c r="I36" s="1"/>
      <c r="J36" s="198">
        <f>INPUT!D74</f>
        <v>5.3392000000000002E-2</v>
      </c>
      <c r="K36" s="1"/>
      <c r="L36" s="49">
        <f>ROUND((+H36*J36),0)-P36</f>
        <v>6532135</v>
      </c>
      <c r="M36" s="1"/>
      <c r="N36" s="253">
        <f>ROUND((+L36/$L$65)*100,1)</f>
        <v>13.1</v>
      </c>
      <c r="O36" s="1"/>
      <c r="P36" s="49"/>
      <c r="Q36" s="3"/>
      <c r="R36" s="49">
        <f>L36+P36</f>
        <v>6532135</v>
      </c>
    </row>
    <row r="37" spans="1:38" ht="24.75" customHeight="1" x14ac:dyDescent="0.3">
      <c r="A37" s="41">
        <v>18</v>
      </c>
      <c r="C37" s="132" t="s">
        <v>56</v>
      </c>
      <c r="F37" s="145">
        <f>F24</f>
        <v>131</v>
      </c>
      <c r="G37" s="1"/>
      <c r="H37" s="145">
        <f>H35+H36</f>
        <v>170320455</v>
      </c>
      <c r="I37" s="1"/>
      <c r="J37" s="183"/>
      <c r="K37" s="1"/>
      <c r="L37" s="145">
        <f>L24+L33+L35+L36</f>
        <v>17006530</v>
      </c>
      <c r="M37" s="1"/>
      <c r="N37" s="211">
        <f>ROUND((+L37/$L$65)*100,1)</f>
        <v>34.1</v>
      </c>
      <c r="O37" s="1"/>
      <c r="P37" s="145"/>
      <c r="Q37" s="1"/>
      <c r="R37" s="145">
        <f>R24+R33+R35+R36</f>
        <v>17006530</v>
      </c>
      <c r="AK37" s="206"/>
      <c r="AL37" s="42"/>
    </row>
    <row r="38" spans="1:38" x14ac:dyDescent="0.3">
      <c r="C38" s="42"/>
      <c r="F38" s="3"/>
      <c r="G38" s="1"/>
      <c r="H38" s="3"/>
      <c r="I38" s="1"/>
      <c r="J38" s="183"/>
      <c r="K38" s="1"/>
      <c r="L38" s="3"/>
      <c r="M38" s="1"/>
      <c r="N38" s="175"/>
      <c r="O38" s="1"/>
      <c r="P38" s="3"/>
      <c r="Q38" s="1"/>
      <c r="R38" s="3"/>
      <c r="AK38" s="206"/>
      <c r="AL38" s="42"/>
    </row>
    <row r="39" spans="1:38" x14ac:dyDescent="0.3">
      <c r="A39" s="41">
        <v>19</v>
      </c>
      <c r="C39" s="132" t="s">
        <v>57</v>
      </c>
      <c r="F39" s="159"/>
      <c r="G39" s="1"/>
      <c r="H39" s="254">
        <f>185857814-185857934</f>
        <v>-120</v>
      </c>
      <c r="I39" s="1"/>
      <c r="J39" s="183"/>
      <c r="K39" s="1"/>
      <c r="L39" s="3"/>
      <c r="M39" s="1"/>
      <c r="N39" s="175"/>
      <c r="O39" s="1"/>
      <c r="P39" s="3"/>
      <c r="Q39" s="1"/>
      <c r="R39" s="3"/>
    </row>
    <row r="40" spans="1:38" x14ac:dyDescent="0.3">
      <c r="A40" s="41">
        <v>20</v>
      </c>
      <c r="C40" s="132" t="s">
        <v>134</v>
      </c>
      <c r="F40" s="1"/>
      <c r="G40" s="1"/>
      <c r="H40" s="1"/>
      <c r="I40" s="1"/>
      <c r="J40" s="1"/>
      <c r="K40" s="1"/>
      <c r="L40" s="1"/>
      <c r="M40" s="1"/>
      <c r="N40" s="175"/>
      <c r="O40" s="1"/>
      <c r="P40" s="1"/>
      <c r="Q40" s="255"/>
      <c r="R40" s="1"/>
    </row>
    <row r="41" spans="1:38" x14ac:dyDescent="0.3">
      <c r="A41" s="41">
        <v>21</v>
      </c>
      <c r="C41" s="42" t="s">
        <v>145</v>
      </c>
      <c r="F41" s="184">
        <v>264</v>
      </c>
      <c r="G41" s="1"/>
      <c r="H41" s="159"/>
      <c r="I41" s="1"/>
      <c r="J41" s="194">
        <f>J23</f>
        <v>155</v>
      </c>
      <c r="K41" s="1"/>
      <c r="L41" s="3">
        <f>ROUND(+F41*J41,0)</f>
        <v>40920</v>
      </c>
      <c r="M41" s="1"/>
      <c r="N41" s="177">
        <f>ROUND((+L41/$L$65)*100,1)</f>
        <v>0.1</v>
      </c>
      <c r="O41" s="1"/>
      <c r="P41" s="3"/>
      <c r="Q41" s="2"/>
      <c r="R41" s="3">
        <f>L41+P41</f>
        <v>40920</v>
      </c>
    </row>
    <row r="42" spans="1:38" ht="20.100000000000001" customHeight="1" x14ac:dyDescent="0.3">
      <c r="A42" s="41">
        <v>22</v>
      </c>
      <c r="C42" s="132" t="s">
        <v>137</v>
      </c>
      <c r="F42" s="145">
        <f>SUM(F41:F41)</f>
        <v>264</v>
      </c>
      <c r="G42" s="1"/>
      <c r="H42" s="3"/>
      <c r="I42" s="1"/>
      <c r="J42" s="183"/>
      <c r="K42" s="1"/>
      <c r="L42" s="145">
        <f>SUM(L41:L41)</f>
        <v>40920</v>
      </c>
      <c r="M42" s="1"/>
      <c r="N42" s="180">
        <f>ROUND((+L42/$L$65)*100,1)</f>
        <v>0.1</v>
      </c>
      <c r="O42" s="1"/>
      <c r="P42" s="145"/>
      <c r="Q42" s="2"/>
      <c r="R42" s="145">
        <f>SUM(R41:R41)</f>
        <v>40920</v>
      </c>
    </row>
    <row r="43" spans="1:38" x14ac:dyDescent="0.3">
      <c r="A43" s="41">
        <v>23</v>
      </c>
      <c r="C43" s="132" t="s">
        <v>63</v>
      </c>
      <c r="F43" s="159"/>
      <c r="G43" s="1"/>
      <c r="H43" s="159"/>
      <c r="I43" s="1"/>
      <c r="J43" s="248"/>
      <c r="K43" s="1"/>
      <c r="L43" s="3"/>
      <c r="M43" s="1"/>
      <c r="N43" s="175"/>
      <c r="O43" s="1"/>
      <c r="P43" s="3"/>
      <c r="Q43" s="255"/>
      <c r="R43" s="3"/>
    </row>
    <row r="44" spans="1:38" x14ac:dyDescent="0.3">
      <c r="A44" s="41">
        <v>24</v>
      </c>
      <c r="C44" s="42" t="s">
        <v>64</v>
      </c>
      <c r="F44" s="159"/>
      <c r="G44" s="1"/>
      <c r="H44" s="184">
        <v>611457</v>
      </c>
      <c r="I44" s="1"/>
      <c r="J44" s="193">
        <f>INPUT!D78</f>
        <v>14.88</v>
      </c>
      <c r="K44" s="1"/>
      <c r="L44" s="3">
        <f>ROUND(+H44*J44,0)</f>
        <v>9098480</v>
      </c>
      <c r="M44" s="1"/>
      <c r="N44" s="175">
        <f>ROUND((+L44/$L$65)*100,1)</f>
        <v>18.2</v>
      </c>
      <c r="O44" s="1"/>
      <c r="P44" s="3"/>
      <c r="Q44" s="2"/>
      <c r="R44" s="3">
        <f>L44+P44</f>
        <v>9098480</v>
      </c>
    </row>
    <row r="45" spans="1:38" x14ac:dyDescent="0.3">
      <c r="A45" s="41">
        <v>25</v>
      </c>
      <c r="C45" s="42" t="s">
        <v>65</v>
      </c>
      <c r="F45" s="159"/>
      <c r="G45" s="1"/>
      <c r="H45" s="184">
        <v>14975</v>
      </c>
      <c r="I45" s="1"/>
      <c r="J45" s="193">
        <f>INPUT!D79</f>
        <v>1.41</v>
      </c>
      <c r="K45" s="1"/>
      <c r="L45" s="3">
        <f>ROUND(+H45*J45,0)</f>
        <v>21115</v>
      </c>
      <c r="M45" s="1"/>
      <c r="N45" s="175">
        <f>ROUND((+L45/$L$65)*100,1)</f>
        <v>0</v>
      </c>
      <c r="O45" s="1"/>
      <c r="P45" s="3"/>
      <c r="Q45" s="1"/>
      <c r="R45" s="3">
        <f>L45+P45</f>
        <v>21115</v>
      </c>
    </row>
    <row r="46" spans="1:38" x14ac:dyDescent="0.3">
      <c r="A46" s="41">
        <v>26</v>
      </c>
      <c r="C46" s="42" t="s">
        <v>976</v>
      </c>
      <c r="F46" s="159"/>
      <c r="G46" s="1"/>
      <c r="H46" s="184">
        <f>H44+H45</f>
        <v>626432</v>
      </c>
      <c r="I46" s="1"/>
      <c r="J46" s="193">
        <f>INPUT!$D$82</f>
        <v>6.77</v>
      </c>
      <c r="K46" s="1"/>
      <c r="L46" s="3">
        <f>ROUND(+H46*J46,0)</f>
        <v>4240945</v>
      </c>
      <c r="M46" s="1"/>
      <c r="N46" s="177">
        <f>ROUND((+L46/$L$65)*100,1)</f>
        <v>8.5</v>
      </c>
      <c r="O46" s="1"/>
      <c r="P46" s="3"/>
      <c r="Q46" s="1"/>
      <c r="R46" s="3">
        <f>L46+P46</f>
        <v>4240945</v>
      </c>
    </row>
    <row r="47" spans="1:38" ht="20.100000000000001" customHeight="1" x14ac:dyDescent="0.3">
      <c r="A47" s="41">
        <v>27</v>
      </c>
      <c r="C47" s="132" t="s">
        <v>146</v>
      </c>
      <c r="F47" s="3"/>
      <c r="G47" s="1"/>
      <c r="H47" s="145">
        <f>SUM(H44:H45)</f>
        <v>626432</v>
      </c>
      <c r="I47" s="1"/>
      <c r="J47" s="183"/>
      <c r="K47" s="1"/>
      <c r="L47" s="145">
        <f>SUM(L44:L46)</f>
        <v>13360540</v>
      </c>
      <c r="M47" s="1"/>
      <c r="N47" s="180">
        <f>ROUND((+L47/$L$65)*100,1)+0.1</f>
        <v>26.900000000000002</v>
      </c>
      <c r="O47" s="1"/>
      <c r="P47" s="145"/>
      <c r="Q47" s="1"/>
      <c r="R47" s="145">
        <f>SUM(R44:R46)</f>
        <v>13360540</v>
      </c>
    </row>
    <row r="48" spans="1:38" x14ac:dyDescent="0.3">
      <c r="A48" s="41">
        <v>28</v>
      </c>
      <c r="C48" s="132" t="s">
        <v>147</v>
      </c>
      <c r="F48" s="3"/>
      <c r="G48" s="1"/>
      <c r="H48" s="3"/>
      <c r="I48" s="1"/>
      <c r="J48" s="183"/>
      <c r="K48" s="1"/>
      <c r="L48" s="3"/>
      <c r="M48" s="1"/>
      <c r="N48" s="175"/>
      <c r="O48" s="1"/>
      <c r="P48" s="3"/>
      <c r="Q48" s="1"/>
      <c r="R48" s="3"/>
    </row>
    <row r="49" spans="1:18" x14ac:dyDescent="0.3">
      <c r="A49" s="41">
        <v>29</v>
      </c>
      <c r="C49" s="192" t="s">
        <v>148</v>
      </c>
      <c r="F49" s="3"/>
      <c r="G49" s="1"/>
      <c r="H49" s="184">
        <v>235583</v>
      </c>
      <c r="I49" s="1"/>
      <c r="J49" s="194">
        <f>J31</f>
        <v>-0.8</v>
      </c>
      <c r="K49" s="1"/>
      <c r="L49" s="3">
        <f>ROUND(+H49*J49,0)</f>
        <v>-188466</v>
      </c>
      <c r="M49" s="1"/>
      <c r="N49" s="175">
        <f>ROUND((+L49/$L$65)*100,1)</f>
        <v>-0.4</v>
      </c>
      <c r="O49" s="1"/>
      <c r="P49" s="3"/>
      <c r="Q49" s="1"/>
      <c r="R49" s="3">
        <f>L49+P49</f>
        <v>-188466</v>
      </c>
    </row>
    <row r="50" spans="1:18" x14ac:dyDescent="0.3">
      <c r="A50" s="41">
        <v>30</v>
      </c>
      <c r="C50" s="192" t="s">
        <v>149</v>
      </c>
      <c r="F50" s="1"/>
      <c r="G50" s="1"/>
      <c r="H50" s="197">
        <f>H47-H49</f>
        <v>390849</v>
      </c>
      <c r="I50" s="1"/>
      <c r="J50" s="194">
        <f>J32</f>
        <v>-0.62</v>
      </c>
      <c r="K50" s="1"/>
      <c r="L50" s="3">
        <f>ROUND(+H50*J50,0)</f>
        <v>-242326</v>
      </c>
      <c r="M50" s="1"/>
      <c r="N50" s="177">
        <f>ROUND((+L50/$L$65)*100,1)</f>
        <v>-0.5</v>
      </c>
      <c r="O50" s="1"/>
      <c r="P50" s="3"/>
      <c r="Q50" s="256"/>
      <c r="R50" s="3">
        <f>L50+P50</f>
        <v>-242326</v>
      </c>
    </row>
    <row r="51" spans="1:18" ht="20.100000000000001" customHeight="1" x14ac:dyDescent="0.3">
      <c r="A51" s="41">
        <v>31</v>
      </c>
      <c r="C51" s="132" t="s">
        <v>66</v>
      </c>
      <c r="F51" s="3"/>
      <c r="G51" s="1"/>
      <c r="H51" s="145">
        <f>SUM(H49:H50)</f>
        <v>626432</v>
      </c>
      <c r="I51" s="1"/>
      <c r="J51" s="7"/>
      <c r="K51" s="1"/>
      <c r="L51" s="145">
        <f>L47+L49+L50</f>
        <v>12929748</v>
      </c>
      <c r="M51" s="1"/>
      <c r="N51" s="180">
        <f>ROUND((+L51/$L$65)*100,1)</f>
        <v>25.9</v>
      </c>
      <c r="O51" s="1"/>
      <c r="P51" s="145"/>
      <c r="Q51" s="256"/>
      <c r="R51" s="145">
        <f>R47+R49+R50</f>
        <v>12929748</v>
      </c>
    </row>
    <row r="52" spans="1:18" x14ac:dyDescent="0.3">
      <c r="A52" s="41">
        <v>32</v>
      </c>
      <c r="C52" s="178" t="s">
        <v>374</v>
      </c>
      <c r="F52" s="3"/>
      <c r="G52" s="1"/>
      <c r="H52" s="3"/>
      <c r="I52" s="1"/>
      <c r="J52" s="7"/>
      <c r="K52" s="1"/>
      <c r="L52" s="3"/>
      <c r="M52" s="1"/>
      <c r="N52" s="175"/>
      <c r="O52" s="1"/>
      <c r="P52" s="3"/>
      <c r="Q52" s="3"/>
      <c r="R52" s="3"/>
    </row>
    <row r="53" spans="1:18" x14ac:dyDescent="0.3">
      <c r="A53" s="41">
        <v>33</v>
      </c>
      <c r="C53" s="42" t="s">
        <v>386</v>
      </c>
      <c r="F53" s="3"/>
      <c r="G53" s="1"/>
      <c r="H53" s="123">
        <v>83597903</v>
      </c>
      <c r="I53" s="1"/>
      <c r="J53" s="205">
        <f>INPUT!D73</f>
        <v>6.0547999999999998E-2</v>
      </c>
      <c r="K53" s="1"/>
      <c r="L53" s="3">
        <f>ROUND((+H53*J53),0)-P53</f>
        <v>5061686</v>
      </c>
      <c r="M53" s="1"/>
      <c r="N53" s="4">
        <f>ROUND((+L53/$L$65)*100,1)</f>
        <v>10.1</v>
      </c>
      <c r="O53" s="1"/>
      <c r="P53" s="3"/>
      <c r="Q53" s="3"/>
      <c r="R53" s="3">
        <f>L53+P53</f>
        <v>5061686</v>
      </c>
    </row>
    <row r="54" spans="1:18" x14ac:dyDescent="0.3">
      <c r="A54" s="41">
        <v>34</v>
      </c>
      <c r="C54" s="42" t="s">
        <v>387</v>
      </c>
      <c r="F54" s="196"/>
      <c r="G54" s="1"/>
      <c r="H54" s="197">
        <v>221049082</v>
      </c>
      <c r="I54" s="1"/>
      <c r="J54" s="257">
        <f>J36</f>
        <v>5.3392000000000002E-2</v>
      </c>
      <c r="K54" s="1"/>
      <c r="L54" s="49">
        <f>ROUND((+H54*J54),0)-P54</f>
        <v>11802253</v>
      </c>
      <c r="M54" s="1"/>
      <c r="N54" s="253">
        <f>ROUND((+L54/$L$65)*100,1)-0.1</f>
        <v>23.599999999999998</v>
      </c>
      <c r="O54" s="1"/>
      <c r="P54" s="49"/>
      <c r="Q54" s="3"/>
      <c r="R54" s="49">
        <f>L54+P54</f>
        <v>11802253</v>
      </c>
    </row>
    <row r="55" spans="1:18" ht="21.75" customHeight="1" x14ac:dyDescent="0.3">
      <c r="A55" s="41">
        <v>35</v>
      </c>
      <c r="C55" s="132" t="s">
        <v>58</v>
      </c>
      <c r="F55" s="145">
        <f>F42</f>
        <v>264</v>
      </c>
      <c r="G55" s="1"/>
      <c r="H55" s="145">
        <f>H53+H54</f>
        <v>304646985</v>
      </c>
      <c r="I55" s="1"/>
      <c r="J55" s="257"/>
      <c r="K55" s="1"/>
      <c r="L55" s="145">
        <f>L42+L51+L53+L54</f>
        <v>29834607</v>
      </c>
      <c r="M55" s="1"/>
      <c r="N55" s="211">
        <f>ROUND((+L55/$L$65)*100,1)</f>
        <v>59.8</v>
      </c>
      <c r="O55" s="1"/>
      <c r="P55" s="145"/>
      <c r="Q55" s="1"/>
      <c r="R55" s="145">
        <f>R42+R51+R53+R54</f>
        <v>29834607</v>
      </c>
    </row>
    <row r="56" spans="1:18" ht="20.100000000000001" customHeight="1" x14ac:dyDescent="0.3">
      <c r="A56" s="41">
        <v>36</v>
      </c>
      <c r="C56" s="178" t="s">
        <v>441</v>
      </c>
      <c r="F56" s="49">
        <f>F37+F55</f>
        <v>395</v>
      </c>
      <c r="G56" s="1"/>
      <c r="H56" s="49">
        <f>H37+H55</f>
        <v>474967440</v>
      </c>
      <c r="I56" s="1"/>
      <c r="J56" s="257"/>
      <c r="K56" s="1"/>
      <c r="L56" s="145">
        <f>L37+L55</f>
        <v>46841137</v>
      </c>
      <c r="M56" s="1"/>
      <c r="N56" s="211">
        <f>ROUND((+L56/$L$65)*100,1)</f>
        <v>93.9</v>
      </c>
      <c r="O56" s="1"/>
      <c r="P56" s="145"/>
      <c r="Q56" s="256"/>
      <c r="R56" s="145">
        <f>L56+P56</f>
        <v>46841137</v>
      </c>
    </row>
    <row r="57" spans="1:18" x14ac:dyDescent="0.3">
      <c r="C57" s="42"/>
      <c r="F57" s="3"/>
      <c r="G57" s="1"/>
      <c r="H57" s="3"/>
      <c r="I57" s="1"/>
      <c r="J57" s="257"/>
      <c r="K57" s="1"/>
      <c r="L57" s="3"/>
      <c r="M57" s="1"/>
      <c r="N57" s="175"/>
      <c r="O57" s="1"/>
      <c r="P57" s="3"/>
      <c r="Q57" s="256"/>
      <c r="R57" s="3"/>
    </row>
    <row r="58" spans="1:18" x14ac:dyDescent="0.3">
      <c r="A58" s="41">
        <v>37</v>
      </c>
      <c r="C58" s="132" t="s">
        <v>432</v>
      </c>
      <c r="F58" s="3"/>
      <c r="G58" s="1"/>
      <c r="H58" s="3"/>
      <c r="I58" s="1"/>
      <c r="J58" s="257"/>
      <c r="K58" s="1"/>
      <c r="L58" s="3"/>
      <c r="M58" s="1"/>
      <c r="N58" s="175"/>
      <c r="O58" s="1"/>
      <c r="P58" s="3"/>
      <c r="Q58" s="256"/>
      <c r="R58" s="3"/>
    </row>
    <row r="59" spans="1:18" x14ac:dyDescent="0.3">
      <c r="A59" s="41">
        <v>38</v>
      </c>
      <c r="C59" s="192" t="str">
        <f>DSMR_Name</f>
        <v>DEMAND SIDE MANAGEMENT RIDER (DSMR)</v>
      </c>
      <c r="F59" s="3"/>
      <c r="G59" s="1"/>
      <c r="H59" s="3"/>
      <c r="I59" s="1"/>
      <c r="J59" s="217">
        <f>PRO_DSM_DIST</f>
        <v>3.503E-3</v>
      </c>
      <c r="K59" s="1"/>
      <c r="L59" s="3">
        <f>ROUND($H$56*J59,0)</f>
        <v>1663811</v>
      </c>
      <c r="M59" s="1"/>
      <c r="N59" s="175">
        <f>ROUND((+L59/$L$65)*100,1)</f>
        <v>3.3</v>
      </c>
      <c r="O59" s="1"/>
      <c r="P59" s="3"/>
      <c r="Q59" s="256"/>
      <c r="R59" s="3">
        <f>L59+P59</f>
        <v>1663811</v>
      </c>
    </row>
    <row r="60" spans="1:18" x14ac:dyDescent="0.3">
      <c r="A60" s="41">
        <v>39</v>
      </c>
      <c r="C60" s="192" t="str">
        <f>ESM_Name</f>
        <v>ENVIRONMENTAL SURCHARGE MECHANISM RIDER (ESM)</v>
      </c>
      <c r="F60" s="3"/>
      <c r="G60" s="1"/>
      <c r="H60" s="3"/>
      <c r="I60" s="1"/>
      <c r="J60" s="201">
        <f>PRO_ESM_NONRES</f>
        <v>5.7995821086186533E-3</v>
      </c>
      <c r="K60" s="1"/>
      <c r="L60" s="3">
        <f>ROUND((R56-(PRO_BASE_FUEL*H56)+R59+R62)*J60,0)</f>
        <v>195075</v>
      </c>
      <c r="M60" s="1"/>
      <c r="N60" s="175">
        <f>ROUND((+L60/$L$65)*100,1)</f>
        <v>0.4</v>
      </c>
      <c r="O60" s="1"/>
      <c r="P60" s="3"/>
      <c r="Q60" s="256"/>
      <c r="R60" s="3">
        <f>L60+P60</f>
        <v>195075</v>
      </c>
    </row>
    <row r="61" spans="1:18" x14ac:dyDescent="0.3">
      <c r="A61" s="41">
        <v>40</v>
      </c>
      <c r="C61" s="192" t="str">
        <f>FAC_Name</f>
        <v>FUEL ADJUSTMENT CLAUSE (FAC)</v>
      </c>
      <c r="F61" s="3"/>
      <c r="G61" s="1"/>
      <c r="H61" s="3"/>
      <c r="I61" s="1"/>
      <c r="J61" s="217">
        <f>PRO_FAC</f>
        <v>3.4872127999999998E-3</v>
      </c>
      <c r="K61" s="1"/>
      <c r="L61" s="3"/>
      <c r="M61" s="1"/>
      <c r="N61" s="175"/>
      <c r="O61" s="1"/>
      <c r="P61" s="3">
        <f>ROUND(H56*PRO_FAC,0)</f>
        <v>1656313</v>
      </c>
      <c r="Q61" s="256"/>
      <c r="R61" s="3">
        <f>L61+P61</f>
        <v>1656313</v>
      </c>
    </row>
    <row r="62" spans="1:18" x14ac:dyDescent="0.3">
      <c r="A62" s="41">
        <v>41</v>
      </c>
      <c r="C62" s="192" t="str">
        <f>PSM_Name</f>
        <v>PROFIT SHARING MECHANISM (PSM)</v>
      </c>
      <c r="F62" s="3"/>
      <c r="G62" s="1"/>
      <c r="H62" s="3"/>
      <c r="I62" s="1"/>
      <c r="J62" s="217">
        <f>PRO_PSM</f>
        <v>2.4750000000000002E-3</v>
      </c>
      <c r="K62" s="1"/>
      <c r="L62" s="49">
        <f>ROUND(H56*PRO_PSM,0)</f>
        <v>1175544</v>
      </c>
      <c r="M62" s="1"/>
      <c r="N62" s="177">
        <f>ROUND((+L62/$L$65)*100,1)</f>
        <v>2.4</v>
      </c>
      <c r="O62" s="1"/>
      <c r="P62" s="49"/>
      <c r="Q62" s="256"/>
      <c r="R62" s="3">
        <f>L62+P62</f>
        <v>1175544</v>
      </c>
    </row>
    <row r="63" spans="1:18" ht="20.100000000000001" customHeight="1" x14ac:dyDescent="0.3">
      <c r="A63" s="41">
        <v>42</v>
      </c>
      <c r="C63" s="132" t="s">
        <v>437</v>
      </c>
      <c r="F63" s="49"/>
      <c r="G63" s="1"/>
      <c r="H63" s="49"/>
      <c r="I63" s="1"/>
      <c r="J63" s="183"/>
      <c r="K63" s="1"/>
      <c r="L63" s="145">
        <f>SUM(L59:L62)</f>
        <v>3034430</v>
      </c>
      <c r="M63" s="1"/>
      <c r="N63" s="180">
        <f>ROUND((+L63/$L$65)*100,1)</f>
        <v>6.1</v>
      </c>
      <c r="O63" s="1"/>
      <c r="P63" s="145">
        <f>SUM(P59:P62)</f>
        <v>1656313</v>
      </c>
      <c r="Q63" s="256"/>
      <c r="R63" s="145">
        <f>SUM(R59:R62)</f>
        <v>4690743</v>
      </c>
    </row>
    <row r="64" spans="1:18" x14ac:dyDescent="0.3">
      <c r="C64" s="42"/>
      <c r="F64" s="3"/>
      <c r="G64" s="1"/>
      <c r="H64" s="3"/>
      <c r="I64" s="1"/>
      <c r="J64" s="183"/>
      <c r="K64" s="1"/>
      <c r="L64" s="3"/>
      <c r="M64" s="1"/>
      <c r="N64" s="175"/>
      <c r="O64" s="1"/>
      <c r="P64" s="3"/>
      <c r="Q64" s="256"/>
      <c r="R64" s="3"/>
    </row>
    <row r="65" spans="1:43" ht="20.100000000000001" customHeight="1" thickBot="1" x14ac:dyDescent="0.35">
      <c r="A65" s="41">
        <v>43</v>
      </c>
      <c r="C65" s="178" t="s">
        <v>442</v>
      </c>
      <c r="F65" s="151">
        <f>F56</f>
        <v>395</v>
      </c>
      <c r="G65" s="1"/>
      <c r="H65" s="151">
        <f>H56</f>
        <v>474967440</v>
      </c>
      <c r="I65" s="1"/>
      <c r="J65" s="1"/>
      <c r="K65" s="1"/>
      <c r="L65" s="151">
        <f>L56+L63</f>
        <v>49875567</v>
      </c>
      <c r="M65" s="1"/>
      <c r="N65" s="187">
        <v>100</v>
      </c>
      <c r="O65" s="1"/>
      <c r="P65" s="151">
        <f>P56+P63</f>
        <v>1656313</v>
      </c>
      <c r="Q65" s="159"/>
      <c r="R65" s="151">
        <f>R56+R63</f>
        <v>51531880</v>
      </c>
    </row>
    <row r="66" spans="1:43" ht="16.2" thickTop="1" x14ac:dyDescent="0.3">
      <c r="F66" s="1"/>
      <c r="G66" s="1"/>
      <c r="H66" s="1"/>
      <c r="I66" s="1"/>
      <c r="J66" s="1"/>
      <c r="K66" s="1"/>
      <c r="L66" s="1"/>
      <c r="M66" s="1"/>
      <c r="N66" s="175"/>
      <c r="O66" s="1"/>
      <c r="P66" s="1"/>
      <c r="Q66" s="256"/>
      <c r="R66" s="1"/>
    </row>
    <row r="67" spans="1:43" x14ac:dyDescent="0.3">
      <c r="C67" s="202" t="s">
        <v>59</v>
      </c>
      <c r="L67" s="123"/>
      <c r="N67" s="165"/>
      <c r="P67" s="123"/>
      <c r="Q67" s="123"/>
      <c r="R67" s="123"/>
    </row>
    <row r="68" spans="1:43" x14ac:dyDescent="0.3">
      <c r="C68" s="202" t="str">
        <f>"(2) REFLECTS FUEL COMPONENT OF "&amp;TEXT(PRO_FAC,"$0.000000;($0.000000)")&amp;"  PER KWH."</f>
        <v>(2) REFLECTS FUEL COMPONENT OF $0.003487  PER KWH.</v>
      </c>
      <c r="L68" s="123"/>
      <c r="N68" s="165"/>
      <c r="P68" s="123"/>
      <c r="Q68" s="123"/>
      <c r="R68" s="123"/>
    </row>
    <row r="69" spans="1:43" x14ac:dyDescent="0.3">
      <c r="C69" s="202" t="str">
        <f>"(3) REFLECTS FUEL COST RECOVERY INCLUDED IN BASE RATES OF "&amp;TEXT(PRO_BASE_FUEL,"$0.000000;($0.000000)")&amp;"  PER KWH."</f>
        <v>(3) REFLECTS FUEL COST RECOVERY INCLUDED IN BASE RATES OF $0.033780  PER KWH.</v>
      </c>
      <c r="F69" s="210"/>
      <c r="H69" s="210"/>
      <c r="J69" s="210"/>
      <c r="L69" s="213"/>
      <c r="N69" s="233"/>
      <c r="P69" s="210"/>
      <c r="Q69" s="210"/>
      <c r="R69" s="210"/>
    </row>
    <row r="70" spans="1:43" x14ac:dyDescent="0.3">
      <c r="F70" s="123"/>
      <c r="H70" s="123"/>
      <c r="J70" s="123"/>
      <c r="L70" s="219"/>
      <c r="N70" s="165"/>
      <c r="P70" s="123"/>
      <c r="Q70" s="123"/>
      <c r="R70" s="123"/>
    </row>
    <row r="71" spans="1:43" x14ac:dyDescent="0.3">
      <c r="C71" s="42"/>
      <c r="F71" s="123"/>
      <c r="H71" s="123"/>
      <c r="J71" s="123"/>
      <c r="L71" s="219"/>
      <c r="N71" s="219"/>
      <c r="P71" s="123"/>
      <c r="Q71" s="123"/>
      <c r="R71" s="123"/>
    </row>
    <row r="72" spans="1:43" x14ac:dyDescent="0.3">
      <c r="F72" s="123"/>
      <c r="H72" s="123"/>
      <c r="J72" s="123"/>
      <c r="L72" s="219"/>
      <c r="N72" s="219"/>
      <c r="P72" s="123"/>
      <c r="Q72" s="123"/>
      <c r="R72" s="123"/>
    </row>
    <row r="73" spans="1:43" x14ac:dyDescent="0.3">
      <c r="A73" s="42"/>
      <c r="F73" s="123"/>
      <c r="H73" s="123"/>
      <c r="L73" s="219"/>
      <c r="N73" s="219"/>
      <c r="P73" s="123"/>
      <c r="Q73" s="123"/>
      <c r="R73" s="123"/>
      <c r="T73" s="40" t="str">
        <f>NAME</f>
        <v>DUKE ENERGY KENTUCKY, INC.</v>
      </c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166"/>
      <c r="AH73" s="40"/>
      <c r="AI73" s="40"/>
      <c r="AJ73" s="40"/>
      <c r="AK73" s="166"/>
      <c r="AL73" s="40"/>
      <c r="AM73" s="40"/>
      <c r="AN73" s="40"/>
      <c r="AO73" s="40"/>
      <c r="AP73" s="40"/>
      <c r="AQ73" s="166"/>
    </row>
    <row r="74" spans="1:43" x14ac:dyDescent="0.3">
      <c r="A74" s="42"/>
      <c r="F74" s="123"/>
      <c r="H74" s="123"/>
      <c r="J74" s="123"/>
      <c r="L74" s="219"/>
      <c r="N74" s="219"/>
      <c r="P74" s="123"/>
      <c r="Q74" s="123"/>
      <c r="R74" s="123"/>
      <c r="T74" s="40" t="str">
        <f>CASE_NO</f>
        <v>CASE NO.   2024-00354</v>
      </c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166"/>
      <c r="AH74" s="40"/>
      <c r="AI74" s="40"/>
      <c r="AJ74" s="40"/>
      <c r="AK74" s="166"/>
      <c r="AL74" s="40"/>
      <c r="AM74" s="40"/>
      <c r="AN74" s="40"/>
      <c r="AO74" s="40"/>
      <c r="AP74" s="40"/>
      <c r="AQ74" s="166"/>
    </row>
    <row r="75" spans="1:43" x14ac:dyDescent="0.3">
      <c r="F75" s="203"/>
      <c r="T75" s="40" t="str">
        <f>TITLE</f>
        <v>ANNUALIZED TEST YEAR REVENUES AT REHEARING ORDER CALCULATED VS. MOST CURRENT RATES</v>
      </c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166"/>
      <c r="AH75" s="40"/>
      <c r="AI75" s="40"/>
      <c r="AJ75" s="40"/>
      <c r="AK75" s="166"/>
      <c r="AL75" s="40"/>
      <c r="AM75" s="40"/>
      <c r="AN75" s="40"/>
      <c r="AO75" s="40"/>
      <c r="AP75" s="40"/>
      <c r="AQ75" s="166"/>
    </row>
    <row r="76" spans="1:43" x14ac:dyDescent="0.3">
      <c r="T76" s="40" t="str">
        <f>DATE</f>
        <v>FOR THE TWELVE MONTHS ENDED June 30, 2026</v>
      </c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166"/>
      <c r="AH76" s="40"/>
      <c r="AI76" s="40"/>
      <c r="AJ76" s="40"/>
      <c r="AK76" s="166"/>
      <c r="AL76" s="40"/>
      <c r="AM76" s="40"/>
      <c r="AN76" s="40"/>
      <c r="AO76" s="40"/>
      <c r="AP76" s="40"/>
      <c r="AQ76" s="166"/>
    </row>
    <row r="77" spans="1:43" x14ac:dyDescent="0.3">
      <c r="P77" s="123"/>
      <c r="Q77" s="123"/>
      <c r="R77" s="123"/>
      <c r="T77" s="40" t="str">
        <f>SERVICE</f>
        <v>(ELECTRIC SERVICE)</v>
      </c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166"/>
      <c r="AH77" s="40"/>
      <c r="AI77" s="40"/>
      <c r="AJ77" s="40"/>
      <c r="AK77" s="166"/>
      <c r="AL77" s="40"/>
      <c r="AM77" s="40"/>
      <c r="AN77" s="40"/>
      <c r="AO77" s="40"/>
      <c r="AP77" s="40"/>
      <c r="AQ77" s="166"/>
    </row>
    <row r="78" spans="1:43" x14ac:dyDescent="0.3">
      <c r="T78" s="41" t="str">
        <f>DATA_PERIOD</f>
        <v>DATA: ____ BASE PERIOD   __X__FORECASTED PERIOD</v>
      </c>
      <c r="AO78" s="42" t="s">
        <v>158</v>
      </c>
      <c r="AP78" s="42"/>
    </row>
    <row r="79" spans="1:43" x14ac:dyDescent="0.3">
      <c r="T79" s="41" t="str">
        <f>TYPE</f>
        <v>TYPE OF FILING: _X_ ORIGINAL   ___UPDATED  ___ REVISED</v>
      </c>
      <c r="AO79" s="45" t="str">
        <f>"PAGE 4 OF "&amp;TEXT(Page_Num_2.2,"00")</f>
        <v>PAGE 4 OF 24</v>
      </c>
      <c r="AP79" s="42"/>
    </row>
    <row r="80" spans="1:43" x14ac:dyDescent="0.3">
      <c r="H80" s="42"/>
      <c r="J80" s="42"/>
      <c r="T80" s="42" t="s">
        <v>171</v>
      </c>
      <c r="AO80" s="42" t="s">
        <v>3</v>
      </c>
      <c r="AP80" s="42"/>
    </row>
    <row r="81" spans="1:43" x14ac:dyDescent="0.3">
      <c r="T81" s="132" t="str">
        <f>TIME</f>
        <v>12 Months Projected with Riders</v>
      </c>
      <c r="AO81" s="41" t="str">
        <f>WIT</f>
        <v>B. L. Sailers</v>
      </c>
    </row>
    <row r="82" spans="1:43" x14ac:dyDescent="0.3">
      <c r="T82" s="132" t="str">
        <f>INPUT!B5</f>
        <v xml:space="preserve"> </v>
      </c>
    </row>
    <row r="83" spans="1:43" x14ac:dyDescent="0.3">
      <c r="P83" s="42"/>
      <c r="T83" s="40" t="s">
        <v>131</v>
      </c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166"/>
      <c r="AH83" s="40"/>
      <c r="AI83" s="40"/>
      <c r="AJ83" s="40"/>
      <c r="AK83" s="166"/>
      <c r="AL83" s="40"/>
      <c r="AM83" s="40"/>
      <c r="AN83" s="40"/>
      <c r="AO83" s="40"/>
      <c r="AP83" s="40"/>
      <c r="AQ83" s="166"/>
    </row>
    <row r="84" spans="1:43" x14ac:dyDescent="0.3">
      <c r="R84" s="42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167"/>
      <c r="AH84" s="43"/>
      <c r="AI84" s="43"/>
      <c r="AJ84" s="43"/>
      <c r="AK84" s="167"/>
      <c r="AL84" s="43"/>
      <c r="AM84" s="43"/>
      <c r="AN84" s="43"/>
      <c r="AO84" s="43"/>
      <c r="AP84" s="43"/>
      <c r="AQ84" s="167"/>
    </row>
    <row r="85" spans="1:43" ht="18" customHeight="1" x14ac:dyDescent="0.3">
      <c r="R85" s="42"/>
      <c r="AE85" s="44" t="s">
        <v>8</v>
      </c>
      <c r="AF85" s="44"/>
      <c r="AG85" s="168" t="s">
        <v>7</v>
      </c>
      <c r="AH85" s="44"/>
      <c r="AI85" s="44" t="s">
        <v>9</v>
      </c>
      <c r="AJ85" s="44"/>
      <c r="AK85" s="168" t="s">
        <v>10</v>
      </c>
      <c r="AL85" s="44"/>
      <c r="AO85" s="44" t="s">
        <v>8</v>
      </c>
      <c r="AP85" s="44"/>
      <c r="AQ85" s="168" t="s">
        <v>11</v>
      </c>
    </row>
    <row r="86" spans="1:43" x14ac:dyDescent="0.3">
      <c r="A86" s="42"/>
      <c r="R86" s="42"/>
      <c r="AC86" s="44" t="s">
        <v>14</v>
      </c>
      <c r="AD86" s="44"/>
      <c r="AE86" s="44" t="s">
        <v>12</v>
      </c>
      <c r="AF86" s="44"/>
      <c r="AG86" s="168" t="s">
        <v>13</v>
      </c>
      <c r="AH86" s="44"/>
      <c r="AI86" s="44" t="s">
        <v>15</v>
      </c>
      <c r="AJ86" s="44"/>
      <c r="AK86" s="168" t="s">
        <v>16</v>
      </c>
      <c r="AL86" s="44"/>
      <c r="AO86" s="44" t="s">
        <v>11</v>
      </c>
      <c r="AP86" s="44"/>
      <c r="AQ86" s="168" t="s">
        <v>9</v>
      </c>
    </row>
    <row r="87" spans="1:43" x14ac:dyDescent="0.3">
      <c r="O87" s="42"/>
      <c r="T87" s="44" t="s">
        <v>17</v>
      </c>
      <c r="V87" s="44" t="s">
        <v>18</v>
      </c>
      <c r="W87" s="44" t="s">
        <v>19</v>
      </c>
      <c r="X87" s="44"/>
      <c r="Y87" s="44" t="s">
        <v>20</v>
      </c>
      <c r="AC87" s="44" t="s">
        <v>8</v>
      </c>
      <c r="AD87" s="44"/>
      <c r="AE87" s="44" t="s">
        <v>842</v>
      </c>
      <c r="AF87" s="44"/>
      <c r="AG87" s="168" t="s">
        <v>842</v>
      </c>
      <c r="AH87" s="44"/>
      <c r="AI87" s="46" t="s">
        <v>965</v>
      </c>
      <c r="AJ87" s="44"/>
      <c r="AK87" s="169" t="s">
        <v>965</v>
      </c>
      <c r="AL87" s="44"/>
      <c r="AM87" s="44" t="s">
        <v>842</v>
      </c>
      <c r="AN87" s="44"/>
      <c r="AO87" s="44" t="s">
        <v>9</v>
      </c>
      <c r="AP87" s="44"/>
      <c r="AQ87" s="168" t="s">
        <v>21</v>
      </c>
    </row>
    <row r="88" spans="1:43" x14ac:dyDescent="0.3">
      <c r="A88" s="135"/>
      <c r="B88" s="135"/>
      <c r="C88" s="135"/>
      <c r="D88" s="135"/>
      <c r="E88" s="135"/>
      <c r="F88" s="135"/>
      <c r="G88" s="135"/>
      <c r="H88" s="135"/>
      <c r="J88" s="135"/>
      <c r="L88" s="135"/>
      <c r="N88" s="135"/>
      <c r="O88" s="135"/>
      <c r="P88" s="135"/>
      <c r="Q88" s="135"/>
      <c r="R88" s="135"/>
      <c r="T88" s="44" t="s">
        <v>22</v>
      </c>
      <c r="V88" s="44" t="s">
        <v>23</v>
      </c>
      <c r="W88" s="44" t="s">
        <v>24</v>
      </c>
      <c r="X88" s="44"/>
      <c r="Y88" s="44" t="s">
        <v>25</v>
      </c>
      <c r="AA88" s="44" t="s">
        <v>26</v>
      </c>
      <c r="AB88" s="44"/>
      <c r="AC88" s="44" t="s">
        <v>27</v>
      </c>
      <c r="AD88" s="44"/>
      <c r="AE88" s="44" t="s">
        <v>9</v>
      </c>
      <c r="AF88" s="44"/>
      <c r="AG88" s="168" t="s">
        <v>9</v>
      </c>
      <c r="AH88" s="44"/>
      <c r="AI88" s="141" t="s">
        <v>29</v>
      </c>
      <c r="AJ88" s="141"/>
      <c r="AK88" s="170" t="s">
        <v>30</v>
      </c>
      <c r="AL88" s="44"/>
      <c r="AM88" s="44" t="s">
        <v>324</v>
      </c>
      <c r="AN88" s="44"/>
      <c r="AO88" s="141" t="s">
        <v>31</v>
      </c>
      <c r="AP88" s="141"/>
      <c r="AQ88" s="170" t="s">
        <v>32</v>
      </c>
    </row>
    <row r="89" spans="1:43" x14ac:dyDescent="0.3">
      <c r="O89" s="44"/>
      <c r="P89" s="44"/>
      <c r="R89" s="44"/>
      <c r="V89" s="141" t="s">
        <v>33</v>
      </c>
      <c r="W89" s="141" t="s">
        <v>34</v>
      </c>
      <c r="X89" s="141"/>
      <c r="Y89" s="141" t="s">
        <v>35</v>
      </c>
      <c r="Z89" s="153"/>
      <c r="AA89" s="141" t="s">
        <v>36</v>
      </c>
      <c r="AB89" s="141"/>
      <c r="AC89" s="141" t="s">
        <v>42</v>
      </c>
      <c r="AD89" s="141"/>
      <c r="AE89" s="141" t="s">
        <v>43</v>
      </c>
      <c r="AF89" s="141"/>
      <c r="AG89" s="170" t="s">
        <v>44</v>
      </c>
      <c r="AH89" s="141"/>
      <c r="AI89" s="141" t="s">
        <v>45</v>
      </c>
      <c r="AJ89" s="141"/>
      <c r="AK89" s="170" t="s">
        <v>46</v>
      </c>
      <c r="AL89" s="141"/>
      <c r="AM89" s="141" t="s">
        <v>40</v>
      </c>
      <c r="AN89" s="141"/>
      <c r="AO89" s="141" t="s">
        <v>47</v>
      </c>
      <c r="AP89" s="141"/>
      <c r="AQ89" s="170" t="s">
        <v>48</v>
      </c>
    </row>
    <row r="90" spans="1:43" x14ac:dyDescent="0.3">
      <c r="O90" s="44"/>
      <c r="P90" s="44"/>
      <c r="R90" s="44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167"/>
      <c r="AH90" s="43"/>
      <c r="AI90" s="43"/>
      <c r="AJ90" s="43"/>
      <c r="AK90" s="167"/>
      <c r="AL90" s="43"/>
      <c r="AM90" s="43"/>
      <c r="AN90" s="43"/>
      <c r="AO90" s="43"/>
      <c r="AP90" s="43"/>
      <c r="AQ90" s="167"/>
    </row>
    <row r="91" spans="1:43" ht="17.100000000000001" customHeight="1" x14ac:dyDescent="0.3">
      <c r="A91" s="44"/>
      <c r="C91" s="44"/>
      <c r="D91" s="44"/>
      <c r="E91" s="44"/>
      <c r="F91" s="44"/>
      <c r="L91" s="44"/>
      <c r="N91" s="44"/>
      <c r="O91" s="44"/>
      <c r="P91" s="44"/>
      <c r="Q91" s="44"/>
      <c r="R91" s="44"/>
      <c r="AA91" s="172" t="s">
        <v>197</v>
      </c>
      <c r="AB91" s="171"/>
      <c r="AC91" s="172" t="s">
        <v>332</v>
      </c>
      <c r="AD91" s="171"/>
      <c r="AE91" s="171" t="s">
        <v>50</v>
      </c>
      <c r="AF91" s="171"/>
      <c r="AG91" s="173" t="s">
        <v>51</v>
      </c>
      <c r="AH91" s="171"/>
      <c r="AI91" s="171" t="s">
        <v>50</v>
      </c>
      <c r="AJ91" s="171"/>
      <c r="AK91" s="173" t="s">
        <v>51</v>
      </c>
      <c r="AL91" s="171"/>
      <c r="AM91" s="171" t="s">
        <v>50</v>
      </c>
      <c r="AN91" s="171"/>
      <c r="AO91" s="171" t="s">
        <v>50</v>
      </c>
      <c r="AP91" s="171"/>
      <c r="AQ91" s="173" t="s">
        <v>51</v>
      </c>
    </row>
    <row r="92" spans="1:43" x14ac:dyDescent="0.3">
      <c r="A92" s="44"/>
      <c r="C92" s="44"/>
      <c r="D92" s="44"/>
      <c r="E92" s="44"/>
      <c r="F92" s="44"/>
      <c r="H92" s="44"/>
      <c r="J92" s="44"/>
      <c r="L92" s="44"/>
      <c r="N92" s="44"/>
      <c r="O92" s="44"/>
      <c r="P92" s="44"/>
      <c r="Q92" s="44"/>
      <c r="R92" s="44"/>
      <c r="T92" s="41">
        <v>1</v>
      </c>
      <c r="V92" s="132" t="s">
        <v>381</v>
      </c>
      <c r="W92" s="132" t="s">
        <v>378</v>
      </c>
      <c r="X92" s="42"/>
      <c r="Y92" s="1"/>
      <c r="Z92" s="1"/>
      <c r="AA92" s="208"/>
      <c r="AB92" s="208"/>
      <c r="AC92" s="172" t="s">
        <v>329</v>
      </c>
      <c r="AD92" s="208"/>
      <c r="AE92" s="208"/>
      <c r="AF92" s="208"/>
      <c r="AG92" s="221"/>
      <c r="AH92" s="208"/>
      <c r="AI92" s="208"/>
      <c r="AJ92" s="208"/>
      <c r="AK92" s="221"/>
      <c r="AL92" s="208"/>
      <c r="AM92" s="208"/>
      <c r="AN92" s="208"/>
      <c r="AO92" s="208"/>
      <c r="AP92" s="208"/>
      <c r="AQ92" s="221"/>
    </row>
    <row r="93" spans="1:43" x14ac:dyDescent="0.3">
      <c r="C93" s="44"/>
      <c r="D93" s="44"/>
      <c r="E93" s="44"/>
      <c r="F93" s="44"/>
      <c r="H93" s="44"/>
      <c r="J93" s="44"/>
      <c r="L93" s="44"/>
      <c r="N93" s="44"/>
      <c r="O93" s="44"/>
      <c r="P93" s="44"/>
      <c r="Q93" s="44"/>
      <c r="R93" s="44"/>
      <c r="T93" s="41">
        <v>2</v>
      </c>
      <c r="V93" s="132" t="s">
        <v>54</v>
      </c>
      <c r="Y93" s="1"/>
      <c r="Z93" s="1"/>
      <c r="AA93" s="1"/>
      <c r="AB93" s="1"/>
      <c r="AC93" s="1"/>
      <c r="AD93" s="1"/>
      <c r="AE93" s="1"/>
      <c r="AF93" s="1"/>
      <c r="AG93" s="175"/>
      <c r="AH93" s="1"/>
      <c r="AI93" s="1"/>
      <c r="AJ93" s="1"/>
      <c r="AK93" s="175"/>
      <c r="AL93" s="1"/>
      <c r="AM93" s="1"/>
      <c r="AN93" s="1"/>
      <c r="AO93" s="1"/>
      <c r="AP93" s="1"/>
      <c r="AQ93" s="175"/>
    </row>
    <row r="94" spans="1:43" x14ac:dyDescent="0.3">
      <c r="H94" s="44"/>
      <c r="J94" s="44"/>
      <c r="L94" s="44"/>
      <c r="N94" s="44"/>
      <c r="O94" s="44"/>
      <c r="P94" s="44"/>
      <c r="Q94" s="44"/>
      <c r="R94" s="44"/>
      <c r="T94" s="41">
        <v>3</v>
      </c>
      <c r="V94" s="132" t="s">
        <v>134</v>
      </c>
      <c r="Y94" s="1"/>
      <c r="Z94" s="1"/>
      <c r="AA94" s="1"/>
      <c r="AB94" s="1"/>
      <c r="AC94" s="1"/>
      <c r="AD94" s="1"/>
      <c r="AE94" s="1"/>
      <c r="AF94" s="1"/>
      <c r="AG94" s="175"/>
      <c r="AH94" s="1"/>
      <c r="AI94" s="1"/>
      <c r="AJ94" s="1"/>
      <c r="AK94" s="175"/>
      <c r="AL94" s="1"/>
      <c r="AM94" s="1"/>
      <c r="AN94" s="1"/>
      <c r="AO94" s="1"/>
      <c r="AP94" s="1"/>
      <c r="AQ94" s="175"/>
    </row>
    <row r="95" spans="1:43" x14ac:dyDescent="0.3">
      <c r="T95" s="41">
        <v>4</v>
      </c>
      <c r="V95" s="42" t="s">
        <v>145</v>
      </c>
      <c r="Y95" s="3">
        <f>F23</f>
        <v>131</v>
      </c>
      <c r="Z95" s="1"/>
      <c r="AA95" s="159"/>
      <c r="AB95" s="159"/>
      <c r="AC95" s="193">
        <f>INPUT!C70</f>
        <v>138</v>
      </c>
      <c r="AD95" s="194"/>
      <c r="AE95" s="3">
        <f>ROUND(+Y95*AC95,0)</f>
        <v>18078</v>
      </c>
      <c r="AF95" s="1"/>
      <c r="AG95" s="177">
        <f>ROUND((+AE95/$AE$137)*100,1)</f>
        <v>0</v>
      </c>
      <c r="AH95" s="1"/>
      <c r="AI95" s="3">
        <f>L23-AE95</f>
        <v>2227</v>
      </c>
      <c r="AJ95" s="3"/>
      <c r="AK95" s="177">
        <f>IF(AE95=0,0,ROUND((AI95/AE95)*100,1))</f>
        <v>12.3</v>
      </c>
      <c r="AL95" s="6"/>
      <c r="AM95" s="3"/>
      <c r="AN95" s="1"/>
      <c r="AO95" s="3">
        <f>AE95+AM95</f>
        <v>18078</v>
      </c>
      <c r="AP95" s="1"/>
      <c r="AQ95" s="177">
        <f>ROUND((+AI95/AO95)*100,1)</f>
        <v>12.3</v>
      </c>
    </row>
    <row r="96" spans="1:43" ht="20.100000000000001" customHeight="1" x14ac:dyDescent="0.3">
      <c r="C96" s="42"/>
      <c r="F96" s="184"/>
      <c r="H96" s="184"/>
      <c r="J96" s="184"/>
      <c r="L96" s="193"/>
      <c r="N96" s="193"/>
      <c r="O96" s="123"/>
      <c r="P96" s="160"/>
      <c r="R96" s="123"/>
      <c r="T96" s="41">
        <v>5</v>
      </c>
      <c r="V96" s="132" t="s">
        <v>137</v>
      </c>
      <c r="Y96" s="145">
        <f>F24</f>
        <v>131</v>
      </c>
      <c r="Z96" s="1"/>
      <c r="AA96" s="3"/>
      <c r="AB96" s="3"/>
      <c r="AC96" s="7"/>
      <c r="AD96" s="7"/>
      <c r="AE96" s="145">
        <f>SUM(AE95:AE95)</f>
        <v>18078</v>
      </c>
      <c r="AF96" s="1"/>
      <c r="AG96" s="180">
        <f>ROUND((+AE96/$AE$137)*100,1)</f>
        <v>0</v>
      </c>
      <c r="AH96" s="1"/>
      <c r="AI96" s="145">
        <f>SUM(AI95:AI95)</f>
        <v>2227</v>
      </c>
      <c r="AJ96" s="3"/>
      <c r="AK96" s="180">
        <f>IF(AE96=0,0,ROUND((AI96/AE96)*100,1))</f>
        <v>12.3</v>
      </c>
      <c r="AL96" s="6"/>
      <c r="AM96" s="145"/>
      <c r="AN96" s="1"/>
      <c r="AO96" s="145">
        <f>SUM(AO95:AO95)</f>
        <v>18078</v>
      </c>
      <c r="AP96" s="1"/>
      <c r="AQ96" s="180">
        <f>ROUND((+AI96/AO96)*100,1)</f>
        <v>12.3</v>
      </c>
    </row>
    <row r="97" spans="3:43" x14ac:dyDescent="0.3">
      <c r="C97" s="42"/>
      <c r="F97" s="184"/>
      <c r="H97" s="184"/>
      <c r="J97" s="184"/>
      <c r="L97" s="193"/>
      <c r="N97" s="193"/>
      <c r="O97" s="123"/>
      <c r="P97" s="160"/>
      <c r="R97" s="123"/>
      <c r="T97" s="41">
        <v>6</v>
      </c>
      <c r="V97" s="132" t="s">
        <v>63</v>
      </c>
      <c r="Y97" s="159"/>
      <c r="Z97" s="1"/>
      <c r="AA97" s="159"/>
      <c r="AB97" s="159"/>
      <c r="AC97" s="248"/>
      <c r="AD97" s="248"/>
      <c r="AE97" s="3"/>
      <c r="AF97" s="1"/>
      <c r="AG97" s="175"/>
      <c r="AH97" s="1"/>
      <c r="AI97" s="3"/>
      <c r="AJ97" s="3"/>
      <c r="AK97" s="175"/>
      <c r="AL97" s="4"/>
      <c r="AM97" s="3"/>
      <c r="AN97" s="1"/>
      <c r="AO97" s="3"/>
      <c r="AP97" s="1"/>
      <c r="AQ97" s="175"/>
    </row>
    <row r="98" spans="3:43" x14ac:dyDescent="0.3">
      <c r="F98" s="210"/>
      <c r="H98" s="123"/>
      <c r="J98" s="123"/>
      <c r="L98" s="213"/>
      <c r="N98" s="213"/>
      <c r="O98" s="210"/>
      <c r="P98" s="210"/>
      <c r="Q98" s="210"/>
      <c r="R98" s="210"/>
      <c r="T98" s="41">
        <v>7</v>
      </c>
      <c r="V98" s="42" t="s">
        <v>64</v>
      </c>
      <c r="Y98" s="159"/>
      <c r="Z98" s="1"/>
      <c r="AA98" s="3">
        <f>H26</f>
        <v>338380</v>
      </c>
      <c r="AB98" s="3"/>
      <c r="AC98" s="193">
        <f>INPUT!C76</f>
        <v>14.71</v>
      </c>
      <c r="AD98" s="194"/>
      <c r="AE98" s="3">
        <f>ROUND(+AA98*AC98,0)</f>
        <v>4977570</v>
      </c>
      <c r="AF98" s="1"/>
      <c r="AG98" s="175">
        <f>ROUND((+AE98/$AE$137)*100,1)</f>
        <v>10.9</v>
      </c>
      <c r="AH98" s="1"/>
      <c r="AI98" s="3">
        <f>L26-AE98</f>
        <v>341764</v>
      </c>
      <c r="AJ98" s="3"/>
      <c r="AK98" s="175">
        <f t="shared" ref="AK98:AK109" si="0">IF(AE98=0,0,ROUND((AI98/AE98)*100,1))</f>
        <v>6.9</v>
      </c>
      <c r="AL98" s="6"/>
      <c r="AM98" s="3"/>
      <c r="AN98" s="1"/>
      <c r="AO98" s="3">
        <f>AE98+AM98</f>
        <v>4977570</v>
      </c>
      <c r="AP98" s="1"/>
      <c r="AQ98" s="175">
        <f>ROUND((+AI98/AO98)*100,1)</f>
        <v>6.9</v>
      </c>
    </row>
    <row r="99" spans="3:43" x14ac:dyDescent="0.3">
      <c r="C99" s="42"/>
      <c r="F99" s="123"/>
      <c r="H99" s="123"/>
      <c r="J99" s="123"/>
      <c r="L99" s="213"/>
      <c r="N99" s="213"/>
      <c r="O99" s="123"/>
      <c r="P99" s="160"/>
      <c r="Q99" s="123"/>
      <c r="R99" s="123"/>
      <c r="T99" s="41">
        <v>8</v>
      </c>
      <c r="V99" s="42" t="s">
        <v>65</v>
      </c>
      <c r="Y99" s="159"/>
      <c r="Z99" s="1"/>
      <c r="AA99" s="3">
        <f>H27</f>
        <v>7223</v>
      </c>
      <c r="AB99" s="3"/>
      <c r="AC99" s="193">
        <f>INPUT!C77</f>
        <v>1.32</v>
      </c>
      <c r="AD99" s="194"/>
      <c r="AE99" s="3">
        <f>ROUND(+AA99*AC99,0)</f>
        <v>9534</v>
      </c>
      <c r="AF99" s="1"/>
      <c r="AG99" s="175">
        <f>ROUND((+AE99/$AE$137)*100,1)</f>
        <v>0</v>
      </c>
      <c r="AH99" s="1"/>
      <c r="AI99" s="3">
        <f>L27-AE99</f>
        <v>650</v>
      </c>
      <c r="AJ99" s="3"/>
      <c r="AK99" s="175">
        <f t="shared" si="0"/>
        <v>6.8</v>
      </c>
      <c r="AL99" s="6"/>
      <c r="AM99" s="3"/>
      <c r="AN99" s="1"/>
      <c r="AO99" s="3">
        <f>AE99+AM99</f>
        <v>9534</v>
      </c>
      <c r="AP99" s="1"/>
      <c r="AQ99" s="175">
        <f>ROUND((+AI99/AO99)*100,1)</f>
        <v>6.8</v>
      </c>
    </row>
    <row r="100" spans="3:43" x14ac:dyDescent="0.3">
      <c r="C100" s="42"/>
      <c r="F100" s="123"/>
      <c r="H100" s="123"/>
      <c r="J100" s="123"/>
      <c r="L100" s="213"/>
      <c r="N100" s="213"/>
      <c r="O100" s="123"/>
      <c r="P100" s="160"/>
      <c r="Q100" s="123"/>
      <c r="R100" s="123"/>
      <c r="T100" s="41">
        <v>9</v>
      </c>
      <c r="V100" s="42" t="s">
        <v>976</v>
      </c>
      <c r="Y100" s="159"/>
      <c r="Z100" s="1"/>
      <c r="AA100" s="49">
        <f>AA98+AA99</f>
        <v>345603</v>
      </c>
      <c r="AB100" s="3"/>
      <c r="AC100" s="193">
        <f>INPUT!$C$82</f>
        <v>6.07</v>
      </c>
      <c r="AD100" s="194"/>
      <c r="AE100" s="3">
        <f>ROUND(+AA100*AC100,0)</f>
        <v>2097810</v>
      </c>
      <c r="AF100" s="1"/>
      <c r="AG100" s="177">
        <f>ROUND((+AE100/$AE$137)*100,1)</f>
        <v>4.5999999999999996</v>
      </c>
      <c r="AH100" s="1"/>
      <c r="AI100" s="3">
        <f>L28-AE100</f>
        <v>241922</v>
      </c>
      <c r="AJ100" s="3"/>
      <c r="AK100" s="177">
        <f>IF(AE100=0,0,ROUND((AI100/AE100)*100,1))</f>
        <v>11.5</v>
      </c>
      <c r="AL100" s="6"/>
      <c r="AM100" s="3"/>
      <c r="AN100" s="1"/>
      <c r="AO100" s="3">
        <f>AE100+AM100</f>
        <v>2097810</v>
      </c>
      <c r="AP100" s="1"/>
      <c r="AQ100" s="177">
        <f>ROUND((+AI100/AO100)*100,1)</f>
        <v>11.5</v>
      </c>
    </row>
    <row r="101" spans="3:43" ht="19.5" customHeight="1" x14ac:dyDescent="0.3">
      <c r="C101" s="42"/>
      <c r="F101" s="184"/>
      <c r="H101" s="184"/>
      <c r="J101" s="184"/>
      <c r="L101" s="237"/>
      <c r="N101" s="237"/>
      <c r="O101" s="123"/>
      <c r="P101" s="160"/>
      <c r="Q101" s="123"/>
      <c r="R101" s="123"/>
      <c r="S101" s="123"/>
      <c r="T101" s="41">
        <v>10</v>
      </c>
      <c r="V101" s="132" t="s">
        <v>146</v>
      </c>
      <c r="Y101" s="3"/>
      <c r="Z101" s="1"/>
      <c r="AA101" s="145">
        <f>H29</f>
        <v>345603</v>
      </c>
      <c r="AB101" s="3"/>
      <c r="AC101" s="183"/>
      <c r="AD101" s="183"/>
      <c r="AE101" s="145">
        <f>SUM(AE98:AE100)</f>
        <v>7084914</v>
      </c>
      <c r="AF101" s="1"/>
      <c r="AG101" s="180">
        <f>ROUND((+AE101/$AE$137)*100,1)</f>
        <v>15.5</v>
      </c>
      <c r="AH101" s="1"/>
      <c r="AI101" s="145">
        <f>SUM(AI98:AI100)</f>
        <v>584336</v>
      </c>
      <c r="AJ101" s="3"/>
      <c r="AK101" s="180">
        <f t="shared" si="0"/>
        <v>8.1999999999999993</v>
      </c>
      <c r="AL101" s="6"/>
      <c r="AM101" s="145"/>
      <c r="AN101" s="1"/>
      <c r="AO101" s="145">
        <f>SUM(AO98:AO100)</f>
        <v>7084914</v>
      </c>
      <c r="AP101" s="1"/>
      <c r="AQ101" s="180">
        <f>ROUND((+AI101/AO101)*100,1)</f>
        <v>8.1999999999999993</v>
      </c>
    </row>
    <row r="102" spans="3:43" x14ac:dyDescent="0.3">
      <c r="C102" s="42"/>
      <c r="F102" s="184"/>
      <c r="H102" s="184"/>
      <c r="J102" s="184"/>
      <c r="L102" s="193"/>
      <c r="N102" s="193"/>
      <c r="O102" s="123"/>
      <c r="P102" s="160"/>
      <c r="Q102" s="123"/>
      <c r="R102" s="123"/>
      <c r="T102" s="41">
        <v>11</v>
      </c>
      <c r="V102" s="132" t="s">
        <v>147</v>
      </c>
      <c r="Y102" s="3"/>
      <c r="Z102" s="1"/>
      <c r="AA102" s="3"/>
      <c r="AB102" s="3"/>
      <c r="AC102" s="183"/>
      <c r="AD102" s="183"/>
      <c r="AE102" s="3"/>
      <c r="AF102" s="1"/>
      <c r="AG102" s="175"/>
      <c r="AH102" s="1"/>
      <c r="AI102" s="3"/>
      <c r="AJ102" s="3"/>
      <c r="AK102" s="175"/>
      <c r="AL102" s="6"/>
      <c r="AM102" s="3"/>
      <c r="AN102" s="1"/>
      <c r="AO102" s="3"/>
      <c r="AP102" s="1"/>
      <c r="AQ102" s="175"/>
    </row>
    <row r="103" spans="3:43" x14ac:dyDescent="0.3">
      <c r="F103" s="123"/>
      <c r="H103" s="210"/>
      <c r="J103" s="210"/>
      <c r="L103" s="213"/>
      <c r="N103" s="213"/>
      <c r="O103" s="210"/>
      <c r="P103" s="210"/>
      <c r="Q103" s="210"/>
      <c r="R103" s="210"/>
      <c r="T103" s="41">
        <v>12</v>
      </c>
      <c r="V103" s="192" t="s">
        <v>148</v>
      </c>
      <c r="Y103" s="3"/>
      <c r="Z103" s="1"/>
      <c r="AA103" s="3">
        <f>H31</f>
        <v>115458</v>
      </c>
      <c r="AB103" s="3"/>
      <c r="AC103" s="193">
        <f>INPUT!C80</f>
        <v>-0.75</v>
      </c>
      <c r="AD103" s="258"/>
      <c r="AE103" s="3">
        <f>ROUND(+AA103*AC103,0)</f>
        <v>-86594</v>
      </c>
      <c r="AF103" s="1"/>
      <c r="AG103" s="175">
        <f>ROUND((+AE103/$AE$137)*100,1)</f>
        <v>-0.2</v>
      </c>
      <c r="AH103" s="1"/>
      <c r="AI103" s="3">
        <f>L31-AE103</f>
        <v>-5772</v>
      </c>
      <c r="AJ103" s="3"/>
      <c r="AK103" s="175">
        <f t="shared" si="0"/>
        <v>6.7</v>
      </c>
      <c r="AL103" s="6"/>
      <c r="AM103" s="3"/>
      <c r="AN103" s="1"/>
      <c r="AO103" s="3">
        <f>AE103+AM103</f>
        <v>-86594</v>
      </c>
      <c r="AP103" s="1"/>
      <c r="AQ103" s="175">
        <f>ROUND((+AI103/AO103)*100,1)</f>
        <v>6.7</v>
      </c>
    </row>
    <row r="104" spans="3:43" x14ac:dyDescent="0.3">
      <c r="C104" s="42"/>
      <c r="F104" s="123"/>
      <c r="H104" s="123"/>
      <c r="J104" s="123"/>
      <c r="L104" s="213"/>
      <c r="N104" s="213"/>
      <c r="O104" s="123"/>
      <c r="P104" s="160"/>
      <c r="Q104" s="123"/>
      <c r="R104" s="123"/>
      <c r="T104" s="41">
        <v>13</v>
      </c>
      <c r="V104" s="192" t="s">
        <v>149</v>
      </c>
      <c r="Y104" s="1"/>
      <c r="Z104" s="1"/>
      <c r="AA104" s="49">
        <f>H32</f>
        <v>230145</v>
      </c>
      <c r="AB104" s="3"/>
      <c r="AC104" s="193">
        <f>INPUT!C81</f>
        <v>-0.57999999999999996</v>
      </c>
      <c r="AD104" s="258"/>
      <c r="AE104" s="3">
        <f>ROUND(+AA104*AC104,0)</f>
        <v>-133484</v>
      </c>
      <c r="AF104" s="1"/>
      <c r="AG104" s="177">
        <f>ROUND((+AE104/$AE$137)*100,1)</f>
        <v>-0.3</v>
      </c>
      <c r="AH104" s="1"/>
      <c r="AI104" s="3">
        <f>L32-AE104</f>
        <v>-9206</v>
      </c>
      <c r="AJ104" s="3"/>
      <c r="AK104" s="177">
        <f t="shared" si="0"/>
        <v>6.9</v>
      </c>
      <c r="AL104" s="6"/>
      <c r="AM104" s="3"/>
      <c r="AN104" s="1"/>
      <c r="AO104" s="3">
        <f>AE104+AM104</f>
        <v>-133484</v>
      </c>
      <c r="AP104" s="1"/>
      <c r="AQ104" s="177">
        <f>ROUND((+AI104/AO104)*100,1)</f>
        <v>6.9</v>
      </c>
    </row>
    <row r="105" spans="3:43" ht="20.100000000000001" customHeight="1" x14ac:dyDescent="0.3">
      <c r="C105" s="42"/>
      <c r="F105" s="123"/>
      <c r="H105" s="123"/>
      <c r="J105" s="123"/>
      <c r="L105" s="213"/>
      <c r="N105" s="213"/>
      <c r="O105" s="123"/>
      <c r="P105" s="123"/>
      <c r="Q105" s="123"/>
      <c r="R105" s="123"/>
      <c r="T105" s="41">
        <v>14</v>
      </c>
      <c r="V105" s="132" t="s">
        <v>66</v>
      </c>
      <c r="Y105" s="3"/>
      <c r="Z105" s="1"/>
      <c r="AA105" s="49">
        <f>H33</f>
        <v>345603</v>
      </c>
      <c r="AB105" s="3"/>
      <c r="AC105" s="7"/>
      <c r="AD105" s="7"/>
      <c r="AE105" s="145">
        <f>AE101+AE103+AE104</f>
        <v>6864836</v>
      </c>
      <c r="AF105" s="1"/>
      <c r="AG105" s="180">
        <f>ROUND((+AE105/$AE$137)*100,1)</f>
        <v>15</v>
      </c>
      <c r="AH105" s="1"/>
      <c r="AI105" s="145">
        <f>AI101+AI103+AI104</f>
        <v>569358</v>
      </c>
      <c r="AJ105" s="3"/>
      <c r="AK105" s="180">
        <f t="shared" si="0"/>
        <v>8.3000000000000007</v>
      </c>
      <c r="AL105" s="6"/>
      <c r="AM105" s="145"/>
      <c r="AN105" s="1"/>
      <c r="AO105" s="145">
        <f>AO101+AO103+AO104</f>
        <v>6864836</v>
      </c>
      <c r="AP105" s="1"/>
      <c r="AQ105" s="180">
        <f>ROUND((+AI105/AO105)*100,1)</f>
        <v>8.3000000000000007</v>
      </c>
    </row>
    <row r="106" spans="3:43" x14ac:dyDescent="0.3">
      <c r="C106" s="42"/>
      <c r="H106" s="184"/>
      <c r="J106" s="184"/>
      <c r="L106" s="238"/>
      <c r="N106" s="238"/>
      <c r="O106" s="123"/>
      <c r="P106" s="160"/>
      <c r="Q106" s="123"/>
      <c r="R106" s="123"/>
      <c r="T106" s="41">
        <v>15</v>
      </c>
      <c r="V106" s="178" t="s">
        <v>374</v>
      </c>
      <c r="Y106" s="3"/>
      <c r="Z106" s="1"/>
      <c r="AA106" s="3"/>
      <c r="AB106" s="3"/>
      <c r="AC106" s="7"/>
      <c r="AD106" s="7"/>
      <c r="AE106" s="3"/>
      <c r="AF106" s="1"/>
      <c r="AG106" s="175"/>
      <c r="AH106" s="1"/>
      <c r="AI106" s="3"/>
      <c r="AJ106" s="3"/>
      <c r="AK106" s="175"/>
      <c r="AL106" s="6"/>
      <c r="AM106" s="3"/>
      <c r="AN106" s="1"/>
      <c r="AO106" s="3"/>
      <c r="AP106" s="1"/>
      <c r="AQ106" s="175"/>
    </row>
    <row r="107" spans="3:43" x14ac:dyDescent="0.3">
      <c r="C107" s="42"/>
      <c r="H107" s="184"/>
      <c r="J107" s="184"/>
      <c r="L107" s="238"/>
      <c r="N107" s="238"/>
      <c r="O107" s="123"/>
      <c r="P107" s="160"/>
      <c r="Q107" s="123"/>
      <c r="R107" s="123"/>
      <c r="T107" s="41">
        <v>16</v>
      </c>
      <c r="V107" s="42" t="s">
        <v>386</v>
      </c>
      <c r="Y107" s="3"/>
      <c r="Z107" s="1"/>
      <c r="AA107" s="3">
        <f>H35</f>
        <v>47977504</v>
      </c>
      <c r="AB107" s="1"/>
      <c r="AC107" s="198">
        <f>INPUT!C72</f>
        <v>5.6746999999999999E-2</v>
      </c>
      <c r="AD107" s="7"/>
      <c r="AE107" s="3">
        <f>ROUND((+AA107*AC107),0)-AM107</f>
        <v>2722579</v>
      </c>
      <c r="AF107" s="1"/>
      <c r="AG107" s="175">
        <f>ROUND((+AE107/$AE$137)*100,1)</f>
        <v>5.9</v>
      </c>
      <c r="AH107" s="1"/>
      <c r="AI107" s="3">
        <f>L35-AE107</f>
        <v>297317</v>
      </c>
      <c r="AJ107" s="3"/>
      <c r="AK107" s="175">
        <f>IF(AE107=0,0,ROUND((AI107/AE107)*100,1))</f>
        <v>10.9</v>
      </c>
      <c r="AL107" s="6"/>
      <c r="AM107" s="3"/>
      <c r="AN107" s="1"/>
      <c r="AO107" s="3">
        <f>AE107+AM107</f>
        <v>2722579</v>
      </c>
      <c r="AP107" s="1"/>
      <c r="AQ107" s="175">
        <f>ROUND((+AI107/AO107)*100,1)</f>
        <v>10.9</v>
      </c>
    </row>
    <row r="108" spans="3:43" x14ac:dyDescent="0.3">
      <c r="F108" s="123"/>
      <c r="H108" s="123"/>
      <c r="J108" s="123"/>
      <c r="L108" s="213"/>
      <c r="N108" s="213"/>
      <c r="O108" s="210"/>
      <c r="P108" s="210"/>
      <c r="Q108" s="210"/>
      <c r="R108" s="210"/>
      <c r="T108" s="41">
        <v>17</v>
      </c>
      <c r="V108" s="42" t="s">
        <v>387</v>
      </c>
      <c r="Y108" s="196"/>
      <c r="Z108" s="1"/>
      <c r="AA108" s="49">
        <f>H36</f>
        <v>122342951</v>
      </c>
      <c r="AB108" s="3"/>
      <c r="AC108" s="198">
        <f>INPUT!C74</f>
        <v>4.8348000000000002E-2</v>
      </c>
      <c r="AD108" s="199"/>
      <c r="AE108" s="49">
        <f>ROUND((+AA108*AC108),0)-AM108</f>
        <v>5915037</v>
      </c>
      <c r="AF108" s="1"/>
      <c r="AG108" s="177">
        <f>ROUND((+AE108/$AE$137)*100,1)</f>
        <v>12.9</v>
      </c>
      <c r="AH108" s="1"/>
      <c r="AI108" s="49">
        <f>L36-AE108</f>
        <v>617098</v>
      </c>
      <c r="AJ108" s="3"/>
      <c r="AK108" s="177">
        <f t="shared" si="0"/>
        <v>10.4</v>
      </c>
      <c r="AL108" s="6"/>
      <c r="AM108" s="49"/>
      <c r="AN108" s="1"/>
      <c r="AO108" s="49">
        <f>AE108+AM108</f>
        <v>5915037</v>
      </c>
      <c r="AP108" s="1"/>
      <c r="AQ108" s="177">
        <f>ROUND((+AI108/AO108)*100,1)</f>
        <v>10.4</v>
      </c>
    </row>
    <row r="109" spans="3:43" ht="22.5" customHeight="1" x14ac:dyDescent="0.3">
      <c r="F109" s="123"/>
      <c r="H109" s="123"/>
      <c r="J109" s="123"/>
      <c r="L109" s="213"/>
      <c r="N109" s="213"/>
      <c r="O109" s="210"/>
      <c r="P109" s="210"/>
      <c r="Q109" s="210"/>
      <c r="R109" s="210"/>
      <c r="T109" s="41">
        <v>18</v>
      </c>
      <c r="V109" s="132" t="s">
        <v>56</v>
      </c>
      <c r="Y109" s="145">
        <f>F37</f>
        <v>131</v>
      </c>
      <c r="Z109" s="1"/>
      <c r="AA109" s="145">
        <f>H37</f>
        <v>170320455</v>
      </c>
      <c r="AB109" s="3"/>
      <c r="AC109" s="183"/>
      <c r="AD109" s="183"/>
      <c r="AE109" s="145">
        <f>AE96+AE105+AE107+AE108</f>
        <v>15520530</v>
      </c>
      <c r="AF109" s="1"/>
      <c r="AG109" s="180">
        <f>ROUND((+AE109/$AE$137)*100,1)</f>
        <v>33.9</v>
      </c>
      <c r="AH109" s="1"/>
      <c r="AI109" s="145">
        <f>AI96+AI105+AI107+AI108</f>
        <v>1486000</v>
      </c>
      <c r="AJ109" s="3"/>
      <c r="AK109" s="180">
        <f t="shared" si="0"/>
        <v>9.6</v>
      </c>
      <c r="AL109" s="6"/>
      <c r="AM109" s="145"/>
      <c r="AN109" s="1"/>
      <c r="AO109" s="145">
        <f>AO96+AO105+AO107+AO108</f>
        <v>15520530</v>
      </c>
      <c r="AP109" s="1"/>
      <c r="AQ109" s="180">
        <f>ROUND((+AI109/AO109)*100,1)</f>
        <v>9.6</v>
      </c>
    </row>
    <row r="110" spans="3:43" x14ac:dyDescent="0.3">
      <c r="F110" s="123"/>
      <c r="H110" s="123"/>
      <c r="J110" s="123"/>
      <c r="L110" s="213"/>
      <c r="N110" s="213"/>
      <c r="O110" s="210"/>
      <c r="P110" s="210"/>
      <c r="Q110" s="210"/>
      <c r="R110" s="210"/>
      <c r="V110" s="42"/>
      <c r="Y110" s="3"/>
      <c r="Z110" s="1"/>
      <c r="AA110" s="3"/>
      <c r="AB110" s="3"/>
      <c r="AC110" s="183"/>
      <c r="AD110" s="183"/>
      <c r="AE110" s="3"/>
      <c r="AF110" s="1"/>
      <c r="AG110" s="175"/>
      <c r="AH110" s="1"/>
      <c r="AI110" s="3"/>
      <c r="AJ110" s="3"/>
      <c r="AK110" s="175"/>
      <c r="AL110" s="6"/>
      <c r="AM110" s="3"/>
      <c r="AN110" s="1"/>
      <c r="AO110" s="3"/>
      <c r="AP110" s="1"/>
      <c r="AQ110" s="175"/>
    </row>
    <row r="111" spans="3:43" x14ac:dyDescent="0.3">
      <c r="C111" s="42"/>
      <c r="F111" s="123"/>
      <c r="H111" s="184"/>
      <c r="J111" s="184"/>
      <c r="L111" s="227"/>
      <c r="N111" s="227"/>
      <c r="O111" s="123"/>
      <c r="P111" s="160"/>
      <c r="Q111" s="123"/>
      <c r="R111" s="123"/>
      <c r="T111" s="41">
        <v>19</v>
      </c>
      <c r="V111" s="132" t="s">
        <v>57</v>
      </c>
      <c r="Y111" s="159"/>
      <c r="Z111" s="1"/>
      <c r="AA111" s="159"/>
      <c r="AB111" s="159"/>
      <c r="AC111" s="183"/>
      <c r="AD111" s="183"/>
      <c r="AE111" s="3"/>
      <c r="AF111" s="1"/>
      <c r="AG111" s="175"/>
      <c r="AH111" s="1"/>
      <c r="AI111" s="3"/>
      <c r="AJ111" s="3"/>
      <c r="AK111" s="175"/>
      <c r="AL111" s="1"/>
      <c r="AM111" s="3"/>
      <c r="AN111" s="1"/>
      <c r="AO111" s="3"/>
      <c r="AP111" s="1"/>
      <c r="AQ111" s="175"/>
    </row>
    <row r="112" spans="3:43" x14ac:dyDescent="0.3">
      <c r="C112" s="42"/>
      <c r="F112" s="123"/>
      <c r="H112" s="123"/>
      <c r="J112" s="123"/>
      <c r="L112" s="213"/>
      <c r="N112" s="213"/>
      <c r="O112" s="123"/>
      <c r="P112" s="160"/>
      <c r="Q112" s="123"/>
      <c r="R112" s="123"/>
      <c r="S112" s="123"/>
      <c r="T112" s="41">
        <v>20</v>
      </c>
      <c r="V112" s="132" t="s">
        <v>134</v>
      </c>
      <c r="Y112" s="1"/>
      <c r="Z112" s="1"/>
      <c r="AA112" s="1"/>
      <c r="AB112" s="1"/>
      <c r="AC112" s="1"/>
      <c r="AD112" s="1"/>
      <c r="AE112" s="1"/>
      <c r="AF112" s="1"/>
      <c r="AG112" s="175"/>
      <c r="AH112" s="1"/>
      <c r="AI112" s="1"/>
      <c r="AJ112" s="1"/>
      <c r="AK112" s="175"/>
      <c r="AL112" s="1"/>
      <c r="AM112" s="1"/>
      <c r="AN112" s="1"/>
      <c r="AO112" s="1"/>
      <c r="AP112" s="1"/>
      <c r="AQ112" s="175"/>
    </row>
    <row r="113" spans="3:43" x14ac:dyDescent="0.3">
      <c r="T113" s="41">
        <v>21</v>
      </c>
      <c r="V113" s="42" t="s">
        <v>145</v>
      </c>
      <c r="Y113" s="3">
        <f>F41</f>
        <v>264</v>
      </c>
      <c r="Z113" s="1"/>
      <c r="AA113" s="159"/>
      <c r="AB113" s="159"/>
      <c r="AC113" s="194">
        <f>AC95</f>
        <v>138</v>
      </c>
      <c r="AD113" s="194"/>
      <c r="AE113" s="3">
        <f>ROUND(+Y113*AC113,0)</f>
        <v>36432</v>
      </c>
      <c r="AF113" s="1"/>
      <c r="AG113" s="177">
        <f>ROUND((+AE113/$AE$137)*100,1)</f>
        <v>0.1</v>
      </c>
      <c r="AH113" s="1"/>
      <c r="AI113" s="3">
        <f>L41-AE113</f>
        <v>4488</v>
      </c>
      <c r="AJ113" s="3"/>
      <c r="AK113" s="177">
        <f>IF(AE113=0,0,ROUND((AI113/AE113)*100,1))</f>
        <v>12.3</v>
      </c>
      <c r="AL113" s="6"/>
      <c r="AM113" s="3"/>
      <c r="AN113" s="1"/>
      <c r="AO113" s="3">
        <f>AE113+AM113</f>
        <v>36432</v>
      </c>
      <c r="AP113" s="1"/>
      <c r="AQ113" s="177">
        <f>ROUND((+AI113/AO113)*100,1)</f>
        <v>12.3</v>
      </c>
    </row>
    <row r="114" spans="3:43" ht="20.100000000000001" customHeight="1" x14ac:dyDescent="0.3">
      <c r="C114" s="42"/>
      <c r="F114" s="184"/>
      <c r="H114" s="184"/>
      <c r="J114" s="184"/>
      <c r="L114" s="193"/>
      <c r="N114" s="193"/>
      <c r="O114" s="123"/>
      <c r="P114" s="160"/>
      <c r="R114" s="123"/>
      <c r="T114" s="41">
        <v>22</v>
      </c>
      <c r="V114" s="132" t="s">
        <v>137</v>
      </c>
      <c r="Y114" s="145">
        <f>F42</f>
        <v>264</v>
      </c>
      <c r="Z114" s="1"/>
      <c r="AA114" s="3"/>
      <c r="AB114" s="3"/>
      <c r="AC114" s="183"/>
      <c r="AD114" s="183"/>
      <c r="AE114" s="145">
        <f>SUM(AE113:AE113)</f>
        <v>36432</v>
      </c>
      <c r="AF114" s="1"/>
      <c r="AG114" s="180">
        <f>ROUND((+AE114/$AE$137)*100,1)</f>
        <v>0.1</v>
      </c>
      <c r="AH114" s="1"/>
      <c r="AI114" s="145">
        <f>SUM(AI113:AI113)</f>
        <v>4488</v>
      </c>
      <c r="AJ114" s="3"/>
      <c r="AK114" s="180">
        <f>IF(AE114=0,0,ROUND((AI114/AE114)*100,1))</f>
        <v>12.3</v>
      </c>
      <c r="AL114" s="6"/>
      <c r="AM114" s="145"/>
      <c r="AN114" s="1"/>
      <c r="AO114" s="145">
        <f>SUM(AO113:AO113)</f>
        <v>36432</v>
      </c>
      <c r="AP114" s="1"/>
      <c r="AQ114" s="180">
        <f>ROUND((+AI114/AO114)*100,1)</f>
        <v>12.3</v>
      </c>
    </row>
    <row r="115" spans="3:43" x14ac:dyDescent="0.3">
      <c r="C115" s="42"/>
      <c r="F115" s="184"/>
      <c r="H115" s="184"/>
      <c r="J115" s="184"/>
      <c r="L115" s="193"/>
      <c r="N115" s="193"/>
      <c r="O115" s="123"/>
      <c r="P115" s="160"/>
      <c r="R115" s="123"/>
      <c r="T115" s="41">
        <v>23</v>
      </c>
      <c r="V115" s="132" t="s">
        <v>63</v>
      </c>
      <c r="Y115" s="159"/>
      <c r="Z115" s="1"/>
      <c r="AA115" s="159"/>
      <c r="AB115" s="159"/>
      <c r="AC115" s="248"/>
      <c r="AD115" s="248"/>
      <c r="AE115" s="3"/>
      <c r="AF115" s="1"/>
      <c r="AG115" s="175"/>
      <c r="AH115" s="1"/>
      <c r="AI115" s="3"/>
      <c r="AJ115" s="3"/>
      <c r="AK115" s="175"/>
      <c r="AL115" s="4"/>
      <c r="AM115" s="3"/>
      <c r="AN115" s="1"/>
      <c r="AO115" s="3"/>
      <c r="AP115" s="1"/>
      <c r="AQ115" s="175"/>
    </row>
    <row r="116" spans="3:43" x14ac:dyDescent="0.3">
      <c r="F116" s="210"/>
      <c r="H116" s="123"/>
      <c r="J116" s="123"/>
      <c r="L116" s="213"/>
      <c r="N116" s="213"/>
      <c r="O116" s="210"/>
      <c r="P116" s="210"/>
      <c r="Q116" s="210"/>
      <c r="R116" s="210"/>
      <c r="T116" s="41">
        <v>24</v>
      </c>
      <c r="V116" s="42" t="s">
        <v>64</v>
      </c>
      <c r="Y116" s="159"/>
      <c r="Z116" s="1"/>
      <c r="AA116" s="3">
        <f>H44</f>
        <v>611457</v>
      </c>
      <c r="AB116" s="3"/>
      <c r="AC116" s="193">
        <f>INPUT!C78</f>
        <v>13.92</v>
      </c>
      <c r="AD116" s="194"/>
      <c r="AE116" s="3">
        <f>ROUND(+AA116*AC116,0)</f>
        <v>8511481</v>
      </c>
      <c r="AF116" s="1"/>
      <c r="AG116" s="175">
        <f>ROUND((+AE116/$AE$137)*100,1)</f>
        <v>18.600000000000001</v>
      </c>
      <c r="AH116" s="1"/>
      <c r="AI116" s="3">
        <f>L44-AE116</f>
        <v>586999</v>
      </c>
      <c r="AJ116" s="3"/>
      <c r="AK116" s="175">
        <f>IF(AE116=0,0,ROUND((AI116/AE116)*100,1))</f>
        <v>6.9</v>
      </c>
      <c r="AL116" s="6"/>
      <c r="AM116" s="3"/>
      <c r="AN116" s="1"/>
      <c r="AO116" s="3">
        <f>AE116+AM116</f>
        <v>8511481</v>
      </c>
      <c r="AP116" s="1"/>
      <c r="AQ116" s="175">
        <f>ROUND((+AI116/AO116)*100,1)</f>
        <v>6.9</v>
      </c>
    </row>
    <row r="117" spans="3:43" x14ac:dyDescent="0.3">
      <c r="C117" s="42"/>
      <c r="F117" s="123"/>
      <c r="H117" s="123"/>
      <c r="J117" s="123"/>
      <c r="L117" s="213"/>
      <c r="N117" s="213"/>
      <c r="O117" s="123"/>
      <c r="P117" s="160"/>
      <c r="Q117" s="123"/>
      <c r="R117" s="123"/>
      <c r="T117" s="41">
        <v>26</v>
      </c>
      <c r="V117" s="42" t="s">
        <v>65</v>
      </c>
      <c r="Y117" s="159"/>
      <c r="Z117" s="1"/>
      <c r="AA117" s="3">
        <f>H45</f>
        <v>14975</v>
      </c>
      <c r="AB117" s="3"/>
      <c r="AC117" s="193">
        <f>INPUT!C79</f>
        <v>1.32</v>
      </c>
      <c r="AD117" s="194"/>
      <c r="AE117" s="3">
        <f>ROUND(+AA117*AC117,0)</f>
        <v>19767</v>
      </c>
      <c r="AF117" s="1"/>
      <c r="AG117" s="175">
        <f>ROUND((+AE117/$AE$137)*100,1)</f>
        <v>0</v>
      </c>
      <c r="AH117" s="1"/>
      <c r="AI117" s="3">
        <f>L45-AE117</f>
        <v>1348</v>
      </c>
      <c r="AJ117" s="3"/>
      <c r="AK117" s="175">
        <f>IF(AE117=0,0,ROUND((AI117/AE117)*100,1))</f>
        <v>6.8</v>
      </c>
      <c r="AL117" s="6"/>
      <c r="AM117" s="3"/>
      <c r="AN117" s="1"/>
      <c r="AO117" s="3">
        <f>AE117+AM117</f>
        <v>19767</v>
      </c>
      <c r="AP117" s="1"/>
      <c r="AQ117" s="175">
        <f>ROUND((+AI117/AO117)*100,1)</f>
        <v>6.8</v>
      </c>
    </row>
    <row r="118" spans="3:43" x14ac:dyDescent="0.3">
      <c r="C118" s="42"/>
      <c r="F118" s="123"/>
      <c r="H118" s="123"/>
      <c r="J118" s="123"/>
      <c r="L118" s="213"/>
      <c r="N118" s="213"/>
      <c r="O118" s="123"/>
      <c r="P118" s="160"/>
      <c r="Q118" s="123"/>
      <c r="R118" s="123"/>
      <c r="V118" s="42" t="s">
        <v>976</v>
      </c>
      <c r="Y118" s="159"/>
      <c r="Z118" s="1"/>
      <c r="AA118" s="49">
        <f>AA116+AA117</f>
        <v>626432</v>
      </c>
      <c r="AB118" s="3"/>
      <c r="AC118" s="193">
        <f>AC100</f>
        <v>6.07</v>
      </c>
      <c r="AD118" s="194"/>
      <c r="AE118" s="3">
        <f>ROUND(+AA118*AC118,0)</f>
        <v>3802442</v>
      </c>
      <c r="AF118" s="1"/>
      <c r="AG118" s="177">
        <f>ROUND((+AE118/$AE$137)*100,1)</f>
        <v>8.3000000000000007</v>
      </c>
      <c r="AH118" s="1"/>
      <c r="AI118" s="3">
        <f>L46-AE118</f>
        <v>438503</v>
      </c>
      <c r="AJ118" s="3"/>
      <c r="AK118" s="177">
        <f>IF(AE118=0,0,ROUND((AI118/AE118)*100,1))</f>
        <v>11.5</v>
      </c>
      <c r="AL118" s="6"/>
      <c r="AM118" s="3"/>
      <c r="AN118" s="1"/>
      <c r="AO118" s="3">
        <f>AE118+AM118</f>
        <v>3802442</v>
      </c>
      <c r="AP118" s="1"/>
      <c r="AQ118" s="177">
        <f>ROUND((+AI118/AO118)*100,1)</f>
        <v>11.5</v>
      </c>
    </row>
    <row r="119" spans="3:43" ht="20.100000000000001" customHeight="1" x14ac:dyDescent="0.3">
      <c r="C119" s="42"/>
      <c r="F119" s="184"/>
      <c r="H119" s="184"/>
      <c r="J119" s="184"/>
      <c r="L119" s="237"/>
      <c r="N119" s="237"/>
      <c r="O119" s="123"/>
      <c r="P119" s="160"/>
      <c r="Q119" s="123"/>
      <c r="R119" s="123"/>
      <c r="S119" s="123"/>
      <c r="T119" s="41">
        <v>26</v>
      </c>
      <c r="V119" s="132" t="s">
        <v>146</v>
      </c>
      <c r="Y119" s="3"/>
      <c r="Z119" s="1"/>
      <c r="AA119" s="145">
        <f>H47</f>
        <v>626432</v>
      </c>
      <c r="AB119" s="3"/>
      <c r="AC119" s="183"/>
      <c r="AD119" s="183"/>
      <c r="AE119" s="145">
        <f>SUM(AE116:AE118)</f>
        <v>12333690</v>
      </c>
      <c r="AF119" s="1"/>
      <c r="AG119" s="180">
        <f>ROUND((+AE119/$AE$137)*100,1)</f>
        <v>26.9</v>
      </c>
      <c r="AH119" s="1"/>
      <c r="AI119" s="145">
        <f>SUM(AI116:AI118)</f>
        <v>1026850</v>
      </c>
      <c r="AJ119" s="3"/>
      <c r="AK119" s="180">
        <f>IF(AE119=0,0,ROUND((AI119/AE119)*100,1))</f>
        <v>8.3000000000000007</v>
      </c>
      <c r="AL119" s="6"/>
      <c r="AM119" s="145"/>
      <c r="AN119" s="1"/>
      <c r="AO119" s="145">
        <f>SUM(AO116:AO118)</f>
        <v>12333690</v>
      </c>
      <c r="AP119" s="1"/>
      <c r="AQ119" s="180">
        <f>ROUND((+AI119/AO119)*100,1)</f>
        <v>8.3000000000000007</v>
      </c>
    </row>
    <row r="120" spans="3:43" x14ac:dyDescent="0.3">
      <c r="C120" s="42"/>
      <c r="F120" s="184"/>
      <c r="H120" s="184"/>
      <c r="J120" s="184"/>
      <c r="L120" s="193"/>
      <c r="N120" s="193"/>
      <c r="O120" s="123"/>
      <c r="P120" s="160"/>
      <c r="Q120" s="123"/>
      <c r="R120" s="123"/>
      <c r="T120" s="41">
        <v>27</v>
      </c>
      <c r="V120" s="132" t="s">
        <v>147</v>
      </c>
      <c r="Y120" s="3"/>
      <c r="Z120" s="1"/>
      <c r="AA120" s="3"/>
      <c r="AB120" s="3"/>
      <c r="AC120" s="183"/>
      <c r="AD120" s="183"/>
      <c r="AE120" s="3"/>
      <c r="AF120" s="1"/>
      <c r="AG120" s="175"/>
      <c r="AH120" s="1"/>
      <c r="AI120" s="3"/>
      <c r="AJ120" s="3"/>
      <c r="AK120" s="175"/>
      <c r="AL120" s="6"/>
      <c r="AM120" s="3"/>
      <c r="AN120" s="1"/>
      <c r="AO120" s="3"/>
      <c r="AP120" s="1"/>
      <c r="AQ120" s="175"/>
    </row>
    <row r="121" spans="3:43" x14ac:dyDescent="0.3">
      <c r="F121" s="123"/>
      <c r="H121" s="210"/>
      <c r="J121" s="210"/>
      <c r="L121" s="213"/>
      <c r="N121" s="213"/>
      <c r="O121" s="210"/>
      <c r="P121" s="210"/>
      <c r="Q121" s="210"/>
      <c r="R121" s="210"/>
      <c r="T121" s="41">
        <v>28</v>
      </c>
      <c r="V121" s="192" t="s">
        <v>148</v>
      </c>
      <c r="Y121" s="3"/>
      <c r="Z121" s="1"/>
      <c r="AA121" s="3">
        <f>H49</f>
        <v>235583</v>
      </c>
      <c r="AB121" s="3"/>
      <c r="AC121" s="194">
        <f>AC103</f>
        <v>-0.75</v>
      </c>
      <c r="AD121" s="258"/>
      <c r="AE121" s="3">
        <f>ROUND(+AA121*AC121,0)</f>
        <v>-176687</v>
      </c>
      <c r="AF121" s="1"/>
      <c r="AG121" s="175">
        <f>ROUND((+AE121/$AE$137)*100,1)</f>
        <v>-0.4</v>
      </c>
      <c r="AH121" s="1"/>
      <c r="AI121" s="3">
        <f>L49-AE121</f>
        <v>-11779</v>
      </c>
      <c r="AJ121" s="3"/>
      <c r="AK121" s="175">
        <f>IF(AE121=0,0,ROUND((AI121/AE121)*100,1))</f>
        <v>6.7</v>
      </c>
      <c r="AL121" s="6"/>
      <c r="AM121" s="3"/>
      <c r="AN121" s="1"/>
      <c r="AO121" s="3">
        <f>AE121+AM121</f>
        <v>-176687</v>
      </c>
      <c r="AP121" s="1"/>
      <c r="AQ121" s="175">
        <f>ROUND((+AI121/AO121)*100,1)</f>
        <v>6.7</v>
      </c>
    </row>
    <row r="122" spans="3:43" ht="20.100000000000001" customHeight="1" x14ac:dyDescent="0.3">
      <c r="C122" s="42"/>
      <c r="F122" s="123"/>
      <c r="H122" s="123"/>
      <c r="J122" s="123"/>
      <c r="L122" s="213"/>
      <c r="N122" s="213"/>
      <c r="O122" s="123"/>
      <c r="P122" s="160"/>
      <c r="Q122" s="123"/>
      <c r="R122" s="123"/>
      <c r="T122" s="41">
        <v>29</v>
      </c>
      <c r="V122" s="192" t="s">
        <v>149</v>
      </c>
      <c r="Y122" s="1"/>
      <c r="Z122" s="1"/>
      <c r="AA122" s="49">
        <f>H50</f>
        <v>390849</v>
      </c>
      <c r="AB122" s="3"/>
      <c r="AC122" s="194">
        <f>AC104</f>
        <v>-0.57999999999999996</v>
      </c>
      <c r="AD122" s="258"/>
      <c r="AE122" s="3">
        <f>ROUND(+AA122*AC122,0)</f>
        <v>-226692</v>
      </c>
      <c r="AF122" s="1"/>
      <c r="AG122" s="177">
        <f>ROUND((+AE122/$AE$137)*100,1)</f>
        <v>-0.5</v>
      </c>
      <c r="AH122" s="1"/>
      <c r="AI122" s="3">
        <f>L50-AE122</f>
        <v>-15634</v>
      </c>
      <c r="AJ122" s="3"/>
      <c r="AK122" s="177">
        <f>IF(AE122=0,0,ROUND((AI122/AE122)*100,1))</f>
        <v>6.9</v>
      </c>
      <c r="AL122" s="6"/>
      <c r="AM122" s="3"/>
      <c r="AN122" s="1"/>
      <c r="AO122" s="3">
        <f>AE122+AM122</f>
        <v>-226692</v>
      </c>
      <c r="AP122" s="1"/>
      <c r="AQ122" s="177">
        <f>ROUND((+AI122/AO122)*100,1)</f>
        <v>6.9</v>
      </c>
    </row>
    <row r="123" spans="3:43" ht="20.100000000000001" customHeight="1" x14ac:dyDescent="0.3">
      <c r="C123" s="42"/>
      <c r="F123" s="123"/>
      <c r="H123" s="123"/>
      <c r="J123" s="123"/>
      <c r="L123" s="213"/>
      <c r="N123" s="213"/>
      <c r="O123" s="123"/>
      <c r="P123" s="123"/>
      <c r="Q123" s="123"/>
      <c r="R123" s="123"/>
      <c r="T123" s="41">
        <v>30</v>
      </c>
      <c r="V123" s="132" t="s">
        <v>66</v>
      </c>
      <c r="Y123" s="3"/>
      <c r="Z123" s="1"/>
      <c r="AA123" s="49">
        <f>H51</f>
        <v>626432</v>
      </c>
      <c r="AB123" s="3"/>
      <c r="AC123" s="7"/>
      <c r="AD123" s="7"/>
      <c r="AE123" s="145">
        <f>AE119+AE121+AE122</f>
        <v>11930311</v>
      </c>
      <c r="AF123" s="1"/>
      <c r="AG123" s="180">
        <f>ROUND((+AE123/$AE$137)*100,1)</f>
        <v>26.1</v>
      </c>
      <c r="AH123" s="1"/>
      <c r="AI123" s="145">
        <f>AI119+AI121+AI122</f>
        <v>999437</v>
      </c>
      <c r="AJ123" s="3"/>
      <c r="AK123" s="180">
        <f>IF(AE123=0,0,ROUND((AI123/AE123)*100,1))</f>
        <v>8.4</v>
      </c>
      <c r="AL123" s="6"/>
      <c r="AM123" s="145"/>
      <c r="AN123" s="1"/>
      <c r="AO123" s="145">
        <f>AO119+AO121+AO122</f>
        <v>11930311</v>
      </c>
      <c r="AP123" s="1"/>
      <c r="AQ123" s="180">
        <f>ROUND((+AI123/AO123)*100,1)</f>
        <v>8.4</v>
      </c>
    </row>
    <row r="124" spans="3:43" x14ac:dyDescent="0.3">
      <c r="C124" s="42"/>
      <c r="H124" s="184"/>
      <c r="J124" s="184"/>
      <c r="L124" s="238"/>
      <c r="N124" s="238"/>
      <c r="O124" s="123"/>
      <c r="P124" s="160"/>
      <c r="Q124" s="123"/>
      <c r="R124" s="123"/>
      <c r="T124" s="41">
        <v>31</v>
      </c>
      <c r="V124" s="178" t="s">
        <v>374</v>
      </c>
      <c r="Y124" s="3"/>
      <c r="Z124" s="1"/>
      <c r="AA124" s="3"/>
      <c r="AB124" s="3"/>
      <c r="AC124" s="7"/>
      <c r="AD124" s="7"/>
      <c r="AE124" s="3"/>
      <c r="AF124" s="1"/>
      <c r="AG124" s="175"/>
      <c r="AH124" s="1"/>
      <c r="AI124" s="3"/>
      <c r="AJ124" s="3"/>
      <c r="AK124" s="175"/>
      <c r="AL124" s="6"/>
      <c r="AM124" s="3"/>
      <c r="AN124" s="1"/>
      <c r="AO124" s="3"/>
      <c r="AP124" s="1"/>
      <c r="AQ124" s="175"/>
    </row>
    <row r="125" spans="3:43" x14ac:dyDescent="0.3">
      <c r="C125" s="42"/>
      <c r="H125" s="184"/>
      <c r="J125" s="184"/>
      <c r="L125" s="238"/>
      <c r="N125" s="238"/>
      <c r="O125" s="123"/>
      <c r="P125" s="160"/>
      <c r="Q125" s="123"/>
      <c r="R125" s="123"/>
      <c r="T125" s="41">
        <v>32</v>
      </c>
      <c r="V125" s="42" t="s">
        <v>386</v>
      </c>
      <c r="Y125" s="3"/>
      <c r="Z125" s="1"/>
      <c r="AA125" s="3">
        <f>H53</f>
        <v>83597903</v>
      </c>
      <c r="AB125" s="3"/>
      <c r="AC125" s="205">
        <f>INPUT!C73</f>
        <v>5.4640000000000001E-2</v>
      </c>
      <c r="AD125" s="199"/>
      <c r="AE125" s="3">
        <f>ROUND((+AA125*AC125),0)-AM125</f>
        <v>4567789</v>
      </c>
      <c r="AF125" s="1"/>
      <c r="AG125" s="175">
        <f>ROUND((+AE125/$AE$137)*100,1)</f>
        <v>10</v>
      </c>
      <c r="AH125" s="1"/>
      <c r="AI125" s="3">
        <f>L53-AE125</f>
        <v>493897</v>
      </c>
      <c r="AJ125" s="3"/>
      <c r="AK125" s="175">
        <f>IF(AE125=0,0,ROUND((AI125/AE125)*100,1))</f>
        <v>10.8</v>
      </c>
      <c r="AL125" s="6"/>
      <c r="AM125" s="3"/>
      <c r="AN125" s="1"/>
      <c r="AO125" s="3">
        <f>AE125+AM125</f>
        <v>4567789</v>
      </c>
      <c r="AP125" s="1"/>
      <c r="AQ125" s="175">
        <f>ROUND((+AI125/AO125)*100,1)</f>
        <v>10.8</v>
      </c>
    </row>
    <row r="126" spans="3:43" x14ac:dyDescent="0.3">
      <c r="F126" s="123"/>
      <c r="H126" s="123"/>
      <c r="J126" s="123"/>
      <c r="L126" s="213"/>
      <c r="N126" s="213"/>
      <c r="O126" s="210"/>
      <c r="P126" s="210"/>
      <c r="Q126" s="210"/>
      <c r="R126" s="210"/>
      <c r="T126" s="41">
        <v>33</v>
      </c>
      <c r="V126" s="42" t="s">
        <v>387</v>
      </c>
      <c r="Y126" s="196"/>
      <c r="Z126" s="1"/>
      <c r="AA126" s="3">
        <f>H54</f>
        <v>221049082</v>
      </c>
      <c r="AB126" s="3"/>
      <c r="AC126" s="257">
        <f>AC108</f>
        <v>4.8348000000000002E-2</v>
      </c>
      <c r="AD126" s="199"/>
      <c r="AE126" s="49">
        <f>ROUND((+AA126*AC126),0)-AM126</f>
        <v>10687281</v>
      </c>
      <c r="AF126" s="1"/>
      <c r="AG126" s="177">
        <f>ROUND((+AE126/$AE$137)*100,1)</f>
        <v>23.3</v>
      </c>
      <c r="AH126" s="1"/>
      <c r="AI126" s="49">
        <f>L54-AE126</f>
        <v>1114972</v>
      </c>
      <c r="AJ126" s="3"/>
      <c r="AK126" s="177">
        <f>IF(AE126=0,0,ROUND((AI126/AE126)*100,1))</f>
        <v>10.4</v>
      </c>
      <c r="AL126" s="6"/>
      <c r="AM126" s="49"/>
      <c r="AN126" s="1"/>
      <c r="AO126" s="49">
        <f>AE126+AM126</f>
        <v>10687281</v>
      </c>
      <c r="AP126" s="1"/>
      <c r="AQ126" s="177">
        <f>ROUND((+AI126/AO126)*100,1)</f>
        <v>10.4</v>
      </c>
    </row>
    <row r="127" spans="3:43" ht="22.5" customHeight="1" x14ac:dyDescent="0.3">
      <c r="F127" s="123"/>
      <c r="H127" s="123"/>
      <c r="J127" s="123"/>
      <c r="L127" s="213"/>
      <c r="N127" s="213"/>
      <c r="O127" s="210"/>
      <c r="P127" s="210"/>
      <c r="Q127" s="210"/>
      <c r="R127" s="210"/>
      <c r="T127" s="41">
        <v>34</v>
      </c>
      <c r="V127" s="132" t="s">
        <v>58</v>
      </c>
      <c r="Y127" s="145">
        <f>F55</f>
        <v>264</v>
      </c>
      <c r="Z127" s="1"/>
      <c r="AA127" s="145">
        <f>H55</f>
        <v>304646985</v>
      </c>
      <c r="AB127" s="3"/>
      <c r="AC127" s="257"/>
      <c r="AD127" s="183"/>
      <c r="AE127" s="145">
        <f>AE114+AE123+AE125+AE126</f>
        <v>27221813</v>
      </c>
      <c r="AF127" s="1"/>
      <c r="AG127" s="180">
        <f>ROUND((+AE127/$AE$137)*100,1)</f>
        <v>59.5</v>
      </c>
      <c r="AH127" s="1"/>
      <c r="AI127" s="145">
        <f>AI114+AI123+AI125+AI126</f>
        <v>2612794</v>
      </c>
      <c r="AJ127" s="3"/>
      <c r="AK127" s="180">
        <f>IF(AE127=0,0,ROUND((AI127/AE127)*100,1))</f>
        <v>9.6</v>
      </c>
      <c r="AL127" s="6"/>
      <c r="AM127" s="145"/>
      <c r="AN127" s="1"/>
      <c r="AO127" s="145">
        <f>AO114+AO123+AO125+AO126</f>
        <v>27221813</v>
      </c>
      <c r="AP127" s="1"/>
      <c r="AQ127" s="180">
        <f>ROUND((+AI127/AO127)*100,1)</f>
        <v>9.6</v>
      </c>
    </row>
    <row r="128" spans="3:43" ht="22.5" customHeight="1" x14ac:dyDescent="0.3">
      <c r="F128" s="123"/>
      <c r="H128" s="123"/>
      <c r="J128" s="123"/>
      <c r="L128" s="213"/>
      <c r="N128" s="213"/>
      <c r="O128" s="210"/>
      <c r="P128" s="210"/>
      <c r="Q128" s="210"/>
      <c r="R128" s="210"/>
      <c r="T128" s="41">
        <v>35</v>
      </c>
      <c r="V128" s="178" t="s">
        <v>441</v>
      </c>
      <c r="Y128" s="49">
        <f>Y109+Y127</f>
        <v>395</v>
      </c>
      <c r="Z128" s="1"/>
      <c r="AA128" s="49">
        <f>AA109+AA127</f>
        <v>474967440</v>
      </c>
      <c r="AB128" s="1"/>
      <c r="AC128" s="257"/>
      <c r="AD128" s="183"/>
      <c r="AE128" s="145">
        <f>AE127+AE109</f>
        <v>42742343</v>
      </c>
      <c r="AF128" s="1"/>
      <c r="AG128" s="180">
        <f>ROUND((+AE128/$AE$137)*100,1)</f>
        <v>93.4</v>
      </c>
      <c r="AH128" s="1"/>
      <c r="AI128" s="49">
        <f>AI127+AI109</f>
        <v>4098794</v>
      </c>
      <c r="AJ128" s="3"/>
      <c r="AK128" s="180">
        <f>IF(AE128=0,0,ROUND((AI128/AE128)*100,1))</f>
        <v>9.6</v>
      </c>
      <c r="AL128" s="6"/>
      <c r="AM128" s="145"/>
      <c r="AN128" s="1"/>
      <c r="AO128" s="145">
        <f>AO127+AO109</f>
        <v>42742343</v>
      </c>
      <c r="AP128" s="1"/>
      <c r="AQ128" s="180">
        <f>ROUND((+AI128/AO128)*100,1)</f>
        <v>9.6</v>
      </c>
    </row>
    <row r="129" spans="3:43" ht="15.75" customHeight="1" x14ac:dyDescent="0.3">
      <c r="F129" s="123"/>
      <c r="H129" s="123"/>
      <c r="J129" s="123"/>
      <c r="L129" s="213"/>
      <c r="N129" s="213"/>
      <c r="O129" s="210"/>
      <c r="P129" s="210"/>
      <c r="Q129" s="210"/>
      <c r="R129" s="210"/>
      <c r="V129" s="42"/>
      <c r="Y129" s="3"/>
      <c r="Z129" s="1"/>
      <c r="AA129" s="3"/>
      <c r="AB129" s="1"/>
      <c r="AC129" s="257"/>
      <c r="AD129" s="183"/>
      <c r="AE129" s="3"/>
      <c r="AF129" s="1"/>
      <c r="AG129" s="175"/>
      <c r="AH129" s="1"/>
      <c r="AI129" s="3"/>
      <c r="AJ129" s="3"/>
      <c r="AK129" s="175"/>
      <c r="AL129" s="6"/>
      <c r="AM129" s="123"/>
      <c r="AN129" s="1"/>
      <c r="AO129" s="3"/>
      <c r="AP129" s="1"/>
      <c r="AQ129" s="175"/>
    </row>
    <row r="130" spans="3:43" ht="15.75" customHeight="1" x14ac:dyDescent="0.3">
      <c r="F130" s="123"/>
      <c r="H130" s="123"/>
      <c r="J130" s="123"/>
      <c r="L130" s="213"/>
      <c r="N130" s="213"/>
      <c r="O130" s="210"/>
      <c r="P130" s="210"/>
      <c r="Q130" s="210"/>
      <c r="R130" s="210"/>
      <c r="T130" s="41">
        <f t="shared" ref="T130:T135" si="1">A58</f>
        <v>37</v>
      </c>
      <c r="V130" s="132" t="s">
        <v>432</v>
      </c>
      <c r="Y130" s="3"/>
      <c r="Z130" s="1"/>
      <c r="AA130" s="3"/>
      <c r="AB130" s="1"/>
      <c r="AC130" s="257"/>
      <c r="AD130" s="183"/>
      <c r="AE130" s="3"/>
      <c r="AF130" s="1"/>
      <c r="AG130" s="175"/>
      <c r="AH130" s="1"/>
      <c r="AI130" s="3"/>
      <c r="AJ130" s="3"/>
      <c r="AK130" s="175"/>
      <c r="AL130" s="6"/>
      <c r="AM130" s="123"/>
      <c r="AN130" s="1"/>
      <c r="AO130" s="3"/>
      <c r="AP130" s="1"/>
      <c r="AQ130" s="175"/>
    </row>
    <row r="131" spans="3:43" ht="15.75" customHeight="1" x14ac:dyDescent="0.3">
      <c r="F131" s="123"/>
      <c r="H131" s="123"/>
      <c r="J131" s="123"/>
      <c r="L131" s="213"/>
      <c r="N131" s="213"/>
      <c r="O131" s="210"/>
      <c r="P131" s="210"/>
      <c r="Q131" s="210"/>
      <c r="R131" s="210"/>
      <c r="T131" s="41">
        <f t="shared" si="1"/>
        <v>38</v>
      </c>
      <c r="V131" s="192" t="str">
        <f>C59</f>
        <v>DEMAND SIDE MANAGEMENT RIDER (DSMR)</v>
      </c>
      <c r="Y131" s="3"/>
      <c r="Z131" s="1"/>
      <c r="AA131" s="3"/>
      <c r="AB131" s="1"/>
      <c r="AC131" s="217">
        <f>DSM_DIST</f>
        <v>3.503E-3</v>
      </c>
      <c r="AD131" s="183"/>
      <c r="AE131" s="3">
        <f>ROUND($AA$128*AC131,0)</f>
        <v>1663811</v>
      </c>
      <c r="AF131" s="1"/>
      <c r="AG131" s="175">
        <f>ROUND((+AE131/$AE$137)*100,1)</f>
        <v>3.6</v>
      </c>
      <c r="AH131" s="1"/>
      <c r="AI131" s="3">
        <f>L59-AE131</f>
        <v>0</v>
      </c>
      <c r="AJ131" s="3"/>
      <c r="AK131" s="175">
        <f>IF(AE131=0,0,ROUND((AI131/AE131)*100,1))</f>
        <v>0</v>
      </c>
      <c r="AL131" s="6"/>
      <c r="AM131" s="123"/>
      <c r="AN131" s="1"/>
      <c r="AO131" s="3">
        <f>AE131+AM131</f>
        <v>1663811</v>
      </c>
      <c r="AP131" s="1"/>
      <c r="AQ131" s="175">
        <f>IF(AO131=0,0,ROUND((+AI131/AO131)*100,1))</f>
        <v>0</v>
      </c>
    </row>
    <row r="132" spans="3:43" ht="15.75" customHeight="1" x14ac:dyDescent="0.3">
      <c r="F132" s="123"/>
      <c r="H132" s="123"/>
      <c r="J132" s="123"/>
      <c r="L132" s="213"/>
      <c r="N132" s="213"/>
      <c r="O132" s="210"/>
      <c r="P132" s="210"/>
      <c r="Q132" s="210"/>
      <c r="R132" s="210"/>
      <c r="T132" s="41">
        <f t="shared" si="1"/>
        <v>39</v>
      </c>
      <c r="V132" s="192" t="str">
        <f>C60</f>
        <v>ENVIRONMENTAL SURCHARGE MECHANISM RIDER (ESM)</v>
      </c>
      <c r="Y132" s="3"/>
      <c r="Z132" s="1"/>
      <c r="AA132" s="3"/>
      <c r="AB132" s="1"/>
      <c r="AC132" s="231">
        <f>CUR_ESM_NonRes</f>
        <v>6.4941608437496566E-3</v>
      </c>
      <c r="AD132" s="183"/>
      <c r="AE132" s="3">
        <f>ROUND((AO128-(CUR_BASE_FUEL*AA128)+AO131+AO134)*AC132,0)</f>
        <v>191820</v>
      </c>
      <c r="AF132" s="1"/>
      <c r="AG132" s="175">
        <f>ROUND((+AE132/$AE$137)*100,1)</f>
        <v>0.4</v>
      </c>
      <c r="AH132" s="1"/>
      <c r="AI132" s="3">
        <f>L60-AE132</f>
        <v>3255</v>
      </c>
      <c r="AJ132" s="3"/>
      <c r="AK132" s="175">
        <f>IF(AE132=0,0,ROUND((AI132/AE132)*100,1))</f>
        <v>1.7</v>
      </c>
      <c r="AL132" s="6"/>
      <c r="AM132" s="123"/>
      <c r="AN132" s="1"/>
      <c r="AO132" s="3">
        <f>AE132+AM132</f>
        <v>191820</v>
      </c>
      <c r="AP132" s="1"/>
      <c r="AQ132" s="175">
        <f>IF(AO132=0,0,ROUND((+AI132/AO132)*100,1))</f>
        <v>1.7</v>
      </c>
    </row>
    <row r="133" spans="3:43" ht="15.75" customHeight="1" x14ac:dyDescent="0.3">
      <c r="F133" s="123"/>
      <c r="H133" s="123"/>
      <c r="J133" s="123"/>
      <c r="L133" s="213"/>
      <c r="N133" s="213"/>
      <c r="O133" s="210"/>
      <c r="P133" s="210"/>
      <c r="Q133" s="210"/>
      <c r="R133" s="210"/>
      <c r="T133" s="41">
        <f t="shared" si="1"/>
        <v>40</v>
      </c>
      <c r="V133" s="192" t="str">
        <f>C61</f>
        <v>FUEL ADJUSTMENT CLAUSE (FAC)</v>
      </c>
      <c r="Y133" s="3"/>
      <c r="Z133" s="1"/>
      <c r="AA133" s="3"/>
      <c r="AB133" s="1"/>
      <c r="AC133" s="217">
        <f>CUR_FAC</f>
        <v>3.4872127999999998E-3</v>
      </c>
      <c r="AD133" s="183"/>
      <c r="AE133" s="3"/>
      <c r="AF133" s="1"/>
      <c r="AG133" s="175"/>
      <c r="AH133" s="1"/>
      <c r="AI133" s="3"/>
      <c r="AJ133" s="3"/>
      <c r="AK133" s="175"/>
      <c r="AL133" s="6"/>
      <c r="AM133" s="3">
        <f>ROUND(AA128*CUR_FAC,0)</f>
        <v>1656313</v>
      </c>
      <c r="AN133" s="1"/>
      <c r="AO133" s="3">
        <f>AE133+AM133</f>
        <v>1656313</v>
      </c>
      <c r="AP133" s="1"/>
      <c r="AQ133" s="175">
        <f>IF(AO133=0,0,ROUND((+AI133/AO133)*100,1))</f>
        <v>0</v>
      </c>
    </row>
    <row r="134" spans="3:43" ht="15.75" customHeight="1" x14ac:dyDescent="0.3">
      <c r="F134" s="123"/>
      <c r="H134" s="123"/>
      <c r="J134" s="123"/>
      <c r="L134" s="213"/>
      <c r="N134" s="213"/>
      <c r="O134" s="210"/>
      <c r="P134" s="210"/>
      <c r="Q134" s="210"/>
      <c r="R134" s="210"/>
      <c r="T134" s="41">
        <f t="shared" si="1"/>
        <v>41</v>
      </c>
      <c r="V134" s="192" t="str">
        <f>C62</f>
        <v>PROFIT SHARING MECHANISM (PSM)</v>
      </c>
      <c r="Y134" s="3"/>
      <c r="Z134" s="1"/>
      <c r="AA134" s="3"/>
      <c r="AB134" s="1"/>
      <c r="AC134" s="217">
        <f>RS_PSM</f>
        <v>2.4750000000000002E-3</v>
      </c>
      <c r="AD134" s="183"/>
      <c r="AE134" s="49">
        <f>ROUND(AA128*RS_PSM,0)</f>
        <v>1175544</v>
      </c>
      <c r="AF134" s="1"/>
      <c r="AG134" s="177">
        <f>ROUND((+AE134/$AE$137)*100,1)</f>
        <v>2.6</v>
      </c>
      <c r="AH134" s="1"/>
      <c r="AI134" s="49">
        <f>L62-AE134</f>
        <v>0</v>
      </c>
      <c r="AJ134" s="3"/>
      <c r="AK134" s="177">
        <f>IF(AE134=0,0,ROUND((AI134/AE134)*100,1))</f>
        <v>0</v>
      </c>
      <c r="AL134" s="6"/>
      <c r="AM134" s="259"/>
      <c r="AN134" s="1"/>
      <c r="AO134" s="49">
        <f>AE134+AM134</f>
        <v>1175544</v>
      </c>
      <c r="AP134" s="1"/>
      <c r="AQ134" s="177">
        <f>IF(AO134=0,0,ROUND((+AI134/AO134)*100,1))</f>
        <v>0</v>
      </c>
    </row>
    <row r="135" spans="3:43" ht="22.5" customHeight="1" x14ac:dyDescent="0.3">
      <c r="F135" s="123"/>
      <c r="H135" s="123"/>
      <c r="J135" s="123"/>
      <c r="L135" s="213"/>
      <c r="N135" s="213"/>
      <c r="O135" s="210"/>
      <c r="P135" s="210"/>
      <c r="Q135" s="210"/>
      <c r="R135" s="210"/>
      <c r="T135" s="41">
        <f t="shared" si="1"/>
        <v>42</v>
      </c>
      <c r="V135" s="132" t="s">
        <v>437</v>
      </c>
      <c r="Y135" s="49"/>
      <c r="Z135" s="1"/>
      <c r="AA135" s="49"/>
      <c r="AB135" s="1"/>
      <c r="AC135" s="183"/>
      <c r="AD135" s="183"/>
      <c r="AE135" s="145">
        <f>SUM(AE131:AE134)</f>
        <v>3031175</v>
      </c>
      <c r="AF135" s="1"/>
      <c r="AG135" s="180">
        <f>ROUND((+AE135/$AE$137)*100,1)</f>
        <v>6.6</v>
      </c>
      <c r="AH135" s="1"/>
      <c r="AI135" s="145">
        <f>SUM(AI131:AI134)</f>
        <v>3255</v>
      </c>
      <c r="AJ135" s="3"/>
      <c r="AK135" s="180">
        <f>IF(AE135=0,0,ROUND((AI135/AE135)*100,1))</f>
        <v>0.1</v>
      </c>
      <c r="AL135" s="6"/>
      <c r="AM135" s="145">
        <f>AM133</f>
        <v>1656313</v>
      </c>
      <c r="AN135" s="1"/>
      <c r="AO135" s="145">
        <f>SUM(AO131:AO134)</f>
        <v>4687488</v>
      </c>
      <c r="AP135" s="1"/>
      <c r="AQ135" s="180">
        <f>ROUND((+AI135/AO135)*100,1)</f>
        <v>0.1</v>
      </c>
    </row>
    <row r="136" spans="3:43" x14ac:dyDescent="0.3">
      <c r="F136" s="123"/>
      <c r="H136" s="123"/>
      <c r="J136" s="123"/>
      <c r="L136" s="213"/>
      <c r="N136" s="213"/>
      <c r="O136" s="210"/>
      <c r="P136" s="210"/>
      <c r="Q136" s="210"/>
      <c r="R136" s="210"/>
      <c r="V136" s="42"/>
      <c r="Y136" s="3"/>
      <c r="Z136" s="1"/>
      <c r="AA136" s="3"/>
      <c r="AB136" s="3"/>
      <c r="AC136" s="183"/>
      <c r="AD136" s="183"/>
      <c r="AE136" s="3"/>
      <c r="AF136" s="1"/>
      <c r="AG136" s="175"/>
      <c r="AH136" s="1"/>
      <c r="AI136" s="3"/>
      <c r="AJ136" s="3"/>
      <c r="AK136" s="175"/>
      <c r="AL136" s="6"/>
      <c r="AM136" s="3"/>
      <c r="AN136" s="1"/>
      <c r="AO136" s="3"/>
      <c r="AP136" s="1"/>
      <c r="AQ136" s="175"/>
    </row>
    <row r="137" spans="3:43" ht="20.100000000000001" customHeight="1" thickBot="1" x14ac:dyDescent="0.35">
      <c r="F137" s="210"/>
      <c r="H137" s="210"/>
      <c r="J137" s="210"/>
      <c r="L137" s="213"/>
      <c r="N137" s="213"/>
      <c r="O137" s="210"/>
      <c r="P137" s="210"/>
      <c r="Q137" s="210"/>
      <c r="R137" s="210"/>
      <c r="T137" s="41">
        <f>A65</f>
        <v>43</v>
      </c>
      <c r="V137" s="178" t="s">
        <v>442</v>
      </c>
      <c r="Y137" s="151">
        <f>F65</f>
        <v>395</v>
      </c>
      <c r="Z137" s="1"/>
      <c r="AA137" s="151">
        <f>H65</f>
        <v>474967440</v>
      </c>
      <c r="AB137" s="3"/>
      <c r="AC137" s="1"/>
      <c r="AD137" s="1"/>
      <c r="AE137" s="151">
        <f>AE128+AE135</f>
        <v>45773518</v>
      </c>
      <c r="AF137" s="1"/>
      <c r="AG137" s="187">
        <v>100</v>
      </c>
      <c r="AH137" s="1"/>
      <c r="AI137" s="151">
        <f>AI128+AI135</f>
        <v>4102049</v>
      </c>
      <c r="AJ137" s="3"/>
      <c r="AK137" s="187">
        <f>IF(AE137=0,0,ROUND((AI137/AE137)*100,1))</f>
        <v>9</v>
      </c>
      <c r="AL137" s="6"/>
      <c r="AM137" s="151">
        <f>AM128+AM135</f>
        <v>1656313</v>
      </c>
      <c r="AN137" s="1"/>
      <c r="AO137" s="151">
        <f>AO128+AO135</f>
        <v>47429831</v>
      </c>
      <c r="AP137" s="1"/>
      <c r="AQ137" s="187">
        <f>ROUND((+AI137/AO137)*100,1)</f>
        <v>8.6</v>
      </c>
    </row>
    <row r="138" spans="3:43" ht="16.2" thickTop="1" x14ac:dyDescent="0.3">
      <c r="F138" s="210"/>
      <c r="H138" s="210"/>
      <c r="J138" s="210"/>
      <c r="K138" s="213"/>
      <c r="L138" s="213"/>
      <c r="N138" s="210"/>
      <c r="O138" s="210"/>
      <c r="P138" s="210"/>
      <c r="Q138" s="210"/>
      <c r="R138" s="210"/>
      <c r="S138" s="123"/>
      <c r="Y138" s="1"/>
      <c r="Z138" s="1"/>
      <c r="AA138" s="1"/>
      <c r="AB138" s="1"/>
      <c r="AC138" s="1"/>
      <c r="AD138" s="1"/>
      <c r="AE138" s="1"/>
      <c r="AF138" s="1"/>
      <c r="AG138" s="175"/>
      <c r="AH138" s="1"/>
      <c r="AI138" s="1"/>
      <c r="AJ138" s="1"/>
      <c r="AK138" s="175"/>
      <c r="AL138" s="1"/>
      <c r="AM138" s="1"/>
      <c r="AN138" s="1"/>
      <c r="AO138" s="1"/>
      <c r="AP138" s="1"/>
      <c r="AQ138" s="175"/>
    </row>
    <row r="139" spans="3:43" x14ac:dyDescent="0.3">
      <c r="C139" s="42"/>
      <c r="V139" s="202" t="s">
        <v>59</v>
      </c>
      <c r="AE139" s="123"/>
      <c r="AF139" s="123"/>
      <c r="AM139" s="123"/>
      <c r="AO139" s="123"/>
    </row>
    <row r="140" spans="3:43" x14ac:dyDescent="0.3">
      <c r="C140" s="42"/>
      <c r="V140" s="202" t="str">
        <f>"(2) REFLECTS FUEL COMPONENT OF "&amp;TEXT(CUR_FAC,"$0.000000;($0.000000)")&amp;"  PER KWH."</f>
        <v>(2) REFLECTS FUEL COMPONENT OF $0.003487  PER KWH.</v>
      </c>
      <c r="AE140" s="123"/>
      <c r="AF140" s="123"/>
      <c r="AM140" s="123"/>
      <c r="AO140" s="123"/>
    </row>
    <row r="141" spans="3:43" x14ac:dyDescent="0.3">
      <c r="C141" s="42"/>
      <c r="F141" s="123"/>
      <c r="H141" s="123"/>
      <c r="J141" s="123"/>
      <c r="N141" s="123"/>
      <c r="O141" s="123"/>
      <c r="P141" s="160"/>
      <c r="Q141" s="184"/>
      <c r="R141" s="123"/>
      <c r="T141" s="42"/>
      <c r="V141" s="202" t="str">
        <f>"(3) REFLECTS FUEL COST RECOVERY INCLUDED IN BASE RATES OF "&amp;TEXT(CUR_BASE_FUEL,"$0.000000;($0.000000)")&amp;"  PER KWH."</f>
        <v>(3) REFLECTS FUEL COST RECOVERY INCLUDED IN BASE RATES OF $0.033780  PER KWH.</v>
      </c>
      <c r="Y141" s="123"/>
      <c r="Z141" s="238"/>
      <c r="AA141" s="123"/>
      <c r="AB141" s="123"/>
      <c r="AC141" s="160"/>
      <c r="AD141" s="160"/>
      <c r="AE141" s="123"/>
      <c r="AF141" s="123"/>
      <c r="AI141" s="236"/>
      <c r="AJ141" s="236"/>
      <c r="AL141" s="123"/>
      <c r="AO141" s="160"/>
    </row>
    <row r="142" spans="3:43" x14ac:dyDescent="0.3">
      <c r="F142" s="210"/>
      <c r="H142" s="210"/>
      <c r="J142" s="210"/>
      <c r="K142" s="213"/>
      <c r="L142" s="213"/>
      <c r="N142" s="210"/>
      <c r="O142" s="210"/>
      <c r="P142" s="210"/>
      <c r="Q142" s="210"/>
      <c r="R142" s="210"/>
      <c r="Y142" s="123"/>
      <c r="Z142" s="213"/>
      <c r="AA142" s="210"/>
      <c r="AB142" s="210"/>
      <c r="AC142" s="210"/>
      <c r="AD142" s="210"/>
      <c r="AE142" s="210"/>
      <c r="AF142" s="210"/>
      <c r="AK142" s="214"/>
      <c r="AL142" s="210"/>
      <c r="AO142" s="160"/>
      <c r="AQ142" s="214"/>
    </row>
    <row r="143" spans="3:43" x14ac:dyDescent="0.3">
      <c r="T143" s="42"/>
      <c r="V143" s="123"/>
      <c r="Y143" s="123"/>
      <c r="Z143" s="219"/>
      <c r="AA143" s="123"/>
      <c r="AB143" s="123"/>
      <c r="AC143" s="160"/>
      <c r="AD143" s="160"/>
      <c r="AE143" s="123"/>
      <c r="AF143" s="123"/>
      <c r="AI143" s="236"/>
      <c r="AJ143" s="236"/>
      <c r="AL143" s="123"/>
      <c r="AO143" s="160"/>
    </row>
    <row r="144" spans="3:43" x14ac:dyDescent="0.3">
      <c r="C144" s="42"/>
      <c r="N144" s="123"/>
      <c r="O144" s="123"/>
      <c r="P144" s="123"/>
      <c r="Q144" s="123"/>
      <c r="R144" s="123"/>
      <c r="S144" s="123"/>
      <c r="V144" s="123"/>
      <c r="Y144" s="123"/>
      <c r="Z144" s="213"/>
      <c r="AA144" s="210"/>
      <c r="AB144" s="210"/>
      <c r="AC144" s="210"/>
      <c r="AD144" s="210"/>
      <c r="AE144" s="210"/>
      <c r="AF144" s="210"/>
      <c r="AK144" s="214"/>
      <c r="AL144" s="210"/>
      <c r="AO144" s="160"/>
      <c r="AQ144" s="214"/>
    </row>
    <row r="145" spans="1:43" x14ac:dyDescent="0.3">
      <c r="A145" s="42"/>
      <c r="T145" s="42"/>
      <c r="V145" s="123"/>
      <c r="Y145" s="123"/>
      <c r="Z145" s="219"/>
      <c r="AA145" s="123"/>
      <c r="AB145" s="123"/>
      <c r="AC145" s="160"/>
      <c r="AD145" s="160"/>
      <c r="AE145" s="123"/>
      <c r="AF145" s="123"/>
      <c r="AI145" s="236"/>
      <c r="AJ145" s="236"/>
      <c r="AL145" s="123"/>
      <c r="AO145" s="160"/>
    </row>
    <row r="146" spans="1:43" x14ac:dyDescent="0.3">
      <c r="T146" s="42"/>
      <c r="V146" s="184"/>
      <c r="Y146" s="123"/>
      <c r="Z146" s="227"/>
      <c r="AA146" s="123"/>
      <c r="AB146" s="123"/>
      <c r="AC146" s="160"/>
      <c r="AD146" s="160"/>
      <c r="AE146" s="123"/>
      <c r="AF146" s="123"/>
      <c r="AI146" s="236"/>
      <c r="AJ146" s="236"/>
      <c r="AL146" s="123"/>
      <c r="AO146" s="160"/>
    </row>
    <row r="147" spans="1:43" x14ac:dyDescent="0.3">
      <c r="H147" s="42"/>
      <c r="J147" s="42"/>
      <c r="V147" s="210"/>
      <c r="Y147" s="210"/>
      <c r="Z147" s="213"/>
      <c r="AA147" s="210"/>
      <c r="AB147" s="210"/>
      <c r="AC147" s="210"/>
      <c r="AD147" s="210"/>
      <c r="AE147" s="210"/>
      <c r="AF147" s="210"/>
      <c r="AK147" s="214"/>
      <c r="AL147" s="210"/>
      <c r="AO147" s="160"/>
      <c r="AQ147" s="214"/>
    </row>
    <row r="148" spans="1:43" x14ac:dyDescent="0.3">
      <c r="T148" s="42"/>
      <c r="V148" s="123"/>
      <c r="Y148" s="123"/>
      <c r="Z148" s="213"/>
      <c r="AA148" s="123"/>
      <c r="AB148" s="123"/>
      <c r="AC148" s="160"/>
      <c r="AD148" s="160"/>
      <c r="AE148" s="123"/>
      <c r="AF148" s="123"/>
      <c r="AI148" s="160"/>
      <c r="AJ148" s="160"/>
      <c r="AL148" s="123"/>
      <c r="AO148" s="160"/>
    </row>
    <row r="149" spans="1:43" x14ac:dyDescent="0.3">
      <c r="M149" s="42"/>
      <c r="N149" s="42"/>
      <c r="V149" s="210"/>
      <c r="Y149" s="210"/>
      <c r="Z149" s="213"/>
      <c r="AA149" s="210"/>
      <c r="AB149" s="210"/>
      <c r="AC149" s="210"/>
      <c r="AD149" s="210"/>
      <c r="AE149" s="210"/>
      <c r="AF149" s="210"/>
      <c r="AK149" s="214"/>
      <c r="AL149" s="210"/>
      <c r="AO149" s="160"/>
      <c r="AQ149" s="214"/>
    </row>
    <row r="150" spans="1:43" x14ac:dyDescent="0.3">
      <c r="R150" s="42"/>
      <c r="T150" s="42"/>
      <c r="V150" s="184"/>
      <c r="Y150" s="184"/>
      <c r="Z150" s="213"/>
      <c r="AA150" s="123"/>
      <c r="AB150" s="123"/>
      <c r="AC150" s="160"/>
      <c r="AD150" s="160"/>
      <c r="AE150" s="123"/>
      <c r="AF150" s="123"/>
      <c r="AL150" s="123"/>
      <c r="AO150" s="160"/>
    </row>
    <row r="151" spans="1:43" x14ac:dyDescent="0.3">
      <c r="R151" s="42"/>
    </row>
    <row r="152" spans="1:43" x14ac:dyDescent="0.3">
      <c r="A152" s="42"/>
      <c r="R152" s="42"/>
      <c r="T152" s="42"/>
    </row>
    <row r="153" spans="1:43" x14ac:dyDescent="0.3">
      <c r="M153" s="42"/>
      <c r="N153" s="42"/>
      <c r="T153" s="42"/>
      <c r="V153" s="123"/>
      <c r="Y153" s="184"/>
      <c r="Z153" s="193"/>
      <c r="AA153" s="123"/>
      <c r="AB153" s="123"/>
      <c r="AC153" s="160"/>
      <c r="AD153" s="160"/>
      <c r="AE153" s="123"/>
      <c r="AF153" s="123"/>
      <c r="AG153" s="233"/>
      <c r="AI153" s="234"/>
      <c r="AJ153" s="234"/>
      <c r="AO153" s="235"/>
    </row>
    <row r="154" spans="1:43" x14ac:dyDescent="0.3">
      <c r="A154" s="135"/>
      <c r="B154" s="135"/>
      <c r="C154" s="135"/>
      <c r="D154" s="135"/>
      <c r="E154" s="135"/>
      <c r="F154" s="135"/>
      <c r="G154" s="135"/>
      <c r="H154" s="135"/>
      <c r="J154" s="135"/>
      <c r="K154" s="135"/>
      <c r="L154" s="135"/>
      <c r="M154" s="135"/>
      <c r="N154" s="135"/>
      <c r="O154" s="135"/>
      <c r="P154" s="135"/>
      <c r="Q154" s="135"/>
      <c r="R154" s="135"/>
      <c r="T154" s="42"/>
      <c r="V154" s="123"/>
      <c r="Y154" s="184"/>
      <c r="Z154" s="193"/>
      <c r="AA154" s="123"/>
      <c r="AB154" s="123"/>
      <c r="AC154" s="160"/>
      <c r="AD154" s="160"/>
      <c r="AE154" s="123"/>
      <c r="AF154" s="123"/>
      <c r="AI154" s="236"/>
      <c r="AJ154" s="236"/>
      <c r="AO154" s="160"/>
    </row>
    <row r="155" spans="1:43" x14ac:dyDescent="0.3">
      <c r="M155" s="44"/>
      <c r="N155" s="44"/>
      <c r="O155" s="44"/>
      <c r="P155" s="44"/>
      <c r="R155" s="44"/>
      <c r="T155" s="42"/>
      <c r="V155" s="123"/>
      <c r="Y155" s="184"/>
      <c r="Z155" s="193"/>
      <c r="AA155" s="123"/>
      <c r="AB155" s="123"/>
      <c r="AC155" s="160"/>
      <c r="AD155" s="160"/>
      <c r="AE155" s="123"/>
      <c r="AF155" s="123"/>
      <c r="AI155" s="236"/>
      <c r="AJ155" s="236"/>
      <c r="AO155" s="160"/>
    </row>
    <row r="156" spans="1:43" x14ac:dyDescent="0.3">
      <c r="M156" s="44"/>
      <c r="N156" s="44"/>
      <c r="O156" s="44"/>
      <c r="P156" s="44"/>
      <c r="R156" s="44"/>
      <c r="V156" s="210"/>
      <c r="Y156" s="123"/>
      <c r="Z156" s="213"/>
      <c r="AA156" s="210"/>
      <c r="AB156" s="210"/>
      <c r="AC156" s="210"/>
      <c r="AD156" s="210"/>
      <c r="AE156" s="210"/>
      <c r="AF156" s="210"/>
      <c r="AK156" s="214"/>
      <c r="AL156" s="210"/>
      <c r="AO156" s="160"/>
      <c r="AQ156" s="214"/>
    </row>
    <row r="157" spans="1:43" x14ac:dyDescent="0.3">
      <c r="A157" s="44"/>
      <c r="C157" s="44"/>
      <c r="D157" s="44"/>
      <c r="E157" s="44"/>
      <c r="F157" s="44"/>
      <c r="K157" s="44"/>
      <c r="L157" s="44"/>
      <c r="M157" s="44"/>
      <c r="N157" s="44"/>
      <c r="O157" s="44"/>
      <c r="P157" s="44"/>
      <c r="Q157" s="44"/>
      <c r="R157" s="44"/>
      <c r="T157" s="42"/>
      <c r="V157" s="123"/>
      <c r="Y157" s="123"/>
      <c r="Z157" s="213"/>
      <c r="AA157" s="123"/>
      <c r="AB157" s="123"/>
      <c r="AC157" s="160"/>
      <c r="AD157" s="160"/>
      <c r="AE157" s="123"/>
      <c r="AF157" s="123"/>
      <c r="AI157" s="236"/>
      <c r="AJ157" s="236"/>
      <c r="AL157" s="123"/>
      <c r="AO157" s="160"/>
    </row>
    <row r="158" spans="1:43" x14ac:dyDescent="0.3">
      <c r="A158" s="44"/>
      <c r="C158" s="44"/>
      <c r="D158" s="44"/>
      <c r="E158" s="44"/>
      <c r="F158" s="44"/>
      <c r="H158" s="44"/>
      <c r="J158" s="44"/>
      <c r="K158" s="44"/>
      <c r="L158" s="44"/>
      <c r="M158" s="44"/>
      <c r="N158" s="44"/>
      <c r="O158" s="44"/>
      <c r="P158" s="44"/>
      <c r="Q158" s="44"/>
      <c r="R158" s="44"/>
      <c r="V158" s="210"/>
      <c r="Y158" s="123"/>
      <c r="Z158" s="213"/>
      <c r="AA158" s="210"/>
      <c r="AB158" s="210"/>
      <c r="AC158" s="210"/>
      <c r="AD158" s="210"/>
      <c r="AE158" s="210"/>
      <c r="AF158" s="210"/>
      <c r="AK158" s="214"/>
      <c r="AL158" s="210"/>
      <c r="AO158" s="160"/>
      <c r="AQ158" s="214"/>
    </row>
    <row r="159" spans="1:43" x14ac:dyDescent="0.3">
      <c r="C159" s="44"/>
      <c r="D159" s="44"/>
      <c r="E159" s="44"/>
      <c r="F159" s="44"/>
      <c r="H159" s="44"/>
      <c r="J159" s="44"/>
      <c r="K159" s="44"/>
      <c r="L159" s="44"/>
      <c r="M159" s="44"/>
      <c r="N159" s="44"/>
      <c r="O159" s="44"/>
      <c r="P159" s="44"/>
      <c r="Q159" s="44"/>
      <c r="R159" s="44"/>
      <c r="T159" s="42"/>
      <c r="V159" s="184"/>
      <c r="Y159" s="184"/>
      <c r="Z159" s="237"/>
      <c r="AA159" s="123"/>
      <c r="AB159" s="123"/>
      <c r="AC159" s="160"/>
      <c r="AD159" s="160"/>
      <c r="AE159" s="123"/>
      <c r="AF159" s="123"/>
      <c r="AI159" s="160"/>
      <c r="AJ159" s="160"/>
      <c r="AL159" s="123"/>
      <c r="AO159" s="160"/>
    </row>
    <row r="160" spans="1:43" x14ac:dyDescent="0.3">
      <c r="A160" s="135"/>
      <c r="B160" s="135"/>
      <c r="C160" s="135"/>
      <c r="D160" s="135"/>
      <c r="E160" s="135"/>
      <c r="F160" s="135"/>
      <c r="G160" s="135"/>
      <c r="H160" s="135"/>
      <c r="J160" s="135"/>
      <c r="K160" s="135"/>
      <c r="L160" s="135"/>
      <c r="M160" s="135"/>
      <c r="N160" s="135"/>
      <c r="O160" s="135"/>
      <c r="P160" s="135"/>
      <c r="Q160" s="135"/>
      <c r="R160" s="135"/>
      <c r="T160" s="42"/>
      <c r="V160" s="184"/>
      <c r="Y160" s="123"/>
      <c r="Z160" s="193"/>
      <c r="AA160" s="123"/>
      <c r="AB160" s="123"/>
      <c r="AC160" s="160"/>
      <c r="AD160" s="160"/>
      <c r="AE160" s="123"/>
      <c r="AF160" s="123"/>
      <c r="AI160" s="236"/>
      <c r="AJ160" s="236"/>
      <c r="AL160" s="123"/>
      <c r="AO160" s="160"/>
    </row>
    <row r="161" spans="3:43" x14ac:dyDescent="0.3">
      <c r="H161" s="44"/>
      <c r="J161" s="44"/>
      <c r="K161" s="44"/>
      <c r="L161" s="44"/>
      <c r="M161" s="44"/>
      <c r="N161" s="44"/>
      <c r="O161" s="44"/>
      <c r="P161" s="44"/>
      <c r="Q161" s="44"/>
      <c r="R161" s="44"/>
      <c r="T161" s="42"/>
      <c r="V161" s="184"/>
      <c r="Y161" s="123"/>
      <c r="Z161" s="193"/>
      <c r="AA161" s="123"/>
      <c r="AB161" s="123"/>
      <c r="AC161" s="160"/>
      <c r="AD161" s="160"/>
      <c r="AE161" s="123"/>
      <c r="AF161" s="123"/>
      <c r="AI161" s="236"/>
      <c r="AJ161" s="236"/>
      <c r="AL161" s="123"/>
      <c r="AO161" s="160"/>
    </row>
    <row r="162" spans="3:43" x14ac:dyDescent="0.3">
      <c r="C162" s="42"/>
      <c r="D162" s="42"/>
      <c r="E162" s="42"/>
      <c r="V162" s="123"/>
      <c r="Y162" s="210"/>
      <c r="Z162" s="213"/>
      <c r="AA162" s="210"/>
      <c r="AB162" s="210"/>
      <c r="AC162" s="210"/>
      <c r="AD162" s="210"/>
      <c r="AE162" s="210"/>
      <c r="AF162" s="210"/>
      <c r="AK162" s="214"/>
      <c r="AL162" s="210"/>
      <c r="AO162" s="160"/>
      <c r="AQ162" s="214"/>
    </row>
    <row r="163" spans="3:43" x14ac:dyDescent="0.3">
      <c r="D163" s="42"/>
      <c r="E163" s="42"/>
      <c r="T163" s="42"/>
      <c r="V163" s="123"/>
      <c r="Y163" s="123"/>
      <c r="Z163" s="213"/>
      <c r="AA163" s="123"/>
      <c r="AB163" s="123"/>
      <c r="AC163" s="160"/>
      <c r="AD163" s="160"/>
      <c r="AE163" s="123"/>
      <c r="AF163" s="123"/>
      <c r="AI163" s="236"/>
      <c r="AJ163" s="236"/>
      <c r="AL163" s="123"/>
      <c r="AO163" s="160"/>
    </row>
    <row r="164" spans="3:43" x14ac:dyDescent="0.3">
      <c r="V164" s="123"/>
      <c r="Y164" s="210"/>
      <c r="Z164" s="213"/>
      <c r="AA164" s="210"/>
      <c r="AB164" s="210"/>
      <c r="AC164" s="210"/>
      <c r="AD164" s="210"/>
      <c r="AE164" s="210"/>
      <c r="AF164" s="210"/>
      <c r="AK164" s="214"/>
      <c r="AL164" s="210"/>
      <c r="AO164" s="160"/>
      <c r="AQ164" s="214"/>
    </row>
    <row r="165" spans="3:43" x14ac:dyDescent="0.3">
      <c r="C165" s="42"/>
      <c r="F165" s="184"/>
      <c r="H165" s="184"/>
      <c r="J165" s="184"/>
      <c r="K165" s="193"/>
      <c r="L165" s="193"/>
      <c r="M165" s="123"/>
      <c r="N165" s="123"/>
      <c r="O165" s="160"/>
      <c r="P165" s="160"/>
      <c r="R165" s="123"/>
      <c r="T165" s="42"/>
      <c r="V165" s="123"/>
      <c r="Y165" s="123"/>
      <c r="Z165" s="213"/>
      <c r="AA165" s="123"/>
      <c r="AB165" s="123"/>
      <c r="AC165" s="123"/>
      <c r="AD165" s="123"/>
      <c r="AE165" s="123"/>
      <c r="AF165" s="123"/>
      <c r="AI165" s="236"/>
      <c r="AJ165" s="236"/>
      <c r="AL165" s="123"/>
      <c r="AO165" s="160"/>
    </row>
    <row r="166" spans="3:43" x14ac:dyDescent="0.3">
      <c r="C166" s="42"/>
      <c r="F166" s="184"/>
      <c r="H166" s="184"/>
      <c r="J166" s="184"/>
      <c r="K166" s="193"/>
      <c r="L166" s="193"/>
      <c r="M166" s="123"/>
      <c r="N166" s="123"/>
      <c r="O166" s="160"/>
      <c r="P166" s="160"/>
      <c r="R166" s="123"/>
      <c r="T166" s="42"/>
      <c r="V166" s="123"/>
      <c r="Y166" s="123"/>
      <c r="Z166" s="238"/>
      <c r="AA166" s="123"/>
      <c r="AB166" s="123"/>
      <c r="AC166" s="160"/>
      <c r="AD166" s="160"/>
      <c r="AE166" s="123"/>
      <c r="AF166" s="123"/>
      <c r="AI166" s="236"/>
      <c r="AJ166" s="236"/>
      <c r="AL166" s="123"/>
      <c r="AO166" s="160"/>
    </row>
    <row r="167" spans="3:43" x14ac:dyDescent="0.3">
      <c r="F167" s="210"/>
      <c r="H167" s="123"/>
      <c r="J167" s="123"/>
      <c r="K167" s="213"/>
      <c r="L167" s="213"/>
      <c r="M167" s="210"/>
      <c r="N167" s="210"/>
      <c r="O167" s="210"/>
      <c r="P167" s="210"/>
      <c r="Q167" s="210"/>
      <c r="R167" s="210"/>
      <c r="T167" s="42"/>
      <c r="Y167" s="123"/>
      <c r="Z167" s="238"/>
      <c r="AA167" s="123"/>
      <c r="AB167" s="123"/>
      <c r="AC167" s="160"/>
      <c r="AD167" s="160"/>
      <c r="AE167" s="123"/>
      <c r="AF167" s="123"/>
      <c r="AI167" s="236"/>
      <c r="AJ167" s="236"/>
      <c r="AL167" s="123"/>
      <c r="AO167" s="160"/>
    </row>
    <row r="168" spans="3:43" x14ac:dyDescent="0.3">
      <c r="C168" s="42"/>
      <c r="F168" s="123"/>
      <c r="H168" s="123"/>
      <c r="J168" s="123"/>
      <c r="K168" s="213"/>
      <c r="L168" s="213"/>
      <c r="M168" s="123"/>
      <c r="N168" s="123"/>
      <c r="O168" s="160"/>
      <c r="P168" s="160"/>
      <c r="Q168" s="123"/>
      <c r="R168" s="123"/>
      <c r="V168" s="123"/>
      <c r="Y168" s="123"/>
      <c r="Z168" s="213"/>
      <c r="AA168" s="210"/>
      <c r="AB168" s="210"/>
      <c r="AC168" s="210"/>
      <c r="AD168" s="210"/>
      <c r="AE168" s="210"/>
      <c r="AF168" s="210"/>
      <c r="AK168" s="214"/>
      <c r="AL168" s="210"/>
      <c r="AO168" s="160"/>
      <c r="AQ168" s="214"/>
    </row>
    <row r="169" spans="3:43" x14ac:dyDescent="0.3">
      <c r="F169" s="210"/>
      <c r="H169" s="123"/>
      <c r="J169" s="123"/>
      <c r="K169" s="213"/>
      <c r="L169" s="213"/>
      <c r="M169" s="210"/>
      <c r="N169" s="210"/>
      <c r="O169" s="210"/>
      <c r="P169" s="210"/>
      <c r="Q169" s="210"/>
      <c r="R169" s="210"/>
      <c r="T169" s="42"/>
      <c r="V169" s="123"/>
      <c r="Y169" s="123"/>
      <c r="Z169" s="219"/>
      <c r="AA169" s="123"/>
      <c r="AB169" s="123"/>
      <c r="AC169" s="160"/>
      <c r="AD169" s="160"/>
      <c r="AE169" s="123"/>
      <c r="AF169" s="123"/>
      <c r="AI169" s="236"/>
      <c r="AJ169" s="236"/>
      <c r="AL169" s="123"/>
      <c r="AO169" s="160"/>
    </row>
    <row r="170" spans="3:43" x14ac:dyDescent="0.3">
      <c r="F170" s="123"/>
      <c r="H170" s="123"/>
      <c r="J170" s="123"/>
      <c r="K170" s="213"/>
      <c r="L170" s="213"/>
      <c r="M170" s="123"/>
      <c r="N170" s="123"/>
      <c r="O170" s="160"/>
      <c r="P170" s="160"/>
      <c r="Q170" s="123"/>
      <c r="R170" s="123"/>
      <c r="V170" s="123"/>
      <c r="Y170" s="123"/>
      <c r="Z170" s="213"/>
      <c r="AA170" s="210"/>
      <c r="AB170" s="210"/>
      <c r="AC170" s="210"/>
      <c r="AD170" s="210"/>
      <c r="AE170" s="210"/>
      <c r="AF170" s="210"/>
      <c r="AK170" s="214"/>
      <c r="AL170" s="210"/>
      <c r="AO170" s="160"/>
      <c r="AQ170" s="214"/>
    </row>
    <row r="171" spans="3:43" x14ac:dyDescent="0.3">
      <c r="C171" s="42"/>
      <c r="F171" s="184"/>
      <c r="H171" s="184"/>
      <c r="J171" s="184"/>
      <c r="K171" s="193"/>
      <c r="L171" s="193"/>
      <c r="M171" s="123"/>
      <c r="N171" s="123"/>
      <c r="O171" s="160"/>
      <c r="P171" s="160"/>
      <c r="Q171" s="123"/>
      <c r="R171" s="123"/>
      <c r="T171" s="42"/>
      <c r="V171" s="123"/>
      <c r="Y171" s="123"/>
      <c r="Z171" s="219"/>
      <c r="AA171" s="123"/>
      <c r="AB171" s="123"/>
      <c r="AC171" s="160"/>
      <c r="AD171" s="160"/>
      <c r="AE171" s="123"/>
      <c r="AF171" s="123"/>
      <c r="AI171" s="236"/>
      <c r="AJ171" s="236"/>
      <c r="AL171" s="123"/>
      <c r="AO171" s="160"/>
    </row>
    <row r="172" spans="3:43" x14ac:dyDescent="0.3">
      <c r="C172" s="42"/>
      <c r="F172" s="184"/>
      <c r="H172" s="184"/>
      <c r="J172" s="184"/>
      <c r="K172" s="193"/>
      <c r="L172" s="193"/>
      <c r="M172" s="123"/>
      <c r="N172" s="123"/>
      <c r="O172" s="160"/>
      <c r="P172" s="160"/>
      <c r="Q172" s="123"/>
      <c r="R172" s="123"/>
      <c r="T172" s="42"/>
      <c r="V172" s="184"/>
      <c r="Y172" s="123"/>
      <c r="Z172" s="227"/>
      <c r="AA172" s="123"/>
      <c r="AB172" s="123"/>
      <c r="AC172" s="160"/>
      <c r="AD172" s="160"/>
      <c r="AE172" s="123"/>
      <c r="AF172" s="123"/>
      <c r="AI172" s="236"/>
      <c r="AJ172" s="236"/>
      <c r="AL172" s="123"/>
      <c r="AO172" s="160"/>
    </row>
    <row r="173" spans="3:43" x14ac:dyDescent="0.3">
      <c r="F173" s="123"/>
      <c r="H173" s="210"/>
      <c r="J173" s="210"/>
      <c r="K173" s="213"/>
      <c r="L173" s="213"/>
      <c r="M173" s="210"/>
      <c r="N173" s="210"/>
      <c r="O173" s="210"/>
      <c r="P173" s="210"/>
      <c r="Q173" s="210"/>
      <c r="R173" s="210"/>
      <c r="V173" s="210"/>
      <c r="Y173" s="210"/>
      <c r="Z173" s="213"/>
      <c r="AA173" s="210"/>
      <c r="AB173" s="210"/>
      <c r="AC173" s="210"/>
      <c r="AD173" s="210"/>
      <c r="AE173" s="210"/>
      <c r="AF173" s="210"/>
      <c r="AK173" s="214"/>
      <c r="AL173" s="210"/>
      <c r="AO173" s="160"/>
      <c r="AQ173" s="214"/>
    </row>
    <row r="174" spans="3:43" x14ac:dyDescent="0.3">
      <c r="C174" s="42"/>
      <c r="F174" s="123"/>
      <c r="H174" s="123"/>
      <c r="J174" s="123"/>
      <c r="K174" s="213"/>
      <c r="L174" s="213"/>
      <c r="M174" s="123"/>
      <c r="N174" s="123"/>
      <c r="O174" s="160"/>
      <c r="P174" s="160"/>
      <c r="Q174" s="123"/>
      <c r="R174" s="123"/>
      <c r="T174" s="42"/>
      <c r="V174" s="123"/>
      <c r="Y174" s="123"/>
      <c r="Z174" s="213"/>
      <c r="AA174" s="123"/>
      <c r="AB174" s="123"/>
      <c r="AC174" s="160"/>
      <c r="AD174" s="160"/>
      <c r="AE174" s="123"/>
      <c r="AF174" s="123"/>
      <c r="AI174" s="160"/>
      <c r="AJ174" s="160"/>
      <c r="AL174" s="123"/>
      <c r="AO174" s="160"/>
    </row>
    <row r="175" spans="3:43" x14ac:dyDescent="0.3">
      <c r="F175" s="123"/>
      <c r="H175" s="210"/>
      <c r="J175" s="210"/>
      <c r="K175" s="213"/>
      <c r="L175" s="213"/>
      <c r="M175" s="210"/>
      <c r="N175" s="210"/>
      <c r="O175" s="210"/>
      <c r="P175" s="210"/>
      <c r="Q175" s="210"/>
      <c r="R175" s="210"/>
      <c r="V175" s="210"/>
      <c r="Y175" s="210"/>
      <c r="Z175" s="213"/>
      <c r="AA175" s="210"/>
      <c r="AB175" s="210"/>
      <c r="AC175" s="210"/>
      <c r="AD175" s="210"/>
      <c r="AE175" s="210"/>
      <c r="AF175" s="210"/>
      <c r="AK175" s="214"/>
      <c r="AL175" s="210"/>
      <c r="AO175" s="160"/>
      <c r="AQ175" s="214"/>
    </row>
    <row r="176" spans="3:43" x14ac:dyDescent="0.3">
      <c r="F176" s="123"/>
      <c r="H176" s="123"/>
      <c r="J176" s="123"/>
      <c r="K176" s="213"/>
      <c r="L176" s="213"/>
      <c r="M176" s="123"/>
      <c r="N176" s="123"/>
      <c r="O176" s="123"/>
      <c r="P176" s="123"/>
      <c r="Q176" s="123"/>
      <c r="R176" s="123"/>
      <c r="T176" s="42"/>
    </row>
    <row r="177" spans="1:43" x14ac:dyDescent="0.3">
      <c r="C177" s="42"/>
      <c r="F177" s="184"/>
      <c r="H177" s="184"/>
      <c r="J177" s="184"/>
      <c r="K177" s="227"/>
      <c r="L177" s="227"/>
      <c r="M177" s="123"/>
      <c r="N177" s="123"/>
      <c r="O177" s="160"/>
      <c r="P177" s="160"/>
      <c r="Q177" s="184"/>
      <c r="R177" s="123"/>
      <c r="T177" s="42"/>
      <c r="V177" s="123"/>
      <c r="Y177" s="123"/>
      <c r="AA177" s="123"/>
      <c r="AB177" s="123"/>
      <c r="AC177" s="160"/>
      <c r="AD177" s="160"/>
      <c r="AE177" s="123"/>
      <c r="AF177" s="123"/>
      <c r="AI177" s="160"/>
      <c r="AJ177" s="160"/>
      <c r="AK177" s="233"/>
      <c r="AL177" s="184"/>
      <c r="AO177" s="160"/>
    </row>
    <row r="178" spans="1:43" x14ac:dyDescent="0.3">
      <c r="C178" s="42"/>
      <c r="F178" s="184"/>
      <c r="H178" s="184"/>
      <c r="J178" s="184"/>
      <c r="K178" s="227"/>
      <c r="L178" s="227"/>
      <c r="M178" s="123"/>
      <c r="N178" s="123"/>
      <c r="O178" s="160"/>
      <c r="P178" s="160"/>
      <c r="Q178" s="184"/>
      <c r="R178" s="123"/>
      <c r="V178" s="210"/>
      <c r="Y178" s="210"/>
      <c r="Z178" s="213"/>
      <c r="AA178" s="210"/>
      <c r="AB178" s="210"/>
      <c r="AC178" s="210"/>
      <c r="AD178" s="210"/>
      <c r="AE178" s="210"/>
      <c r="AF178" s="210"/>
      <c r="AK178" s="214"/>
      <c r="AL178" s="210"/>
      <c r="AQ178" s="214"/>
    </row>
    <row r="179" spans="1:43" x14ac:dyDescent="0.3">
      <c r="C179" s="42"/>
      <c r="F179" s="184"/>
      <c r="H179" s="184"/>
      <c r="J179" s="184"/>
      <c r="K179" s="227"/>
      <c r="L179" s="227"/>
      <c r="M179" s="123"/>
      <c r="N179" s="123"/>
      <c r="O179" s="160"/>
      <c r="P179" s="160"/>
      <c r="Q179" s="184"/>
      <c r="R179" s="123"/>
    </row>
    <row r="180" spans="1:43" x14ac:dyDescent="0.3">
      <c r="F180" s="210"/>
      <c r="H180" s="210"/>
      <c r="J180" s="210"/>
      <c r="K180" s="213"/>
      <c r="L180" s="213"/>
      <c r="M180" s="210"/>
      <c r="N180" s="210"/>
      <c r="O180" s="210"/>
      <c r="P180" s="210"/>
      <c r="Q180" s="210"/>
      <c r="R180" s="210"/>
      <c r="T180" s="42"/>
      <c r="AA180" s="123"/>
      <c r="AB180" s="123"/>
      <c r="AC180" s="123"/>
      <c r="AD180" s="123"/>
      <c r="AI180" s="123"/>
      <c r="AJ180" s="123"/>
      <c r="AL180" s="123"/>
    </row>
    <row r="181" spans="1:43" x14ac:dyDescent="0.3">
      <c r="C181" s="42"/>
      <c r="F181" s="123"/>
      <c r="H181" s="123"/>
      <c r="J181" s="123"/>
      <c r="K181" s="219"/>
      <c r="L181" s="219"/>
      <c r="M181" s="123"/>
      <c r="N181" s="123"/>
      <c r="O181" s="160"/>
      <c r="P181" s="160"/>
      <c r="Q181" s="123"/>
      <c r="R181" s="123"/>
    </row>
    <row r="182" spans="1:43" x14ac:dyDescent="0.3">
      <c r="F182" s="210"/>
      <c r="H182" s="210"/>
      <c r="J182" s="210"/>
      <c r="K182" s="213"/>
      <c r="L182" s="213"/>
      <c r="M182" s="210"/>
      <c r="N182" s="210"/>
      <c r="O182" s="210"/>
      <c r="P182" s="210"/>
      <c r="Q182" s="210"/>
      <c r="R182" s="210"/>
    </row>
    <row r="183" spans="1:43" x14ac:dyDescent="0.3">
      <c r="C183" s="42"/>
      <c r="F183" s="123"/>
      <c r="H183" s="123"/>
      <c r="J183" s="123"/>
      <c r="K183" s="219"/>
      <c r="L183" s="219"/>
      <c r="M183" s="123"/>
      <c r="N183" s="123"/>
      <c r="O183" s="160"/>
      <c r="P183" s="160"/>
      <c r="Q183" s="123"/>
      <c r="R183" s="123"/>
      <c r="Y183" s="42"/>
    </row>
    <row r="184" spans="1:43" x14ac:dyDescent="0.3">
      <c r="C184" s="42"/>
      <c r="F184" s="123"/>
      <c r="H184" s="123"/>
      <c r="I184" s="123"/>
      <c r="J184" s="219"/>
      <c r="K184" s="219"/>
      <c r="L184" s="123"/>
      <c r="M184" s="123"/>
      <c r="N184" s="160"/>
      <c r="O184" s="160"/>
      <c r="P184" s="123"/>
      <c r="Q184" s="123"/>
      <c r="R184" s="123"/>
    </row>
    <row r="185" spans="1:43" x14ac:dyDescent="0.3">
      <c r="F185" s="210"/>
      <c r="H185" s="210"/>
      <c r="I185" s="210"/>
      <c r="J185" s="213"/>
      <c r="K185" s="213"/>
      <c r="L185" s="210"/>
      <c r="M185" s="210"/>
      <c r="N185" s="210"/>
      <c r="O185" s="210"/>
      <c r="P185" s="210"/>
      <c r="Q185" s="210"/>
      <c r="R185" s="210"/>
      <c r="AA185" s="42"/>
      <c r="AB185" s="42"/>
    </row>
    <row r="186" spans="1:43" x14ac:dyDescent="0.3">
      <c r="F186" s="123"/>
      <c r="H186" s="123"/>
      <c r="I186" s="123"/>
      <c r="J186" s="219"/>
      <c r="K186" s="219"/>
      <c r="L186" s="123"/>
      <c r="M186" s="123"/>
      <c r="N186" s="123"/>
      <c r="O186" s="123"/>
      <c r="P186" s="123"/>
      <c r="Q186" s="123"/>
      <c r="R186" s="123"/>
      <c r="AK186" s="206"/>
      <c r="AL186" s="42"/>
    </row>
    <row r="187" spans="1:43" x14ac:dyDescent="0.3">
      <c r="C187" s="42"/>
      <c r="F187" s="123"/>
      <c r="H187" s="123"/>
      <c r="I187" s="123"/>
      <c r="J187" s="219"/>
      <c r="K187" s="219"/>
      <c r="L187" s="123"/>
      <c r="M187" s="123"/>
      <c r="N187" s="123"/>
      <c r="O187" s="123"/>
      <c r="P187" s="123"/>
      <c r="Q187" s="123"/>
      <c r="R187" s="123"/>
      <c r="AK187" s="206"/>
      <c r="AL187" s="42"/>
    </row>
    <row r="188" spans="1:43" x14ac:dyDescent="0.3">
      <c r="A188" s="42"/>
      <c r="AK188" s="206"/>
      <c r="AL188" s="42"/>
    </row>
    <row r="190" spans="1:43" x14ac:dyDescent="0.3">
      <c r="H190" s="42"/>
      <c r="I190" s="42"/>
      <c r="Y190" s="42"/>
    </row>
    <row r="192" spans="1:43" x14ac:dyDescent="0.3">
      <c r="L192" s="42"/>
      <c r="M192" s="42"/>
      <c r="AA192" s="42"/>
      <c r="AB192" s="42"/>
    </row>
    <row r="193" spans="1:40" x14ac:dyDescent="0.3">
      <c r="R193" s="42"/>
      <c r="AK193" s="206"/>
      <c r="AL193" s="42"/>
    </row>
    <row r="194" spans="1:40" x14ac:dyDescent="0.3">
      <c r="R194" s="42"/>
      <c r="AK194" s="206"/>
      <c r="AL194" s="42"/>
    </row>
    <row r="195" spans="1:40" x14ac:dyDescent="0.3">
      <c r="A195" s="42"/>
      <c r="R195" s="42"/>
      <c r="AK195" s="206"/>
      <c r="AL195" s="42"/>
    </row>
    <row r="196" spans="1:40" x14ac:dyDescent="0.3">
      <c r="L196" s="42"/>
      <c r="M196" s="42"/>
      <c r="AA196" s="42"/>
      <c r="AB196" s="42"/>
    </row>
    <row r="197" spans="1:40" x14ac:dyDescent="0.3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207"/>
      <c r="AH197" s="135"/>
      <c r="AI197" s="135"/>
      <c r="AJ197" s="135"/>
      <c r="AK197" s="207"/>
      <c r="AL197" s="135"/>
      <c r="AM197" s="135"/>
      <c r="AN197" s="135"/>
    </row>
    <row r="198" spans="1:40" x14ac:dyDescent="0.3">
      <c r="L198" s="44"/>
      <c r="M198" s="44"/>
      <c r="N198" s="44"/>
      <c r="O198" s="44"/>
      <c r="R198" s="44"/>
      <c r="AA198" s="44"/>
      <c r="AB198" s="44"/>
      <c r="AC198" s="44"/>
      <c r="AD198" s="44"/>
      <c r="AE198" s="44"/>
      <c r="AF198" s="44"/>
      <c r="AG198" s="168"/>
      <c r="AH198" s="44"/>
      <c r="AK198" s="168"/>
      <c r="AL198" s="44"/>
      <c r="AM198" s="44"/>
      <c r="AN198" s="44"/>
    </row>
    <row r="199" spans="1:40" x14ac:dyDescent="0.3">
      <c r="L199" s="44"/>
      <c r="M199" s="44"/>
      <c r="N199" s="44"/>
      <c r="O199" s="44"/>
      <c r="R199" s="44"/>
      <c r="Z199" s="44"/>
      <c r="AA199" s="44"/>
      <c r="AB199" s="44"/>
      <c r="AC199" s="44"/>
      <c r="AD199" s="44"/>
      <c r="AE199" s="44"/>
      <c r="AF199" s="44"/>
      <c r="AG199" s="168"/>
      <c r="AH199" s="44"/>
      <c r="AK199" s="168"/>
      <c r="AL199" s="44"/>
      <c r="AM199" s="44"/>
      <c r="AN199" s="44"/>
    </row>
    <row r="200" spans="1:40" x14ac:dyDescent="0.3">
      <c r="A200" s="44"/>
      <c r="C200" s="44"/>
      <c r="D200" s="44"/>
      <c r="E200" s="44"/>
      <c r="F200" s="44"/>
      <c r="J200" s="44"/>
      <c r="K200" s="44"/>
      <c r="L200" s="44"/>
      <c r="M200" s="44"/>
      <c r="N200" s="44"/>
      <c r="O200" s="44"/>
      <c r="P200" s="44"/>
      <c r="Q200" s="44"/>
      <c r="R200" s="44"/>
      <c r="T200" s="44"/>
      <c r="U200" s="44"/>
      <c r="V200" s="44"/>
      <c r="Z200" s="44"/>
      <c r="AA200" s="44"/>
      <c r="AB200" s="44"/>
      <c r="AC200" s="44"/>
      <c r="AD200" s="44"/>
      <c r="AE200" s="44"/>
      <c r="AF200" s="44"/>
      <c r="AG200" s="168"/>
      <c r="AH200" s="44"/>
      <c r="AI200" s="44"/>
      <c r="AJ200" s="44"/>
      <c r="AK200" s="168"/>
      <c r="AL200" s="44"/>
      <c r="AM200" s="44"/>
      <c r="AN200" s="44"/>
    </row>
    <row r="201" spans="1:40" x14ac:dyDescent="0.3">
      <c r="A201" s="44"/>
      <c r="C201" s="44"/>
      <c r="D201" s="44"/>
      <c r="E201" s="44"/>
      <c r="F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T201" s="44"/>
      <c r="U201" s="44"/>
      <c r="V201" s="44"/>
      <c r="Y201" s="44"/>
      <c r="Z201" s="44"/>
      <c r="AA201" s="44"/>
      <c r="AB201" s="44"/>
      <c r="AC201" s="44"/>
      <c r="AD201" s="44"/>
      <c r="AE201" s="44"/>
      <c r="AF201" s="44"/>
      <c r="AG201" s="168"/>
      <c r="AH201" s="44"/>
      <c r="AI201" s="44"/>
      <c r="AJ201" s="44"/>
      <c r="AK201" s="168"/>
      <c r="AL201" s="44"/>
      <c r="AM201" s="44"/>
      <c r="AN201" s="44"/>
    </row>
    <row r="202" spans="1:40" x14ac:dyDescent="0.3">
      <c r="C202" s="44"/>
      <c r="D202" s="44"/>
      <c r="E202" s="44"/>
      <c r="F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T202" s="44"/>
      <c r="U202" s="44"/>
      <c r="V202" s="44"/>
      <c r="Y202" s="44"/>
      <c r="Z202" s="44"/>
      <c r="AA202" s="44"/>
      <c r="AB202" s="44"/>
      <c r="AC202" s="44"/>
      <c r="AD202" s="44"/>
      <c r="AE202" s="44"/>
      <c r="AF202" s="44"/>
      <c r="AG202" s="168"/>
      <c r="AH202" s="44"/>
      <c r="AI202" s="44"/>
      <c r="AJ202" s="44"/>
      <c r="AK202" s="168"/>
      <c r="AL202" s="44"/>
      <c r="AM202" s="44"/>
      <c r="AN202" s="44"/>
    </row>
    <row r="203" spans="1:40" x14ac:dyDescent="0.3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207"/>
      <c r="AH203" s="135"/>
      <c r="AI203" s="135"/>
      <c r="AJ203" s="135"/>
      <c r="AK203" s="207"/>
      <c r="AL203" s="135"/>
      <c r="AM203" s="135"/>
      <c r="AN203" s="135"/>
    </row>
    <row r="204" spans="1:40" x14ac:dyDescent="0.3"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Y204" s="44"/>
      <c r="Z204" s="44"/>
      <c r="AA204" s="44"/>
      <c r="AB204" s="44"/>
      <c r="AC204" s="44"/>
      <c r="AD204" s="44"/>
      <c r="AE204" s="44"/>
      <c r="AF204" s="44"/>
      <c r="AG204" s="168"/>
      <c r="AH204" s="44"/>
      <c r="AI204" s="44"/>
      <c r="AJ204" s="44"/>
      <c r="AK204" s="168"/>
      <c r="AL204" s="44"/>
      <c r="AM204" s="44"/>
      <c r="AN204" s="44"/>
    </row>
    <row r="205" spans="1:40" x14ac:dyDescent="0.3">
      <c r="C205" s="42"/>
      <c r="D205" s="42"/>
      <c r="E205" s="42"/>
      <c r="T205" s="42"/>
      <c r="U205" s="42"/>
    </row>
    <row r="207" spans="1:40" x14ac:dyDescent="0.3">
      <c r="C207" s="42"/>
      <c r="F207" s="184"/>
      <c r="H207" s="222"/>
      <c r="I207" s="222"/>
      <c r="J207" s="193"/>
      <c r="K207" s="193"/>
      <c r="L207" s="123"/>
      <c r="M207" s="123"/>
      <c r="R207" s="123"/>
      <c r="T207" s="42"/>
      <c r="V207" s="123"/>
      <c r="Z207" s="193"/>
      <c r="AA207" s="123"/>
      <c r="AB207" s="123"/>
      <c r="AE207" s="123"/>
      <c r="AF207" s="123"/>
      <c r="AG207" s="233"/>
      <c r="AH207" s="234"/>
      <c r="AI207" s="123"/>
      <c r="AJ207" s="123"/>
      <c r="AL207" s="123"/>
      <c r="AM207" s="235"/>
      <c r="AN207" s="235"/>
    </row>
    <row r="208" spans="1:40" x14ac:dyDescent="0.3">
      <c r="F208" s="184"/>
      <c r="H208" s="222"/>
      <c r="I208" s="222"/>
      <c r="J208" s="222"/>
      <c r="K208" s="222"/>
      <c r="R208" s="123"/>
      <c r="V208" s="123"/>
      <c r="Z208" s="222"/>
    </row>
    <row r="209" spans="3:40" x14ac:dyDescent="0.3">
      <c r="C209" s="42"/>
      <c r="F209" s="184"/>
      <c r="H209" s="184"/>
      <c r="I209" s="184"/>
      <c r="J209" s="227"/>
      <c r="K209" s="227"/>
      <c r="L209" s="123"/>
      <c r="M209" s="123"/>
      <c r="N209" s="160"/>
      <c r="O209" s="160"/>
      <c r="P209" s="184"/>
      <c r="Q209" s="184"/>
      <c r="R209" s="123"/>
      <c r="T209" s="42"/>
      <c r="V209" s="123"/>
      <c r="Y209" s="123"/>
      <c r="Z209" s="212"/>
      <c r="AA209" s="123"/>
      <c r="AB209" s="123"/>
      <c r="AC209" s="160"/>
      <c r="AD209" s="160"/>
      <c r="AE209" s="123"/>
      <c r="AF209" s="123"/>
      <c r="AH209" s="236"/>
      <c r="AI209" s="184"/>
      <c r="AJ209" s="184"/>
      <c r="AL209" s="123"/>
      <c r="AM209" s="160"/>
      <c r="AN209" s="160"/>
    </row>
    <row r="210" spans="3:40" x14ac:dyDescent="0.3">
      <c r="F210" s="210"/>
      <c r="H210" s="210"/>
      <c r="I210" s="210"/>
      <c r="J210" s="213"/>
      <c r="K210" s="213"/>
      <c r="L210" s="210"/>
      <c r="M210" s="210"/>
      <c r="N210" s="210"/>
      <c r="O210" s="210"/>
      <c r="P210" s="210"/>
      <c r="Q210" s="210"/>
      <c r="R210" s="210"/>
      <c r="V210" s="210"/>
      <c r="Y210" s="210"/>
      <c r="Z210" s="213"/>
      <c r="AA210" s="210"/>
      <c r="AB210" s="210"/>
      <c r="AC210" s="210"/>
      <c r="AD210" s="210"/>
      <c r="AE210" s="210"/>
      <c r="AF210" s="210"/>
      <c r="AI210" s="210"/>
      <c r="AJ210" s="210"/>
      <c r="AK210" s="214"/>
      <c r="AL210" s="210"/>
    </row>
    <row r="211" spans="3:40" x14ac:dyDescent="0.3">
      <c r="D211" s="42"/>
      <c r="E211" s="42"/>
      <c r="F211" s="123"/>
      <c r="H211" s="123"/>
      <c r="I211" s="123"/>
      <c r="J211" s="219"/>
      <c r="K211" s="219"/>
      <c r="L211" s="123"/>
      <c r="M211" s="123"/>
      <c r="N211" s="160"/>
      <c r="O211" s="160"/>
      <c r="P211" s="123"/>
      <c r="Q211" s="123"/>
      <c r="R211" s="123"/>
      <c r="U211" s="42"/>
      <c r="V211" s="123"/>
      <c r="Y211" s="123"/>
      <c r="Z211" s="219"/>
      <c r="AA211" s="123"/>
      <c r="AB211" s="123"/>
      <c r="AC211" s="160"/>
      <c r="AD211" s="160"/>
      <c r="AE211" s="123"/>
      <c r="AF211" s="123"/>
      <c r="AH211" s="236"/>
      <c r="AI211" s="123"/>
      <c r="AJ211" s="123"/>
      <c r="AL211" s="123"/>
      <c r="AM211" s="160"/>
      <c r="AN211" s="160"/>
    </row>
    <row r="212" spans="3:40" x14ac:dyDescent="0.3">
      <c r="F212" s="210"/>
      <c r="H212" s="210"/>
      <c r="I212" s="210"/>
      <c r="J212" s="213"/>
      <c r="K212" s="213"/>
      <c r="L212" s="210"/>
      <c r="M212" s="210"/>
      <c r="N212" s="210"/>
      <c r="O212" s="210"/>
      <c r="P212" s="210"/>
      <c r="Q212" s="210"/>
      <c r="R212" s="210"/>
      <c r="V212" s="210"/>
      <c r="Y212" s="210"/>
      <c r="Z212" s="213"/>
      <c r="AA212" s="210"/>
      <c r="AB212" s="210"/>
      <c r="AC212" s="210"/>
      <c r="AD212" s="210"/>
      <c r="AE212" s="210"/>
      <c r="AF212" s="210"/>
      <c r="AI212" s="210"/>
      <c r="AJ212" s="210"/>
      <c r="AK212" s="214"/>
      <c r="AL212" s="210"/>
    </row>
    <row r="213" spans="3:40" x14ac:dyDescent="0.3">
      <c r="R213" s="123"/>
    </row>
    <row r="214" spans="3:40" x14ac:dyDescent="0.3">
      <c r="R214" s="123"/>
    </row>
    <row r="215" spans="3:40" x14ac:dyDescent="0.3">
      <c r="R215" s="123"/>
    </row>
    <row r="216" spans="3:40" x14ac:dyDescent="0.3">
      <c r="C216" s="42"/>
      <c r="D216" s="42"/>
      <c r="E216" s="42"/>
      <c r="H216" s="123"/>
      <c r="I216" s="123"/>
      <c r="J216" s="219"/>
      <c r="K216" s="219"/>
      <c r="L216" s="123"/>
      <c r="M216" s="123"/>
      <c r="N216" s="160"/>
      <c r="O216" s="160"/>
      <c r="P216" s="123"/>
      <c r="Q216" s="123"/>
      <c r="R216" s="123"/>
      <c r="T216" s="42"/>
      <c r="U216" s="42"/>
      <c r="Y216" s="123"/>
      <c r="Z216" s="219"/>
      <c r="AA216" s="123"/>
      <c r="AB216" s="123"/>
      <c r="AC216" s="160"/>
      <c r="AD216" s="160"/>
    </row>
    <row r="217" spans="3:40" x14ac:dyDescent="0.3">
      <c r="H217" s="123"/>
      <c r="I217" s="123"/>
      <c r="J217" s="219"/>
      <c r="K217" s="219"/>
      <c r="L217" s="123"/>
      <c r="M217" s="123"/>
      <c r="N217" s="160"/>
      <c r="O217" s="160"/>
      <c r="P217" s="123"/>
      <c r="Q217" s="123"/>
      <c r="R217" s="123"/>
      <c r="Y217" s="123"/>
      <c r="Z217" s="219"/>
      <c r="AA217" s="123"/>
      <c r="AB217" s="123"/>
      <c r="AC217" s="160"/>
      <c r="AD217" s="160"/>
    </row>
    <row r="218" spans="3:40" x14ac:dyDescent="0.3">
      <c r="C218" s="42"/>
      <c r="F218" s="184"/>
      <c r="H218" s="184"/>
      <c r="I218" s="184"/>
      <c r="J218" s="240"/>
      <c r="K218" s="240"/>
      <c r="L218" s="184"/>
      <c r="M218" s="184"/>
      <c r="N218" s="160"/>
      <c r="O218" s="160"/>
      <c r="P218" s="123"/>
      <c r="Q218" s="123"/>
      <c r="R218" s="123"/>
      <c r="T218" s="42"/>
      <c r="V218" s="123"/>
      <c r="Y218" s="123"/>
      <c r="Z218" s="240"/>
      <c r="AA218" s="123"/>
      <c r="AB218" s="123"/>
      <c r="AC218" s="160"/>
      <c r="AD218" s="160"/>
      <c r="AE218" s="123"/>
      <c r="AF218" s="123"/>
      <c r="AH218" s="236"/>
      <c r="AI218" s="123"/>
      <c r="AJ218" s="123"/>
      <c r="AL218" s="123"/>
      <c r="AM218" s="160"/>
      <c r="AN218" s="160"/>
    </row>
    <row r="219" spans="3:40" x14ac:dyDescent="0.3">
      <c r="F219" s="184"/>
      <c r="H219" s="222"/>
      <c r="I219" s="222"/>
      <c r="J219" s="222"/>
      <c r="K219" s="222"/>
      <c r="R219" s="123"/>
      <c r="V219" s="123"/>
      <c r="Z219" s="222"/>
    </row>
    <row r="220" spans="3:40" x14ac:dyDescent="0.3">
      <c r="C220" s="42"/>
      <c r="F220" s="184"/>
      <c r="H220" s="184"/>
      <c r="I220" s="184"/>
      <c r="J220" s="193"/>
      <c r="K220" s="193"/>
      <c r="L220" s="123"/>
      <c r="M220" s="123"/>
      <c r="N220" s="160"/>
      <c r="O220" s="160"/>
      <c r="P220" s="123"/>
      <c r="Q220" s="123"/>
      <c r="R220" s="123"/>
      <c r="T220" s="42"/>
      <c r="V220" s="123"/>
      <c r="Y220" s="123"/>
      <c r="Z220" s="193"/>
      <c r="AA220" s="123"/>
      <c r="AB220" s="123"/>
      <c r="AC220" s="160"/>
      <c r="AD220" s="160"/>
      <c r="AE220" s="123"/>
      <c r="AF220" s="123"/>
      <c r="AH220" s="236"/>
      <c r="AI220" s="123"/>
      <c r="AJ220" s="123"/>
      <c r="AL220" s="123"/>
      <c r="AM220" s="160"/>
      <c r="AN220" s="160"/>
    </row>
    <row r="221" spans="3:40" x14ac:dyDescent="0.3">
      <c r="F221" s="184"/>
      <c r="H221" s="222"/>
      <c r="I221" s="222"/>
      <c r="J221" s="222"/>
      <c r="K221" s="222"/>
      <c r="R221" s="123"/>
      <c r="V221" s="123"/>
      <c r="Z221" s="222"/>
    </row>
    <row r="222" spans="3:40" x14ac:dyDescent="0.3">
      <c r="C222" s="42"/>
      <c r="F222" s="184"/>
      <c r="H222" s="184"/>
      <c r="I222" s="184"/>
      <c r="J222" s="227"/>
      <c r="K222" s="227"/>
      <c r="L222" s="123"/>
      <c r="M222" s="123"/>
      <c r="N222" s="160"/>
      <c r="O222" s="160"/>
      <c r="P222" s="123"/>
      <c r="Q222" s="123"/>
      <c r="R222" s="123"/>
      <c r="T222" s="42"/>
      <c r="V222" s="123"/>
      <c r="Y222" s="123"/>
      <c r="Z222" s="212"/>
      <c r="AA222" s="123"/>
      <c r="AB222" s="123"/>
      <c r="AC222" s="160"/>
      <c r="AD222" s="160"/>
      <c r="AE222" s="123"/>
      <c r="AF222" s="123"/>
      <c r="AH222" s="236"/>
      <c r="AI222" s="123"/>
      <c r="AJ222" s="123"/>
      <c r="AL222" s="123"/>
      <c r="AM222" s="160"/>
      <c r="AN222" s="160"/>
    </row>
    <row r="223" spans="3:40" x14ac:dyDescent="0.3">
      <c r="F223" s="210"/>
      <c r="H223" s="210"/>
      <c r="I223" s="210"/>
      <c r="J223" s="213"/>
      <c r="K223" s="213"/>
      <c r="L223" s="210"/>
      <c r="M223" s="210"/>
      <c r="N223" s="210"/>
      <c r="O223" s="210"/>
      <c r="P223" s="210"/>
      <c r="Q223" s="210"/>
      <c r="R223" s="210"/>
      <c r="S223" s="123"/>
      <c r="V223" s="210"/>
      <c r="Y223" s="210"/>
      <c r="Z223" s="213"/>
      <c r="AA223" s="210"/>
      <c r="AB223" s="210"/>
      <c r="AC223" s="210"/>
      <c r="AD223" s="210"/>
      <c r="AE223" s="210"/>
      <c r="AF223" s="210"/>
      <c r="AI223" s="210"/>
      <c r="AJ223" s="210"/>
      <c r="AK223" s="214"/>
      <c r="AL223" s="210"/>
    </row>
    <row r="224" spans="3:40" x14ac:dyDescent="0.3">
      <c r="D224" s="42"/>
      <c r="E224" s="42"/>
      <c r="F224" s="123"/>
      <c r="H224" s="123"/>
      <c r="I224" s="123"/>
      <c r="J224" s="219"/>
      <c r="K224" s="219"/>
      <c r="L224" s="123"/>
      <c r="M224" s="123"/>
      <c r="N224" s="160"/>
      <c r="O224" s="160"/>
      <c r="P224" s="184"/>
      <c r="Q224" s="184"/>
      <c r="R224" s="123"/>
      <c r="S224" s="123"/>
      <c r="U224" s="42"/>
      <c r="V224" s="123"/>
      <c r="Y224" s="123"/>
      <c r="Z224" s="219"/>
      <c r="AA224" s="123"/>
      <c r="AB224" s="123"/>
      <c r="AC224" s="160"/>
      <c r="AD224" s="160"/>
      <c r="AE224" s="123"/>
      <c r="AF224" s="123"/>
      <c r="AH224" s="236"/>
      <c r="AI224" s="184"/>
      <c r="AJ224" s="184"/>
      <c r="AL224" s="123"/>
      <c r="AM224" s="160"/>
      <c r="AN224" s="160"/>
    </row>
    <row r="225" spans="1:40" x14ac:dyDescent="0.3">
      <c r="F225" s="210"/>
      <c r="H225" s="210"/>
      <c r="I225" s="210"/>
      <c r="J225" s="213"/>
      <c r="K225" s="213"/>
      <c r="L225" s="210"/>
      <c r="M225" s="210"/>
      <c r="N225" s="210"/>
      <c r="O225" s="210"/>
      <c r="P225" s="210"/>
      <c r="Q225" s="210"/>
      <c r="R225" s="210"/>
      <c r="S225" s="123"/>
      <c r="V225" s="210"/>
      <c r="Y225" s="210"/>
      <c r="Z225" s="213"/>
      <c r="AA225" s="210"/>
      <c r="AB225" s="210"/>
      <c r="AC225" s="210"/>
      <c r="AD225" s="210"/>
      <c r="AE225" s="210"/>
      <c r="AF225" s="210"/>
      <c r="AI225" s="210"/>
      <c r="AJ225" s="210"/>
      <c r="AK225" s="214"/>
      <c r="AL225" s="210"/>
    </row>
    <row r="226" spans="1:40" x14ac:dyDescent="0.3">
      <c r="R226" s="123"/>
    </row>
    <row r="227" spans="1:40" x14ac:dyDescent="0.3">
      <c r="F227" s="123"/>
      <c r="H227" s="123"/>
      <c r="I227" s="123"/>
      <c r="J227" s="219"/>
      <c r="K227" s="219"/>
      <c r="L227" s="123"/>
      <c r="M227" s="123"/>
      <c r="N227" s="123"/>
      <c r="O227" s="123"/>
      <c r="P227" s="123"/>
      <c r="Q227" s="123"/>
      <c r="R227" s="123"/>
      <c r="V227" s="123"/>
      <c r="Y227" s="123"/>
      <c r="Z227" s="219"/>
      <c r="AA227" s="123"/>
      <c r="AB227" s="123"/>
      <c r="AC227" s="123"/>
      <c r="AD227" s="123"/>
    </row>
    <row r="228" spans="1:40" x14ac:dyDescent="0.3">
      <c r="C228" s="42"/>
      <c r="F228" s="123"/>
      <c r="H228" s="123"/>
      <c r="I228" s="123"/>
      <c r="J228" s="219"/>
      <c r="K228" s="219"/>
      <c r="L228" s="123"/>
      <c r="M228" s="123"/>
      <c r="N228" s="123"/>
      <c r="O228" s="123"/>
      <c r="P228" s="123"/>
      <c r="Q228" s="123"/>
      <c r="R228" s="123"/>
      <c r="T228" s="42"/>
      <c r="V228" s="123"/>
      <c r="Y228" s="123"/>
      <c r="Z228" s="219"/>
      <c r="AA228" s="123"/>
      <c r="AB228" s="123"/>
      <c r="AC228" s="123"/>
      <c r="AD228" s="123"/>
    </row>
    <row r="229" spans="1:40" x14ac:dyDescent="0.3">
      <c r="C229" s="42"/>
      <c r="T229" s="42"/>
    </row>
    <row r="230" spans="1:40" x14ac:dyDescent="0.3">
      <c r="A230" s="42"/>
    </row>
    <row r="233" spans="1:40" x14ac:dyDescent="0.3">
      <c r="H233" s="42"/>
      <c r="I233" s="42"/>
      <c r="Y233" s="42"/>
    </row>
    <row r="235" spans="1:40" x14ac:dyDescent="0.3">
      <c r="L235" s="42"/>
      <c r="M235" s="42"/>
      <c r="AA235" s="42"/>
      <c r="AB235" s="42"/>
    </row>
    <row r="236" spans="1:40" x14ac:dyDescent="0.3">
      <c r="R236" s="42"/>
      <c r="AK236" s="206"/>
      <c r="AL236" s="42"/>
    </row>
    <row r="237" spans="1:40" x14ac:dyDescent="0.3">
      <c r="R237" s="42"/>
      <c r="AK237" s="206"/>
      <c r="AL237" s="42"/>
    </row>
    <row r="238" spans="1:40" x14ac:dyDescent="0.3">
      <c r="A238" s="42"/>
      <c r="R238" s="42"/>
      <c r="AK238" s="206"/>
      <c r="AL238" s="42"/>
    </row>
    <row r="239" spans="1:40" x14ac:dyDescent="0.3">
      <c r="L239" s="42"/>
      <c r="M239" s="42"/>
      <c r="AA239" s="42"/>
      <c r="AB239" s="42"/>
    </row>
    <row r="240" spans="1:40" x14ac:dyDescent="0.3">
      <c r="A240" s="135"/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207"/>
      <c r="AH240" s="135"/>
      <c r="AI240" s="135"/>
      <c r="AJ240" s="135"/>
      <c r="AK240" s="207"/>
      <c r="AL240" s="135"/>
      <c r="AM240" s="135"/>
      <c r="AN240" s="135"/>
    </row>
    <row r="241" spans="1:40" x14ac:dyDescent="0.3">
      <c r="L241" s="44"/>
      <c r="M241" s="44"/>
      <c r="N241" s="44"/>
      <c r="O241" s="44"/>
      <c r="R241" s="44"/>
      <c r="AA241" s="44"/>
      <c r="AB241" s="44"/>
      <c r="AC241" s="44"/>
      <c r="AD241" s="44"/>
      <c r="AE241" s="44"/>
      <c r="AF241" s="44"/>
      <c r="AG241" s="168"/>
      <c r="AH241" s="44"/>
      <c r="AK241" s="168"/>
      <c r="AL241" s="44"/>
      <c r="AM241" s="44"/>
      <c r="AN241" s="44"/>
    </row>
    <row r="242" spans="1:40" x14ac:dyDescent="0.3">
      <c r="L242" s="44"/>
      <c r="M242" s="44"/>
      <c r="N242" s="44"/>
      <c r="O242" s="44"/>
      <c r="R242" s="44"/>
      <c r="Z242" s="44"/>
      <c r="AA242" s="44"/>
      <c r="AB242" s="44"/>
      <c r="AC242" s="44"/>
      <c r="AD242" s="44"/>
      <c r="AE242" s="44"/>
      <c r="AF242" s="44"/>
      <c r="AG242" s="168"/>
      <c r="AH242" s="44"/>
      <c r="AK242" s="168"/>
      <c r="AL242" s="44"/>
      <c r="AM242" s="44"/>
      <c r="AN242" s="44"/>
    </row>
    <row r="243" spans="1:40" x14ac:dyDescent="0.3">
      <c r="A243" s="44"/>
      <c r="C243" s="44"/>
      <c r="D243" s="44"/>
      <c r="E243" s="44"/>
      <c r="F243" s="44"/>
      <c r="J243" s="44"/>
      <c r="K243" s="44"/>
      <c r="L243" s="44"/>
      <c r="M243" s="44"/>
      <c r="N243" s="44"/>
      <c r="O243" s="44"/>
      <c r="P243" s="44"/>
      <c r="Q243" s="44"/>
      <c r="R243" s="44"/>
      <c r="T243" s="44"/>
      <c r="U243" s="44"/>
      <c r="V243" s="44"/>
      <c r="Z243" s="44"/>
      <c r="AA243" s="44"/>
      <c r="AB243" s="44"/>
      <c r="AC243" s="44"/>
      <c r="AD243" s="44"/>
      <c r="AE243" s="44"/>
      <c r="AF243" s="44"/>
      <c r="AG243" s="168"/>
      <c r="AH243" s="44"/>
      <c r="AI243" s="44"/>
      <c r="AJ243" s="44"/>
      <c r="AK243" s="168"/>
      <c r="AL243" s="44"/>
      <c r="AM243" s="44"/>
      <c r="AN243" s="44"/>
    </row>
    <row r="244" spans="1:40" x14ac:dyDescent="0.3">
      <c r="A244" s="44"/>
      <c r="C244" s="44"/>
      <c r="D244" s="44"/>
      <c r="E244" s="44"/>
      <c r="F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T244" s="44"/>
      <c r="U244" s="44"/>
      <c r="V244" s="44"/>
      <c r="Y244" s="44"/>
      <c r="Z244" s="44"/>
      <c r="AA244" s="44"/>
      <c r="AB244" s="44"/>
      <c r="AC244" s="44"/>
      <c r="AD244" s="44"/>
      <c r="AE244" s="44"/>
      <c r="AF244" s="44"/>
      <c r="AG244" s="168"/>
      <c r="AH244" s="44"/>
      <c r="AI244" s="44"/>
      <c r="AJ244" s="44"/>
      <c r="AK244" s="168"/>
      <c r="AL244" s="44"/>
      <c r="AM244" s="44"/>
      <c r="AN244" s="44"/>
    </row>
    <row r="245" spans="1:40" x14ac:dyDescent="0.3">
      <c r="C245" s="44"/>
      <c r="D245" s="44"/>
      <c r="E245" s="44"/>
      <c r="F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T245" s="44"/>
      <c r="U245" s="44"/>
      <c r="V245" s="44"/>
      <c r="Y245" s="44"/>
      <c r="Z245" s="44"/>
      <c r="AA245" s="44"/>
      <c r="AB245" s="44"/>
      <c r="AC245" s="44"/>
      <c r="AD245" s="44"/>
      <c r="AE245" s="44"/>
      <c r="AF245" s="44"/>
      <c r="AG245" s="168"/>
      <c r="AH245" s="44"/>
      <c r="AI245" s="44"/>
      <c r="AJ245" s="44"/>
      <c r="AK245" s="168"/>
      <c r="AL245" s="44"/>
      <c r="AM245" s="44"/>
      <c r="AN245" s="44"/>
    </row>
    <row r="246" spans="1:40" x14ac:dyDescent="0.3">
      <c r="A246" s="135"/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207"/>
      <c r="AH246" s="135"/>
      <c r="AI246" s="135"/>
      <c r="AJ246" s="135"/>
      <c r="AK246" s="207"/>
      <c r="AL246" s="135"/>
      <c r="AM246" s="135"/>
      <c r="AN246" s="135"/>
    </row>
    <row r="247" spans="1:40" x14ac:dyDescent="0.3"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Y247" s="44"/>
      <c r="Z247" s="44"/>
      <c r="AA247" s="44"/>
      <c r="AB247" s="44"/>
      <c r="AC247" s="44"/>
      <c r="AD247" s="44"/>
      <c r="AE247" s="44"/>
      <c r="AF247" s="44"/>
      <c r="AG247" s="168"/>
      <c r="AH247" s="44"/>
      <c r="AI247" s="44"/>
      <c r="AJ247" s="44"/>
      <c r="AK247" s="168"/>
      <c r="AL247" s="44"/>
      <c r="AM247" s="44"/>
      <c r="AN247" s="44"/>
    </row>
    <row r="248" spans="1:40" x14ac:dyDescent="0.3">
      <c r="C248" s="42"/>
      <c r="D248" s="42"/>
      <c r="E248" s="42"/>
      <c r="T248" s="42"/>
      <c r="U248" s="42"/>
    </row>
    <row r="249" spans="1:40" x14ac:dyDescent="0.3">
      <c r="D249" s="42"/>
      <c r="E249" s="42"/>
      <c r="U249" s="42"/>
    </row>
    <row r="251" spans="1:40" x14ac:dyDescent="0.3">
      <c r="C251" s="42"/>
      <c r="F251" s="123"/>
      <c r="J251" s="209"/>
      <c r="K251" s="209"/>
      <c r="L251" s="123"/>
      <c r="M251" s="123"/>
      <c r="R251" s="123"/>
      <c r="T251" s="42"/>
      <c r="V251" s="123"/>
      <c r="Z251" s="209"/>
      <c r="AA251" s="123"/>
      <c r="AB251" s="123"/>
      <c r="AL251" s="123"/>
    </row>
    <row r="252" spans="1:40" x14ac:dyDescent="0.3">
      <c r="F252" s="123"/>
      <c r="R252" s="123"/>
      <c r="V252" s="123"/>
      <c r="AL252" s="123"/>
    </row>
    <row r="253" spans="1:40" x14ac:dyDescent="0.3">
      <c r="C253" s="42"/>
      <c r="F253" s="184"/>
      <c r="H253" s="184"/>
      <c r="I253" s="184"/>
      <c r="J253" s="193"/>
      <c r="K253" s="193"/>
      <c r="L253" s="123"/>
      <c r="M253" s="123"/>
      <c r="N253" s="160"/>
      <c r="O253" s="160"/>
      <c r="P253" s="123"/>
      <c r="Q253" s="123"/>
      <c r="R253" s="123"/>
      <c r="T253" s="42"/>
      <c r="V253" s="123"/>
      <c r="Y253" s="123"/>
      <c r="Z253" s="193"/>
      <c r="AA253" s="123"/>
      <c r="AB253" s="123"/>
      <c r="AC253" s="160"/>
      <c r="AD253" s="160"/>
      <c r="AE253" s="123"/>
      <c r="AF253" s="123"/>
      <c r="AH253" s="236"/>
      <c r="AI253" s="123"/>
      <c r="AJ253" s="123"/>
      <c r="AL253" s="123"/>
      <c r="AM253" s="160"/>
      <c r="AN253" s="160"/>
    </row>
    <row r="254" spans="1:40" x14ac:dyDescent="0.3">
      <c r="C254" s="42"/>
      <c r="F254" s="184"/>
      <c r="H254" s="222"/>
      <c r="I254" s="222"/>
      <c r="J254" s="193"/>
      <c r="K254" s="193"/>
      <c r="L254" s="123"/>
      <c r="M254" s="123"/>
      <c r="N254" s="160"/>
      <c r="O254" s="160"/>
      <c r="P254" s="123"/>
      <c r="Q254" s="123"/>
      <c r="R254" s="123"/>
      <c r="T254" s="42"/>
      <c r="V254" s="123"/>
      <c r="Y254" s="123"/>
      <c r="Z254" s="193"/>
      <c r="AA254" s="123"/>
      <c r="AB254" s="123"/>
      <c r="AC254" s="160"/>
      <c r="AD254" s="160"/>
      <c r="AE254" s="123"/>
      <c r="AF254" s="123"/>
      <c r="AH254" s="236"/>
      <c r="AI254" s="123"/>
      <c r="AJ254" s="123"/>
      <c r="AL254" s="123"/>
      <c r="AM254" s="160"/>
      <c r="AN254" s="160"/>
    </row>
    <row r="255" spans="1:40" x14ac:dyDescent="0.3">
      <c r="F255" s="210"/>
      <c r="H255" s="123"/>
      <c r="I255" s="123"/>
      <c r="J255" s="213"/>
      <c r="K255" s="213"/>
      <c r="L255" s="210"/>
      <c r="M255" s="210"/>
      <c r="N255" s="210"/>
      <c r="O255" s="210"/>
      <c r="P255" s="210"/>
      <c r="Q255" s="210"/>
      <c r="R255" s="210"/>
      <c r="V255" s="210"/>
      <c r="Y255" s="123"/>
      <c r="Z255" s="213"/>
      <c r="AA255" s="210"/>
      <c r="AB255" s="210"/>
      <c r="AC255" s="210"/>
      <c r="AD255" s="210"/>
      <c r="AE255" s="210"/>
      <c r="AF255" s="210"/>
      <c r="AI255" s="210"/>
      <c r="AJ255" s="210"/>
      <c r="AK255" s="214"/>
      <c r="AL255" s="210"/>
    </row>
    <row r="256" spans="1:40" x14ac:dyDescent="0.3">
      <c r="C256" s="42"/>
      <c r="F256" s="123"/>
      <c r="H256" s="123"/>
      <c r="I256" s="123"/>
      <c r="J256" s="219"/>
      <c r="K256" s="219"/>
      <c r="L256" s="123"/>
      <c r="M256" s="123"/>
      <c r="N256" s="160"/>
      <c r="O256" s="160"/>
      <c r="P256" s="123"/>
      <c r="Q256" s="123"/>
      <c r="R256" s="123"/>
      <c r="T256" s="42"/>
      <c r="V256" s="123"/>
      <c r="Y256" s="123"/>
      <c r="Z256" s="219"/>
      <c r="AA256" s="123"/>
      <c r="AB256" s="123"/>
      <c r="AC256" s="160"/>
      <c r="AD256" s="160"/>
      <c r="AE256" s="123"/>
      <c r="AF256" s="123"/>
      <c r="AH256" s="236"/>
      <c r="AI256" s="123"/>
      <c r="AJ256" s="123"/>
      <c r="AL256" s="123"/>
      <c r="AM256" s="160"/>
      <c r="AN256" s="160"/>
    </row>
    <row r="257" spans="1:40" x14ac:dyDescent="0.3">
      <c r="F257" s="210"/>
      <c r="H257" s="123"/>
      <c r="I257" s="123"/>
      <c r="J257" s="213"/>
      <c r="K257" s="213"/>
      <c r="L257" s="210"/>
      <c r="M257" s="210"/>
      <c r="N257" s="210"/>
      <c r="O257" s="210"/>
      <c r="P257" s="210"/>
      <c r="Q257" s="210"/>
      <c r="R257" s="210"/>
      <c r="V257" s="210"/>
      <c r="Y257" s="123"/>
      <c r="Z257" s="213"/>
      <c r="AA257" s="210"/>
      <c r="AB257" s="210"/>
      <c r="AC257" s="210"/>
      <c r="AD257" s="210"/>
      <c r="AE257" s="210"/>
      <c r="AF257" s="210"/>
      <c r="AI257" s="210"/>
      <c r="AJ257" s="210"/>
      <c r="AK257" s="214"/>
      <c r="AL257" s="210"/>
    </row>
    <row r="258" spans="1:40" x14ac:dyDescent="0.3">
      <c r="F258" s="123"/>
      <c r="R258" s="123"/>
      <c r="V258" s="123"/>
      <c r="AL258" s="123"/>
    </row>
    <row r="259" spans="1:40" x14ac:dyDescent="0.3">
      <c r="C259" s="42"/>
      <c r="F259" s="123"/>
      <c r="R259" s="123"/>
      <c r="T259" s="42"/>
      <c r="V259" s="123"/>
      <c r="AL259" s="123"/>
    </row>
    <row r="260" spans="1:40" x14ac:dyDescent="0.3">
      <c r="F260" s="123"/>
      <c r="R260" s="123"/>
      <c r="V260" s="123"/>
      <c r="AL260" s="123"/>
    </row>
    <row r="261" spans="1:40" x14ac:dyDescent="0.3">
      <c r="C261" s="42"/>
      <c r="F261" s="123"/>
      <c r="H261" s="184"/>
      <c r="I261" s="184"/>
      <c r="J261" s="227"/>
      <c r="K261" s="227"/>
      <c r="L261" s="123"/>
      <c r="M261" s="123"/>
      <c r="N261" s="160"/>
      <c r="O261" s="160"/>
      <c r="P261" s="184"/>
      <c r="Q261" s="184"/>
      <c r="R261" s="123"/>
      <c r="T261" s="42"/>
      <c r="V261" s="123"/>
      <c r="Y261" s="123"/>
      <c r="Z261" s="212"/>
      <c r="AA261" s="123"/>
      <c r="AB261" s="123"/>
      <c r="AC261" s="160"/>
      <c r="AD261" s="160"/>
      <c r="AE261" s="123"/>
      <c r="AF261" s="123"/>
      <c r="AH261" s="236"/>
      <c r="AI261" s="184"/>
      <c r="AJ261" s="184"/>
      <c r="AL261" s="123"/>
      <c r="AM261" s="160"/>
      <c r="AN261" s="160"/>
    </row>
    <row r="262" spans="1:40" x14ac:dyDescent="0.3">
      <c r="F262" s="210"/>
      <c r="H262" s="210"/>
      <c r="I262" s="210"/>
      <c r="J262" s="213"/>
      <c r="K262" s="213"/>
      <c r="L262" s="210"/>
      <c r="M262" s="210"/>
      <c r="N262" s="210"/>
      <c r="O262" s="210"/>
      <c r="P262" s="210"/>
      <c r="Q262" s="210"/>
      <c r="R262" s="210"/>
      <c r="V262" s="210"/>
      <c r="Y262" s="210"/>
      <c r="Z262" s="213"/>
      <c r="AA262" s="210"/>
      <c r="AB262" s="210"/>
      <c r="AC262" s="210"/>
      <c r="AD262" s="210"/>
      <c r="AE262" s="210"/>
      <c r="AF262" s="210"/>
      <c r="AI262" s="210"/>
      <c r="AJ262" s="210"/>
      <c r="AK262" s="214"/>
      <c r="AL262" s="210"/>
    </row>
    <row r="264" spans="1:40" x14ac:dyDescent="0.3">
      <c r="C264" s="42"/>
      <c r="F264" s="123"/>
      <c r="H264" s="123"/>
      <c r="I264" s="123"/>
      <c r="J264" s="209"/>
      <c r="K264" s="209"/>
      <c r="L264" s="123"/>
      <c r="M264" s="123"/>
      <c r="N264" s="160"/>
      <c r="O264" s="160"/>
      <c r="P264" s="123"/>
      <c r="Q264" s="123"/>
      <c r="R264" s="123"/>
      <c r="T264" s="42"/>
      <c r="V264" s="123"/>
      <c r="Y264" s="123"/>
      <c r="Z264" s="209"/>
      <c r="AA264" s="123"/>
      <c r="AB264" s="123"/>
      <c r="AC264" s="160"/>
      <c r="AD264" s="160"/>
      <c r="AE264" s="123"/>
      <c r="AF264" s="123"/>
      <c r="AH264" s="236"/>
      <c r="AI264" s="123"/>
      <c r="AJ264" s="123"/>
      <c r="AL264" s="123"/>
      <c r="AM264" s="160"/>
      <c r="AN264" s="160"/>
    </row>
    <row r="265" spans="1:40" x14ac:dyDescent="0.3">
      <c r="F265" s="210"/>
      <c r="H265" s="210"/>
      <c r="I265" s="210"/>
      <c r="J265" s="213"/>
      <c r="K265" s="213"/>
      <c r="L265" s="210"/>
      <c r="M265" s="210"/>
      <c r="N265" s="210"/>
      <c r="O265" s="210"/>
      <c r="P265" s="210"/>
      <c r="Q265" s="210"/>
      <c r="R265" s="210"/>
      <c r="V265" s="210"/>
      <c r="Y265" s="210"/>
      <c r="Z265" s="213"/>
      <c r="AA265" s="210"/>
      <c r="AB265" s="210"/>
      <c r="AC265" s="210"/>
      <c r="AD265" s="210"/>
      <c r="AE265" s="210"/>
      <c r="AF265" s="210"/>
      <c r="AI265" s="210"/>
      <c r="AJ265" s="210"/>
      <c r="AK265" s="214"/>
      <c r="AL265" s="210"/>
    </row>
    <row r="266" spans="1:40" x14ac:dyDescent="0.3">
      <c r="R266" s="123"/>
      <c r="AH266" s="123"/>
    </row>
    <row r="267" spans="1:40" x14ac:dyDescent="0.3">
      <c r="F267" s="123"/>
      <c r="H267" s="123"/>
      <c r="I267" s="123"/>
      <c r="J267" s="219"/>
      <c r="K267" s="219"/>
      <c r="L267" s="123"/>
      <c r="M267" s="123"/>
      <c r="N267" s="123"/>
      <c r="O267" s="123"/>
      <c r="P267" s="123"/>
      <c r="Q267" s="123"/>
      <c r="R267" s="123"/>
      <c r="V267" s="123"/>
      <c r="Y267" s="123"/>
      <c r="Z267" s="219"/>
      <c r="AA267" s="123"/>
      <c r="AB267" s="123"/>
      <c r="AC267" s="123"/>
      <c r="AD267" s="123"/>
      <c r="AE267" s="123"/>
      <c r="AF267" s="123"/>
      <c r="AH267" s="123"/>
    </row>
    <row r="268" spans="1:40" x14ac:dyDescent="0.3">
      <c r="C268" s="42"/>
      <c r="F268" s="123"/>
      <c r="H268" s="123"/>
      <c r="I268" s="123"/>
      <c r="J268" s="219"/>
      <c r="K268" s="219"/>
      <c r="L268" s="123"/>
      <c r="M268" s="123"/>
      <c r="N268" s="123"/>
      <c r="O268" s="123"/>
      <c r="P268" s="123"/>
      <c r="Q268" s="123"/>
      <c r="R268" s="123"/>
      <c r="T268" s="42"/>
      <c r="V268" s="123"/>
      <c r="Y268" s="123"/>
      <c r="Z268" s="219"/>
      <c r="AA268" s="123"/>
      <c r="AB268" s="123"/>
      <c r="AC268" s="123"/>
      <c r="AD268" s="123"/>
      <c r="AE268" s="123"/>
      <c r="AF268" s="123"/>
      <c r="AH268" s="123"/>
    </row>
    <row r="269" spans="1:40" x14ac:dyDescent="0.3">
      <c r="A269" s="42"/>
    </row>
    <row r="272" spans="1:40" x14ac:dyDescent="0.3">
      <c r="H272" s="42"/>
      <c r="I272" s="42"/>
      <c r="Y272" s="42"/>
    </row>
    <row r="274" spans="1:40" x14ac:dyDescent="0.3">
      <c r="L274" s="42"/>
      <c r="M274" s="42"/>
      <c r="AA274" s="42"/>
      <c r="AB274" s="42"/>
    </row>
    <row r="275" spans="1:40" x14ac:dyDescent="0.3">
      <c r="R275" s="42"/>
      <c r="AK275" s="206"/>
      <c r="AL275" s="42"/>
    </row>
    <row r="276" spans="1:40" x14ac:dyDescent="0.3">
      <c r="R276" s="42"/>
      <c r="AK276" s="206"/>
      <c r="AL276" s="42"/>
    </row>
    <row r="277" spans="1:40" x14ac:dyDescent="0.3">
      <c r="A277" s="42"/>
      <c r="R277" s="42"/>
      <c r="AK277" s="206"/>
      <c r="AL277" s="42"/>
    </row>
    <row r="278" spans="1:40" x14ac:dyDescent="0.3">
      <c r="L278" s="42"/>
      <c r="M278" s="42"/>
      <c r="AA278" s="42"/>
      <c r="AB278" s="42"/>
    </row>
    <row r="279" spans="1:40" x14ac:dyDescent="0.3">
      <c r="A279" s="135"/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207"/>
      <c r="AH279" s="135"/>
      <c r="AI279" s="135"/>
      <c r="AJ279" s="135"/>
      <c r="AK279" s="207"/>
      <c r="AL279" s="135"/>
      <c r="AM279" s="135"/>
      <c r="AN279" s="135"/>
    </row>
    <row r="280" spans="1:40" x14ac:dyDescent="0.3">
      <c r="L280" s="44"/>
      <c r="M280" s="44"/>
      <c r="N280" s="44"/>
      <c r="O280" s="44"/>
      <c r="R280" s="44"/>
      <c r="AA280" s="44"/>
      <c r="AB280" s="44"/>
      <c r="AC280" s="44"/>
      <c r="AD280" s="44"/>
      <c r="AE280" s="44"/>
      <c r="AF280" s="44"/>
      <c r="AG280" s="168"/>
      <c r="AH280" s="44"/>
      <c r="AK280" s="168"/>
      <c r="AL280" s="44"/>
      <c r="AM280" s="44"/>
      <c r="AN280" s="44"/>
    </row>
    <row r="281" spans="1:40" x14ac:dyDescent="0.3">
      <c r="L281" s="44"/>
      <c r="M281" s="44"/>
      <c r="N281" s="44"/>
      <c r="O281" s="44"/>
      <c r="R281" s="44"/>
      <c r="Z281" s="44"/>
      <c r="AA281" s="44"/>
      <c r="AB281" s="44"/>
      <c r="AC281" s="44"/>
      <c r="AD281" s="44"/>
      <c r="AE281" s="44"/>
      <c r="AF281" s="44"/>
      <c r="AG281" s="168"/>
      <c r="AH281" s="44"/>
      <c r="AK281" s="168"/>
      <c r="AL281" s="44"/>
      <c r="AM281" s="44"/>
      <c r="AN281" s="44"/>
    </row>
    <row r="282" spans="1:40" x14ac:dyDescent="0.3">
      <c r="A282" s="44"/>
      <c r="C282" s="44"/>
      <c r="D282" s="44"/>
      <c r="E282" s="44"/>
      <c r="F282" s="44"/>
      <c r="J282" s="44"/>
      <c r="K282" s="44"/>
      <c r="L282" s="44"/>
      <c r="M282" s="44"/>
      <c r="N282" s="44"/>
      <c r="O282" s="44"/>
      <c r="P282" s="44"/>
      <c r="Q282" s="44"/>
      <c r="R282" s="44"/>
      <c r="T282" s="44"/>
      <c r="U282" s="44"/>
      <c r="V282" s="44"/>
      <c r="Z282" s="44"/>
      <c r="AA282" s="44"/>
      <c r="AB282" s="44"/>
      <c r="AC282" s="44"/>
      <c r="AD282" s="44"/>
      <c r="AE282" s="44"/>
      <c r="AF282" s="44"/>
      <c r="AG282" s="168"/>
      <c r="AH282" s="44"/>
      <c r="AI282" s="44"/>
      <c r="AJ282" s="44"/>
      <c r="AK282" s="168"/>
      <c r="AL282" s="44"/>
      <c r="AM282" s="44"/>
      <c r="AN282" s="44"/>
    </row>
    <row r="283" spans="1:40" x14ac:dyDescent="0.3">
      <c r="A283" s="44"/>
      <c r="C283" s="44"/>
      <c r="D283" s="44"/>
      <c r="E283" s="44"/>
      <c r="F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T283" s="44"/>
      <c r="U283" s="44"/>
      <c r="V283" s="44"/>
      <c r="Y283" s="44"/>
      <c r="Z283" s="44"/>
      <c r="AA283" s="44"/>
      <c r="AB283" s="44"/>
      <c r="AC283" s="44"/>
      <c r="AD283" s="44"/>
      <c r="AE283" s="44"/>
      <c r="AF283" s="44"/>
      <c r="AG283" s="168"/>
      <c r="AH283" s="44"/>
      <c r="AI283" s="44"/>
      <c r="AJ283" s="44"/>
      <c r="AK283" s="168"/>
      <c r="AL283" s="44"/>
      <c r="AM283" s="44"/>
      <c r="AN283" s="44"/>
    </row>
    <row r="284" spans="1:40" x14ac:dyDescent="0.3">
      <c r="C284" s="44"/>
      <c r="D284" s="44"/>
      <c r="E284" s="44"/>
      <c r="F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T284" s="44"/>
      <c r="U284" s="44"/>
      <c r="V284" s="44"/>
      <c r="Y284" s="44"/>
      <c r="Z284" s="44"/>
      <c r="AA284" s="44"/>
      <c r="AB284" s="44"/>
      <c r="AC284" s="44"/>
      <c r="AD284" s="44"/>
      <c r="AE284" s="44"/>
      <c r="AF284" s="44"/>
      <c r="AG284" s="168"/>
      <c r="AH284" s="44"/>
      <c r="AI284" s="44"/>
      <c r="AJ284" s="44"/>
      <c r="AK284" s="168"/>
      <c r="AL284" s="44"/>
      <c r="AM284" s="44"/>
      <c r="AN284" s="44"/>
    </row>
    <row r="285" spans="1:40" x14ac:dyDescent="0.3">
      <c r="A285" s="135"/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207"/>
      <c r="AH285" s="135"/>
      <c r="AI285" s="135"/>
      <c r="AJ285" s="135"/>
      <c r="AK285" s="207"/>
      <c r="AL285" s="135"/>
      <c r="AM285" s="135"/>
      <c r="AN285" s="135"/>
    </row>
    <row r="286" spans="1:40" x14ac:dyDescent="0.3"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Y286" s="44"/>
      <c r="Z286" s="44"/>
      <c r="AA286" s="44"/>
      <c r="AB286" s="44"/>
      <c r="AC286" s="44"/>
      <c r="AD286" s="44"/>
      <c r="AE286" s="44"/>
      <c r="AF286" s="44"/>
      <c r="AG286" s="168"/>
      <c r="AH286" s="44"/>
      <c r="AI286" s="44"/>
      <c r="AJ286" s="44"/>
      <c r="AK286" s="168"/>
      <c r="AL286" s="44"/>
      <c r="AM286" s="44"/>
      <c r="AN286" s="44"/>
    </row>
    <row r="287" spans="1:40" x14ac:dyDescent="0.3">
      <c r="C287" s="42"/>
      <c r="D287" s="42"/>
      <c r="E287" s="42"/>
      <c r="T287" s="42"/>
      <c r="U287" s="42"/>
    </row>
    <row r="288" spans="1:40" x14ac:dyDescent="0.3">
      <c r="C288" s="42"/>
      <c r="T288" s="42"/>
    </row>
    <row r="290" spans="3:40" x14ac:dyDescent="0.3">
      <c r="C290" s="42"/>
      <c r="F290" s="184"/>
      <c r="H290" s="184"/>
      <c r="I290" s="184"/>
      <c r="J290" s="193"/>
      <c r="K290" s="193"/>
      <c r="L290" s="123"/>
      <c r="M290" s="123"/>
      <c r="N290" s="160"/>
      <c r="O290" s="160"/>
      <c r="R290" s="123"/>
      <c r="T290" s="42"/>
      <c r="V290" s="123"/>
      <c r="Y290" s="184"/>
      <c r="Z290" s="193"/>
      <c r="AA290" s="123"/>
      <c r="AB290" s="123"/>
      <c r="AC290" s="160"/>
      <c r="AD290" s="160"/>
      <c r="AE290" s="123"/>
      <c r="AF290" s="123"/>
      <c r="AH290" s="236"/>
      <c r="AL290" s="123"/>
      <c r="AM290" s="160"/>
      <c r="AN290" s="160"/>
    </row>
    <row r="291" spans="3:40" x14ac:dyDescent="0.3">
      <c r="F291" s="210"/>
      <c r="H291" s="123"/>
      <c r="I291" s="123"/>
      <c r="J291" s="213"/>
      <c r="K291" s="213"/>
      <c r="L291" s="210"/>
      <c r="M291" s="210"/>
      <c r="N291" s="210"/>
      <c r="O291" s="210"/>
      <c r="P291" s="210"/>
      <c r="Q291" s="210"/>
      <c r="R291" s="210"/>
      <c r="V291" s="210"/>
      <c r="Y291" s="123"/>
      <c r="Z291" s="213"/>
      <c r="AA291" s="210"/>
      <c r="AB291" s="210"/>
      <c r="AC291" s="210"/>
      <c r="AD291" s="210"/>
      <c r="AE291" s="210"/>
      <c r="AF291" s="210"/>
      <c r="AI291" s="210"/>
      <c r="AJ291" s="210"/>
      <c r="AK291" s="214"/>
      <c r="AL291" s="210"/>
      <c r="AM291" s="160"/>
      <c r="AN291" s="160"/>
    </row>
    <row r="292" spans="3:40" x14ac:dyDescent="0.3">
      <c r="C292" s="42"/>
      <c r="F292" s="184"/>
      <c r="H292" s="184"/>
      <c r="I292" s="184"/>
      <c r="J292" s="237"/>
      <c r="K292" s="237"/>
      <c r="L292" s="123"/>
      <c r="M292" s="123"/>
      <c r="N292" s="160"/>
      <c r="O292" s="160"/>
      <c r="P292" s="123"/>
      <c r="Q292" s="123"/>
      <c r="R292" s="123"/>
      <c r="S292" s="123"/>
      <c r="T292" s="42"/>
      <c r="V292" s="184"/>
      <c r="Y292" s="184"/>
      <c r="Z292" s="237"/>
      <c r="AA292" s="123"/>
      <c r="AB292" s="123"/>
      <c r="AC292" s="160"/>
      <c r="AD292" s="160"/>
      <c r="AE292" s="123"/>
      <c r="AF292" s="123"/>
      <c r="AH292" s="160"/>
      <c r="AI292" s="123"/>
      <c r="AJ292" s="123"/>
      <c r="AL292" s="123"/>
      <c r="AM292" s="160"/>
      <c r="AN292" s="160"/>
    </row>
    <row r="293" spans="3:40" x14ac:dyDescent="0.3">
      <c r="C293" s="42"/>
      <c r="F293" s="184"/>
      <c r="H293" s="184"/>
      <c r="I293" s="184"/>
      <c r="J293" s="193"/>
      <c r="K293" s="193"/>
      <c r="L293" s="123"/>
      <c r="M293" s="123"/>
      <c r="N293" s="160"/>
      <c r="O293" s="160"/>
      <c r="P293" s="123"/>
      <c r="Q293" s="123"/>
      <c r="R293" s="123"/>
      <c r="T293" s="42"/>
      <c r="V293" s="184"/>
      <c r="Y293" s="123"/>
      <c r="Z293" s="193"/>
      <c r="AA293" s="123"/>
      <c r="AB293" s="123"/>
      <c r="AC293" s="160"/>
      <c r="AD293" s="160"/>
      <c r="AE293" s="123"/>
      <c r="AF293" s="123"/>
      <c r="AH293" s="236"/>
      <c r="AI293" s="123"/>
      <c r="AJ293" s="123"/>
      <c r="AL293" s="123"/>
      <c r="AM293" s="160"/>
      <c r="AN293" s="160"/>
    </row>
    <row r="294" spans="3:40" x14ac:dyDescent="0.3">
      <c r="C294" s="42"/>
      <c r="F294" s="184"/>
      <c r="H294" s="184"/>
      <c r="I294" s="184"/>
      <c r="J294" s="193"/>
      <c r="K294" s="193"/>
      <c r="L294" s="123"/>
      <c r="M294" s="123"/>
      <c r="N294" s="160"/>
      <c r="O294" s="160"/>
      <c r="P294" s="123"/>
      <c r="Q294" s="123"/>
      <c r="R294" s="123"/>
      <c r="T294" s="42"/>
      <c r="V294" s="184"/>
      <c r="Y294" s="123"/>
      <c r="Z294" s="193"/>
      <c r="AA294" s="123"/>
      <c r="AB294" s="123"/>
      <c r="AC294" s="160"/>
      <c r="AD294" s="160"/>
      <c r="AE294" s="123"/>
      <c r="AF294" s="123"/>
      <c r="AH294" s="236"/>
      <c r="AI294" s="123"/>
      <c r="AJ294" s="123"/>
      <c r="AL294" s="123"/>
      <c r="AM294" s="160"/>
      <c r="AN294" s="160"/>
    </row>
    <row r="295" spans="3:40" x14ac:dyDescent="0.3">
      <c r="F295" s="210"/>
      <c r="H295" s="210"/>
      <c r="I295" s="210"/>
      <c r="J295" s="213"/>
      <c r="K295" s="213"/>
      <c r="L295" s="210"/>
      <c r="M295" s="210"/>
      <c r="N295" s="210"/>
      <c r="O295" s="210"/>
      <c r="P295" s="210"/>
      <c r="Q295" s="210"/>
      <c r="R295" s="210"/>
      <c r="V295" s="210"/>
      <c r="Y295" s="210"/>
      <c r="Z295" s="213"/>
      <c r="AA295" s="210"/>
      <c r="AB295" s="210"/>
      <c r="AC295" s="210"/>
      <c r="AD295" s="210"/>
      <c r="AE295" s="210"/>
      <c r="AF295" s="210"/>
      <c r="AI295" s="210"/>
      <c r="AJ295" s="210"/>
      <c r="AK295" s="214"/>
      <c r="AL295" s="210"/>
      <c r="AM295" s="160"/>
      <c r="AN295" s="160"/>
    </row>
    <row r="296" spans="3:40" x14ac:dyDescent="0.3">
      <c r="C296" s="42"/>
      <c r="F296" s="123"/>
      <c r="H296" s="123"/>
      <c r="I296" s="123"/>
      <c r="J296" s="219"/>
      <c r="K296" s="219"/>
      <c r="L296" s="123"/>
      <c r="M296" s="123"/>
      <c r="N296" s="160"/>
      <c r="O296" s="160"/>
      <c r="P296" s="123"/>
      <c r="Q296" s="123"/>
      <c r="R296" s="123"/>
      <c r="T296" s="42"/>
      <c r="V296" s="123"/>
      <c r="Y296" s="123"/>
      <c r="Z296" s="219"/>
      <c r="AA296" s="123"/>
      <c r="AB296" s="123"/>
      <c r="AC296" s="160"/>
      <c r="AD296" s="160"/>
      <c r="AE296" s="123"/>
      <c r="AF296" s="123"/>
      <c r="AH296" s="236"/>
      <c r="AI296" s="123"/>
      <c r="AJ296" s="123"/>
      <c r="AL296" s="123"/>
      <c r="AM296" s="160"/>
      <c r="AN296" s="160"/>
    </row>
    <row r="297" spans="3:40" x14ac:dyDescent="0.3">
      <c r="F297" s="210"/>
      <c r="H297" s="210"/>
      <c r="I297" s="210"/>
      <c r="J297" s="213"/>
      <c r="K297" s="213"/>
      <c r="L297" s="210"/>
      <c r="M297" s="210"/>
      <c r="N297" s="210"/>
      <c r="O297" s="210"/>
      <c r="P297" s="210"/>
      <c r="Q297" s="210"/>
      <c r="R297" s="210"/>
      <c r="V297" s="210"/>
      <c r="Y297" s="210"/>
      <c r="Z297" s="213"/>
      <c r="AA297" s="210"/>
      <c r="AB297" s="210"/>
      <c r="AC297" s="210"/>
      <c r="AD297" s="210"/>
      <c r="AE297" s="210"/>
      <c r="AF297" s="210"/>
      <c r="AI297" s="210"/>
      <c r="AJ297" s="210"/>
      <c r="AK297" s="214"/>
      <c r="AL297" s="210"/>
      <c r="AM297" s="160"/>
      <c r="AN297" s="160"/>
    </row>
    <row r="298" spans="3:40" x14ac:dyDescent="0.3">
      <c r="C298" s="42"/>
      <c r="F298" s="123"/>
      <c r="H298" s="123"/>
      <c r="I298" s="123"/>
      <c r="J298" s="219"/>
      <c r="K298" s="219"/>
      <c r="L298" s="123"/>
      <c r="M298" s="123"/>
      <c r="N298" s="160"/>
      <c r="O298" s="160"/>
      <c r="P298" s="123"/>
      <c r="Q298" s="123"/>
      <c r="R298" s="123"/>
      <c r="T298" s="42"/>
      <c r="V298" s="123"/>
      <c r="Y298" s="123"/>
      <c r="Z298" s="219"/>
      <c r="AA298" s="123"/>
      <c r="AB298" s="123"/>
      <c r="AC298" s="160"/>
      <c r="AD298" s="160"/>
      <c r="AE298" s="123"/>
      <c r="AF298" s="123"/>
      <c r="AH298" s="236"/>
      <c r="AI298" s="123"/>
      <c r="AJ298" s="123"/>
      <c r="AL298" s="123"/>
      <c r="AM298" s="160"/>
      <c r="AN298" s="160"/>
    </row>
    <row r="299" spans="3:40" x14ac:dyDescent="0.3">
      <c r="C299" s="42"/>
      <c r="F299" s="123"/>
      <c r="H299" s="184"/>
      <c r="I299" s="184"/>
      <c r="J299" s="227"/>
      <c r="K299" s="227"/>
      <c r="L299" s="123"/>
      <c r="M299" s="123"/>
      <c r="N299" s="160"/>
      <c r="O299" s="160"/>
      <c r="P299" s="123"/>
      <c r="Q299" s="123"/>
      <c r="R299" s="123"/>
      <c r="T299" s="42"/>
      <c r="V299" s="123"/>
      <c r="Y299" s="123"/>
      <c r="Z299" s="212"/>
      <c r="AA299" s="123"/>
      <c r="AB299" s="123"/>
      <c r="AC299" s="160"/>
      <c r="AD299" s="160"/>
      <c r="AE299" s="123"/>
      <c r="AF299" s="123"/>
      <c r="AH299" s="236"/>
      <c r="AI299" s="123"/>
      <c r="AJ299" s="123"/>
      <c r="AL299" s="123"/>
      <c r="AM299" s="160"/>
      <c r="AN299" s="160"/>
    </row>
    <row r="300" spans="3:40" x14ac:dyDescent="0.3">
      <c r="F300" s="210"/>
      <c r="H300" s="210"/>
      <c r="I300" s="210"/>
      <c r="J300" s="213"/>
      <c r="K300" s="213"/>
      <c r="L300" s="210"/>
      <c r="M300" s="210"/>
      <c r="N300" s="210"/>
      <c r="O300" s="210"/>
      <c r="P300" s="210"/>
      <c r="Q300" s="210"/>
      <c r="R300" s="210"/>
      <c r="V300" s="210"/>
      <c r="Y300" s="210"/>
      <c r="Z300" s="213"/>
      <c r="AA300" s="210"/>
      <c r="AB300" s="210"/>
      <c r="AC300" s="210"/>
      <c r="AD300" s="210"/>
      <c r="AE300" s="210"/>
      <c r="AF300" s="210"/>
      <c r="AI300" s="210"/>
      <c r="AJ300" s="210"/>
      <c r="AK300" s="214"/>
      <c r="AL300" s="210"/>
      <c r="AM300" s="160"/>
      <c r="AN300" s="160"/>
    </row>
    <row r="302" spans="3:40" x14ac:dyDescent="0.3">
      <c r="C302" s="42"/>
      <c r="F302" s="123"/>
      <c r="H302" s="123"/>
      <c r="I302" s="123"/>
      <c r="J302" s="213"/>
      <c r="K302" s="213"/>
      <c r="L302" s="123"/>
      <c r="M302" s="123"/>
      <c r="N302" s="160"/>
      <c r="O302" s="160"/>
      <c r="P302" s="123"/>
      <c r="Q302" s="123"/>
      <c r="R302" s="123"/>
      <c r="S302" s="123"/>
      <c r="T302" s="42"/>
      <c r="V302" s="123"/>
      <c r="Y302" s="123"/>
      <c r="Z302" s="213"/>
      <c r="AA302" s="123"/>
      <c r="AB302" s="123"/>
      <c r="AC302" s="160"/>
      <c r="AD302" s="160"/>
      <c r="AE302" s="123"/>
      <c r="AF302" s="123"/>
      <c r="AH302" s="160"/>
      <c r="AI302" s="123"/>
      <c r="AJ302" s="123"/>
      <c r="AL302" s="123"/>
      <c r="AM302" s="160"/>
      <c r="AN302" s="160"/>
    </row>
    <row r="303" spans="3:40" x14ac:dyDescent="0.3">
      <c r="F303" s="210"/>
      <c r="H303" s="210"/>
      <c r="I303" s="210"/>
      <c r="J303" s="213"/>
      <c r="K303" s="213"/>
      <c r="L303" s="210"/>
      <c r="M303" s="210"/>
      <c r="N303" s="210"/>
      <c r="O303" s="210"/>
      <c r="P303" s="210"/>
      <c r="Q303" s="210"/>
      <c r="R303" s="210"/>
      <c r="S303" s="123"/>
      <c r="V303" s="210"/>
      <c r="Y303" s="210"/>
      <c r="Z303" s="213"/>
      <c r="AA303" s="210"/>
      <c r="AB303" s="210"/>
      <c r="AC303" s="210"/>
      <c r="AD303" s="210"/>
      <c r="AE303" s="210"/>
      <c r="AF303" s="210"/>
      <c r="AI303" s="210"/>
      <c r="AJ303" s="210"/>
      <c r="AK303" s="214"/>
      <c r="AL303" s="210"/>
      <c r="AM303" s="160"/>
      <c r="AN303" s="160"/>
    </row>
    <row r="304" spans="3:40" x14ac:dyDescent="0.3">
      <c r="C304" s="42"/>
      <c r="F304" s="184"/>
      <c r="H304" s="184"/>
      <c r="I304" s="184"/>
      <c r="J304" s="213"/>
      <c r="K304" s="213"/>
      <c r="L304" s="123"/>
      <c r="M304" s="123"/>
      <c r="N304" s="160"/>
      <c r="O304" s="160"/>
      <c r="P304" s="123"/>
      <c r="Q304" s="123"/>
      <c r="R304" s="123"/>
      <c r="S304" s="123"/>
      <c r="T304" s="42"/>
      <c r="V304" s="184"/>
      <c r="Y304" s="184"/>
      <c r="Z304" s="213"/>
      <c r="AA304" s="123"/>
      <c r="AB304" s="123"/>
      <c r="AC304" s="160"/>
      <c r="AD304" s="160"/>
      <c r="AE304" s="123"/>
      <c r="AF304" s="123"/>
      <c r="AI304" s="123"/>
      <c r="AJ304" s="123"/>
      <c r="AL304" s="123"/>
      <c r="AM304" s="160"/>
      <c r="AN304" s="160"/>
    </row>
    <row r="306" spans="3:40" x14ac:dyDescent="0.3">
      <c r="C306" s="42"/>
      <c r="F306" s="184"/>
      <c r="H306" s="184"/>
      <c r="I306" s="184"/>
      <c r="J306" s="193"/>
      <c r="K306" s="193"/>
      <c r="L306" s="123"/>
      <c r="M306" s="123"/>
      <c r="N306" s="160"/>
      <c r="O306" s="160"/>
      <c r="R306" s="123"/>
      <c r="T306" s="42"/>
      <c r="V306" s="123"/>
      <c r="Y306" s="184"/>
      <c r="Z306" s="193"/>
      <c r="AA306" s="123"/>
      <c r="AB306" s="123"/>
      <c r="AC306" s="160"/>
      <c r="AD306" s="160"/>
      <c r="AE306" s="123"/>
      <c r="AF306" s="123"/>
      <c r="AH306" s="236"/>
      <c r="AL306" s="123"/>
      <c r="AM306" s="160"/>
      <c r="AN306" s="160"/>
    </row>
    <row r="307" spans="3:40" x14ac:dyDescent="0.3">
      <c r="F307" s="210"/>
      <c r="H307" s="123"/>
      <c r="I307" s="123"/>
      <c r="J307" s="213"/>
      <c r="K307" s="213"/>
      <c r="L307" s="210"/>
      <c r="M307" s="210"/>
      <c r="N307" s="210"/>
      <c r="O307" s="210"/>
      <c r="P307" s="210"/>
      <c r="Q307" s="210"/>
      <c r="R307" s="210"/>
      <c r="V307" s="210"/>
      <c r="Y307" s="123"/>
      <c r="Z307" s="213"/>
      <c r="AA307" s="210"/>
      <c r="AB307" s="210"/>
      <c r="AC307" s="210"/>
      <c r="AD307" s="210"/>
      <c r="AE307" s="210"/>
      <c r="AF307" s="210"/>
      <c r="AI307" s="210"/>
      <c r="AJ307" s="210"/>
      <c r="AK307" s="214"/>
      <c r="AL307" s="210"/>
      <c r="AM307" s="160"/>
      <c r="AN307" s="160"/>
    </row>
    <row r="308" spans="3:40" x14ac:dyDescent="0.3">
      <c r="C308" s="42"/>
      <c r="F308" s="184"/>
      <c r="H308" s="184"/>
      <c r="I308" s="184"/>
      <c r="J308" s="237"/>
      <c r="K308" s="237"/>
      <c r="L308" s="123"/>
      <c r="M308" s="123"/>
      <c r="N308" s="160"/>
      <c r="O308" s="160"/>
      <c r="P308" s="123"/>
      <c r="Q308" s="123"/>
      <c r="R308" s="123"/>
      <c r="S308" s="123"/>
      <c r="T308" s="42"/>
      <c r="V308" s="184"/>
      <c r="Y308" s="184"/>
      <c r="Z308" s="237"/>
      <c r="AA308" s="123"/>
      <c r="AB308" s="123"/>
      <c r="AC308" s="160"/>
      <c r="AD308" s="160"/>
      <c r="AE308" s="123"/>
      <c r="AF308" s="123"/>
      <c r="AH308" s="160"/>
      <c r="AI308" s="123"/>
      <c r="AJ308" s="123"/>
      <c r="AL308" s="123"/>
      <c r="AM308" s="160"/>
      <c r="AN308" s="160"/>
    </row>
    <row r="309" spans="3:40" x14ac:dyDescent="0.3">
      <c r="C309" s="42"/>
      <c r="F309" s="184"/>
      <c r="H309" s="184"/>
      <c r="I309" s="184"/>
      <c r="J309" s="193"/>
      <c r="K309" s="193"/>
      <c r="L309" s="123"/>
      <c r="M309" s="123"/>
      <c r="N309" s="160"/>
      <c r="O309" s="160"/>
      <c r="P309" s="123"/>
      <c r="Q309" s="123"/>
      <c r="R309" s="123"/>
      <c r="T309" s="42"/>
      <c r="V309" s="184"/>
      <c r="Y309" s="123"/>
      <c r="Z309" s="193"/>
      <c r="AA309" s="123"/>
      <c r="AB309" s="123"/>
      <c r="AC309" s="160"/>
      <c r="AD309" s="160"/>
      <c r="AE309" s="123"/>
      <c r="AF309" s="123"/>
      <c r="AH309" s="236"/>
      <c r="AI309" s="123"/>
      <c r="AJ309" s="123"/>
      <c r="AL309" s="123"/>
      <c r="AM309" s="160"/>
      <c r="AN309" s="160"/>
    </row>
    <row r="310" spans="3:40" x14ac:dyDescent="0.3">
      <c r="C310" s="42"/>
      <c r="F310" s="184"/>
      <c r="H310" s="184"/>
      <c r="I310" s="184"/>
      <c r="J310" s="193"/>
      <c r="K310" s="193"/>
      <c r="L310" s="123"/>
      <c r="M310" s="123"/>
      <c r="N310" s="160"/>
      <c r="O310" s="160"/>
      <c r="P310" s="123"/>
      <c r="Q310" s="123"/>
      <c r="R310" s="123"/>
      <c r="T310" s="42"/>
      <c r="V310" s="184"/>
      <c r="Y310" s="123"/>
      <c r="Z310" s="193"/>
      <c r="AA310" s="123"/>
      <c r="AB310" s="123"/>
      <c r="AC310" s="160"/>
      <c r="AD310" s="160"/>
      <c r="AE310" s="123"/>
      <c r="AF310" s="123"/>
      <c r="AH310" s="236"/>
      <c r="AI310" s="123"/>
      <c r="AJ310" s="123"/>
      <c r="AL310" s="123"/>
      <c r="AM310" s="160"/>
      <c r="AN310" s="160"/>
    </row>
    <row r="311" spans="3:40" x14ac:dyDescent="0.3">
      <c r="F311" s="210"/>
      <c r="H311" s="210"/>
      <c r="I311" s="210"/>
      <c r="J311" s="213"/>
      <c r="K311" s="213"/>
      <c r="L311" s="210"/>
      <c r="M311" s="210"/>
      <c r="N311" s="210"/>
      <c r="O311" s="210"/>
      <c r="P311" s="210"/>
      <c r="Q311" s="210"/>
      <c r="R311" s="210"/>
      <c r="V311" s="210"/>
      <c r="Y311" s="210"/>
      <c r="Z311" s="213"/>
      <c r="AA311" s="210"/>
      <c r="AB311" s="210"/>
      <c r="AC311" s="210"/>
      <c r="AD311" s="210"/>
      <c r="AE311" s="210"/>
      <c r="AF311" s="210"/>
      <c r="AI311" s="210"/>
      <c r="AJ311" s="210"/>
      <c r="AK311" s="214"/>
      <c r="AL311" s="210"/>
      <c r="AM311" s="160"/>
      <c r="AN311" s="160"/>
    </row>
    <row r="312" spans="3:40" x14ac:dyDescent="0.3">
      <c r="C312" s="42"/>
      <c r="F312" s="123"/>
      <c r="H312" s="123"/>
      <c r="I312" s="123"/>
      <c r="J312" s="219"/>
      <c r="K312" s="219"/>
      <c r="L312" s="123"/>
      <c r="M312" s="123"/>
      <c r="N312" s="160"/>
      <c r="O312" s="160"/>
      <c r="P312" s="123"/>
      <c r="Q312" s="123"/>
      <c r="R312" s="123"/>
      <c r="T312" s="42"/>
      <c r="V312" s="123"/>
      <c r="Y312" s="123"/>
      <c r="Z312" s="219"/>
      <c r="AA312" s="123"/>
      <c r="AB312" s="123"/>
      <c r="AC312" s="160"/>
      <c r="AD312" s="160"/>
      <c r="AE312" s="123"/>
      <c r="AF312" s="123"/>
      <c r="AH312" s="236"/>
      <c r="AI312" s="123"/>
      <c r="AJ312" s="123"/>
      <c r="AL312" s="123"/>
      <c r="AM312" s="160"/>
      <c r="AN312" s="160"/>
    </row>
    <row r="313" spans="3:40" x14ac:dyDescent="0.3">
      <c r="F313" s="210"/>
      <c r="H313" s="210"/>
      <c r="I313" s="210"/>
      <c r="J313" s="213"/>
      <c r="K313" s="213"/>
      <c r="L313" s="210"/>
      <c r="M313" s="210"/>
      <c r="N313" s="210"/>
      <c r="O313" s="210"/>
      <c r="P313" s="210"/>
      <c r="Q313" s="210"/>
      <c r="R313" s="210"/>
      <c r="V313" s="210"/>
      <c r="Y313" s="210"/>
      <c r="Z313" s="213"/>
      <c r="AA313" s="210"/>
      <c r="AB313" s="210"/>
      <c r="AC313" s="210"/>
      <c r="AD313" s="210"/>
      <c r="AE313" s="210"/>
      <c r="AF313" s="210"/>
      <c r="AI313" s="210"/>
      <c r="AJ313" s="210"/>
      <c r="AK313" s="214"/>
      <c r="AL313" s="210"/>
      <c r="AM313" s="160"/>
      <c r="AN313" s="160"/>
    </row>
    <row r="314" spans="3:40" x14ac:dyDescent="0.3">
      <c r="C314" s="42"/>
      <c r="F314" s="123"/>
      <c r="H314" s="123"/>
      <c r="I314" s="123"/>
      <c r="J314" s="219"/>
      <c r="K314" s="219"/>
      <c r="L314" s="123"/>
      <c r="M314" s="123"/>
      <c r="N314" s="160"/>
      <c r="O314" s="160"/>
      <c r="P314" s="123"/>
      <c r="Q314" s="123"/>
      <c r="R314" s="123"/>
      <c r="T314" s="42"/>
      <c r="V314" s="123"/>
      <c r="Y314" s="123"/>
      <c r="Z314" s="219"/>
      <c r="AA314" s="123"/>
      <c r="AB314" s="123"/>
      <c r="AC314" s="160"/>
      <c r="AD314" s="160"/>
      <c r="AE314" s="123"/>
      <c r="AF314" s="123"/>
      <c r="AH314" s="236"/>
      <c r="AI314" s="123"/>
      <c r="AJ314" s="123"/>
      <c r="AL314" s="123"/>
      <c r="AM314" s="160"/>
      <c r="AN314" s="160"/>
    </row>
    <row r="315" spans="3:40" x14ac:dyDescent="0.3">
      <c r="C315" s="42"/>
      <c r="F315" s="123"/>
      <c r="H315" s="184"/>
      <c r="I315" s="184"/>
      <c r="J315" s="227"/>
      <c r="K315" s="227"/>
      <c r="L315" s="123"/>
      <c r="M315" s="123"/>
      <c r="N315" s="160"/>
      <c r="O315" s="160"/>
      <c r="P315" s="123"/>
      <c r="Q315" s="123"/>
      <c r="R315" s="123"/>
      <c r="T315" s="42"/>
      <c r="V315" s="123"/>
      <c r="Y315" s="123"/>
      <c r="Z315" s="212"/>
      <c r="AA315" s="123"/>
      <c r="AB315" s="123"/>
      <c r="AC315" s="160"/>
      <c r="AD315" s="160"/>
      <c r="AE315" s="123"/>
      <c r="AF315" s="123"/>
      <c r="AH315" s="236"/>
      <c r="AI315" s="123"/>
      <c r="AJ315" s="123"/>
      <c r="AL315" s="123"/>
      <c r="AM315" s="160"/>
      <c r="AN315" s="160"/>
    </row>
    <row r="316" spans="3:40" x14ac:dyDescent="0.3">
      <c r="F316" s="210"/>
      <c r="H316" s="210"/>
      <c r="I316" s="210"/>
      <c r="J316" s="213"/>
      <c r="K316" s="213"/>
      <c r="L316" s="210"/>
      <c r="M316" s="210"/>
      <c r="N316" s="210"/>
      <c r="O316" s="210"/>
      <c r="P316" s="210"/>
      <c r="Q316" s="210"/>
      <c r="R316" s="210"/>
      <c r="V316" s="210"/>
      <c r="Y316" s="210"/>
      <c r="Z316" s="213"/>
      <c r="AA316" s="210"/>
      <c r="AB316" s="210"/>
      <c r="AC316" s="210"/>
      <c r="AD316" s="210"/>
      <c r="AE316" s="210"/>
      <c r="AF316" s="210"/>
      <c r="AI316" s="210"/>
      <c r="AJ316" s="210"/>
      <c r="AK316" s="214"/>
      <c r="AL316" s="210"/>
      <c r="AM316" s="160"/>
      <c r="AN316" s="160"/>
    </row>
    <row r="318" spans="3:40" x14ac:dyDescent="0.3">
      <c r="C318" s="42"/>
      <c r="F318" s="123"/>
      <c r="H318" s="123"/>
      <c r="I318" s="123"/>
      <c r="J318" s="213"/>
      <c r="K318" s="213"/>
      <c r="L318" s="123"/>
      <c r="M318" s="123"/>
      <c r="N318" s="160"/>
      <c r="O318" s="160"/>
      <c r="P318" s="123"/>
      <c r="Q318" s="123"/>
      <c r="R318" s="123"/>
      <c r="S318" s="123"/>
      <c r="T318" s="42"/>
      <c r="V318" s="123"/>
      <c r="Y318" s="123"/>
      <c r="Z318" s="213"/>
      <c r="AA318" s="123"/>
      <c r="AB318" s="123"/>
      <c r="AC318" s="160"/>
      <c r="AD318" s="160"/>
      <c r="AE318" s="123"/>
      <c r="AF318" s="123"/>
      <c r="AH318" s="160"/>
      <c r="AI318" s="123"/>
      <c r="AJ318" s="123"/>
      <c r="AL318" s="123"/>
      <c r="AM318" s="160"/>
      <c r="AN318" s="160"/>
    </row>
    <row r="319" spans="3:40" x14ac:dyDescent="0.3">
      <c r="F319" s="210"/>
      <c r="H319" s="210"/>
      <c r="I319" s="210"/>
      <c r="J319" s="213"/>
      <c r="K319" s="213"/>
      <c r="L319" s="210"/>
      <c r="M319" s="210"/>
      <c r="N319" s="210"/>
      <c r="O319" s="210"/>
      <c r="P319" s="210"/>
      <c r="Q319" s="210"/>
      <c r="R319" s="210"/>
      <c r="S319" s="123"/>
      <c r="V319" s="210"/>
      <c r="Y319" s="210"/>
      <c r="Z319" s="213"/>
      <c r="AA319" s="210"/>
      <c r="AB319" s="210"/>
      <c r="AC319" s="210"/>
      <c r="AD319" s="210"/>
      <c r="AE319" s="210"/>
      <c r="AF319" s="210"/>
      <c r="AI319" s="210"/>
      <c r="AJ319" s="210"/>
      <c r="AK319" s="214"/>
      <c r="AL319" s="210"/>
      <c r="AM319" s="160"/>
      <c r="AN319" s="160"/>
    </row>
    <row r="320" spans="3:40" x14ac:dyDescent="0.3">
      <c r="C320" s="42"/>
      <c r="T320" s="42"/>
    </row>
    <row r="321" spans="1:40" x14ac:dyDescent="0.3">
      <c r="C321" s="42"/>
      <c r="F321" s="123"/>
      <c r="H321" s="123"/>
      <c r="I321" s="123"/>
      <c r="L321" s="123"/>
      <c r="M321" s="123"/>
      <c r="N321" s="160"/>
      <c r="O321" s="160"/>
      <c r="P321" s="184"/>
      <c r="Q321" s="184"/>
      <c r="R321" s="123"/>
      <c r="T321" s="42"/>
      <c r="V321" s="123"/>
      <c r="Y321" s="123"/>
      <c r="AA321" s="123"/>
      <c r="AB321" s="123"/>
      <c r="AC321" s="160"/>
      <c r="AD321" s="160"/>
      <c r="AE321" s="123"/>
      <c r="AF321" s="123"/>
      <c r="AH321" s="160"/>
      <c r="AI321" s="184"/>
      <c r="AJ321" s="184"/>
      <c r="AL321" s="123"/>
      <c r="AM321" s="160"/>
      <c r="AN321" s="160"/>
    </row>
    <row r="322" spans="1:40" x14ac:dyDescent="0.3">
      <c r="F322" s="210"/>
      <c r="H322" s="210"/>
      <c r="I322" s="210"/>
      <c r="J322" s="213"/>
      <c r="K322" s="213"/>
      <c r="L322" s="210"/>
      <c r="M322" s="210"/>
      <c r="N322" s="210"/>
      <c r="O322" s="210"/>
      <c r="P322" s="210"/>
      <c r="Q322" s="210"/>
      <c r="R322" s="210"/>
      <c r="V322" s="210"/>
      <c r="Y322" s="210"/>
      <c r="Z322" s="213"/>
      <c r="AA322" s="210"/>
      <c r="AB322" s="210"/>
      <c r="AC322" s="210"/>
      <c r="AD322" s="210"/>
      <c r="AE322" s="210"/>
      <c r="AF322" s="210"/>
      <c r="AI322" s="210"/>
      <c r="AJ322" s="210"/>
      <c r="AK322" s="214"/>
      <c r="AL322" s="210"/>
    </row>
    <row r="324" spans="1:40" x14ac:dyDescent="0.3">
      <c r="C324" s="42"/>
      <c r="L324" s="123"/>
      <c r="M324" s="123"/>
      <c r="N324" s="123"/>
      <c r="O324" s="123"/>
      <c r="P324" s="123"/>
      <c r="Q324" s="123"/>
      <c r="R324" s="123"/>
      <c r="S324" s="123"/>
      <c r="T324" s="42"/>
      <c r="AA324" s="123"/>
      <c r="AB324" s="123"/>
      <c r="AC324" s="123"/>
      <c r="AD324" s="123"/>
      <c r="AI324" s="123"/>
      <c r="AJ324" s="123"/>
      <c r="AL324" s="123"/>
    </row>
    <row r="325" spans="1:40" x14ac:dyDescent="0.3">
      <c r="A325" s="42"/>
    </row>
    <row r="327" spans="1:40" x14ac:dyDescent="0.3">
      <c r="H327" s="42"/>
      <c r="I327" s="42"/>
      <c r="Y327" s="42"/>
    </row>
    <row r="329" spans="1:40" x14ac:dyDescent="0.3">
      <c r="L329" s="42"/>
      <c r="M329" s="42"/>
      <c r="AA329" s="42"/>
      <c r="AB329" s="42"/>
    </row>
    <row r="330" spans="1:40" x14ac:dyDescent="0.3">
      <c r="R330" s="42"/>
      <c r="AK330" s="206"/>
      <c r="AL330" s="42"/>
    </row>
    <row r="331" spans="1:40" x14ac:dyDescent="0.3">
      <c r="R331" s="42"/>
      <c r="AK331" s="206"/>
      <c r="AL331" s="42"/>
    </row>
    <row r="332" spans="1:40" x14ac:dyDescent="0.3">
      <c r="A332" s="42"/>
      <c r="R332" s="42"/>
      <c r="AK332" s="206"/>
      <c r="AL332" s="42"/>
    </row>
    <row r="333" spans="1:40" x14ac:dyDescent="0.3">
      <c r="L333" s="42"/>
      <c r="M333" s="42"/>
      <c r="AA333" s="42"/>
      <c r="AB333" s="42"/>
    </row>
    <row r="334" spans="1:40" x14ac:dyDescent="0.3">
      <c r="A334" s="135"/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207"/>
      <c r="AH334" s="135"/>
      <c r="AI334" s="135"/>
      <c r="AJ334" s="135"/>
      <c r="AK334" s="207"/>
      <c r="AL334" s="135"/>
      <c r="AM334" s="135"/>
      <c r="AN334" s="135"/>
    </row>
    <row r="335" spans="1:40" x14ac:dyDescent="0.3">
      <c r="L335" s="44"/>
      <c r="M335" s="44"/>
      <c r="N335" s="44"/>
      <c r="O335" s="44"/>
      <c r="R335" s="44"/>
      <c r="AA335" s="44"/>
      <c r="AB335" s="44"/>
      <c r="AC335" s="44"/>
      <c r="AD335" s="44"/>
      <c r="AE335" s="44"/>
      <c r="AF335" s="44"/>
      <c r="AG335" s="168"/>
      <c r="AH335" s="44"/>
      <c r="AK335" s="168"/>
      <c r="AL335" s="44"/>
      <c r="AM335" s="44"/>
      <c r="AN335" s="44"/>
    </row>
    <row r="336" spans="1:40" x14ac:dyDescent="0.3">
      <c r="L336" s="44"/>
      <c r="M336" s="44"/>
      <c r="N336" s="44"/>
      <c r="O336" s="44"/>
      <c r="R336" s="44"/>
      <c r="Z336" s="44"/>
      <c r="AA336" s="44"/>
      <c r="AB336" s="44"/>
      <c r="AC336" s="44"/>
      <c r="AD336" s="44"/>
      <c r="AE336" s="44"/>
      <c r="AF336" s="44"/>
      <c r="AG336" s="168"/>
      <c r="AH336" s="44"/>
      <c r="AK336" s="168"/>
      <c r="AL336" s="44"/>
      <c r="AM336" s="44"/>
      <c r="AN336" s="44"/>
    </row>
    <row r="337" spans="1:40" x14ac:dyDescent="0.3">
      <c r="A337" s="44"/>
      <c r="C337" s="44"/>
      <c r="D337" s="44"/>
      <c r="E337" s="44"/>
      <c r="F337" s="44"/>
      <c r="J337" s="44"/>
      <c r="K337" s="44"/>
      <c r="L337" s="44"/>
      <c r="M337" s="44"/>
      <c r="N337" s="44"/>
      <c r="O337" s="44"/>
      <c r="P337" s="44"/>
      <c r="Q337" s="44"/>
      <c r="R337" s="44"/>
      <c r="T337" s="44"/>
      <c r="U337" s="44"/>
      <c r="V337" s="44"/>
      <c r="Z337" s="44"/>
      <c r="AA337" s="44"/>
      <c r="AB337" s="44"/>
      <c r="AC337" s="44"/>
      <c r="AD337" s="44"/>
      <c r="AE337" s="44"/>
      <c r="AF337" s="44"/>
      <c r="AG337" s="168"/>
      <c r="AH337" s="44"/>
      <c r="AI337" s="44"/>
      <c r="AJ337" s="44"/>
      <c r="AK337" s="168"/>
      <c r="AL337" s="44"/>
      <c r="AM337" s="44"/>
      <c r="AN337" s="44"/>
    </row>
    <row r="338" spans="1:40" x14ac:dyDescent="0.3">
      <c r="A338" s="44"/>
      <c r="C338" s="44"/>
      <c r="D338" s="44"/>
      <c r="E338" s="44"/>
      <c r="F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T338" s="44"/>
      <c r="U338" s="44"/>
      <c r="V338" s="44"/>
      <c r="Y338" s="44"/>
      <c r="Z338" s="44"/>
      <c r="AA338" s="44"/>
      <c r="AB338" s="44"/>
      <c r="AC338" s="44"/>
      <c r="AD338" s="44"/>
      <c r="AE338" s="44"/>
      <c r="AF338" s="44"/>
      <c r="AG338" s="168"/>
      <c r="AH338" s="44"/>
      <c r="AI338" s="44"/>
      <c r="AJ338" s="44"/>
      <c r="AK338" s="168"/>
      <c r="AL338" s="44"/>
      <c r="AM338" s="44"/>
      <c r="AN338" s="44"/>
    </row>
    <row r="339" spans="1:40" x14ac:dyDescent="0.3">
      <c r="C339" s="44"/>
      <c r="D339" s="44"/>
      <c r="E339" s="44"/>
      <c r="F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T339" s="44"/>
      <c r="U339" s="44"/>
      <c r="V339" s="44"/>
      <c r="Y339" s="44"/>
      <c r="Z339" s="44"/>
      <c r="AA339" s="44"/>
      <c r="AB339" s="44"/>
      <c r="AC339" s="44"/>
      <c r="AD339" s="44"/>
      <c r="AE339" s="44"/>
      <c r="AF339" s="44"/>
      <c r="AG339" s="168"/>
      <c r="AH339" s="44"/>
      <c r="AI339" s="44"/>
      <c r="AJ339" s="44"/>
      <c r="AK339" s="168"/>
      <c r="AL339" s="44"/>
      <c r="AM339" s="44"/>
      <c r="AN339" s="44"/>
    </row>
    <row r="340" spans="1:40" x14ac:dyDescent="0.3">
      <c r="A340" s="135"/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207"/>
      <c r="AH340" s="135"/>
      <c r="AI340" s="135"/>
      <c r="AJ340" s="135"/>
      <c r="AK340" s="207"/>
      <c r="AL340" s="135"/>
      <c r="AM340" s="135"/>
      <c r="AN340" s="135"/>
    </row>
    <row r="341" spans="1:40" x14ac:dyDescent="0.3"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Y341" s="44"/>
      <c r="Z341" s="44"/>
      <c r="AA341" s="44"/>
      <c r="AB341" s="44"/>
      <c r="AC341" s="44"/>
      <c r="AD341" s="44"/>
      <c r="AE341" s="44"/>
      <c r="AF341" s="44"/>
      <c r="AG341" s="168"/>
      <c r="AH341" s="44"/>
      <c r="AI341" s="44"/>
      <c r="AJ341" s="44"/>
      <c r="AK341" s="168"/>
      <c r="AL341" s="44"/>
      <c r="AM341" s="44"/>
      <c r="AN341" s="44"/>
    </row>
    <row r="342" spans="1:40" x14ac:dyDescent="0.3">
      <c r="C342" s="42"/>
      <c r="D342" s="42"/>
      <c r="E342" s="42"/>
      <c r="T342" s="42"/>
      <c r="U342" s="42"/>
    </row>
    <row r="343" spans="1:40" x14ac:dyDescent="0.3">
      <c r="D343" s="42"/>
      <c r="E343" s="42"/>
      <c r="U343" s="42"/>
    </row>
    <row r="345" spans="1:40" x14ac:dyDescent="0.3">
      <c r="C345" s="42"/>
      <c r="T345" s="42"/>
    </row>
    <row r="346" spans="1:40" x14ac:dyDescent="0.3">
      <c r="C346" s="42"/>
      <c r="F346" s="184"/>
      <c r="H346" s="184"/>
      <c r="I346" s="184"/>
      <c r="J346" s="238"/>
      <c r="K346" s="238"/>
      <c r="L346" s="123"/>
      <c r="M346" s="123"/>
      <c r="N346" s="160"/>
      <c r="O346" s="160"/>
      <c r="P346" s="123"/>
      <c r="Q346" s="123"/>
      <c r="R346" s="123"/>
      <c r="T346" s="42"/>
      <c r="V346" s="184"/>
      <c r="W346" s="123"/>
      <c r="X346" s="123"/>
      <c r="Y346" s="184"/>
      <c r="Z346" s="238"/>
      <c r="AA346" s="123"/>
      <c r="AB346" s="123"/>
      <c r="AC346" s="160"/>
      <c r="AD346" s="160"/>
      <c r="AE346" s="123"/>
      <c r="AF346" s="123"/>
      <c r="AH346" s="236"/>
      <c r="AI346" s="123"/>
      <c r="AJ346" s="123"/>
      <c r="AL346" s="123"/>
      <c r="AM346" s="160"/>
      <c r="AN346" s="160"/>
    </row>
    <row r="347" spans="1:40" x14ac:dyDescent="0.3">
      <c r="C347" s="42"/>
      <c r="F347" s="123"/>
      <c r="H347" s="123"/>
      <c r="I347" s="123"/>
      <c r="J347" s="213"/>
      <c r="K347" s="213"/>
      <c r="L347" s="123"/>
      <c r="M347" s="123"/>
      <c r="N347" s="160"/>
      <c r="O347" s="160"/>
      <c r="P347" s="123"/>
      <c r="Q347" s="123"/>
      <c r="R347" s="123"/>
      <c r="T347" s="42"/>
      <c r="V347" s="184"/>
      <c r="W347" s="123"/>
      <c r="X347" s="123"/>
      <c r="Y347" s="184"/>
      <c r="Z347" s="213"/>
      <c r="AA347" s="123"/>
      <c r="AB347" s="123"/>
      <c r="AC347" s="160"/>
      <c r="AD347" s="160"/>
      <c r="AE347" s="123"/>
      <c r="AF347" s="123"/>
      <c r="AH347" s="236"/>
      <c r="AI347" s="123"/>
      <c r="AJ347" s="123"/>
      <c r="AL347" s="123"/>
      <c r="AM347" s="160"/>
      <c r="AN347" s="160"/>
    </row>
    <row r="348" spans="1:40" x14ac:dyDescent="0.3">
      <c r="C348" s="42"/>
      <c r="F348" s="184"/>
      <c r="H348" s="184"/>
      <c r="I348" s="184"/>
      <c r="J348" s="238"/>
      <c r="K348" s="238"/>
      <c r="L348" s="123"/>
      <c r="M348" s="123"/>
      <c r="N348" s="160"/>
      <c r="O348" s="160"/>
      <c r="P348" s="123"/>
      <c r="Q348" s="123"/>
      <c r="R348" s="123"/>
      <c r="T348" s="42"/>
      <c r="V348" s="184"/>
      <c r="W348" s="123"/>
      <c r="X348" s="123"/>
      <c r="Y348" s="184"/>
      <c r="Z348" s="238"/>
      <c r="AA348" s="123"/>
      <c r="AB348" s="123"/>
      <c r="AC348" s="160"/>
      <c r="AD348" s="160"/>
      <c r="AE348" s="123"/>
      <c r="AF348" s="123"/>
      <c r="AH348" s="236"/>
      <c r="AI348" s="123"/>
      <c r="AJ348" s="123"/>
      <c r="AL348" s="123"/>
      <c r="AM348" s="160"/>
      <c r="AN348" s="160"/>
    </row>
    <row r="349" spans="1:40" x14ac:dyDescent="0.3">
      <c r="C349" s="42"/>
      <c r="F349" s="184"/>
      <c r="H349" s="184"/>
      <c r="I349" s="184"/>
      <c r="J349" s="238"/>
      <c r="K349" s="238"/>
      <c r="L349" s="123"/>
      <c r="M349" s="123"/>
      <c r="N349" s="160"/>
      <c r="O349" s="160"/>
      <c r="P349" s="123"/>
      <c r="Q349" s="123"/>
      <c r="R349" s="123"/>
      <c r="T349" s="42"/>
      <c r="V349" s="184"/>
      <c r="W349" s="123"/>
      <c r="X349" s="123"/>
      <c r="Y349" s="184"/>
      <c r="Z349" s="238"/>
      <c r="AA349" s="123"/>
      <c r="AB349" s="123"/>
      <c r="AC349" s="160"/>
      <c r="AD349" s="160"/>
      <c r="AE349" s="123"/>
      <c r="AF349" s="123"/>
      <c r="AH349" s="236"/>
      <c r="AI349" s="123"/>
      <c r="AJ349" s="123"/>
      <c r="AL349" s="123"/>
      <c r="AM349" s="160"/>
      <c r="AN349" s="160"/>
    </row>
    <row r="350" spans="1:40" x14ac:dyDescent="0.3">
      <c r="C350" s="42"/>
      <c r="F350" s="184"/>
      <c r="H350" s="184"/>
      <c r="I350" s="184"/>
      <c r="J350" s="238"/>
      <c r="K350" s="238"/>
      <c r="L350" s="123"/>
      <c r="M350" s="123"/>
      <c r="N350" s="160"/>
      <c r="O350" s="160"/>
      <c r="P350" s="123"/>
      <c r="Q350" s="123"/>
      <c r="R350" s="123"/>
      <c r="T350" s="42"/>
      <c r="V350" s="184"/>
      <c r="W350" s="123"/>
      <c r="X350" s="123"/>
      <c r="Y350" s="184"/>
      <c r="Z350" s="238"/>
      <c r="AA350" s="123"/>
      <c r="AB350" s="123"/>
      <c r="AC350" s="160"/>
      <c r="AD350" s="160"/>
      <c r="AE350" s="123"/>
      <c r="AF350" s="123"/>
      <c r="AH350" s="236"/>
      <c r="AI350" s="123"/>
      <c r="AJ350" s="123"/>
      <c r="AL350" s="123"/>
      <c r="AM350" s="160"/>
      <c r="AN350" s="160"/>
    </row>
    <row r="351" spans="1:40" x14ac:dyDescent="0.3">
      <c r="C351" s="42"/>
      <c r="F351" s="123"/>
      <c r="H351" s="123"/>
      <c r="I351" s="123"/>
      <c r="J351" s="238"/>
      <c r="K351" s="238"/>
      <c r="L351" s="123"/>
      <c r="M351" s="123"/>
      <c r="N351" s="160"/>
      <c r="O351" s="160"/>
      <c r="P351" s="123"/>
      <c r="Q351" s="123"/>
      <c r="R351" s="123"/>
      <c r="T351" s="42"/>
      <c r="V351" s="184"/>
      <c r="W351" s="123"/>
      <c r="X351" s="123"/>
      <c r="Y351" s="184"/>
      <c r="Z351" s="238"/>
      <c r="AA351" s="123"/>
      <c r="AB351" s="123"/>
      <c r="AC351" s="160"/>
      <c r="AD351" s="160"/>
      <c r="AE351" s="123"/>
      <c r="AF351" s="123"/>
      <c r="AH351" s="236"/>
      <c r="AI351" s="123"/>
      <c r="AJ351" s="123"/>
      <c r="AL351" s="123"/>
      <c r="AM351" s="160"/>
      <c r="AN351" s="160"/>
    </row>
    <row r="352" spans="1:40" x14ac:dyDescent="0.3">
      <c r="C352" s="42"/>
      <c r="F352" s="123"/>
      <c r="H352" s="123"/>
      <c r="I352" s="123"/>
      <c r="J352" s="238"/>
      <c r="K352" s="238"/>
      <c r="L352" s="123"/>
      <c r="M352" s="123"/>
      <c r="N352" s="160"/>
      <c r="O352" s="160"/>
      <c r="P352" s="123"/>
      <c r="Q352" s="123"/>
      <c r="R352" s="123"/>
      <c r="T352" s="42"/>
      <c r="V352" s="184"/>
      <c r="W352" s="123"/>
      <c r="X352" s="123"/>
      <c r="Y352" s="184"/>
      <c r="Z352" s="238"/>
      <c r="AA352" s="123"/>
      <c r="AB352" s="123"/>
      <c r="AC352" s="160"/>
      <c r="AD352" s="160"/>
      <c r="AE352" s="123"/>
      <c r="AF352" s="123"/>
      <c r="AH352" s="236"/>
      <c r="AI352" s="123"/>
      <c r="AJ352" s="123"/>
      <c r="AL352" s="123"/>
      <c r="AM352" s="160"/>
      <c r="AN352" s="160"/>
    </row>
    <row r="353" spans="3:40" x14ac:dyDescent="0.3">
      <c r="F353" s="241"/>
      <c r="H353" s="242"/>
      <c r="I353" s="242"/>
      <c r="J353" s="238"/>
      <c r="K353" s="238"/>
      <c r="L353" s="241"/>
      <c r="M353" s="241"/>
      <c r="N353" s="210"/>
      <c r="O353" s="210"/>
      <c r="P353" s="241"/>
      <c r="Q353" s="241"/>
      <c r="R353" s="241"/>
      <c r="V353" s="241"/>
      <c r="W353" s="123"/>
      <c r="X353" s="123"/>
      <c r="Y353" s="241"/>
      <c r="Z353" s="238"/>
      <c r="AA353" s="241"/>
      <c r="AB353" s="241"/>
      <c r="AC353" s="243"/>
      <c r="AD353" s="243"/>
      <c r="AE353" s="241"/>
      <c r="AF353" s="241"/>
      <c r="AH353" s="236"/>
      <c r="AI353" s="241"/>
      <c r="AJ353" s="241"/>
      <c r="AK353" s="207"/>
      <c r="AL353" s="241"/>
      <c r="AM353" s="160"/>
      <c r="AN353" s="160"/>
    </row>
    <row r="354" spans="3:40" x14ac:dyDescent="0.3">
      <c r="C354" s="42"/>
      <c r="F354" s="123"/>
      <c r="H354" s="123"/>
      <c r="I354" s="123"/>
      <c r="J354" s="238"/>
      <c r="K354" s="238"/>
      <c r="L354" s="123"/>
      <c r="M354" s="123"/>
      <c r="N354" s="236"/>
      <c r="O354" s="236"/>
      <c r="P354" s="123"/>
      <c r="Q354" s="123"/>
      <c r="R354" s="123"/>
      <c r="T354" s="44"/>
      <c r="V354" s="123"/>
      <c r="W354" s="123"/>
      <c r="X354" s="123"/>
      <c r="Y354" s="123"/>
      <c r="Z354" s="238"/>
      <c r="AA354" s="123"/>
      <c r="AB354" s="123"/>
      <c r="AC354" s="236"/>
      <c r="AD354" s="236"/>
      <c r="AE354" s="123"/>
      <c r="AF354" s="123"/>
      <c r="AH354" s="236"/>
      <c r="AI354" s="123"/>
      <c r="AJ354" s="123"/>
      <c r="AL354" s="123"/>
      <c r="AM354" s="160"/>
      <c r="AN354" s="160"/>
    </row>
    <row r="355" spans="3:40" x14ac:dyDescent="0.3">
      <c r="F355" s="135"/>
      <c r="H355" s="135"/>
      <c r="I355" s="135"/>
      <c r="L355" s="135"/>
      <c r="M355" s="135"/>
      <c r="N355" s="243"/>
      <c r="O355" s="243"/>
      <c r="P355" s="241"/>
      <c r="Q355" s="241"/>
      <c r="R355" s="241"/>
      <c r="V355" s="241"/>
      <c r="Y355" s="241"/>
      <c r="Z355" s="213"/>
      <c r="AA355" s="241"/>
      <c r="AB355" s="241"/>
      <c r="AC355" s="241"/>
      <c r="AD355" s="241"/>
      <c r="AE355" s="241"/>
      <c r="AF355" s="241"/>
      <c r="AI355" s="241"/>
      <c r="AJ355" s="241"/>
      <c r="AK355" s="207"/>
      <c r="AL355" s="241"/>
      <c r="AM355" s="243"/>
      <c r="AN355" s="243"/>
    </row>
    <row r="360" spans="3:40" x14ac:dyDescent="0.3">
      <c r="N360" s="123"/>
      <c r="O360" s="123"/>
      <c r="P360" s="123"/>
      <c r="Q360" s="123"/>
      <c r="R360" s="123"/>
      <c r="V360" s="123"/>
      <c r="Y360" s="123"/>
      <c r="Z360" s="219"/>
      <c r="AA360" s="123"/>
      <c r="AB360" s="123"/>
      <c r="AC360" s="160"/>
      <c r="AD360" s="160"/>
      <c r="AE360" s="123"/>
      <c r="AF360" s="123"/>
      <c r="AH360" s="236"/>
      <c r="AI360" s="123"/>
      <c r="AJ360" s="123"/>
      <c r="AL360" s="123"/>
      <c r="AM360" s="160"/>
      <c r="AN360" s="160"/>
    </row>
    <row r="361" spans="3:40" x14ac:dyDescent="0.3">
      <c r="C361" s="42"/>
      <c r="D361" s="42"/>
      <c r="E361" s="42"/>
      <c r="J361" s="188"/>
      <c r="K361" s="188"/>
      <c r="T361" s="42"/>
      <c r="U361" s="42"/>
      <c r="Z361" s="188"/>
      <c r="AE361" s="123"/>
      <c r="AF361" s="123"/>
      <c r="AI361" s="123"/>
      <c r="AJ361" s="123"/>
      <c r="AL361" s="123"/>
      <c r="AM361" s="160"/>
      <c r="AN361" s="160"/>
    </row>
    <row r="362" spans="3:40" x14ac:dyDescent="0.3">
      <c r="D362" s="42"/>
      <c r="E362" s="42"/>
      <c r="F362" s="123"/>
      <c r="H362" s="123"/>
      <c r="I362" s="123"/>
      <c r="J362" s="238"/>
      <c r="K362" s="238"/>
      <c r="L362" s="123"/>
      <c r="M362" s="123"/>
      <c r="N362" s="160"/>
      <c r="O362" s="160"/>
      <c r="P362" s="123"/>
      <c r="Q362" s="123"/>
      <c r="R362" s="123"/>
      <c r="U362" s="42"/>
      <c r="V362" s="123"/>
      <c r="Y362" s="123"/>
      <c r="Z362" s="238"/>
      <c r="AA362" s="123"/>
      <c r="AB362" s="123"/>
      <c r="AC362" s="160"/>
      <c r="AD362" s="160"/>
      <c r="AE362" s="123"/>
      <c r="AF362" s="123"/>
      <c r="AH362" s="236"/>
      <c r="AI362" s="123"/>
      <c r="AJ362" s="123"/>
      <c r="AL362" s="123"/>
      <c r="AM362" s="160"/>
      <c r="AN362" s="160"/>
    </row>
    <row r="363" spans="3:40" x14ac:dyDescent="0.3">
      <c r="F363" s="123"/>
      <c r="H363" s="123"/>
      <c r="I363" s="123"/>
      <c r="J363" s="213"/>
      <c r="K363" s="213"/>
      <c r="L363" s="123"/>
      <c r="M363" s="123"/>
      <c r="N363" s="123"/>
      <c r="O363" s="123"/>
      <c r="P363" s="123"/>
      <c r="Q363" s="123"/>
      <c r="R363" s="123"/>
      <c r="V363" s="123"/>
      <c r="Y363" s="123"/>
      <c r="Z363" s="213"/>
      <c r="AA363" s="123"/>
      <c r="AB363" s="123"/>
      <c r="AC363" s="123"/>
      <c r="AD363" s="123"/>
      <c r="AE363" s="123"/>
      <c r="AF363" s="123"/>
      <c r="AH363" s="236"/>
      <c r="AI363" s="184"/>
      <c r="AJ363" s="184"/>
      <c r="AL363" s="123"/>
      <c r="AM363" s="160"/>
      <c r="AN363" s="160"/>
    </row>
    <row r="364" spans="3:40" x14ac:dyDescent="0.3">
      <c r="C364" s="42"/>
      <c r="F364" s="184"/>
      <c r="H364" s="184"/>
      <c r="I364" s="184"/>
      <c r="J364" s="212"/>
      <c r="K364" s="212"/>
      <c r="L364" s="123"/>
      <c r="M364" s="123"/>
      <c r="N364" s="160"/>
      <c r="O364" s="160"/>
      <c r="P364" s="123"/>
      <c r="Q364" s="123"/>
      <c r="R364" s="123"/>
      <c r="T364" s="42"/>
      <c r="V364" s="184"/>
      <c r="Y364" s="184"/>
      <c r="Z364" s="212"/>
      <c r="AA364" s="123"/>
      <c r="AB364" s="123"/>
      <c r="AC364" s="160"/>
      <c r="AD364" s="160"/>
      <c r="AE364" s="123"/>
      <c r="AF364" s="123"/>
      <c r="AH364" s="236"/>
      <c r="AI364" s="123"/>
      <c r="AJ364" s="123"/>
      <c r="AL364" s="123"/>
      <c r="AM364" s="160"/>
      <c r="AN364" s="160"/>
    </row>
    <row r="365" spans="3:40" x14ac:dyDescent="0.3">
      <c r="F365" s="135"/>
      <c r="H365" s="135"/>
      <c r="I365" s="135"/>
      <c r="L365" s="135"/>
      <c r="M365" s="135"/>
      <c r="N365" s="135"/>
      <c r="O365" s="135"/>
      <c r="P365" s="135"/>
      <c r="Q365" s="135"/>
      <c r="R365" s="135"/>
      <c r="V365" s="135"/>
      <c r="Y365" s="135"/>
      <c r="AA365" s="135"/>
      <c r="AB365" s="135"/>
      <c r="AC365" s="135"/>
      <c r="AD365" s="135"/>
      <c r="AE365" s="135"/>
      <c r="AF365" s="135"/>
      <c r="AG365" s="207"/>
      <c r="AH365" s="135"/>
      <c r="AI365" s="135"/>
      <c r="AJ365" s="135"/>
      <c r="AK365" s="207"/>
      <c r="AL365" s="135"/>
      <c r="AM365" s="135"/>
      <c r="AN365" s="135"/>
    </row>
    <row r="366" spans="3:40" x14ac:dyDescent="0.3">
      <c r="C366" s="44"/>
      <c r="F366" s="184"/>
      <c r="H366" s="184"/>
      <c r="I366" s="184"/>
      <c r="J366" s="193"/>
      <c r="K366" s="193"/>
      <c r="L366" s="184"/>
      <c r="M366" s="184"/>
      <c r="N366" s="160"/>
      <c r="O366" s="160"/>
      <c r="P366" s="184"/>
      <c r="Q366" s="184"/>
      <c r="R366" s="184"/>
      <c r="T366" s="44"/>
      <c r="V366" s="123"/>
      <c r="Y366" s="123"/>
      <c r="Z366" s="219"/>
      <c r="AA366" s="123"/>
      <c r="AB366" s="123"/>
      <c r="AC366" s="160"/>
      <c r="AD366" s="160"/>
      <c r="AH366" s="236"/>
      <c r="AI366" s="123"/>
      <c r="AJ366" s="123"/>
      <c r="AL366" s="123"/>
      <c r="AM366" s="160"/>
      <c r="AN366" s="160"/>
    </row>
    <row r="367" spans="3:40" x14ac:dyDescent="0.3">
      <c r="F367" s="241"/>
      <c r="H367" s="241"/>
      <c r="I367" s="241"/>
      <c r="J367" s="213"/>
      <c r="K367" s="213"/>
      <c r="L367" s="241"/>
      <c r="M367" s="241"/>
      <c r="N367" s="241"/>
      <c r="O367" s="241"/>
      <c r="P367" s="241"/>
      <c r="Q367" s="241"/>
      <c r="R367" s="241"/>
      <c r="V367" s="135"/>
      <c r="Y367" s="135"/>
      <c r="AA367" s="135"/>
      <c r="AB367" s="135"/>
      <c r="AC367" s="135"/>
      <c r="AD367" s="135"/>
      <c r="AE367" s="135"/>
      <c r="AF367" s="135"/>
      <c r="AG367" s="207"/>
      <c r="AH367" s="135"/>
      <c r="AI367" s="135"/>
      <c r="AJ367" s="135"/>
      <c r="AK367" s="207"/>
      <c r="AL367" s="135"/>
      <c r="AM367" s="135"/>
      <c r="AN367" s="135"/>
    </row>
    <row r="368" spans="3:40" x14ac:dyDescent="0.3">
      <c r="F368" s="184"/>
      <c r="H368" s="184"/>
      <c r="I368" s="184"/>
      <c r="J368" s="237"/>
      <c r="K368" s="237"/>
      <c r="L368" s="123"/>
      <c r="M368" s="123"/>
      <c r="N368" s="160"/>
      <c r="O368" s="160"/>
      <c r="P368" s="123"/>
      <c r="Q368" s="123"/>
      <c r="R368" s="123"/>
    </row>
    <row r="369" spans="1:40" x14ac:dyDescent="0.3">
      <c r="A369" s="42"/>
      <c r="F369" s="184"/>
      <c r="H369" s="184"/>
      <c r="I369" s="184"/>
      <c r="J369" s="193"/>
      <c r="K369" s="193"/>
      <c r="L369" s="123"/>
      <c r="M369" s="123"/>
      <c r="N369" s="160"/>
      <c r="O369" s="160"/>
      <c r="P369" s="123"/>
      <c r="Q369" s="123"/>
      <c r="R369" s="123"/>
    </row>
    <row r="370" spans="1:40" x14ac:dyDescent="0.3">
      <c r="F370" s="184"/>
      <c r="H370" s="184"/>
      <c r="I370" s="184"/>
      <c r="J370" s="193"/>
      <c r="K370" s="193"/>
      <c r="L370" s="123"/>
      <c r="M370" s="123"/>
      <c r="N370" s="160"/>
      <c r="O370" s="160"/>
      <c r="P370" s="123"/>
      <c r="Q370" s="123"/>
      <c r="R370" s="123"/>
    </row>
    <row r="371" spans="1:40" x14ac:dyDescent="0.3">
      <c r="A371" s="42"/>
    </row>
    <row r="374" spans="1:40" x14ac:dyDescent="0.3">
      <c r="H374" s="42"/>
      <c r="I374" s="42"/>
      <c r="Y374" s="42"/>
    </row>
    <row r="376" spans="1:40" x14ac:dyDescent="0.3">
      <c r="L376" s="42"/>
      <c r="M376" s="42"/>
      <c r="AA376" s="42"/>
      <c r="AB376" s="42"/>
    </row>
    <row r="377" spans="1:40" x14ac:dyDescent="0.3">
      <c r="R377" s="42"/>
      <c r="AK377" s="206"/>
      <c r="AL377" s="42"/>
    </row>
    <row r="378" spans="1:40" x14ac:dyDescent="0.3">
      <c r="R378" s="42"/>
      <c r="AK378" s="206"/>
      <c r="AL378" s="42"/>
    </row>
    <row r="379" spans="1:40" x14ac:dyDescent="0.3">
      <c r="A379" s="42"/>
      <c r="R379" s="42"/>
      <c r="AK379" s="206"/>
      <c r="AL379" s="42"/>
    </row>
    <row r="380" spans="1:40" x14ac:dyDescent="0.3">
      <c r="L380" s="42"/>
      <c r="M380" s="42"/>
      <c r="AA380" s="42"/>
      <c r="AB380" s="42"/>
    </row>
    <row r="381" spans="1:40" x14ac:dyDescent="0.3">
      <c r="A381" s="135"/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207"/>
      <c r="AH381" s="135"/>
      <c r="AI381" s="135"/>
      <c r="AJ381" s="135"/>
      <c r="AK381" s="207"/>
      <c r="AL381" s="135"/>
      <c r="AM381" s="135"/>
      <c r="AN381" s="135"/>
    </row>
    <row r="382" spans="1:40" x14ac:dyDescent="0.3">
      <c r="L382" s="44"/>
      <c r="M382" s="44"/>
      <c r="N382" s="44"/>
      <c r="O382" s="44"/>
      <c r="R382" s="44"/>
      <c r="AA382" s="44"/>
      <c r="AB382" s="44"/>
      <c r="AC382" s="44"/>
      <c r="AD382" s="44"/>
      <c r="AE382" s="44"/>
      <c r="AF382" s="44"/>
      <c r="AG382" s="168"/>
      <c r="AH382" s="44"/>
      <c r="AK382" s="168"/>
      <c r="AL382" s="44"/>
      <c r="AM382" s="44"/>
      <c r="AN382" s="44"/>
    </row>
    <row r="383" spans="1:40" x14ac:dyDescent="0.3">
      <c r="L383" s="44"/>
      <c r="M383" s="44"/>
      <c r="N383" s="44"/>
      <c r="O383" s="44"/>
      <c r="R383" s="44"/>
      <c r="Z383" s="44"/>
      <c r="AA383" s="44"/>
      <c r="AB383" s="44"/>
      <c r="AC383" s="44"/>
      <c r="AD383" s="44"/>
      <c r="AE383" s="44"/>
      <c r="AF383" s="44"/>
      <c r="AG383" s="168"/>
      <c r="AH383" s="44"/>
      <c r="AK383" s="168"/>
      <c r="AL383" s="44"/>
      <c r="AM383" s="44"/>
      <c r="AN383" s="44"/>
    </row>
    <row r="384" spans="1:40" x14ac:dyDescent="0.3">
      <c r="A384" s="44"/>
      <c r="C384" s="44"/>
      <c r="D384" s="44"/>
      <c r="E384" s="44"/>
      <c r="F384" s="44"/>
      <c r="J384" s="44"/>
      <c r="K384" s="44"/>
      <c r="L384" s="44"/>
      <c r="M384" s="44"/>
      <c r="N384" s="44"/>
      <c r="O384" s="44"/>
      <c r="P384" s="44"/>
      <c r="Q384" s="44"/>
      <c r="R384" s="44"/>
      <c r="T384" s="44"/>
      <c r="U384" s="44"/>
      <c r="V384" s="44"/>
      <c r="Z384" s="44"/>
      <c r="AA384" s="44"/>
      <c r="AB384" s="44"/>
      <c r="AC384" s="44"/>
      <c r="AD384" s="44"/>
      <c r="AE384" s="44"/>
      <c r="AF384" s="44"/>
      <c r="AG384" s="168"/>
      <c r="AH384" s="44"/>
      <c r="AI384" s="44"/>
      <c r="AJ384" s="44"/>
      <c r="AK384" s="168"/>
      <c r="AL384" s="44"/>
      <c r="AM384" s="44"/>
      <c r="AN384" s="44"/>
    </row>
    <row r="385" spans="1:40" x14ac:dyDescent="0.3">
      <c r="A385" s="44"/>
      <c r="C385" s="44"/>
      <c r="D385" s="44"/>
      <c r="E385" s="44"/>
      <c r="F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T385" s="44"/>
      <c r="U385" s="44"/>
      <c r="V385" s="44"/>
      <c r="Y385" s="44"/>
      <c r="Z385" s="44"/>
      <c r="AA385" s="44"/>
      <c r="AB385" s="44"/>
      <c r="AC385" s="44"/>
      <c r="AD385" s="44"/>
      <c r="AE385" s="44"/>
      <c r="AF385" s="44"/>
      <c r="AG385" s="168"/>
      <c r="AH385" s="44"/>
      <c r="AI385" s="44"/>
      <c r="AJ385" s="44"/>
      <c r="AK385" s="168"/>
      <c r="AL385" s="44"/>
      <c r="AM385" s="44"/>
      <c r="AN385" s="44"/>
    </row>
    <row r="386" spans="1:40" x14ac:dyDescent="0.3">
      <c r="C386" s="44"/>
      <c r="D386" s="44"/>
      <c r="E386" s="44"/>
      <c r="F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T386" s="44"/>
      <c r="U386" s="44"/>
      <c r="V386" s="44"/>
      <c r="Y386" s="44"/>
      <c r="Z386" s="44"/>
      <c r="AA386" s="44"/>
      <c r="AB386" s="44"/>
      <c r="AC386" s="44"/>
      <c r="AD386" s="44"/>
      <c r="AE386" s="44"/>
      <c r="AF386" s="44"/>
      <c r="AG386" s="168"/>
      <c r="AH386" s="44"/>
      <c r="AI386" s="44"/>
      <c r="AJ386" s="44"/>
      <c r="AK386" s="168"/>
      <c r="AL386" s="44"/>
      <c r="AM386" s="44"/>
      <c r="AN386" s="44"/>
    </row>
    <row r="387" spans="1:40" x14ac:dyDescent="0.3">
      <c r="A387" s="135"/>
      <c r="B387" s="135"/>
      <c r="C387" s="135"/>
      <c r="D387" s="135"/>
      <c r="E387" s="135"/>
      <c r="F387" s="135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207"/>
      <c r="AH387" s="135"/>
      <c r="AI387" s="135"/>
      <c r="AJ387" s="135"/>
      <c r="AK387" s="207"/>
      <c r="AL387" s="135"/>
      <c r="AM387" s="135"/>
      <c r="AN387" s="135"/>
    </row>
    <row r="388" spans="1:40" x14ac:dyDescent="0.3"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Y388" s="44"/>
      <c r="Z388" s="44"/>
      <c r="AA388" s="44"/>
      <c r="AB388" s="44"/>
      <c r="AC388" s="44"/>
      <c r="AD388" s="44"/>
      <c r="AE388" s="44"/>
      <c r="AF388" s="44"/>
      <c r="AG388" s="168"/>
      <c r="AH388" s="44"/>
      <c r="AI388" s="44"/>
      <c r="AJ388" s="44"/>
      <c r="AK388" s="168"/>
      <c r="AL388" s="44"/>
      <c r="AM388" s="44"/>
      <c r="AN388" s="44"/>
    </row>
    <row r="389" spans="1:40" x14ac:dyDescent="0.3">
      <c r="C389" s="42"/>
      <c r="D389" s="42"/>
      <c r="E389" s="42"/>
      <c r="T389" s="42"/>
      <c r="U389" s="42"/>
    </row>
    <row r="391" spans="1:40" x14ac:dyDescent="0.3">
      <c r="C391" s="42"/>
      <c r="T391" s="42"/>
    </row>
    <row r="392" spans="1:40" x14ac:dyDescent="0.3">
      <c r="C392" s="42"/>
      <c r="F392" s="184"/>
      <c r="H392" s="184"/>
      <c r="I392" s="184"/>
      <c r="J392" s="213"/>
      <c r="K392" s="213"/>
      <c r="L392" s="123"/>
      <c r="M392" s="123"/>
      <c r="N392" s="160"/>
      <c r="O392" s="160"/>
      <c r="P392" s="123"/>
      <c r="Q392" s="123"/>
      <c r="R392" s="123"/>
      <c r="T392" s="42"/>
      <c r="V392" s="184"/>
      <c r="Y392" s="184"/>
      <c r="Z392" s="213"/>
      <c r="AA392" s="123"/>
      <c r="AB392" s="123"/>
      <c r="AC392" s="160"/>
      <c r="AD392" s="160"/>
      <c r="AE392" s="123"/>
      <c r="AF392" s="123"/>
      <c r="AH392" s="236"/>
      <c r="AI392" s="123"/>
      <c r="AJ392" s="123"/>
      <c r="AL392" s="123"/>
      <c r="AM392" s="160"/>
      <c r="AN392" s="160"/>
    </row>
    <row r="393" spans="1:40" x14ac:dyDescent="0.3">
      <c r="C393" s="42"/>
      <c r="T393" s="42"/>
    </row>
    <row r="394" spans="1:40" x14ac:dyDescent="0.3">
      <c r="C394" s="42"/>
      <c r="F394" s="184"/>
      <c r="H394" s="184"/>
      <c r="I394" s="184"/>
      <c r="J394" s="238"/>
      <c r="K394" s="238"/>
      <c r="L394" s="123"/>
      <c r="M394" s="123"/>
      <c r="N394" s="160"/>
      <c r="O394" s="160"/>
      <c r="P394" s="123"/>
      <c r="Q394" s="123"/>
      <c r="R394" s="123"/>
      <c r="T394" s="42"/>
      <c r="V394" s="123"/>
      <c r="Y394" s="123"/>
      <c r="Z394" s="238"/>
      <c r="AA394" s="123"/>
      <c r="AB394" s="123"/>
      <c r="AC394" s="160"/>
      <c r="AD394" s="160"/>
      <c r="AE394" s="123"/>
      <c r="AF394" s="123"/>
      <c r="AH394" s="236"/>
      <c r="AI394" s="123"/>
      <c r="AJ394" s="123"/>
      <c r="AL394" s="123"/>
      <c r="AM394" s="160"/>
      <c r="AN394" s="160"/>
    </row>
    <row r="395" spans="1:40" x14ac:dyDescent="0.3">
      <c r="C395" s="42"/>
      <c r="F395" s="184"/>
      <c r="H395" s="184"/>
      <c r="I395" s="184"/>
      <c r="J395" s="238"/>
      <c r="K395" s="238"/>
      <c r="L395" s="123"/>
      <c r="M395" s="123"/>
      <c r="N395" s="160"/>
      <c r="O395" s="160"/>
      <c r="P395" s="123"/>
      <c r="Q395" s="123"/>
      <c r="R395" s="123"/>
      <c r="T395" s="42"/>
      <c r="V395" s="123"/>
      <c r="Y395" s="123"/>
      <c r="Z395" s="238"/>
      <c r="AA395" s="123"/>
      <c r="AB395" s="123"/>
      <c r="AC395" s="160"/>
      <c r="AD395" s="160"/>
      <c r="AE395" s="123"/>
      <c r="AF395" s="123"/>
      <c r="AH395" s="236"/>
      <c r="AI395" s="123"/>
      <c r="AJ395" s="123"/>
      <c r="AL395" s="123"/>
      <c r="AM395" s="160"/>
      <c r="AN395" s="160"/>
    </row>
    <row r="396" spans="1:40" x14ac:dyDescent="0.3">
      <c r="C396" s="42"/>
      <c r="F396" s="184"/>
      <c r="H396" s="184"/>
      <c r="I396" s="184"/>
      <c r="J396" s="238"/>
      <c r="K396" s="238"/>
      <c r="L396" s="123"/>
      <c r="M396" s="123"/>
      <c r="N396" s="160"/>
      <c r="O396" s="160"/>
      <c r="P396" s="123"/>
      <c r="Q396" s="123"/>
      <c r="R396" s="123"/>
      <c r="T396" s="42"/>
      <c r="V396" s="123"/>
      <c r="Y396" s="123"/>
      <c r="Z396" s="238"/>
      <c r="AA396" s="123"/>
      <c r="AB396" s="123"/>
      <c r="AC396" s="160"/>
      <c r="AD396" s="160"/>
      <c r="AE396" s="123"/>
      <c r="AF396" s="123"/>
      <c r="AH396" s="236"/>
      <c r="AI396" s="123"/>
      <c r="AJ396" s="123"/>
      <c r="AL396" s="123"/>
      <c r="AM396" s="160"/>
      <c r="AN396" s="160"/>
    </row>
    <row r="397" spans="1:40" x14ac:dyDescent="0.3">
      <c r="C397" s="42"/>
      <c r="F397" s="184"/>
      <c r="H397" s="184"/>
      <c r="I397" s="184"/>
      <c r="J397" s="238"/>
      <c r="K397" s="238"/>
      <c r="L397" s="123"/>
      <c r="M397" s="123"/>
      <c r="N397" s="160"/>
      <c r="O397" s="160"/>
      <c r="P397" s="123"/>
      <c r="Q397" s="123"/>
      <c r="R397" s="123"/>
      <c r="T397" s="42"/>
      <c r="V397" s="123"/>
      <c r="Y397" s="123"/>
      <c r="Z397" s="238"/>
      <c r="AA397" s="123"/>
      <c r="AB397" s="123"/>
      <c r="AC397" s="160"/>
      <c r="AD397" s="160"/>
      <c r="AE397" s="123"/>
      <c r="AF397" s="123"/>
      <c r="AH397" s="236"/>
      <c r="AI397" s="123"/>
      <c r="AJ397" s="123"/>
      <c r="AL397" s="123"/>
      <c r="AM397" s="160"/>
      <c r="AN397" s="160"/>
    </row>
    <row r="398" spans="1:40" x14ac:dyDescent="0.3">
      <c r="C398" s="42"/>
      <c r="J398" s="188"/>
      <c r="K398" s="188"/>
      <c r="T398" s="42"/>
      <c r="Z398" s="188"/>
    </row>
    <row r="399" spans="1:40" x14ac:dyDescent="0.3">
      <c r="C399" s="42"/>
      <c r="F399" s="184"/>
      <c r="H399" s="184"/>
      <c r="I399" s="184"/>
      <c r="J399" s="238"/>
      <c r="K399" s="238"/>
      <c r="L399" s="123"/>
      <c r="M399" s="123"/>
      <c r="N399" s="160"/>
      <c r="O399" s="160"/>
      <c r="P399" s="123"/>
      <c r="Q399" s="123"/>
      <c r="R399" s="123"/>
      <c r="T399" s="42"/>
      <c r="V399" s="123"/>
      <c r="Y399" s="123"/>
      <c r="Z399" s="238"/>
      <c r="AA399" s="123"/>
      <c r="AB399" s="123"/>
      <c r="AC399" s="160"/>
      <c r="AD399" s="160"/>
      <c r="AE399" s="123"/>
      <c r="AF399" s="123"/>
      <c r="AH399" s="236"/>
      <c r="AI399" s="123"/>
      <c r="AJ399" s="123"/>
      <c r="AL399" s="123"/>
      <c r="AM399" s="160"/>
      <c r="AN399" s="160"/>
    </row>
    <row r="400" spans="1:40" x14ac:dyDescent="0.3">
      <c r="C400" s="42"/>
      <c r="F400" s="184"/>
      <c r="H400" s="184"/>
      <c r="I400" s="184"/>
      <c r="J400" s="238"/>
      <c r="K400" s="238"/>
      <c r="L400" s="123"/>
      <c r="M400" s="123"/>
      <c r="N400" s="160"/>
      <c r="O400" s="160"/>
      <c r="P400" s="123"/>
      <c r="Q400" s="123"/>
      <c r="R400" s="123"/>
      <c r="T400" s="42"/>
      <c r="V400" s="123"/>
      <c r="Y400" s="123"/>
      <c r="Z400" s="238"/>
      <c r="AA400" s="123"/>
      <c r="AB400" s="123"/>
      <c r="AC400" s="160"/>
      <c r="AD400" s="160"/>
      <c r="AE400" s="123"/>
      <c r="AF400" s="123"/>
      <c r="AH400" s="236"/>
      <c r="AI400" s="123"/>
      <c r="AJ400" s="123"/>
      <c r="AL400" s="123"/>
      <c r="AM400" s="160"/>
      <c r="AN400" s="160"/>
    </row>
    <row r="401" spans="3:40" x14ac:dyDescent="0.3">
      <c r="C401" s="42"/>
      <c r="F401" s="184"/>
      <c r="H401" s="184"/>
      <c r="I401" s="184"/>
      <c r="J401" s="238"/>
      <c r="K401" s="238"/>
      <c r="L401" s="123"/>
      <c r="M401" s="123"/>
      <c r="N401" s="160"/>
      <c r="O401" s="160"/>
      <c r="P401" s="123"/>
      <c r="Q401" s="123"/>
      <c r="R401" s="123"/>
      <c r="T401" s="42"/>
      <c r="V401" s="123"/>
      <c r="Y401" s="123"/>
      <c r="Z401" s="238"/>
      <c r="AA401" s="123"/>
      <c r="AB401" s="123"/>
      <c r="AC401" s="160"/>
      <c r="AD401" s="160"/>
      <c r="AE401" s="123"/>
      <c r="AF401" s="123"/>
      <c r="AH401" s="236"/>
      <c r="AI401" s="123"/>
      <c r="AJ401" s="123"/>
      <c r="AL401" s="123"/>
      <c r="AM401" s="160"/>
      <c r="AN401" s="160"/>
    </row>
    <row r="402" spans="3:40" x14ac:dyDescent="0.3">
      <c r="C402" s="42"/>
      <c r="J402" s="188"/>
      <c r="K402" s="188"/>
      <c r="T402" s="42"/>
      <c r="Z402" s="188"/>
    </row>
    <row r="403" spans="3:40" x14ac:dyDescent="0.3">
      <c r="C403" s="42"/>
      <c r="F403" s="184"/>
      <c r="H403" s="184"/>
      <c r="I403" s="184"/>
      <c r="J403" s="238"/>
      <c r="K403" s="238"/>
      <c r="L403" s="123"/>
      <c r="M403" s="123"/>
      <c r="N403" s="160"/>
      <c r="O403" s="160"/>
      <c r="P403" s="123"/>
      <c r="Q403" s="123"/>
      <c r="R403" s="123"/>
      <c r="T403" s="42"/>
      <c r="V403" s="123"/>
      <c r="Y403" s="123"/>
      <c r="Z403" s="238"/>
      <c r="AA403" s="123"/>
      <c r="AB403" s="123"/>
      <c r="AC403" s="160"/>
      <c r="AD403" s="160"/>
      <c r="AE403" s="123"/>
      <c r="AF403" s="123"/>
      <c r="AH403" s="236"/>
      <c r="AI403" s="123"/>
      <c r="AJ403" s="123"/>
      <c r="AL403" s="123"/>
      <c r="AM403" s="160"/>
      <c r="AN403" s="160"/>
    </row>
    <row r="404" spans="3:40" x14ac:dyDescent="0.3">
      <c r="C404" s="42"/>
      <c r="F404" s="184"/>
      <c r="H404" s="184"/>
      <c r="I404" s="184"/>
      <c r="J404" s="238"/>
      <c r="K404" s="238"/>
      <c r="L404" s="123"/>
      <c r="M404" s="123"/>
      <c r="N404" s="160"/>
      <c r="O404" s="160"/>
      <c r="P404" s="123"/>
      <c r="Q404" s="123"/>
      <c r="R404" s="123"/>
      <c r="T404" s="42"/>
      <c r="V404" s="123"/>
      <c r="Y404" s="123"/>
      <c r="Z404" s="238"/>
      <c r="AA404" s="123"/>
      <c r="AB404" s="123"/>
      <c r="AC404" s="160"/>
      <c r="AD404" s="160"/>
      <c r="AE404" s="123"/>
      <c r="AF404" s="123"/>
      <c r="AH404" s="236"/>
      <c r="AI404" s="123"/>
      <c r="AJ404" s="123"/>
      <c r="AL404" s="123"/>
      <c r="AM404" s="160"/>
      <c r="AN404" s="160"/>
    </row>
    <row r="405" spans="3:40" x14ac:dyDescent="0.3">
      <c r="C405" s="42"/>
      <c r="J405" s="188"/>
      <c r="K405" s="188"/>
      <c r="T405" s="42"/>
      <c r="Z405" s="188"/>
    </row>
    <row r="406" spans="3:40" x14ac:dyDescent="0.3">
      <c r="C406" s="42"/>
      <c r="F406" s="184"/>
      <c r="H406" s="184"/>
      <c r="I406" s="184"/>
      <c r="J406" s="238"/>
      <c r="K406" s="238"/>
      <c r="L406" s="123"/>
      <c r="M406" s="123"/>
      <c r="N406" s="160"/>
      <c r="O406" s="160"/>
      <c r="P406" s="123"/>
      <c r="Q406" s="123"/>
      <c r="R406" s="123"/>
      <c r="T406" s="42"/>
      <c r="V406" s="123"/>
      <c r="Y406" s="123"/>
      <c r="Z406" s="238"/>
      <c r="AA406" s="123"/>
      <c r="AB406" s="123"/>
      <c r="AC406" s="160"/>
      <c r="AD406" s="160"/>
      <c r="AE406" s="123"/>
      <c r="AF406" s="123"/>
      <c r="AH406" s="236"/>
      <c r="AI406" s="123"/>
      <c r="AJ406" s="123"/>
      <c r="AL406" s="123"/>
      <c r="AM406" s="160"/>
      <c r="AN406" s="160"/>
    </row>
    <row r="407" spans="3:40" x14ac:dyDescent="0.3">
      <c r="C407" s="42"/>
      <c r="F407" s="184"/>
      <c r="H407" s="184"/>
      <c r="I407" s="184"/>
      <c r="J407" s="238"/>
      <c r="K407" s="238"/>
      <c r="L407" s="123"/>
      <c r="M407" s="123"/>
      <c r="N407" s="160"/>
      <c r="O407" s="160"/>
      <c r="P407" s="123"/>
      <c r="Q407" s="123"/>
      <c r="R407" s="123"/>
      <c r="T407" s="42"/>
      <c r="V407" s="123"/>
      <c r="Y407" s="123"/>
      <c r="Z407" s="238"/>
      <c r="AA407" s="123"/>
      <c r="AB407" s="123"/>
      <c r="AC407" s="160"/>
      <c r="AD407" s="160"/>
      <c r="AE407" s="123"/>
      <c r="AF407" s="123"/>
      <c r="AH407" s="236"/>
      <c r="AI407" s="123"/>
      <c r="AJ407" s="123"/>
      <c r="AL407" s="123"/>
      <c r="AM407" s="160"/>
      <c r="AN407" s="160"/>
    </row>
    <row r="408" spans="3:40" x14ac:dyDescent="0.3">
      <c r="C408" s="42"/>
      <c r="F408" s="184"/>
      <c r="H408" s="184"/>
      <c r="I408" s="184"/>
      <c r="J408" s="238"/>
      <c r="K408" s="238"/>
      <c r="L408" s="123"/>
      <c r="M408" s="123"/>
      <c r="N408" s="160"/>
      <c r="O408" s="160"/>
      <c r="P408" s="123"/>
      <c r="Q408" s="123"/>
      <c r="R408" s="123"/>
      <c r="T408" s="42"/>
      <c r="V408" s="123"/>
      <c r="Y408" s="123"/>
      <c r="Z408" s="238"/>
      <c r="AA408" s="123"/>
      <c r="AB408" s="123"/>
      <c r="AC408" s="160"/>
      <c r="AD408" s="160"/>
      <c r="AE408" s="123"/>
      <c r="AF408" s="123"/>
      <c r="AH408" s="236"/>
      <c r="AI408" s="123"/>
      <c r="AJ408" s="123"/>
      <c r="AL408" s="123"/>
      <c r="AM408" s="160"/>
      <c r="AN408" s="160"/>
    </row>
    <row r="409" spans="3:40" x14ac:dyDescent="0.3">
      <c r="F409" s="210"/>
      <c r="H409" s="210"/>
      <c r="I409" s="210"/>
      <c r="J409" s="238"/>
      <c r="K409" s="238"/>
      <c r="L409" s="210"/>
      <c r="M409" s="210"/>
      <c r="N409" s="210"/>
      <c r="O409" s="210"/>
      <c r="P409" s="210"/>
      <c r="Q409" s="210"/>
      <c r="R409" s="210"/>
      <c r="V409" s="210"/>
      <c r="Y409" s="210"/>
      <c r="Z409" s="238"/>
      <c r="AA409" s="210"/>
      <c r="AB409" s="210"/>
      <c r="AC409" s="210"/>
      <c r="AD409" s="210"/>
      <c r="AE409" s="210"/>
      <c r="AF409" s="210"/>
      <c r="AI409" s="210"/>
      <c r="AJ409" s="210"/>
      <c r="AK409" s="214"/>
      <c r="AL409" s="210"/>
    </row>
    <row r="410" spans="3:40" x14ac:dyDescent="0.3">
      <c r="C410" s="44"/>
      <c r="F410" s="123"/>
      <c r="H410" s="123"/>
      <c r="I410" s="123"/>
      <c r="J410" s="188"/>
      <c r="K410" s="188"/>
      <c r="L410" s="123"/>
      <c r="M410" s="123"/>
      <c r="N410" s="236"/>
      <c r="O410" s="236"/>
      <c r="P410" s="123"/>
      <c r="Q410" s="123"/>
      <c r="R410" s="123"/>
      <c r="T410" s="44"/>
      <c r="V410" s="123"/>
      <c r="Y410" s="123"/>
      <c r="Z410" s="188"/>
      <c r="AA410" s="123"/>
      <c r="AB410" s="123"/>
      <c r="AC410" s="123"/>
      <c r="AD410" s="123"/>
      <c r="AE410" s="123"/>
      <c r="AF410" s="123"/>
      <c r="AH410" s="236"/>
      <c r="AI410" s="123"/>
      <c r="AJ410" s="123"/>
      <c r="AL410" s="123"/>
      <c r="AM410" s="160"/>
      <c r="AN410" s="160"/>
    </row>
    <row r="411" spans="3:40" x14ac:dyDescent="0.3">
      <c r="F411" s="210"/>
      <c r="H411" s="210"/>
      <c r="I411" s="210"/>
      <c r="J411" s="238"/>
      <c r="K411" s="238"/>
      <c r="L411" s="210"/>
      <c r="M411" s="210"/>
      <c r="N411" s="210"/>
      <c r="O411" s="210"/>
      <c r="P411" s="210"/>
      <c r="Q411" s="210"/>
      <c r="R411" s="210"/>
      <c r="V411" s="210"/>
      <c r="Y411" s="210"/>
      <c r="Z411" s="238"/>
      <c r="AA411" s="210"/>
      <c r="AB411" s="210"/>
      <c r="AC411" s="210"/>
      <c r="AD411" s="210"/>
      <c r="AE411" s="210"/>
      <c r="AF411" s="210"/>
      <c r="AI411" s="210"/>
      <c r="AJ411" s="210"/>
      <c r="AK411" s="214"/>
      <c r="AL411" s="210"/>
    </row>
    <row r="412" spans="3:40" x14ac:dyDescent="0.3">
      <c r="C412" s="42"/>
      <c r="J412" s="188"/>
      <c r="K412" s="188"/>
      <c r="T412" s="42"/>
      <c r="Z412" s="188"/>
    </row>
    <row r="413" spans="3:40" x14ac:dyDescent="0.3">
      <c r="C413" s="42"/>
      <c r="J413" s="188"/>
      <c r="K413" s="188"/>
      <c r="T413" s="42"/>
      <c r="Z413" s="188"/>
    </row>
    <row r="414" spans="3:40" x14ac:dyDescent="0.3">
      <c r="C414" s="42"/>
      <c r="F414" s="184"/>
      <c r="H414" s="184"/>
      <c r="I414" s="184"/>
      <c r="J414" s="238"/>
      <c r="K414" s="238"/>
      <c r="L414" s="123"/>
      <c r="M414" s="123"/>
      <c r="N414" s="160"/>
      <c r="O414" s="160"/>
      <c r="P414" s="123"/>
      <c r="Q414" s="123"/>
      <c r="R414" s="123"/>
      <c r="T414" s="42"/>
      <c r="V414" s="123"/>
      <c r="Y414" s="123"/>
      <c r="Z414" s="238"/>
      <c r="AA414" s="123"/>
      <c r="AB414" s="123"/>
      <c r="AC414" s="160"/>
      <c r="AD414" s="160"/>
      <c r="AE414" s="123"/>
      <c r="AF414" s="123"/>
      <c r="AH414" s="236"/>
      <c r="AI414" s="123"/>
      <c r="AJ414" s="123"/>
      <c r="AL414" s="123"/>
      <c r="AM414" s="160"/>
      <c r="AN414" s="160"/>
    </row>
    <row r="415" spans="3:40" x14ac:dyDescent="0.3">
      <c r="C415" s="42"/>
      <c r="F415" s="184"/>
      <c r="H415" s="184"/>
      <c r="I415" s="184"/>
      <c r="J415" s="238"/>
      <c r="K415" s="238"/>
      <c r="L415" s="123"/>
      <c r="M415" s="123"/>
      <c r="N415" s="160"/>
      <c r="O415" s="160"/>
      <c r="P415" s="123"/>
      <c r="Q415" s="123"/>
      <c r="R415" s="123"/>
      <c r="T415" s="42"/>
      <c r="V415" s="123"/>
      <c r="Y415" s="123"/>
      <c r="Z415" s="238"/>
      <c r="AA415" s="123"/>
      <c r="AB415" s="123"/>
      <c r="AC415" s="160"/>
      <c r="AD415" s="160"/>
      <c r="AE415" s="123"/>
      <c r="AF415" s="123"/>
      <c r="AH415" s="236"/>
      <c r="AI415" s="123"/>
      <c r="AJ415" s="123"/>
      <c r="AL415" s="123"/>
      <c r="AM415" s="160"/>
      <c r="AN415" s="160"/>
    </row>
    <row r="416" spans="3:40" x14ac:dyDescent="0.3">
      <c r="C416" s="42"/>
      <c r="F416" s="184"/>
      <c r="H416" s="184"/>
      <c r="I416" s="184"/>
      <c r="J416" s="238"/>
      <c r="K416" s="238"/>
      <c r="L416" s="123"/>
      <c r="M416" s="123"/>
      <c r="N416" s="160"/>
      <c r="O416" s="160"/>
      <c r="P416" s="123"/>
      <c r="Q416" s="123"/>
      <c r="R416" s="123"/>
      <c r="T416" s="42"/>
      <c r="V416" s="123"/>
      <c r="Y416" s="123"/>
      <c r="Z416" s="238"/>
      <c r="AA416" s="123"/>
      <c r="AB416" s="123"/>
      <c r="AC416" s="160"/>
      <c r="AD416" s="160"/>
      <c r="AE416" s="123"/>
      <c r="AF416" s="123"/>
      <c r="AH416" s="236"/>
      <c r="AI416" s="123"/>
      <c r="AJ416" s="123"/>
      <c r="AL416" s="123"/>
      <c r="AM416" s="160"/>
      <c r="AN416" s="160"/>
    </row>
    <row r="417" spans="3:40" x14ac:dyDescent="0.3">
      <c r="C417" s="42"/>
      <c r="F417" s="184"/>
      <c r="H417" s="184"/>
      <c r="I417" s="184"/>
      <c r="J417" s="238"/>
      <c r="K417" s="238"/>
      <c r="L417" s="123"/>
      <c r="M417" s="123"/>
      <c r="N417" s="160"/>
      <c r="O417" s="160"/>
      <c r="P417" s="123"/>
      <c r="Q417" s="123"/>
      <c r="R417" s="123"/>
      <c r="T417" s="42"/>
      <c r="V417" s="123"/>
      <c r="Y417" s="123"/>
      <c r="Z417" s="238"/>
      <c r="AA417" s="123"/>
      <c r="AB417" s="123"/>
      <c r="AC417" s="160"/>
      <c r="AD417" s="160"/>
      <c r="AE417" s="123"/>
      <c r="AF417" s="123"/>
      <c r="AH417" s="236"/>
      <c r="AI417" s="123"/>
      <c r="AJ417" s="123"/>
      <c r="AL417" s="123"/>
      <c r="AM417" s="160"/>
      <c r="AN417" s="160"/>
    </row>
    <row r="418" spans="3:40" x14ac:dyDescent="0.3">
      <c r="C418" s="42"/>
      <c r="F418" s="184"/>
      <c r="H418" s="184"/>
      <c r="I418" s="184"/>
      <c r="J418" s="238"/>
      <c r="K418" s="238"/>
      <c r="L418" s="123"/>
      <c r="M418" s="123"/>
      <c r="N418" s="160"/>
      <c r="O418" s="160"/>
      <c r="P418" s="123"/>
      <c r="Q418" s="123"/>
      <c r="R418" s="123"/>
      <c r="T418" s="42"/>
      <c r="V418" s="123"/>
      <c r="Y418" s="123"/>
      <c r="Z418" s="238"/>
      <c r="AA418" s="123"/>
      <c r="AB418" s="123"/>
      <c r="AC418" s="160"/>
      <c r="AD418" s="160"/>
      <c r="AE418" s="123"/>
      <c r="AF418" s="123"/>
      <c r="AH418" s="236"/>
      <c r="AI418" s="123"/>
      <c r="AJ418" s="123"/>
      <c r="AL418" s="123"/>
      <c r="AM418" s="160"/>
      <c r="AN418" s="160"/>
    </row>
    <row r="419" spans="3:40" x14ac:dyDescent="0.3">
      <c r="C419" s="42"/>
      <c r="F419" s="184"/>
      <c r="H419" s="184"/>
      <c r="I419" s="184"/>
      <c r="J419" s="238"/>
      <c r="K419" s="238"/>
      <c r="L419" s="123"/>
      <c r="M419" s="123"/>
      <c r="N419" s="160"/>
      <c r="O419" s="160"/>
      <c r="P419" s="123"/>
      <c r="Q419" s="123"/>
      <c r="R419" s="123"/>
      <c r="T419" s="42"/>
      <c r="V419" s="123"/>
      <c r="Y419" s="123"/>
      <c r="Z419" s="238"/>
      <c r="AA419" s="123"/>
      <c r="AB419" s="123"/>
      <c r="AC419" s="160"/>
      <c r="AD419" s="160"/>
      <c r="AE419" s="123"/>
      <c r="AF419" s="123"/>
      <c r="AH419" s="236"/>
      <c r="AI419" s="123"/>
      <c r="AJ419" s="123"/>
      <c r="AL419" s="123"/>
      <c r="AM419" s="160"/>
      <c r="AN419" s="160"/>
    </row>
    <row r="420" spans="3:40" x14ac:dyDescent="0.3">
      <c r="C420" s="42"/>
      <c r="F420" s="184"/>
      <c r="H420" s="184"/>
      <c r="I420" s="184"/>
      <c r="J420" s="238"/>
      <c r="K420" s="238"/>
      <c r="L420" s="123"/>
      <c r="M420" s="123"/>
      <c r="N420" s="160"/>
      <c r="O420" s="160"/>
      <c r="P420" s="123"/>
      <c r="Q420" s="123"/>
      <c r="R420" s="123"/>
      <c r="T420" s="42"/>
      <c r="V420" s="123"/>
      <c r="Y420" s="123"/>
      <c r="Z420" s="238"/>
      <c r="AA420" s="123"/>
      <c r="AB420" s="123"/>
      <c r="AC420" s="160"/>
      <c r="AD420" s="160"/>
      <c r="AE420" s="123"/>
      <c r="AF420" s="123"/>
      <c r="AH420" s="236"/>
      <c r="AI420" s="123"/>
      <c r="AJ420" s="123"/>
      <c r="AL420" s="123"/>
      <c r="AM420" s="160"/>
      <c r="AN420" s="160"/>
    </row>
    <row r="421" spans="3:40" x14ac:dyDescent="0.3">
      <c r="C421" s="42"/>
      <c r="J421" s="188"/>
      <c r="K421" s="188"/>
      <c r="T421" s="42"/>
      <c r="Z421" s="188"/>
    </row>
    <row r="422" spans="3:40" x14ac:dyDescent="0.3">
      <c r="C422" s="42"/>
      <c r="F422" s="184"/>
      <c r="H422" s="184"/>
      <c r="I422" s="184"/>
      <c r="J422" s="238"/>
      <c r="K422" s="238"/>
      <c r="L422" s="123"/>
      <c r="M422" s="123"/>
      <c r="N422" s="160"/>
      <c r="O422" s="160"/>
      <c r="P422" s="123"/>
      <c r="Q422" s="123"/>
      <c r="R422" s="123"/>
      <c r="T422" s="42"/>
      <c r="V422" s="123"/>
      <c r="Y422" s="123"/>
      <c r="Z422" s="238"/>
      <c r="AA422" s="123"/>
      <c r="AB422" s="123"/>
      <c r="AC422" s="160"/>
      <c r="AD422" s="160"/>
      <c r="AE422" s="123"/>
      <c r="AF422" s="123"/>
      <c r="AH422" s="236"/>
      <c r="AI422" s="123"/>
      <c r="AJ422" s="123"/>
      <c r="AL422" s="123"/>
      <c r="AM422" s="160"/>
      <c r="AN422" s="160"/>
    </row>
    <row r="423" spans="3:40" x14ac:dyDescent="0.3">
      <c r="C423" s="42"/>
      <c r="F423" s="184"/>
      <c r="H423" s="184"/>
      <c r="I423" s="184"/>
      <c r="J423" s="238"/>
      <c r="K423" s="238"/>
      <c r="L423" s="123"/>
      <c r="M423" s="123"/>
      <c r="N423" s="160"/>
      <c r="O423" s="160"/>
      <c r="P423" s="123"/>
      <c r="Q423" s="123"/>
      <c r="R423" s="123"/>
      <c r="T423" s="42"/>
      <c r="V423" s="123"/>
      <c r="Y423" s="123"/>
      <c r="Z423" s="238"/>
      <c r="AA423" s="123"/>
      <c r="AB423" s="123"/>
      <c r="AC423" s="160"/>
      <c r="AD423" s="160"/>
      <c r="AE423" s="123"/>
      <c r="AF423" s="123"/>
      <c r="AH423" s="236"/>
      <c r="AI423" s="123"/>
      <c r="AJ423" s="123"/>
      <c r="AL423" s="123"/>
      <c r="AM423" s="160"/>
      <c r="AN423" s="160"/>
    </row>
    <row r="424" spans="3:40" x14ac:dyDescent="0.3">
      <c r="C424" s="42"/>
      <c r="F424" s="184"/>
      <c r="H424" s="184"/>
      <c r="I424" s="184"/>
      <c r="J424" s="238"/>
      <c r="K424" s="238"/>
      <c r="L424" s="123"/>
      <c r="M424" s="123"/>
      <c r="N424" s="160"/>
      <c r="O424" s="160"/>
      <c r="P424" s="123"/>
      <c r="Q424" s="123"/>
      <c r="R424" s="123"/>
      <c r="T424" s="42"/>
      <c r="V424" s="123"/>
      <c r="Y424" s="123"/>
      <c r="Z424" s="238"/>
      <c r="AA424" s="123"/>
      <c r="AB424" s="123"/>
      <c r="AC424" s="160"/>
      <c r="AD424" s="160"/>
      <c r="AE424" s="123"/>
      <c r="AF424" s="123"/>
      <c r="AH424" s="236"/>
      <c r="AI424" s="123"/>
      <c r="AJ424" s="123"/>
      <c r="AL424" s="123"/>
      <c r="AM424" s="160"/>
      <c r="AN424" s="160"/>
    </row>
    <row r="425" spans="3:40" x14ac:dyDescent="0.3">
      <c r="C425" s="42"/>
      <c r="F425" s="184"/>
      <c r="H425" s="184"/>
      <c r="I425" s="184"/>
      <c r="J425" s="238"/>
      <c r="K425" s="238"/>
      <c r="L425" s="123"/>
      <c r="M425" s="123"/>
      <c r="N425" s="160"/>
      <c r="O425" s="160"/>
      <c r="P425" s="123"/>
      <c r="Q425" s="123"/>
      <c r="R425" s="123"/>
      <c r="T425" s="42"/>
      <c r="V425" s="123"/>
      <c r="Y425" s="123"/>
      <c r="Z425" s="238"/>
      <c r="AA425" s="123"/>
      <c r="AB425" s="123"/>
      <c r="AC425" s="160"/>
      <c r="AD425" s="160"/>
      <c r="AE425" s="123"/>
      <c r="AF425" s="123"/>
      <c r="AH425" s="236"/>
      <c r="AI425" s="123"/>
      <c r="AJ425" s="123"/>
      <c r="AL425" s="123"/>
      <c r="AM425" s="160"/>
      <c r="AN425" s="160"/>
    </row>
    <row r="426" spans="3:40" x14ac:dyDescent="0.3">
      <c r="C426" s="42"/>
      <c r="J426" s="188"/>
      <c r="K426" s="188"/>
      <c r="T426" s="42"/>
      <c r="Z426" s="188"/>
    </row>
    <row r="427" spans="3:40" x14ac:dyDescent="0.3">
      <c r="C427" s="42"/>
      <c r="F427" s="184"/>
      <c r="H427" s="184"/>
      <c r="I427" s="184"/>
      <c r="J427" s="238"/>
      <c r="K427" s="238"/>
      <c r="L427" s="123"/>
      <c r="M427" s="123"/>
      <c r="N427" s="160"/>
      <c r="O427" s="160"/>
      <c r="P427" s="123"/>
      <c r="Q427" s="123"/>
      <c r="R427" s="123"/>
      <c r="T427" s="42"/>
      <c r="V427" s="123"/>
      <c r="Y427" s="123"/>
      <c r="Z427" s="238"/>
      <c r="AA427" s="123"/>
      <c r="AB427" s="123"/>
      <c r="AC427" s="160"/>
      <c r="AD427" s="160"/>
      <c r="AE427" s="123"/>
      <c r="AF427" s="123"/>
      <c r="AH427" s="236"/>
      <c r="AI427" s="123"/>
      <c r="AJ427" s="123"/>
      <c r="AL427" s="123"/>
      <c r="AM427" s="160"/>
      <c r="AN427" s="160"/>
    </row>
    <row r="428" spans="3:40" x14ac:dyDescent="0.3">
      <c r="C428" s="42"/>
      <c r="F428" s="184"/>
      <c r="H428" s="184"/>
      <c r="I428" s="184"/>
      <c r="J428" s="238"/>
      <c r="K428" s="238"/>
      <c r="L428" s="123"/>
      <c r="M428" s="123"/>
      <c r="N428" s="160"/>
      <c r="O428" s="160"/>
      <c r="P428" s="123"/>
      <c r="Q428" s="123"/>
      <c r="R428" s="123"/>
      <c r="T428" s="42"/>
      <c r="V428" s="123"/>
      <c r="Y428" s="123"/>
      <c r="Z428" s="238"/>
      <c r="AA428" s="123"/>
      <c r="AB428" s="123"/>
      <c r="AC428" s="160"/>
      <c r="AD428" s="160"/>
      <c r="AE428" s="123"/>
      <c r="AF428" s="123"/>
      <c r="AH428" s="236"/>
      <c r="AI428" s="123"/>
      <c r="AJ428" s="123"/>
      <c r="AL428" s="123"/>
      <c r="AM428" s="160"/>
      <c r="AN428" s="160"/>
    </row>
    <row r="429" spans="3:40" x14ac:dyDescent="0.3">
      <c r="C429" s="42"/>
      <c r="F429" s="184"/>
      <c r="H429" s="184"/>
      <c r="I429" s="184"/>
      <c r="J429" s="238"/>
      <c r="K429" s="238"/>
      <c r="L429" s="123"/>
      <c r="M429" s="123"/>
      <c r="N429" s="160"/>
      <c r="O429" s="160"/>
      <c r="P429" s="123"/>
      <c r="Q429" s="123"/>
      <c r="R429" s="123"/>
      <c r="T429" s="42"/>
      <c r="V429" s="123"/>
      <c r="Y429" s="123"/>
      <c r="Z429" s="238"/>
      <c r="AA429" s="123"/>
      <c r="AB429" s="123"/>
      <c r="AC429" s="160"/>
      <c r="AD429" s="160"/>
      <c r="AE429" s="123"/>
      <c r="AF429" s="123"/>
      <c r="AH429" s="236"/>
      <c r="AI429" s="123"/>
      <c r="AJ429" s="123"/>
      <c r="AL429" s="123"/>
      <c r="AM429" s="160"/>
      <c r="AN429" s="160"/>
    </row>
    <row r="430" spans="3:40" x14ac:dyDescent="0.3">
      <c r="C430" s="42"/>
      <c r="F430" s="184"/>
      <c r="H430" s="184"/>
      <c r="I430" s="184"/>
      <c r="J430" s="238"/>
      <c r="K430" s="238"/>
      <c r="L430" s="123"/>
      <c r="M430" s="123"/>
      <c r="N430" s="160"/>
      <c r="O430" s="160"/>
      <c r="P430" s="123"/>
      <c r="Q430" s="123"/>
      <c r="R430" s="123"/>
      <c r="T430" s="42"/>
      <c r="V430" s="123"/>
      <c r="Y430" s="123"/>
      <c r="Z430" s="238"/>
      <c r="AA430" s="123"/>
      <c r="AB430" s="123"/>
      <c r="AC430" s="160"/>
      <c r="AD430" s="160"/>
      <c r="AE430" s="123"/>
      <c r="AF430" s="123"/>
      <c r="AH430" s="236"/>
      <c r="AI430" s="123"/>
      <c r="AJ430" s="123"/>
      <c r="AL430" s="123"/>
      <c r="AM430" s="160"/>
      <c r="AN430" s="160"/>
    </row>
    <row r="431" spans="3:40" x14ac:dyDescent="0.3">
      <c r="C431" s="42"/>
      <c r="F431" s="184"/>
      <c r="H431" s="184"/>
      <c r="I431" s="184"/>
      <c r="J431" s="238"/>
      <c r="K431" s="238"/>
      <c r="L431" s="123"/>
      <c r="M431" s="123"/>
      <c r="N431" s="160"/>
      <c r="O431" s="160"/>
      <c r="P431" s="123"/>
      <c r="Q431" s="123"/>
      <c r="R431" s="123"/>
      <c r="T431" s="42"/>
      <c r="V431" s="123"/>
      <c r="Y431" s="123"/>
      <c r="Z431" s="238"/>
      <c r="AA431" s="123"/>
      <c r="AB431" s="123"/>
      <c r="AC431" s="160"/>
      <c r="AD431" s="160"/>
      <c r="AE431" s="123"/>
      <c r="AF431" s="123"/>
      <c r="AH431" s="236"/>
      <c r="AI431" s="123"/>
      <c r="AJ431" s="123"/>
      <c r="AL431" s="123"/>
      <c r="AM431" s="160"/>
      <c r="AN431" s="160"/>
    </row>
    <row r="432" spans="3:40" x14ac:dyDescent="0.3">
      <c r="F432" s="210"/>
      <c r="H432" s="210"/>
      <c r="I432" s="210"/>
      <c r="J432" s="213"/>
      <c r="K432" s="213"/>
      <c r="L432" s="210"/>
      <c r="M432" s="210"/>
      <c r="N432" s="210"/>
      <c r="O432" s="210"/>
      <c r="P432" s="210"/>
      <c r="Q432" s="210"/>
      <c r="R432" s="210"/>
      <c r="V432" s="210"/>
      <c r="Y432" s="210"/>
      <c r="Z432" s="238"/>
      <c r="AA432" s="210"/>
      <c r="AB432" s="210"/>
      <c r="AC432" s="210"/>
      <c r="AD432" s="210"/>
      <c r="AE432" s="210"/>
      <c r="AF432" s="210"/>
      <c r="AI432" s="210"/>
      <c r="AJ432" s="210"/>
      <c r="AK432" s="214"/>
      <c r="AL432" s="210"/>
    </row>
    <row r="433" spans="1:40" x14ac:dyDescent="0.3">
      <c r="C433" s="42"/>
      <c r="F433" s="123"/>
      <c r="H433" s="123"/>
      <c r="I433" s="123"/>
      <c r="L433" s="123"/>
      <c r="M433" s="123"/>
      <c r="N433" s="236"/>
      <c r="O433" s="236"/>
      <c r="P433" s="123"/>
      <c r="Q433" s="123"/>
      <c r="R433" s="123"/>
      <c r="T433" s="42"/>
      <c r="V433" s="123"/>
      <c r="Y433" s="123"/>
      <c r="AA433" s="123"/>
      <c r="AB433" s="123"/>
      <c r="AC433" s="160"/>
      <c r="AD433" s="160"/>
      <c r="AE433" s="123"/>
      <c r="AF433" s="123"/>
      <c r="AH433" s="236"/>
      <c r="AI433" s="123"/>
      <c r="AJ433" s="123"/>
      <c r="AL433" s="123"/>
      <c r="AM433" s="160"/>
      <c r="AN433" s="160"/>
    </row>
    <row r="434" spans="1:40" x14ac:dyDescent="0.3">
      <c r="F434" s="210"/>
      <c r="H434" s="210"/>
      <c r="I434" s="210"/>
      <c r="J434" s="213"/>
      <c r="K434" s="213"/>
      <c r="L434" s="210"/>
      <c r="M434" s="210"/>
      <c r="N434" s="210"/>
      <c r="O434" s="210"/>
      <c r="P434" s="210"/>
      <c r="Q434" s="210"/>
      <c r="R434" s="210"/>
      <c r="V434" s="210"/>
      <c r="Y434" s="210"/>
      <c r="Z434" s="213"/>
      <c r="AA434" s="210"/>
      <c r="AB434" s="210"/>
      <c r="AC434" s="210"/>
      <c r="AD434" s="210"/>
      <c r="AE434" s="210"/>
      <c r="AF434" s="210"/>
      <c r="AI434" s="210"/>
      <c r="AJ434" s="210"/>
      <c r="AK434" s="214"/>
      <c r="AL434" s="210"/>
    </row>
    <row r="435" spans="1:40" x14ac:dyDescent="0.3">
      <c r="C435" s="42"/>
      <c r="T435" s="42"/>
    </row>
    <row r="436" spans="1:40" x14ac:dyDescent="0.3">
      <c r="C436" s="42"/>
      <c r="F436" s="184"/>
      <c r="H436" s="184"/>
      <c r="I436" s="184"/>
      <c r="J436" s="193"/>
      <c r="K436" s="193"/>
      <c r="L436" s="123"/>
      <c r="M436" s="123"/>
      <c r="N436" s="160"/>
      <c r="O436" s="160"/>
      <c r="P436" s="123"/>
      <c r="Q436" s="123"/>
      <c r="R436" s="123"/>
      <c r="T436" s="42"/>
      <c r="V436" s="123"/>
      <c r="Y436" s="123"/>
      <c r="Z436" s="193"/>
      <c r="AA436" s="123"/>
      <c r="AB436" s="123"/>
      <c r="AC436" s="160"/>
      <c r="AD436" s="160"/>
      <c r="AE436" s="123"/>
      <c r="AF436" s="123"/>
      <c r="AH436" s="236"/>
      <c r="AI436" s="123"/>
      <c r="AJ436" s="123"/>
      <c r="AL436" s="123"/>
      <c r="AM436" s="160"/>
      <c r="AN436" s="160"/>
    </row>
    <row r="437" spans="1:40" x14ac:dyDescent="0.3">
      <c r="C437" s="42"/>
      <c r="F437" s="184"/>
      <c r="H437" s="184"/>
      <c r="I437" s="184"/>
      <c r="J437" s="193"/>
      <c r="K437" s="193"/>
      <c r="L437" s="123"/>
      <c r="M437" s="123"/>
      <c r="N437" s="160"/>
      <c r="O437" s="160"/>
      <c r="P437" s="123"/>
      <c r="Q437" s="123"/>
      <c r="R437" s="123"/>
      <c r="T437" s="42"/>
      <c r="V437" s="123"/>
      <c r="Y437" s="123"/>
      <c r="Z437" s="193"/>
      <c r="AA437" s="123"/>
      <c r="AB437" s="123"/>
      <c r="AC437" s="160"/>
      <c r="AD437" s="160"/>
      <c r="AE437" s="123"/>
      <c r="AF437" s="123"/>
      <c r="AH437" s="236"/>
      <c r="AI437" s="123"/>
      <c r="AJ437" s="123"/>
      <c r="AL437" s="123"/>
      <c r="AM437" s="160"/>
      <c r="AN437" s="160"/>
    </row>
    <row r="438" spans="1:40" x14ac:dyDescent="0.3">
      <c r="F438" s="210"/>
      <c r="H438" s="123"/>
      <c r="I438" s="123"/>
      <c r="J438" s="213"/>
      <c r="K438" s="213"/>
      <c r="L438" s="210"/>
      <c r="M438" s="210"/>
      <c r="N438" s="210"/>
      <c r="O438" s="210"/>
      <c r="P438" s="210"/>
      <c r="Q438" s="210"/>
      <c r="R438" s="210"/>
      <c r="V438" s="210"/>
      <c r="Y438" s="123"/>
      <c r="Z438" s="213"/>
      <c r="AA438" s="210"/>
      <c r="AB438" s="210"/>
      <c r="AC438" s="210"/>
      <c r="AD438" s="210"/>
      <c r="AE438" s="210"/>
      <c r="AF438" s="210"/>
      <c r="AI438" s="210"/>
      <c r="AJ438" s="210"/>
      <c r="AK438" s="214"/>
      <c r="AL438" s="210"/>
    </row>
    <row r="439" spans="1:40" x14ac:dyDescent="0.3">
      <c r="F439" s="123"/>
      <c r="H439" s="123"/>
      <c r="I439" s="123"/>
      <c r="J439" s="213"/>
      <c r="K439" s="213"/>
      <c r="L439" s="123"/>
      <c r="M439" s="123"/>
      <c r="N439" s="123"/>
      <c r="O439" s="123"/>
      <c r="P439" s="123"/>
      <c r="Q439" s="123"/>
      <c r="R439" s="123"/>
      <c r="V439" s="123"/>
      <c r="Y439" s="123"/>
      <c r="Z439" s="213"/>
      <c r="AA439" s="123"/>
      <c r="AB439" s="123"/>
      <c r="AC439" s="123"/>
      <c r="AD439" s="123"/>
      <c r="AE439" s="123"/>
      <c r="AF439" s="123"/>
      <c r="AI439" s="123"/>
      <c r="AJ439" s="123"/>
      <c r="AL439" s="123"/>
    </row>
    <row r="440" spans="1:40" x14ac:dyDescent="0.3">
      <c r="C440" s="42"/>
      <c r="F440" s="123"/>
      <c r="H440" s="123"/>
      <c r="I440" s="123"/>
      <c r="L440" s="123"/>
      <c r="M440" s="123"/>
      <c r="N440" s="160"/>
      <c r="O440" s="160"/>
      <c r="P440" s="123"/>
      <c r="Q440" s="123"/>
      <c r="R440" s="123"/>
      <c r="T440" s="42"/>
      <c r="V440" s="123"/>
      <c r="Y440" s="123"/>
      <c r="AA440" s="123"/>
      <c r="AB440" s="123"/>
      <c r="AC440" s="160"/>
      <c r="AD440" s="160"/>
      <c r="AE440" s="123"/>
      <c r="AF440" s="123"/>
      <c r="AH440" s="236"/>
      <c r="AI440" s="184"/>
      <c r="AJ440" s="184"/>
      <c r="AL440" s="123"/>
      <c r="AM440" s="160"/>
      <c r="AN440" s="160"/>
    </row>
    <row r="441" spans="1:40" x14ac:dyDescent="0.3">
      <c r="F441" s="210"/>
      <c r="H441" s="210"/>
      <c r="I441" s="210"/>
      <c r="J441" s="213"/>
      <c r="K441" s="213"/>
      <c r="L441" s="210"/>
      <c r="M441" s="210"/>
      <c r="N441" s="210"/>
      <c r="O441" s="210"/>
      <c r="P441" s="210"/>
      <c r="Q441" s="210"/>
      <c r="R441" s="210"/>
      <c r="V441" s="210"/>
      <c r="Y441" s="210"/>
      <c r="Z441" s="213"/>
      <c r="AA441" s="210"/>
      <c r="AB441" s="210"/>
      <c r="AC441" s="210"/>
      <c r="AD441" s="210"/>
      <c r="AE441" s="210"/>
      <c r="AF441" s="210"/>
      <c r="AI441" s="210"/>
      <c r="AJ441" s="210"/>
      <c r="AK441" s="214"/>
      <c r="AL441" s="210"/>
    </row>
    <row r="443" spans="1:40" x14ac:dyDescent="0.3">
      <c r="A443" s="42"/>
      <c r="T443" s="42"/>
    </row>
    <row r="444" spans="1:40" x14ac:dyDescent="0.3">
      <c r="A444" s="42"/>
      <c r="T444" s="42"/>
    </row>
    <row r="445" spans="1:40" x14ac:dyDescent="0.3">
      <c r="A445" s="42"/>
      <c r="T445" s="42"/>
    </row>
    <row r="446" spans="1:40" x14ac:dyDescent="0.3">
      <c r="A446" s="42"/>
      <c r="T446" s="42"/>
    </row>
    <row r="447" spans="1:40" x14ac:dyDescent="0.3">
      <c r="A447" s="42"/>
      <c r="T447" s="42"/>
    </row>
    <row r="448" spans="1:40" x14ac:dyDescent="0.3">
      <c r="A448" s="42"/>
      <c r="T448" s="42"/>
    </row>
    <row r="449" spans="1:40" x14ac:dyDescent="0.3">
      <c r="A449" s="42"/>
      <c r="T449" s="42"/>
    </row>
    <row r="450" spans="1:40" x14ac:dyDescent="0.3">
      <c r="A450" s="42"/>
      <c r="T450" s="42"/>
    </row>
    <row r="451" spans="1:40" x14ac:dyDescent="0.3">
      <c r="A451" s="42"/>
      <c r="T451" s="42"/>
    </row>
    <row r="453" spans="1:40" x14ac:dyDescent="0.3">
      <c r="A453" s="42"/>
    </row>
    <row r="455" spans="1:40" x14ac:dyDescent="0.3">
      <c r="H455" s="42"/>
      <c r="I455" s="42"/>
      <c r="Y455" s="42"/>
    </row>
    <row r="457" spans="1:40" x14ac:dyDescent="0.3">
      <c r="L457" s="42"/>
      <c r="M457" s="42"/>
      <c r="AA457" s="42"/>
      <c r="AB457" s="42"/>
    </row>
    <row r="458" spans="1:40" x14ac:dyDescent="0.3">
      <c r="R458" s="42"/>
      <c r="AK458" s="206"/>
      <c r="AL458" s="42"/>
    </row>
    <row r="459" spans="1:40" x14ac:dyDescent="0.3">
      <c r="R459" s="42"/>
      <c r="AK459" s="206"/>
      <c r="AL459" s="42"/>
    </row>
    <row r="460" spans="1:40" x14ac:dyDescent="0.3">
      <c r="A460" s="42"/>
      <c r="R460" s="42"/>
      <c r="AK460" s="206"/>
      <c r="AL460" s="42"/>
    </row>
    <row r="461" spans="1:40" x14ac:dyDescent="0.3">
      <c r="L461" s="42"/>
      <c r="M461" s="42"/>
      <c r="AA461" s="42"/>
      <c r="AB461" s="42"/>
    </row>
    <row r="462" spans="1:40" x14ac:dyDescent="0.3">
      <c r="A462" s="135"/>
      <c r="B462" s="135"/>
      <c r="C462" s="135"/>
      <c r="D462" s="135"/>
      <c r="E462" s="135"/>
      <c r="F462" s="135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207"/>
      <c r="AH462" s="135"/>
      <c r="AI462" s="135"/>
      <c r="AJ462" s="135"/>
      <c r="AK462" s="207"/>
      <c r="AL462" s="135"/>
      <c r="AM462" s="135"/>
      <c r="AN462" s="135"/>
    </row>
    <row r="463" spans="1:40" x14ac:dyDescent="0.3">
      <c r="L463" s="44"/>
      <c r="M463" s="44"/>
      <c r="N463" s="44"/>
      <c r="O463" s="44"/>
      <c r="R463" s="44"/>
      <c r="AA463" s="44"/>
      <c r="AB463" s="44"/>
      <c r="AC463" s="44"/>
      <c r="AD463" s="44"/>
      <c r="AE463" s="44"/>
      <c r="AF463" s="44"/>
      <c r="AG463" s="168"/>
      <c r="AH463" s="44"/>
      <c r="AK463" s="168"/>
      <c r="AL463" s="44"/>
      <c r="AM463" s="44"/>
      <c r="AN463" s="44"/>
    </row>
    <row r="464" spans="1:40" x14ac:dyDescent="0.3">
      <c r="L464" s="44"/>
      <c r="M464" s="44"/>
      <c r="N464" s="44"/>
      <c r="O464" s="44"/>
      <c r="R464" s="44"/>
      <c r="Z464" s="44"/>
      <c r="AA464" s="44"/>
      <c r="AB464" s="44"/>
      <c r="AC464" s="44"/>
      <c r="AD464" s="44"/>
      <c r="AE464" s="44"/>
      <c r="AF464" s="44"/>
      <c r="AG464" s="168"/>
      <c r="AH464" s="44"/>
      <c r="AK464" s="168"/>
      <c r="AL464" s="44"/>
      <c r="AM464" s="44"/>
      <c r="AN464" s="44"/>
    </row>
    <row r="465" spans="1:40" x14ac:dyDescent="0.3">
      <c r="A465" s="44"/>
      <c r="C465" s="44"/>
      <c r="D465" s="44"/>
      <c r="E465" s="44"/>
      <c r="F465" s="44"/>
      <c r="J465" s="44"/>
      <c r="K465" s="44"/>
      <c r="L465" s="44"/>
      <c r="M465" s="44"/>
      <c r="N465" s="44"/>
      <c r="O465" s="44"/>
      <c r="P465" s="44"/>
      <c r="Q465" s="44"/>
      <c r="R465" s="44"/>
      <c r="T465" s="44"/>
      <c r="U465" s="44"/>
      <c r="V465" s="44"/>
      <c r="Z465" s="44"/>
      <c r="AA465" s="44"/>
      <c r="AB465" s="44"/>
      <c r="AC465" s="44"/>
      <c r="AD465" s="44"/>
      <c r="AE465" s="44"/>
      <c r="AF465" s="44"/>
      <c r="AG465" s="168"/>
      <c r="AH465" s="44"/>
      <c r="AI465" s="44"/>
      <c r="AJ465" s="44"/>
      <c r="AK465" s="168"/>
      <c r="AL465" s="44"/>
      <c r="AM465" s="44"/>
      <c r="AN465" s="44"/>
    </row>
    <row r="466" spans="1:40" x14ac:dyDescent="0.3">
      <c r="A466" s="44"/>
      <c r="C466" s="44"/>
      <c r="D466" s="44"/>
      <c r="E466" s="44"/>
      <c r="F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T466" s="44"/>
      <c r="U466" s="44"/>
      <c r="V466" s="44"/>
      <c r="Y466" s="44"/>
      <c r="Z466" s="44"/>
      <c r="AA466" s="44"/>
      <c r="AB466" s="44"/>
      <c r="AC466" s="44"/>
      <c r="AD466" s="44"/>
      <c r="AE466" s="44"/>
      <c r="AF466" s="44"/>
      <c r="AG466" s="168"/>
      <c r="AH466" s="44"/>
      <c r="AI466" s="44"/>
      <c r="AJ466" s="44"/>
      <c r="AK466" s="168"/>
      <c r="AL466" s="44"/>
      <c r="AM466" s="44"/>
      <c r="AN466" s="44"/>
    </row>
    <row r="467" spans="1:40" x14ac:dyDescent="0.3">
      <c r="C467" s="44"/>
      <c r="D467" s="44"/>
      <c r="E467" s="44"/>
      <c r="F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T467" s="44"/>
      <c r="U467" s="44"/>
      <c r="V467" s="44"/>
      <c r="Y467" s="44"/>
      <c r="Z467" s="44"/>
      <c r="AA467" s="44"/>
      <c r="AB467" s="44"/>
      <c r="AC467" s="44"/>
      <c r="AD467" s="44"/>
      <c r="AE467" s="44"/>
      <c r="AF467" s="44"/>
      <c r="AG467" s="168"/>
      <c r="AH467" s="44"/>
      <c r="AI467" s="44"/>
      <c r="AJ467" s="44"/>
      <c r="AK467" s="168"/>
      <c r="AL467" s="44"/>
      <c r="AM467" s="44"/>
      <c r="AN467" s="44"/>
    </row>
    <row r="468" spans="1:40" x14ac:dyDescent="0.3">
      <c r="A468" s="135"/>
      <c r="B468" s="135"/>
      <c r="C468" s="135"/>
      <c r="D468" s="135"/>
      <c r="E468" s="135"/>
      <c r="F468" s="135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207"/>
      <c r="AH468" s="135"/>
      <c r="AI468" s="135"/>
      <c r="AJ468" s="135"/>
      <c r="AK468" s="207"/>
      <c r="AL468" s="135"/>
      <c r="AM468" s="135"/>
      <c r="AN468" s="135"/>
    </row>
    <row r="469" spans="1:40" x14ac:dyDescent="0.3"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Y469" s="44"/>
      <c r="Z469" s="44"/>
      <c r="AA469" s="44"/>
      <c r="AB469" s="44"/>
      <c r="AC469" s="44"/>
      <c r="AD469" s="44"/>
      <c r="AE469" s="44"/>
      <c r="AF469" s="44"/>
      <c r="AG469" s="168"/>
      <c r="AH469" s="44"/>
      <c r="AI469" s="44"/>
      <c r="AJ469" s="44"/>
      <c r="AK469" s="168"/>
      <c r="AL469" s="44"/>
      <c r="AM469" s="44"/>
      <c r="AN469" s="44"/>
    </row>
    <row r="470" spans="1:40" x14ac:dyDescent="0.3">
      <c r="C470" s="42"/>
      <c r="D470" s="42"/>
      <c r="E470" s="42"/>
      <c r="T470" s="42"/>
      <c r="U470" s="42"/>
    </row>
    <row r="471" spans="1:40" x14ac:dyDescent="0.3">
      <c r="D471" s="42"/>
      <c r="E471" s="42"/>
      <c r="U471" s="42"/>
    </row>
    <row r="473" spans="1:40" x14ac:dyDescent="0.3">
      <c r="C473" s="42"/>
      <c r="F473" s="123"/>
      <c r="J473" s="209"/>
      <c r="K473" s="209"/>
      <c r="L473" s="123"/>
      <c r="M473" s="123"/>
      <c r="R473" s="123"/>
      <c r="T473" s="42"/>
      <c r="V473" s="123"/>
      <c r="Z473" s="209"/>
      <c r="AA473" s="123"/>
      <c r="AB473" s="123"/>
      <c r="AH473" s="123"/>
      <c r="AL473" s="123"/>
    </row>
    <row r="474" spans="1:40" x14ac:dyDescent="0.3">
      <c r="C474" s="42"/>
      <c r="F474" s="123"/>
      <c r="R474" s="123"/>
      <c r="T474" s="42"/>
      <c r="V474" s="123"/>
      <c r="AH474" s="123"/>
      <c r="AL474" s="123"/>
    </row>
    <row r="475" spans="1:40" x14ac:dyDescent="0.3">
      <c r="AI475" s="123"/>
      <c r="AJ475" s="123"/>
      <c r="AL475" s="123"/>
      <c r="AM475" s="160"/>
      <c r="AN475" s="160"/>
    </row>
    <row r="476" spans="1:40" x14ac:dyDescent="0.3">
      <c r="C476" s="42"/>
      <c r="F476" s="184"/>
      <c r="H476" s="184"/>
      <c r="I476" s="184"/>
      <c r="J476" s="237"/>
      <c r="K476" s="237"/>
      <c r="L476" s="123"/>
      <c r="M476" s="123"/>
      <c r="N476" s="160"/>
      <c r="O476" s="160"/>
      <c r="P476" s="123"/>
      <c r="Q476" s="123"/>
      <c r="R476" s="123"/>
      <c r="T476" s="42"/>
      <c r="V476" s="123"/>
      <c r="Y476" s="123"/>
      <c r="Z476" s="237"/>
      <c r="AA476" s="123"/>
      <c r="AB476" s="123"/>
      <c r="AC476" s="160"/>
      <c r="AD476" s="160"/>
      <c r="AE476" s="123"/>
      <c r="AF476" s="123"/>
      <c r="AH476" s="236"/>
      <c r="AI476" s="123"/>
      <c r="AJ476" s="123"/>
      <c r="AL476" s="123"/>
      <c r="AM476" s="160"/>
      <c r="AN476" s="160"/>
    </row>
    <row r="477" spans="1:40" x14ac:dyDescent="0.3">
      <c r="F477" s="123"/>
      <c r="H477" s="123"/>
      <c r="I477" s="123"/>
      <c r="J477" s="219"/>
      <c r="K477" s="219"/>
      <c r="L477" s="123"/>
      <c r="M477" s="123"/>
      <c r="P477" s="123"/>
      <c r="Q477" s="123"/>
      <c r="R477" s="123"/>
      <c r="V477" s="123"/>
      <c r="Y477" s="123"/>
      <c r="Z477" s="219"/>
      <c r="AA477" s="123"/>
      <c r="AB477" s="123"/>
      <c r="AI477" s="123"/>
      <c r="AJ477" s="123"/>
      <c r="AL477" s="123"/>
      <c r="AM477" s="160"/>
      <c r="AN477" s="160"/>
    </row>
    <row r="478" spans="1:40" x14ac:dyDescent="0.3">
      <c r="F478" s="123"/>
      <c r="R478" s="123"/>
      <c r="V478" s="123"/>
      <c r="AL478" s="123"/>
      <c r="AM478" s="160"/>
      <c r="AN478" s="160"/>
    </row>
    <row r="479" spans="1:40" x14ac:dyDescent="0.3">
      <c r="C479" s="42"/>
      <c r="F479" s="123"/>
      <c r="J479" s="209"/>
      <c r="K479" s="209"/>
      <c r="L479" s="123"/>
      <c r="M479" s="123"/>
      <c r="N479" s="160"/>
      <c r="O479" s="160"/>
      <c r="R479" s="123"/>
      <c r="T479" s="42"/>
      <c r="V479" s="123"/>
      <c r="Z479" s="209"/>
      <c r="AA479" s="123"/>
      <c r="AB479" s="123"/>
      <c r="AC479" s="160"/>
      <c r="AD479" s="160"/>
      <c r="AL479" s="123"/>
      <c r="AM479" s="160"/>
      <c r="AN479" s="160"/>
    </row>
    <row r="480" spans="1:40" x14ac:dyDescent="0.3">
      <c r="C480" s="42"/>
      <c r="F480" s="123"/>
      <c r="H480" s="123"/>
      <c r="I480" s="123"/>
      <c r="J480" s="209"/>
      <c r="K480" s="209"/>
      <c r="L480" s="123"/>
      <c r="M480" s="123"/>
      <c r="N480" s="160"/>
      <c r="O480" s="160"/>
      <c r="P480" s="123"/>
      <c r="Q480" s="123"/>
      <c r="R480" s="123"/>
      <c r="T480" s="42"/>
      <c r="V480" s="123"/>
      <c r="Y480" s="123"/>
      <c r="Z480" s="209"/>
      <c r="AA480" s="123"/>
      <c r="AB480" s="123"/>
      <c r="AC480" s="160"/>
      <c r="AD480" s="160"/>
      <c r="AI480" s="123"/>
      <c r="AJ480" s="123"/>
      <c r="AL480" s="123"/>
      <c r="AM480" s="160"/>
      <c r="AN480" s="160"/>
    </row>
    <row r="481" spans="1:40" x14ac:dyDescent="0.3">
      <c r="C481" s="42"/>
      <c r="T481" s="42"/>
      <c r="AM481" s="160"/>
      <c r="AN481" s="160"/>
    </row>
    <row r="482" spans="1:40" x14ac:dyDescent="0.3">
      <c r="C482" s="42"/>
      <c r="T482" s="42"/>
      <c r="AM482" s="160"/>
      <c r="AN482" s="160"/>
    </row>
    <row r="483" spans="1:40" x14ac:dyDescent="0.3">
      <c r="AM483" s="160"/>
      <c r="AN483" s="160"/>
    </row>
    <row r="484" spans="1:40" x14ac:dyDescent="0.3">
      <c r="C484" s="42"/>
      <c r="F484" s="184"/>
      <c r="H484" s="184"/>
      <c r="I484" s="184"/>
      <c r="J484" s="237"/>
      <c r="K484" s="237"/>
      <c r="L484" s="123"/>
      <c r="M484" s="123"/>
      <c r="N484" s="160"/>
      <c r="O484" s="160"/>
      <c r="P484" s="123"/>
      <c r="Q484" s="123"/>
      <c r="R484" s="123"/>
      <c r="T484" s="42"/>
      <c r="V484" s="123"/>
      <c r="Y484" s="123"/>
      <c r="Z484" s="237"/>
      <c r="AA484" s="123"/>
      <c r="AB484" s="123"/>
      <c r="AC484" s="160"/>
      <c r="AD484" s="160"/>
      <c r="AE484" s="123"/>
      <c r="AF484" s="123"/>
      <c r="AH484" s="236"/>
      <c r="AI484" s="123"/>
      <c r="AJ484" s="123"/>
      <c r="AL484" s="123"/>
      <c r="AM484" s="160"/>
      <c r="AN484" s="160"/>
    </row>
    <row r="485" spans="1:40" x14ac:dyDescent="0.3">
      <c r="F485" s="210"/>
      <c r="H485" s="210"/>
      <c r="I485" s="210"/>
      <c r="J485" s="213"/>
      <c r="K485" s="213"/>
      <c r="L485" s="210"/>
      <c r="M485" s="210"/>
      <c r="N485" s="210"/>
      <c r="O485" s="210"/>
      <c r="P485" s="210"/>
      <c r="Q485" s="210"/>
      <c r="R485" s="210"/>
      <c r="V485" s="210"/>
      <c r="Y485" s="210"/>
      <c r="Z485" s="213"/>
      <c r="AA485" s="210"/>
      <c r="AB485" s="210"/>
      <c r="AC485" s="210"/>
      <c r="AD485" s="210"/>
      <c r="AE485" s="210"/>
      <c r="AF485" s="210"/>
      <c r="AI485" s="210"/>
      <c r="AJ485" s="210"/>
      <c r="AK485" s="214"/>
      <c r="AL485" s="210"/>
      <c r="AM485" s="160"/>
      <c r="AN485" s="160"/>
    </row>
    <row r="486" spans="1:40" x14ac:dyDescent="0.3">
      <c r="H486" s="123"/>
      <c r="I486" s="123"/>
      <c r="Y486" s="123"/>
      <c r="AM486" s="160"/>
      <c r="AN486" s="160"/>
    </row>
    <row r="487" spans="1:40" x14ac:dyDescent="0.3">
      <c r="C487" s="42"/>
      <c r="F487" s="123"/>
      <c r="H487" s="123"/>
      <c r="I487" s="123"/>
      <c r="L487" s="123"/>
      <c r="M487" s="123"/>
      <c r="N487" s="160"/>
      <c r="O487" s="160"/>
      <c r="P487" s="184"/>
      <c r="Q487" s="184"/>
      <c r="R487" s="123"/>
      <c r="T487" s="42"/>
      <c r="V487" s="123"/>
      <c r="Y487" s="123"/>
      <c r="AA487" s="123"/>
      <c r="AB487" s="123"/>
      <c r="AC487" s="160"/>
      <c r="AD487" s="160"/>
      <c r="AE487" s="123"/>
      <c r="AF487" s="123"/>
      <c r="AH487" s="236"/>
      <c r="AI487" s="184"/>
      <c r="AJ487" s="184"/>
      <c r="AL487" s="123"/>
      <c r="AM487" s="160"/>
      <c r="AN487" s="160"/>
    </row>
    <row r="488" spans="1:40" x14ac:dyDescent="0.3">
      <c r="F488" s="210"/>
      <c r="H488" s="210"/>
      <c r="I488" s="210"/>
      <c r="J488" s="213"/>
      <c r="K488" s="213"/>
      <c r="L488" s="210"/>
      <c r="M488" s="210"/>
      <c r="N488" s="210"/>
      <c r="O488" s="210"/>
      <c r="P488" s="210"/>
      <c r="Q488" s="210"/>
      <c r="R488" s="210"/>
      <c r="V488" s="210"/>
      <c r="Y488" s="210"/>
      <c r="Z488" s="213"/>
      <c r="AA488" s="210"/>
      <c r="AB488" s="210"/>
      <c r="AC488" s="210"/>
      <c r="AD488" s="210"/>
      <c r="AE488" s="210"/>
      <c r="AF488" s="210"/>
      <c r="AI488" s="210"/>
      <c r="AJ488" s="210"/>
      <c r="AK488" s="214"/>
      <c r="AL488" s="210"/>
      <c r="AM488" s="160"/>
      <c r="AN488" s="160"/>
    </row>
    <row r="490" spans="1:40" x14ac:dyDescent="0.3">
      <c r="F490" s="123"/>
      <c r="H490" s="123"/>
      <c r="I490" s="123"/>
      <c r="J490" s="219"/>
      <c r="K490" s="219"/>
      <c r="L490" s="123"/>
      <c r="M490" s="123"/>
      <c r="N490" s="123"/>
      <c r="O490" s="123"/>
      <c r="P490" s="123"/>
      <c r="Q490" s="123"/>
      <c r="R490" s="123"/>
      <c r="V490" s="123"/>
      <c r="Y490" s="123"/>
      <c r="Z490" s="219"/>
      <c r="AA490" s="123"/>
      <c r="AB490" s="123"/>
      <c r="AC490" s="123"/>
      <c r="AD490" s="123"/>
      <c r="AE490" s="123"/>
      <c r="AF490" s="123"/>
      <c r="AH490" s="123"/>
      <c r="AI490" s="123"/>
      <c r="AJ490" s="123"/>
      <c r="AL490" s="123"/>
    </row>
    <row r="491" spans="1:40" x14ac:dyDescent="0.3">
      <c r="A491" s="42"/>
    </row>
    <row r="493" spans="1:40" x14ac:dyDescent="0.3">
      <c r="H493" s="42"/>
      <c r="I493" s="42"/>
      <c r="Y493" s="42"/>
    </row>
    <row r="495" spans="1:40" x14ac:dyDescent="0.3">
      <c r="L495" s="42"/>
      <c r="M495" s="42"/>
      <c r="AA495" s="42"/>
      <c r="AB495" s="42"/>
    </row>
    <row r="496" spans="1:40" x14ac:dyDescent="0.3">
      <c r="R496" s="42"/>
      <c r="AK496" s="206"/>
      <c r="AL496" s="42"/>
    </row>
    <row r="497" spans="1:40" x14ac:dyDescent="0.3">
      <c r="R497" s="42"/>
      <c r="AK497" s="206"/>
      <c r="AL497" s="42"/>
    </row>
    <row r="498" spans="1:40" x14ac:dyDescent="0.3">
      <c r="A498" s="42"/>
      <c r="R498" s="42"/>
      <c r="AK498" s="206"/>
      <c r="AL498" s="42"/>
    </row>
    <row r="499" spans="1:40" x14ac:dyDescent="0.3">
      <c r="L499" s="42"/>
      <c r="M499" s="42"/>
      <c r="AA499" s="42"/>
      <c r="AB499" s="42"/>
    </row>
    <row r="500" spans="1:40" x14ac:dyDescent="0.3">
      <c r="A500" s="135"/>
      <c r="B500" s="135"/>
      <c r="C500" s="135"/>
      <c r="D500" s="135"/>
      <c r="E500" s="135"/>
      <c r="F500" s="135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207"/>
      <c r="AH500" s="135"/>
      <c r="AI500" s="135"/>
      <c r="AJ500" s="135"/>
      <c r="AK500" s="207"/>
      <c r="AL500" s="135"/>
      <c r="AM500" s="135"/>
      <c r="AN500" s="135"/>
    </row>
    <row r="501" spans="1:40" x14ac:dyDescent="0.3">
      <c r="L501" s="44"/>
      <c r="M501" s="44"/>
      <c r="N501" s="44"/>
      <c r="O501" s="44"/>
      <c r="R501" s="44"/>
      <c r="AA501" s="44"/>
      <c r="AB501" s="44"/>
      <c r="AC501" s="44"/>
      <c r="AD501" s="44"/>
      <c r="AE501" s="44"/>
      <c r="AF501" s="44"/>
      <c r="AG501" s="168"/>
      <c r="AH501" s="44"/>
      <c r="AK501" s="168"/>
      <c r="AL501" s="44"/>
      <c r="AM501" s="44"/>
      <c r="AN501" s="44"/>
    </row>
    <row r="502" spans="1:40" x14ac:dyDescent="0.3">
      <c r="L502" s="44"/>
      <c r="M502" s="44"/>
      <c r="N502" s="44"/>
      <c r="O502" s="44"/>
      <c r="R502" s="44"/>
      <c r="Z502" s="44"/>
      <c r="AA502" s="44"/>
      <c r="AB502" s="44"/>
      <c r="AC502" s="44"/>
      <c r="AD502" s="44"/>
      <c r="AE502" s="44"/>
      <c r="AF502" s="44"/>
      <c r="AG502" s="168"/>
      <c r="AH502" s="44"/>
      <c r="AK502" s="168"/>
      <c r="AL502" s="44"/>
      <c r="AM502" s="44"/>
      <c r="AN502" s="44"/>
    </row>
    <row r="503" spans="1:40" x14ac:dyDescent="0.3">
      <c r="A503" s="44"/>
      <c r="C503" s="44"/>
      <c r="D503" s="44"/>
      <c r="E503" s="44"/>
      <c r="F503" s="44"/>
      <c r="J503" s="44"/>
      <c r="K503" s="44"/>
      <c r="L503" s="44"/>
      <c r="M503" s="44"/>
      <c r="N503" s="44"/>
      <c r="O503" s="44"/>
      <c r="P503" s="44"/>
      <c r="Q503" s="44"/>
      <c r="R503" s="44"/>
      <c r="T503" s="44"/>
      <c r="U503" s="44"/>
      <c r="V503" s="44"/>
      <c r="Z503" s="44"/>
      <c r="AA503" s="44"/>
      <c r="AB503" s="44"/>
      <c r="AC503" s="44"/>
      <c r="AD503" s="44"/>
      <c r="AE503" s="44"/>
      <c r="AF503" s="44"/>
      <c r="AG503" s="168"/>
      <c r="AH503" s="44"/>
      <c r="AI503" s="44"/>
      <c r="AJ503" s="44"/>
      <c r="AK503" s="168"/>
      <c r="AL503" s="44"/>
      <c r="AM503" s="44"/>
      <c r="AN503" s="44"/>
    </row>
    <row r="504" spans="1:40" x14ac:dyDescent="0.3">
      <c r="A504" s="44"/>
      <c r="C504" s="44"/>
      <c r="D504" s="44"/>
      <c r="E504" s="44"/>
      <c r="F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T504" s="44"/>
      <c r="U504" s="44"/>
      <c r="V504" s="44"/>
      <c r="Y504" s="44"/>
      <c r="Z504" s="44"/>
      <c r="AA504" s="44"/>
      <c r="AB504" s="44"/>
      <c r="AC504" s="44"/>
      <c r="AD504" s="44"/>
      <c r="AE504" s="44"/>
      <c r="AF504" s="44"/>
      <c r="AG504" s="168"/>
      <c r="AH504" s="44"/>
      <c r="AI504" s="44"/>
      <c r="AJ504" s="44"/>
      <c r="AK504" s="168"/>
      <c r="AL504" s="44"/>
      <c r="AM504" s="44"/>
      <c r="AN504" s="44"/>
    </row>
    <row r="505" spans="1:40" x14ac:dyDescent="0.3">
      <c r="C505" s="44"/>
      <c r="D505" s="44"/>
      <c r="E505" s="44"/>
      <c r="F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T505" s="44"/>
      <c r="U505" s="44"/>
      <c r="V505" s="44"/>
      <c r="Y505" s="44"/>
      <c r="Z505" s="44"/>
      <c r="AA505" s="44"/>
      <c r="AB505" s="44"/>
      <c r="AC505" s="44"/>
      <c r="AD505" s="44"/>
      <c r="AE505" s="44"/>
      <c r="AF505" s="44"/>
      <c r="AG505" s="168"/>
      <c r="AH505" s="44"/>
      <c r="AI505" s="44"/>
      <c r="AJ505" s="44"/>
      <c r="AK505" s="168"/>
      <c r="AL505" s="44"/>
      <c r="AM505" s="44"/>
      <c r="AN505" s="44"/>
    </row>
    <row r="506" spans="1:40" x14ac:dyDescent="0.3">
      <c r="A506" s="135"/>
      <c r="B506" s="135"/>
      <c r="C506" s="135"/>
      <c r="D506" s="135"/>
      <c r="E506" s="135"/>
      <c r="F506" s="135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207"/>
      <c r="AH506" s="135"/>
      <c r="AI506" s="135"/>
      <c r="AJ506" s="135"/>
      <c r="AK506" s="207"/>
      <c r="AL506" s="135"/>
      <c r="AM506" s="135"/>
      <c r="AN506" s="135"/>
    </row>
    <row r="507" spans="1:40" x14ac:dyDescent="0.3"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Y507" s="44"/>
      <c r="Z507" s="44"/>
      <c r="AA507" s="44"/>
      <c r="AB507" s="44"/>
      <c r="AC507" s="44"/>
      <c r="AD507" s="44"/>
      <c r="AE507" s="44"/>
      <c r="AF507" s="44"/>
      <c r="AG507" s="168"/>
      <c r="AH507" s="44"/>
      <c r="AI507" s="44"/>
      <c r="AJ507" s="44"/>
      <c r="AK507" s="168"/>
      <c r="AL507" s="44"/>
      <c r="AM507" s="44"/>
      <c r="AN507" s="44"/>
    </row>
    <row r="508" spans="1:40" x14ac:dyDescent="0.3">
      <c r="C508" s="42"/>
      <c r="D508" s="42"/>
      <c r="E508" s="42"/>
      <c r="T508" s="42"/>
      <c r="U508" s="42"/>
      <c r="V508" s="123"/>
      <c r="W508" s="123"/>
      <c r="X508" s="123"/>
      <c r="Y508" s="123"/>
      <c r="Z508" s="237"/>
    </row>
    <row r="510" spans="1:40" x14ac:dyDescent="0.3">
      <c r="C510" s="42"/>
      <c r="T510" s="42"/>
      <c r="V510" s="123"/>
      <c r="W510" s="123"/>
      <c r="X510" s="123"/>
      <c r="Y510" s="123"/>
      <c r="Z510" s="237"/>
    </row>
    <row r="511" spans="1:40" x14ac:dyDescent="0.3">
      <c r="C511" s="42"/>
      <c r="F511" s="184"/>
      <c r="H511" s="184"/>
      <c r="I511" s="184"/>
      <c r="J511" s="238"/>
      <c r="K511" s="238"/>
      <c r="L511" s="123"/>
      <c r="M511" s="123"/>
      <c r="N511" s="160"/>
      <c r="O511" s="160"/>
      <c r="P511" s="123"/>
      <c r="Q511" s="123"/>
      <c r="R511" s="123"/>
      <c r="T511" s="42"/>
      <c r="V511" s="123"/>
      <c r="W511" s="123"/>
      <c r="X511" s="123"/>
      <c r="Y511" s="123"/>
      <c r="Z511" s="238"/>
      <c r="AA511" s="123"/>
      <c r="AB511" s="123"/>
      <c r="AC511" s="160"/>
      <c r="AD511" s="160"/>
      <c r="AE511" s="123"/>
      <c r="AF511" s="123"/>
      <c r="AH511" s="236"/>
      <c r="AI511" s="123"/>
      <c r="AJ511" s="123"/>
      <c r="AL511" s="123"/>
      <c r="AM511" s="160"/>
      <c r="AN511" s="160"/>
    </row>
    <row r="512" spans="1:40" x14ac:dyDescent="0.3">
      <c r="C512" s="42"/>
      <c r="F512" s="184"/>
      <c r="H512" s="184"/>
      <c r="I512" s="184"/>
      <c r="J512" s="238"/>
      <c r="K512" s="238"/>
      <c r="L512" s="123"/>
      <c r="M512" s="123"/>
      <c r="N512" s="160"/>
      <c r="O512" s="160"/>
      <c r="P512" s="123"/>
      <c r="Q512" s="123"/>
      <c r="R512" s="123"/>
      <c r="T512" s="42"/>
      <c r="V512" s="123"/>
      <c r="W512" s="123"/>
      <c r="X512" s="123"/>
      <c r="Y512" s="123"/>
      <c r="Z512" s="238"/>
      <c r="AA512" s="123"/>
      <c r="AB512" s="123"/>
      <c r="AC512" s="160"/>
      <c r="AD512" s="160"/>
      <c r="AE512" s="123"/>
      <c r="AF512" s="123"/>
      <c r="AH512" s="236"/>
      <c r="AI512" s="123"/>
      <c r="AJ512" s="123"/>
      <c r="AL512" s="123"/>
      <c r="AM512" s="160"/>
      <c r="AN512" s="160"/>
    </row>
    <row r="513" spans="1:40" x14ac:dyDescent="0.3">
      <c r="C513" s="42"/>
      <c r="F513" s="184"/>
      <c r="H513" s="184"/>
      <c r="I513" s="184"/>
      <c r="J513" s="238"/>
      <c r="K513" s="238"/>
      <c r="L513" s="123"/>
      <c r="M513" s="123"/>
      <c r="N513" s="160"/>
      <c r="O513" s="160"/>
      <c r="P513" s="123"/>
      <c r="Q513" s="123"/>
      <c r="R513" s="123"/>
      <c r="T513" s="42"/>
      <c r="V513" s="123"/>
      <c r="W513" s="123"/>
      <c r="X513" s="123"/>
      <c r="Y513" s="123"/>
      <c r="Z513" s="238"/>
      <c r="AA513" s="123"/>
      <c r="AB513" s="123"/>
      <c r="AC513" s="160"/>
      <c r="AD513" s="160"/>
      <c r="AE513" s="123"/>
      <c r="AF513" s="123"/>
      <c r="AH513" s="236"/>
      <c r="AI513" s="123"/>
      <c r="AJ513" s="123"/>
      <c r="AL513" s="123"/>
      <c r="AM513" s="160"/>
      <c r="AN513" s="160"/>
    </row>
    <row r="514" spans="1:40" x14ac:dyDescent="0.3">
      <c r="C514" s="42"/>
      <c r="F514" s="184"/>
      <c r="H514" s="184"/>
      <c r="I514" s="184"/>
      <c r="J514" s="238"/>
      <c r="K514" s="238"/>
      <c r="L514" s="123"/>
      <c r="M514" s="123"/>
      <c r="N514" s="160"/>
      <c r="O514" s="160"/>
      <c r="P514" s="123"/>
      <c r="Q514" s="123"/>
      <c r="R514" s="123"/>
      <c r="T514" s="42"/>
      <c r="V514" s="123"/>
      <c r="W514" s="123"/>
      <c r="X514" s="123"/>
      <c r="Y514" s="123"/>
      <c r="Z514" s="238"/>
      <c r="AA514" s="123"/>
      <c r="AB514" s="123"/>
      <c r="AC514" s="160"/>
      <c r="AD514" s="160"/>
      <c r="AE514" s="123"/>
      <c r="AF514" s="123"/>
      <c r="AH514" s="236"/>
      <c r="AI514" s="123"/>
      <c r="AJ514" s="123"/>
      <c r="AL514" s="123"/>
      <c r="AM514" s="160"/>
      <c r="AN514" s="160"/>
    </row>
    <row r="515" spans="1:40" x14ac:dyDescent="0.3">
      <c r="J515" s="188"/>
      <c r="K515" s="188"/>
      <c r="V515" s="123"/>
      <c r="W515" s="123"/>
      <c r="X515" s="123"/>
      <c r="Y515" s="123"/>
      <c r="Z515" s="238"/>
    </row>
    <row r="516" spans="1:40" x14ac:dyDescent="0.3">
      <c r="C516" s="42"/>
      <c r="F516" s="184"/>
      <c r="H516" s="184"/>
      <c r="I516" s="184"/>
      <c r="J516" s="238"/>
      <c r="K516" s="238"/>
      <c r="L516" s="123"/>
      <c r="M516" s="123"/>
      <c r="N516" s="160"/>
      <c r="O516" s="160"/>
      <c r="P516" s="123"/>
      <c r="Q516" s="123"/>
      <c r="R516" s="123"/>
      <c r="T516" s="42"/>
      <c r="V516" s="123"/>
      <c r="W516" s="123"/>
      <c r="X516" s="123"/>
      <c r="Y516" s="123"/>
      <c r="Z516" s="238"/>
      <c r="AA516" s="123"/>
      <c r="AB516" s="123"/>
      <c r="AC516" s="160"/>
      <c r="AD516" s="160"/>
      <c r="AE516" s="123"/>
      <c r="AF516" s="123"/>
      <c r="AH516" s="236"/>
      <c r="AI516" s="123"/>
      <c r="AJ516" s="123"/>
      <c r="AL516" s="123"/>
      <c r="AM516" s="236"/>
      <c r="AN516" s="236"/>
    </row>
    <row r="517" spans="1:40" x14ac:dyDescent="0.3">
      <c r="C517" s="42"/>
      <c r="J517" s="188"/>
      <c r="K517" s="188"/>
      <c r="T517" s="42"/>
      <c r="V517" s="123"/>
      <c r="W517" s="123"/>
      <c r="X517" s="123"/>
      <c r="Y517" s="123"/>
      <c r="Z517" s="238"/>
    </row>
    <row r="518" spans="1:40" x14ac:dyDescent="0.3">
      <c r="C518" s="42"/>
      <c r="F518" s="184"/>
      <c r="H518" s="184"/>
      <c r="I518" s="184"/>
      <c r="J518" s="238"/>
      <c r="K518" s="238"/>
      <c r="L518" s="123"/>
      <c r="M518" s="123"/>
      <c r="N518" s="160"/>
      <c r="O518" s="160"/>
      <c r="P518" s="123"/>
      <c r="Q518" s="123"/>
      <c r="R518" s="123"/>
      <c r="T518" s="42"/>
      <c r="V518" s="123"/>
      <c r="W518" s="123"/>
      <c r="X518" s="123"/>
      <c r="Y518" s="123"/>
      <c r="Z518" s="238"/>
      <c r="AA518" s="123"/>
      <c r="AB518" s="123"/>
      <c r="AC518" s="160"/>
      <c r="AD518" s="160"/>
      <c r="AE518" s="123"/>
      <c r="AF518" s="123"/>
      <c r="AH518" s="236"/>
      <c r="AI518" s="123"/>
      <c r="AJ518" s="123"/>
      <c r="AL518" s="123"/>
      <c r="AM518" s="236"/>
      <c r="AN518" s="236"/>
    </row>
    <row r="519" spans="1:40" x14ac:dyDescent="0.3">
      <c r="J519" s="188"/>
      <c r="K519" s="188"/>
      <c r="Z519" s="188"/>
    </row>
    <row r="520" spans="1:40" x14ac:dyDescent="0.3">
      <c r="C520" s="42"/>
      <c r="J520" s="188"/>
      <c r="K520" s="188"/>
      <c r="T520" s="42"/>
      <c r="V520" s="123"/>
      <c r="W520" s="123"/>
      <c r="X520" s="123"/>
      <c r="Y520" s="123"/>
      <c r="Z520" s="238"/>
    </row>
    <row r="521" spans="1:40" x14ac:dyDescent="0.3">
      <c r="C521" s="42"/>
      <c r="F521" s="184"/>
      <c r="H521" s="184"/>
      <c r="I521" s="184"/>
      <c r="J521" s="238"/>
      <c r="K521" s="238"/>
      <c r="L521" s="123"/>
      <c r="M521" s="123"/>
      <c r="N521" s="160"/>
      <c r="O521" s="160"/>
      <c r="P521" s="123"/>
      <c r="Q521" s="123"/>
      <c r="R521" s="123"/>
      <c r="T521" s="42"/>
      <c r="V521" s="123"/>
      <c r="W521" s="123"/>
      <c r="X521" s="123"/>
      <c r="Y521" s="123"/>
      <c r="Z521" s="238"/>
      <c r="AA521" s="123"/>
      <c r="AB521" s="123"/>
      <c r="AC521" s="160"/>
      <c r="AD521" s="160"/>
      <c r="AE521" s="123"/>
      <c r="AF521" s="123"/>
      <c r="AH521" s="236"/>
      <c r="AI521" s="123"/>
      <c r="AJ521" s="123"/>
      <c r="AL521" s="123"/>
      <c r="AM521" s="236"/>
      <c r="AN521" s="236"/>
    </row>
    <row r="522" spans="1:40" x14ac:dyDescent="0.3">
      <c r="C522" s="42"/>
      <c r="F522" s="184"/>
      <c r="H522" s="184"/>
      <c r="I522" s="184"/>
      <c r="J522" s="238"/>
      <c r="K522" s="238"/>
      <c r="L522" s="123"/>
      <c r="M522" s="123"/>
      <c r="N522" s="160"/>
      <c r="O522" s="160"/>
      <c r="P522" s="123"/>
      <c r="Q522" s="123"/>
      <c r="R522" s="123"/>
      <c r="T522" s="42"/>
      <c r="V522" s="123"/>
      <c r="W522" s="123"/>
      <c r="X522" s="123"/>
      <c r="Y522" s="123"/>
      <c r="Z522" s="238"/>
      <c r="AA522" s="123"/>
      <c r="AB522" s="123"/>
      <c r="AC522" s="160"/>
      <c r="AD522" s="160"/>
      <c r="AE522" s="123"/>
      <c r="AF522" s="123"/>
      <c r="AH522" s="236"/>
      <c r="AI522" s="123"/>
      <c r="AJ522" s="123"/>
      <c r="AL522" s="123"/>
      <c r="AM522" s="236"/>
      <c r="AN522" s="236"/>
    </row>
    <row r="523" spans="1:40" x14ac:dyDescent="0.3">
      <c r="F523" s="210"/>
      <c r="H523" s="210"/>
      <c r="I523" s="210"/>
      <c r="J523" s="238"/>
      <c r="K523" s="238"/>
      <c r="L523" s="210"/>
      <c r="M523" s="210"/>
      <c r="N523" s="210"/>
      <c r="O523" s="210"/>
      <c r="P523" s="210"/>
      <c r="Q523" s="210"/>
      <c r="R523" s="210"/>
      <c r="V523" s="210"/>
      <c r="Y523" s="210"/>
      <c r="Z523" s="213"/>
      <c r="AA523" s="210"/>
      <c r="AB523" s="210"/>
      <c r="AC523" s="210"/>
      <c r="AD523" s="210"/>
      <c r="AE523" s="210"/>
      <c r="AF523" s="210"/>
      <c r="AI523" s="210"/>
      <c r="AJ523" s="210"/>
      <c r="AK523" s="214"/>
      <c r="AL523" s="210"/>
    </row>
    <row r="524" spans="1:40" x14ac:dyDescent="0.3">
      <c r="C524" s="42"/>
      <c r="F524" s="123"/>
      <c r="H524" s="123"/>
      <c r="I524" s="123"/>
      <c r="L524" s="123"/>
      <c r="M524" s="123"/>
      <c r="N524" s="160"/>
      <c r="O524" s="160"/>
      <c r="P524" s="184"/>
      <c r="Q524" s="184"/>
      <c r="R524" s="123"/>
      <c r="T524" s="42"/>
      <c r="V524" s="123"/>
      <c r="W524" s="123"/>
      <c r="X524" s="123"/>
      <c r="Y524" s="123"/>
      <c r="Z524" s="237"/>
      <c r="AA524" s="123"/>
      <c r="AB524" s="123"/>
      <c r="AC524" s="160"/>
      <c r="AD524" s="160"/>
      <c r="AE524" s="123"/>
      <c r="AF524" s="123"/>
      <c r="AH524" s="236"/>
      <c r="AI524" s="184"/>
      <c r="AJ524" s="184"/>
      <c r="AL524" s="123"/>
      <c r="AM524" s="236"/>
      <c r="AN524" s="236"/>
    </row>
    <row r="525" spans="1:40" x14ac:dyDescent="0.3">
      <c r="F525" s="210"/>
      <c r="H525" s="210"/>
      <c r="I525" s="210"/>
      <c r="J525" s="213"/>
      <c r="K525" s="213"/>
      <c r="L525" s="210"/>
      <c r="M525" s="210"/>
      <c r="N525" s="210"/>
      <c r="O525" s="210"/>
      <c r="P525" s="210"/>
      <c r="Q525" s="210"/>
      <c r="R525" s="210"/>
      <c r="V525" s="210"/>
      <c r="Y525" s="210"/>
      <c r="Z525" s="213"/>
      <c r="AA525" s="210"/>
      <c r="AB525" s="210"/>
      <c r="AC525" s="210"/>
      <c r="AD525" s="210"/>
      <c r="AE525" s="210"/>
      <c r="AF525" s="210"/>
      <c r="AI525" s="210"/>
      <c r="AJ525" s="210"/>
      <c r="AK525" s="214"/>
      <c r="AL525" s="210"/>
    </row>
    <row r="528" spans="1:40" x14ac:dyDescent="0.3">
      <c r="A528" s="42"/>
    </row>
    <row r="530" spans="1:40" x14ac:dyDescent="0.3">
      <c r="H530" s="42"/>
      <c r="I530" s="42"/>
      <c r="Y530" s="42"/>
    </row>
    <row r="532" spans="1:40" x14ac:dyDescent="0.3">
      <c r="L532" s="42"/>
      <c r="M532" s="42"/>
      <c r="AA532" s="42"/>
      <c r="AB532" s="42"/>
    </row>
    <row r="533" spans="1:40" x14ac:dyDescent="0.3">
      <c r="R533" s="42"/>
      <c r="AK533" s="206"/>
      <c r="AL533" s="42"/>
    </row>
    <row r="534" spans="1:40" x14ac:dyDescent="0.3">
      <c r="R534" s="42"/>
      <c r="AK534" s="206"/>
      <c r="AL534" s="42"/>
    </row>
    <row r="535" spans="1:40" x14ac:dyDescent="0.3">
      <c r="A535" s="42"/>
      <c r="R535" s="42"/>
      <c r="AK535" s="206"/>
      <c r="AL535" s="42"/>
    </row>
    <row r="536" spans="1:40" x14ac:dyDescent="0.3">
      <c r="L536" s="42"/>
      <c r="M536" s="42"/>
      <c r="AA536" s="42"/>
      <c r="AB536" s="42"/>
    </row>
    <row r="537" spans="1:40" x14ac:dyDescent="0.3">
      <c r="A537" s="135"/>
      <c r="B537" s="135"/>
      <c r="C537" s="135"/>
      <c r="D537" s="135"/>
      <c r="E537" s="135"/>
      <c r="F537" s="135"/>
      <c r="G537" s="135"/>
      <c r="H537" s="135"/>
      <c r="I537" s="135"/>
      <c r="J537" s="135"/>
      <c r="K537" s="135"/>
      <c r="L537" s="135"/>
      <c r="M537" s="135"/>
      <c r="N537" s="135"/>
      <c r="O537" s="135"/>
      <c r="P537" s="135"/>
      <c r="Q537" s="135"/>
      <c r="R537" s="135"/>
      <c r="T537" s="135"/>
      <c r="U537" s="135"/>
      <c r="V537" s="135"/>
      <c r="W537" s="135"/>
      <c r="X537" s="135"/>
      <c r="Y537" s="135"/>
      <c r="Z537" s="135"/>
      <c r="AA537" s="135"/>
      <c r="AB537" s="135"/>
      <c r="AC537" s="135"/>
      <c r="AD537" s="135"/>
      <c r="AE537" s="135"/>
      <c r="AF537" s="135"/>
      <c r="AG537" s="207"/>
      <c r="AH537" s="135"/>
      <c r="AI537" s="135"/>
      <c r="AJ537" s="135"/>
      <c r="AK537" s="207"/>
      <c r="AL537" s="135"/>
      <c r="AM537" s="135"/>
      <c r="AN537" s="135"/>
    </row>
    <row r="538" spans="1:40" x14ac:dyDescent="0.3">
      <c r="L538" s="44"/>
      <c r="M538" s="44"/>
      <c r="N538" s="44"/>
      <c r="O538" s="44"/>
      <c r="R538" s="44"/>
      <c r="AA538" s="44"/>
      <c r="AB538" s="44"/>
      <c r="AC538" s="44"/>
      <c r="AD538" s="44"/>
      <c r="AE538" s="44"/>
      <c r="AF538" s="44"/>
      <c r="AG538" s="168"/>
      <c r="AH538" s="44"/>
      <c r="AK538" s="168"/>
      <c r="AL538" s="44"/>
      <c r="AM538" s="44"/>
      <c r="AN538" s="44"/>
    </row>
    <row r="539" spans="1:40" x14ac:dyDescent="0.3">
      <c r="L539" s="44"/>
      <c r="M539" s="44"/>
      <c r="N539" s="44"/>
      <c r="O539" s="44"/>
      <c r="R539" s="44"/>
      <c r="Z539" s="44"/>
      <c r="AA539" s="44"/>
      <c r="AB539" s="44"/>
      <c r="AC539" s="44"/>
      <c r="AD539" s="44"/>
      <c r="AE539" s="44"/>
      <c r="AF539" s="44"/>
      <c r="AG539" s="168"/>
      <c r="AH539" s="44"/>
      <c r="AK539" s="168"/>
      <c r="AL539" s="44"/>
      <c r="AM539" s="44"/>
      <c r="AN539" s="44"/>
    </row>
    <row r="540" spans="1:40" x14ac:dyDescent="0.3">
      <c r="A540" s="44"/>
      <c r="C540" s="44"/>
      <c r="D540" s="44"/>
      <c r="E540" s="44"/>
      <c r="F540" s="44"/>
      <c r="J540" s="44"/>
      <c r="K540" s="44"/>
      <c r="L540" s="44"/>
      <c r="M540" s="44"/>
      <c r="N540" s="44"/>
      <c r="O540" s="44"/>
      <c r="P540" s="44"/>
      <c r="Q540" s="44"/>
      <c r="R540" s="44"/>
      <c r="T540" s="44"/>
      <c r="U540" s="44"/>
      <c r="V540" s="44"/>
      <c r="Z540" s="44"/>
      <c r="AA540" s="44"/>
      <c r="AB540" s="44"/>
      <c r="AC540" s="44"/>
      <c r="AD540" s="44"/>
      <c r="AE540" s="44"/>
      <c r="AF540" s="44"/>
      <c r="AG540" s="168"/>
      <c r="AH540" s="44"/>
      <c r="AI540" s="44"/>
      <c r="AJ540" s="44"/>
      <c r="AK540" s="168"/>
      <c r="AL540" s="44"/>
      <c r="AM540" s="44"/>
      <c r="AN540" s="44"/>
    </row>
    <row r="541" spans="1:40" x14ac:dyDescent="0.3">
      <c r="A541" s="44"/>
      <c r="C541" s="44"/>
      <c r="D541" s="44"/>
      <c r="E541" s="44"/>
      <c r="F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T541" s="44"/>
      <c r="U541" s="44"/>
      <c r="V541" s="44"/>
      <c r="Y541" s="44"/>
      <c r="Z541" s="44"/>
      <c r="AA541" s="44"/>
      <c r="AB541" s="44"/>
      <c r="AC541" s="44"/>
      <c r="AD541" s="44"/>
      <c r="AE541" s="44"/>
      <c r="AF541" s="44"/>
      <c r="AG541" s="168"/>
      <c r="AH541" s="44"/>
      <c r="AI541" s="44"/>
      <c r="AJ541" s="44"/>
      <c r="AK541" s="168"/>
      <c r="AL541" s="44"/>
      <c r="AM541" s="44"/>
      <c r="AN541" s="44"/>
    </row>
    <row r="542" spans="1:40" x14ac:dyDescent="0.3">
      <c r="C542" s="44"/>
      <c r="D542" s="44"/>
      <c r="E542" s="44"/>
      <c r="F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T542" s="44"/>
      <c r="U542" s="44"/>
      <c r="V542" s="44"/>
      <c r="Y542" s="44"/>
      <c r="Z542" s="44"/>
      <c r="AA542" s="44"/>
      <c r="AB542" s="44"/>
      <c r="AC542" s="44"/>
      <c r="AD542" s="44"/>
      <c r="AE542" s="44"/>
      <c r="AF542" s="44"/>
      <c r="AG542" s="168"/>
      <c r="AH542" s="44"/>
      <c r="AI542" s="44"/>
      <c r="AJ542" s="44"/>
      <c r="AK542" s="168"/>
      <c r="AL542" s="44"/>
      <c r="AM542" s="44"/>
      <c r="AN542" s="44"/>
    </row>
    <row r="543" spans="1:40" x14ac:dyDescent="0.3">
      <c r="A543" s="135"/>
      <c r="B543" s="135"/>
      <c r="C543" s="135"/>
      <c r="D543" s="135"/>
      <c r="E543" s="135"/>
      <c r="F543" s="135"/>
      <c r="G543" s="135"/>
      <c r="H543" s="135"/>
      <c r="I543" s="135"/>
      <c r="J543" s="135"/>
      <c r="K543" s="135"/>
      <c r="L543" s="135"/>
      <c r="M543" s="135"/>
      <c r="N543" s="135"/>
      <c r="O543" s="135"/>
      <c r="P543" s="135"/>
      <c r="Q543" s="135"/>
      <c r="R543" s="135"/>
      <c r="T543" s="135"/>
      <c r="U543" s="135"/>
      <c r="V543" s="135"/>
      <c r="W543" s="135"/>
      <c r="X543" s="135"/>
      <c r="Y543" s="135"/>
      <c r="Z543" s="135"/>
      <c r="AA543" s="135"/>
      <c r="AB543" s="135"/>
      <c r="AC543" s="135"/>
      <c r="AD543" s="135"/>
      <c r="AE543" s="135"/>
      <c r="AF543" s="135"/>
      <c r="AG543" s="207"/>
      <c r="AH543" s="135"/>
      <c r="AI543" s="135"/>
      <c r="AJ543" s="135"/>
      <c r="AK543" s="207"/>
      <c r="AL543" s="135"/>
      <c r="AM543" s="135"/>
      <c r="AN543" s="135"/>
    </row>
    <row r="544" spans="1:40" x14ac:dyDescent="0.3"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Y544" s="44"/>
      <c r="Z544" s="44"/>
      <c r="AA544" s="44"/>
      <c r="AB544" s="44"/>
      <c r="AC544" s="44"/>
      <c r="AD544" s="44"/>
      <c r="AE544" s="44"/>
      <c r="AF544" s="44"/>
      <c r="AG544" s="168"/>
      <c r="AH544" s="44"/>
      <c r="AI544" s="44"/>
      <c r="AJ544" s="44"/>
      <c r="AK544" s="168"/>
      <c r="AL544" s="44"/>
      <c r="AM544" s="44"/>
      <c r="AN544" s="44"/>
    </row>
    <row r="545" spans="3:40" x14ac:dyDescent="0.3">
      <c r="C545" s="42"/>
      <c r="D545" s="42"/>
      <c r="E545" s="42"/>
      <c r="T545" s="42"/>
      <c r="U545" s="42"/>
    </row>
    <row r="547" spans="3:40" x14ac:dyDescent="0.3">
      <c r="C547" s="42"/>
      <c r="T547" s="42"/>
    </row>
    <row r="548" spans="3:40" x14ac:dyDescent="0.3">
      <c r="C548" s="42"/>
      <c r="T548" s="42"/>
    </row>
    <row r="549" spans="3:40" x14ac:dyDescent="0.3">
      <c r="C549" s="42"/>
      <c r="F549" s="184"/>
      <c r="H549" s="184"/>
      <c r="I549" s="184"/>
      <c r="J549" s="238"/>
      <c r="K549" s="238"/>
      <c r="L549" s="123"/>
      <c r="M549" s="123"/>
      <c r="N549" s="160"/>
      <c r="O549" s="160"/>
      <c r="P549" s="123"/>
      <c r="Q549" s="123"/>
      <c r="R549" s="123"/>
      <c r="T549" s="42"/>
      <c r="V549" s="123"/>
      <c r="W549" s="123"/>
      <c r="X549" s="123"/>
      <c r="Y549" s="123"/>
      <c r="Z549" s="238"/>
      <c r="AA549" s="123"/>
      <c r="AB549" s="123"/>
      <c r="AC549" s="160"/>
      <c r="AD549" s="160"/>
      <c r="AE549" s="123"/>
      <c r="AF549" s="123"/>
      <c r="AH549" s="236"/>
      <c r="AI549" s="123"/>
      <c r="AJ549" s="123"/>
      <c r="AL549" s="123"/>
      <c r="AM549" s="236"/>
      <c r="AN549" s="236"/>
    </row>
    <row r="550" spans="3:40" x14ac:dyDescent="0.3">
      <c r="C550" s="42"/>
      <c r="F550" s="123"/>
      <c r="H550" s="123"/>
      <c r="I550" s="123"/>
      <c r="J550" s="188"/>
      <c r="K550" s="188"/>
      <c r="L550" s="123"/>
      <c r="M550" s="123"/>
      <c r="N550" s="160"/>
      <c r="O550" s="160"/>
      <c r="P550" s="123"/>
      <c r="Q550" s="123"/>
      <c r="R550" s="123"/>
      <c r="T550" s="42"/>
      <c r="V550" s="123"/>
      <c r="W550" s="123"/>
      <c r="X550" s="123"/>
      <c r="Y550" s="123"/>
      <c r="Z550" s="188"/>
      <c r="AA550" s="123"/>
      <c r="AB550" s="123"/>
      <c r="AC550" s="160"/>
      <c r="AD550" s="160"/>
      <c r="AE550" s="123"/>
      <c r="AF550" s="123"/>
      <c r="AH550" s="236"/>
      <c r="AI550" s="123"/>
      <c r="AJ550" s="123"/>
      <c r="AL550" s="123"/>
      <c r="AM550" s="236"/>
      <c r="AN550" s="236"/>
    </row>
    <row r="551" spans="3:40" x14ac:dyDescent="0.3">
      <c r="C551" s="42"/>
      <c r="F551" s="123"/>
      <c r="H551" s="123"/>
      <c r="I551" s="123"/>
      <c r="J551" s="188"/>
      <c r="K551" s="188"/>
      <c r="L551" s="123"/>
      <c r="M551" s="123"/>
      <c r="N551" s="160"/>
      <c r="O551" s="160"/>
      <c r="P551" s="123"/>
      <c r="Q551" s="123"/>
      <c r="R551" s="123"/>
      <c r="T551" s="42"/>
      <c r="V551" s="123"/>
      <c r="W551" s="123"/>
      <c r="X551" s="123"/>
      <c r="Y551" s="123"/>
      <c r="Z551" s="188"/>
      <c r="AA551" s="123"/>
      <c r="AB551" s="123"/>
      <c r="AC551" s="160"/>
      <c r="AD551" s="160"/>
      <c r="AE551" s="123"/>
      <c r="AF551" s="123"/>
      <c r="AH551" s="236"/>
      <c r="AI551" s="123"/>
      <c r="AJ551" s="123"/>
      <c r="AL551" s="123"/>
      <c r="AM551" s="236"/>
      <c r="AN551" s="236"/>
    </row>
    <row r="552" spans="3:40" x14ac:dyDescent="0.3">
      <c r="C552" s="42"/>
      <c r="F552" s="123"/>
      <c r="H552" s="123"/>
      <c r="I552" s="123"/>
      <c r="J552" s="188"/>
      <c r="K552" s="188"/>
      <c r="T552" s="42"/>
      <c r="V552" s="123"/>
      <c r="Z552" s="188"/>
    </row>
    <row r="553" spans="3:40" x14ac:dyDescent="0.3">
      <c r="C553" s="42"/>
      <c r="F553" s="184"/>
      <c r="H553" s="184"/>
      <c r="I553" s="184"/>
      <c r="J553" s="238"/>
      <c r="K553" s="238"/>
      <c r="L553" s="123"/>
      <c r="M553" s="123"/>
      <c r="N553" s="160"/>
      <c r="O553" s="160"/>
      <c r="P553" s="123"/>
      <c r="Q553" s="123"/>
      <c r="R553" s="123"/>
      <c r="T553" s="42"/>
      <c r="V553" s="123"/>
      <c r="W553" s="123"/>
      <c r="X553" s="123"/>
      <c r="Y553" s="123"/>
      <c r="Z553" s="238"/>
      <c r="AA553" s="123"/>
      <c r="AB553" s="123"/>
      <c r="AC553" s="160"/>
      <c r="AD553" s="160"/>
      <c r="AE553" s="123"/>
      <c r="AF553" s="123"/>
      <c r="AH553" s="236"/>
      <c r="AI553" s="123"/>
      <c r="AJ553" s="123"/>
      <c r="AL553" s="123"/>
      <c r="AM553" s="236"/>
      <c r="AN553" s="236"/>
    </row>
    <row r="554" spans="3:40" x14ac:dyDescent="0.3">
      <c r="C554" s="42"/>
      <c r="F554" s="123"/>
      <c r="H554" s="123"/>
      <c r="I554" s="123"/>
      <c r="J554" s="188"/>
      <c r="K554" s="188"/>
      <c r="T554" s="42"/>
      <c r="V554" s="123"/>
      <c r="W554" s="123"/>
      <c r="X554" s="123"/>
      <c r="Y554" s="123"/>
      <c r="Z554" s="188"/>
      <c r="AC554" s="160"/>
      <c r="AD554" s="160"/>
      <c r="AE554" s="123"/>
      <c r="AF554" s="123"/>
      <c r="AH554" s="236"/>
      <c r="AI554" s="123"/>
      <c r="AJ554" s="123"/>
      <c r="AL554" s="123"/>
      <c r="AM554" s="236"/>
      <c r="AN554" s="236"/>
    </row>
    <row r="555" spans="3:40" x14ac:dyDescent="0.3">
      <c r="C555" s="42"/>
      <c r="F555" s="184"/>
      <c r="H555" s="184"/>
      <c r="I555" s="184"/>
      <c r="J555" s="238"/>
      <c r="K555" s="238"/>
      <c r="L555" s="123"/>
      <c r="M555" s="123"/>
      <c r="N555" s="160"/>
      <c r="O555" s="160"/>
      <c r="P555" s="123"/>
      <c r="Q555" s="123"/>
      <c r="R555" s="123"/>
      <c r="T555" s="42"/>
      <c r="V555" s="123"/>
      <c r="W555" s="123"/>
      <c r="X555" s="123"/>
      <c r="Y555" s="123"/>
      <c r="Z555" s="238"/>
      <c r="AA555" s="123"/>
      <c r="AB555" s="123"/>
      <c r="AC555" s="160"/>
      <c r="AD555" s="160"/>
      <c r="AE555" s="123"/>
      <c r="AF555" s="123"/>
      <c r="AH555" s="236"/>
      <c r="AI555" s="123"/>
      <c r="AJ555" s="123"/>
      <c r="AL555" s="123"/>
      <c r="AM555" s="236"/>
      <c r="AN555" s="236"/>
    </row>
    <row r="556" spans="3:40" x14ac:dyDescent="0.3">
      <c r="C556" s="42"/>
      <c r="F556" s="123"/>
      <c r="H556" s="123"/>
      <c r="I556" s="123"/>
      <c r="J556" s="188"/>
      <c r="K556" s="188"/>
      <c r="L556" s="123"/>
      <c r="M556" s="123"/>
      <c r="N556" s="160"/>
      <c r="O556" s="160"/>
      <c r="P556" s="123"/>
      <c r="Q556" s="123"/>
      <c r="R556" s="123"/>
      <c r="T556" s="42"/>
      <c r="V556" s="123"/>
      <c r="W556" s="123"/>
      <c r="X556" s="123"/>
      <c r="Y556" s="123"/>
      <c r="Z556" s="188"/>
      <c r="AA556" s="123"/>
      <c r="AB556" s="123"/>
      <c r="AC556" s="160"/>
      <c r="AD556" s="160"/>
      <c r="AE556" s="123"/>
      <c r="AF556" s="123"/>
      <c r="AH556" s="236"/>
      <c r="AI556" s="123"/>
      <c r="AJ556" s="123"/>
      <c r="AL556" s="123"/>
      <c r="AM556" s="236"/>
      <c r="AN556" s="236"/>
    </row>
    <row r="557" spans="3:40" x14ac:dyDescent="0.3">
      <c r="F557" s="123"/>
      <c r="H557" s="123"/>
      <c r="I557" s="123"/>
      <c r="J557" s="188"/>
      <c r="K557" s="188"/>
      <c r="Z557" s="188"/>
    </row>
    <row r="558" spans="3:40" x14ac:dyDescent="0.3">
      <c r="C558" s="42"/>
      <c r="F558" s="123"/>
      <c r="H558" s="184"/>
      <c r="I558" s="184"/>
      <c r="J558" s="238"/>
      <c r="K558" s="238"/>
      <c r="L558" s="123"/>
      <c r="M558" s="123"/>
      <c r="N558" s="160"/>
      <c r="O558" s="160"/>
      <c r="P558" s="123"/>
      <c r="Q558" s="123"/>
      <c r="R558" s="123"/>
      <c r="T558" s="42"/>
      <c r="V558" s="123"/>
      <c r="W558" s="123"/>
      <c r="X558" s="123"/>
      <c r="Y558" s="123"/>
      <c r="Z558" s="238"/>
      <c r="AA558" s="123"/>
      <c r="AB558" s="123"/>
      <c r="AC558" s="160"/>
      <c r="AD558" s="160"/>
      <c r="AE558" s="123"/>
      <c r="AF558" s="123"/>
      <c r="AH558" s="236"/>
      <c r="AI558" s="123"/>
      <c r="AJ558" s="123"/>
      <c r="AL558" s="123"/>
      <c r="AM558" s="236"/>
      <c r="AN558" s="236"/>
    </row>
    <row r="559" spans="3:40" x14ac:dyDescent="0.3">
      <c r="F559" s="210"/>
      <c r="H559" s="210"/>
      <c r="I559" s="210"/>
      <c r="J559" s="238"/>
      <c r="K559" s="238"/>
      <c r="L559" s="210"/>
      <c r="M559" s="210"/>
      <c r="N559" s="210"/>
      <c r="O559" s="210"/>
      <c r="P559" s="210"/>
      <c r="Q559" s="210"/>
      <c r="R559" s="210"/>
      <c r="V559" s="210"/>
      <c r="Y559" s="210"/>
      <c r="Z559" s="238"/>
      <c r="AA559" s="210"/>
      <c r="AB559" s="210"/>
      <c r="AC559" s="210"/>
      <c r="AD559" s="210"/>
      <c r="AE559" s="210"/>
      <c r="AF559" s="210"/>
      <c r="AI559" s="210"/>
      <c r="AJ559" s="210"/>
      <c r="AK559" s="214"/>
      <c r="AL559" s="210"/>
    </row>
    <row r="560" spans="3:40" x14ac:dyDescent="0.3">
      <c r="C560" s="42"/>
      <c r="F560" s="123"/>
      <c r="H560" s="123"/>
      <c r="I560" s="123"/>
      <c r="J560" s="188"/>
      <c r="K560" s="188"/>
      <c r="L560" s="123"/>
      <c r="M560" s="123"/>
      <c r="P560" s="123"/>
      <c r="Q560" s="123"/>
      <c r="R560" s="123"/>
      <c r="T560" s="42"/>
      <c r="V560" s="123"/>
      <c r="Y560" s="123"/>
      <c r="Z560" s="188"/>
      <c r="AA560" s="123"/>
      <c r="AB560" s="123"/>
      <c r="AC560" s="236"/>
      <c r="AD560" s="236"/>
      <c r="AE560" s="123"/>
      <c r="AF560" s="123"/>
      <c r="AH560" s="236"/>
      <c r="AI560" s="123"/>
      <c r="AJ560" s="123"/>
      <c r="AL560" s="123"/>
      <c r="AM560" s="236"/>
      <c r="AN560" s="236"/>
    </row>
    <row r="561" spans="1:40" x14ac:dyDescent="0.3">
      <c r="F561" s="210"/>
      <c r="H561" s="210"/>
      <c r="I561" s="210"/>
      <c r="J561" s="238"/>
      <c r="K561" s="238"/>
      <c r="L561" s="210"/>
      <c r="M561" s="210"/>
      <c r="N561" s="210"/>
      <c r="O561" s="210"/>
      <c r="P561" s="210"/>
      <c r="Q561" s="210"/>
      <c r="R561" s="210"/>
      <c r="V561" s="210"/>
      <c r="Y561" s="210"/>
      <c r="Z561" s="238"/>
      <c r="AA561" s="210"/>
      <c r="AB561" s="210"/>
      <c r="AC561" s="210"/>
      <c r="AD561" s="210"/>
      <c r="AE561" s="210"/>
      <c r="AF561" s="210"/>
      <c r="AI561" s="210"/>
      <c r="AJ561" s="210"/>
      <c r="AK561" s="214"/>
      <c r="AL561" s="210"/>
    </row>
    <row r="562" spans="1:40" x14ac:dyDescent="0.3">
      <c r="J562" s="188"/>
      <c r="K562" s="188"/>
      <c r="Z562" s="188"/>
    </row>
    <row r="563" spans="1:40" x14ac:dyDescent="0.3">
      <c r="C563" s="42"/>
      <c r="J563" s="188"/>
      <c r="K563" s="188"/>
      <c r="T563" s="42"/>
      <c r="Z563" s="188"/>
    </row>
    <row r="564" spans="1:40" x14ac:dyDescent="0.3">
      <c r="C564" s="42"/>
      <c r="J564" s="188"/>
      <c r="K564" s="188"/>
      <c r="T564" s="42"/>
      <c r="Z564" s="188"/>
    </row>
    <row r="565" spans="1:40" x14ac:dyDescent="0.3">
      <c r="C565" s="42"/>
      <c r="F565" s="184"/>
      <c r="H565" s="184"/>
      <c r="I565" s="184"/>
      <c r="J565" s="238"/>
      <c r="K565" s="238"/>
      <c r="L565" s="123"/>
      <c r="M565" s="123"/>
      <c r="N565" s="160"/>
      <c r="O565" s="160"/>
      <c r="P565" s="123"/>
      <c r="Q565" s="123"/>
      <c r="R565" s="123"/>
      <c r="T565" s="42"/>
      <c r="V565" s="123"/>
      <c r="W565" s="123"/>
      <c r="X565" s="123"/>
      <c r="Y565" s="123"/>
      <c r="Z565" s="238"/>
      <c r="AA565" s="123"/>
      <c r="AB565" s="123"/>
      <c r="AC565" s="160"/>
      <c r="AD565" s="160"/>
      <c r="AE565" s="123"/>
      <c r="AF565" s="123"/>
      <c r="AH565" s="236"/>
      <c r="AI565" s="123"/>
      <c r="AJ565" s="123"/>
      <c r="AL565" s="123"/>
      <c r="AM565" s="236"/>
      <c r="AN565" s="236"/>
    </row>
    <row r="566" spans="1:40" x14ac:dyDescent="0.3">
      <c r="C566" s="42"/>
      <c r="J566" s="188"/>
      <c r="K566" s="188"/>
      <c r="T566" s="42"/>
      <c r="Z566" s="188"/>
    </row>
    <row r="567" spans="1:40" x14ac:dyDescent="0.3">
      <c r="C567" s="42"/>
      <c r="F567" s="184"/>
      <c r="H567" s="184"/>
      <c r="I567" s="184"/>
      <c r="J567" s="238"/>
      <c r="K567" s="238"/>
      <c r="L567" s="123"/>
      <c r="M567" s="123"/>
      <c r="N567" s="160"/>
      <c r="O567" s="160"/>
      <c r="P567" s="123"/>
      <c r="Q567" s="123"/>
      <c r="R567" s="123"/>
      <c r="T567" s="42"/>
      <c r="V567" s="123"/>
      <c r="W567" s="123"/>
      <c r="X567" s="123"/>
      <c r="Y567" s="123"/>
      <c r="Z567" s="238"/>
      <c r="AA567" s="123"/>
      <c r="AB567" s="123"/>
      <c r="AC567" s="160"/>
      <c r="AD567" s="160"/>
      <c r="AE567" s="123"/>
      <c r="AF567" s="123"/>
      <c r="AH567" s="236"/>
      <c r="AI567" s="123"/>
      <c r="AJ567" s="123"/>
      <c r="AL567" s="123"/>
      <c r="AM567" s="236"/>
      <c r="AN567" s="236"/>
    </row>
    <row r="568" spans="1:40" x14ac:dyDescent="0.3">
      <c r="F568" s="210"/>
      <c r="H568" s="210"/>
      <c r="I568" s="210"/>
      <c r="J568" s="238"/>
      <c r="K568" s="238"/>
      <c r="L568" s="210"/>
      <c r="M568" s="210"/>
      <c r="N568" s="210"/>
      <c r="O568" s="210"/>
      <c r="P568" s="210"/>
      <c r="Q568" s="210"/>
      <c r="R568" s="210"/>
      <c r="V568" s="210"/>
      <c r="Y568" s="210"/>
      <c r="Z568" s="238"/>
      <c r="AA568" s="210"/>
      <c r="AB568" s="210"/>
      <c r="AC568" s="210"/>
      <c r="AD568" s="210"/>
      <c r="AE568" s="210"/>
      <c r="AF568" s="210"/>
      <c r="AI568" s="210"/>
      <c r="AJ568" s="210"/>
      <c r="AK568" s="214"/>
      <c r="AL568" s="210"/>
    </row>
    <row r="569" spans="1:40" x14ac:dyDescent="0.3">
      <c r="C569" s="42"/>
      <c r="F569" s="123"/>
      <c r="H569" s="123"/>
      <c r="I569" s="123"/>
      <c r="J569" s="188"/>
      <c r="K569" s="188"/>
      <c r="L569" s="123"/>
      <c r="M569" s="123"/>
      <c r="N569" s="236"/>
      <c r="O569" s="236"/>
      <c r="P569" s="123"/>
      <c r="Q569" s="123"/>
      <c r="R569" s="123"/>
      <c r="T569" s="42"/>
      <c r="V569" s="123"/>
      <c r="Y569" s="123"/>
      <c r="Z569" s="188"/>
      <c r="AA569" s="123"/>
      <c r="AB569" s="123"/>
      <c r="AC569" s="236"/>
      <c r="AD569" s="236"/>
      <c r="AE569" s="123"/>
      <c r="AF569" s="123"/>
      <c r="AH569" s="236"/>
      <c r="AI569" s="123"/>
      <c r="AJ569" s="123"/>
      <c r="AL569" s="123"/>
      <c r="AM569" s="236"/>
      <c r="AN569" s="236"/>
    </row>
    <row r="570" spans="1:40" x14ac:dyDescent="0.3">
      <c r="F570" s="210"/>
      <c r="H570" s="210"/>
      <c r="I570" s="210"/>
      <c r="J570" s="238"/>
      <c r="K570" s="238"/>
      <c r="L570" s="210"/>
      <c r="M570" s="210"/>
      <c r="N570" s="210"/>
      <c r="O570" s="210"/>
      <c r="P570" s="210"/>
      <c r="Q570" s="210"/>
      <c r="R570" s="210"/>
      <c r="V570" s="210"/>
      <c r="Y570" s="210"/>
      <c r="Z570" s="213"/>
      <c r="AA570" s="210"/>
      <c r="AB570" s="210"/>
      <c r="AC570" s="210"/>
      <c r="AD570" s="210"/>
      <c r="AE570" s="210"/>
      <c r="AF570" s="210"/>
      <c r="AI570" s="210"/>
      <c r="AJ570" s="210"/>
      <c r="AK570" s="214"/>
      <c r="AL570" s="210"/>
    </row>
    <row r="571" spans="1:40" x14ac:dyDescent="0.3">
      <c r="J571" s="188"/>
      <c r="K571" s="188"/>
    </row>
    <row r="572" spans="1:40" x14ac:dyDescent="0.3">
      <c r="C572" s="42"/>
      <c r="F572" s="123"/>
      <c r="H572" s="123"/>
      <c r="I572" s="123"/>
      <c r="J572" s="188"/>
      <c r="K572" s="188"/>
      <c r="L572" s="123"/>
      <c r="M572" s="123"/>
      <c r="N572" s="160"/>
      <c r="O572" s="160"/>
      <c r="P572" s="184"/>
      <c r="Q572" s="184"/>
      <c r="R572" s="123"/>
      <c r="T572" s="42"/>
      <c r="V572" s="123"/>
      <c r="Y572" s="123"/>
      <c r="AA572" s="123"/>
      <c r="AB572" s="123"/>
      <c r="AC572" s="236"/>
      <c r="AD572" s="236"/>
      <c r="AE572" s="123"/>
      <c r="AF572" s="123"/>
      <c r="AH572" s="236"/>
      <c r="AI572" s="184"/>
      <c r="AJ572" s="184"/>
      <c r="AL572" s="123"/>
      <c r="AM572" s="236"/>
      <c r="AN572" s="236"/>
    </row>
    <row r="573" spans="1:40" x14ac:dyDescent="0.3">
      <c r="F573" s="210"/>
      <c r="H573" s="210"/>
      <c r="I573" s="210"/>
      <c r="J573" s="238"/>
      <c r="K573" s="238"/>
      <c r="L573" s="210"/>
      <c r="M573" s="210"/>
      <c r="N573" s="210"/>
      <c r="O573" s="210"/>
      <c r="P573" s="210"/>
      <c r="Q573" s="210"/>
      <c r="R573" s="210"/>
      <c r="V573" s="210"/>
      <c r="Y573" s="210"/>
      <c r="Z573" s="213"/>
      <c r="AA573" s="210"/>
      <c r="AB573" s="210"/>
      <c r="AC573" s="210"/>
      <c r="AD573" s="210"/>
      <c r="AE573" s="210"/>
      <c r="AF573" s="210"/>
      <c r="AI573" s="210"/>
      <c r="AJ573" s="210"/>
      <c r="AK573" s="214"/>
      <c r="AL573" s="210"/>
    </row>
    <row r="576" spans="1:40" x14ac:dyDescent="0.3">
      <c r="A576" s="42"/>
    </row>
    <row r="578" spans="1:40" x14ac:dyDescent="0.3">
      <c r="H578" s="42"/>
      <c r="I578" s="42"/>
      <c r="Y578" s="42"/>
    </row>
    <row r="580" spans="1:40" x14ac:dyDescent="0.3">
      <c r="L580" s="42"/>
      <c r="M580" s="42"/>
      <c r="AA580" s="42"/>
      <c r="AB580" s="42"/>
    </row>
    <row r="581" spans="1:40" x14ac:dyDescent="0.3">
      <c r="R581" s="42"/>
      <c r="AK581" s="206"/>
      <c r="AL581" s="42"/>
    </row>
    <row r="582" spans="1:40" x14ac:dyDescent="0.3">
      <c r="R582" s="42"/>
      <c r="AK582" s="206"/>
      <c r="AL582" s="42"/>
    </row>
    <row r="583" spans="1:40" x14ac:dyDescent="0.3">
      <c r="A583" s="42"/>
      <c r="R583" s="42"/>
      <c r="AK583" s="206"/>
      <c r="AL583" s="42"/>
    </row>
    <row r="584" spans="1:40" x14ac:dyDescent="0.3">
      <c r="L584" s="42"/>
      <c r="M584" s="42"/>
      <c r="AA584" s="42"/>
      <c r="AB584" s="42"/>
    </row>
    <row r="585" spans="1:40" x14ac:dyDescent="0.3">
      <c r="A585" s="135"/>
      <c r="B585" s="135"/>
      <c r="C585" s="135"/>
      <c r="D585" s="135"/>
      <c r="E585" s="135"/>
      <c r="F585" s="135"/>
      <c r="G585" s="135"/>
      <c r="H585" s="135"/>
      <c r="I585" s="135"/>
      <c r="J585" s="135"/>
      <c r="K585" s="135"/>
      <c r="L585" s="135"/>
      <c r="M585" s="135"/>
      <c r="N585" s="135"/>
      <c r="O585" s="135"/>
      <c r="P585" s="135"/>
      <c r="Q585" s="135"/>
      <c r="R585" s="135"/>
      <c r="T585" s="135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207"/>
      <c r="AH585" s="135"/>
      <c r="AI585" s="135"/>
      <c r="AJ585" s="135"/>
      <c r="AK585" s="207"/>
      <c r="AL585" s="135"/>
      <c r="AM585" s="135"/>
      <c r="AN585" s="135"/>
    </row>
    <row r="586" spans="1:40" x14ac:dyDescent="0.3">
      <c r="L586" s="44"/>
      <c r="M586" s="44"/>
      <c r="N586" s="44"/>
      <c r="O586" s="44"/>
      <c r="R586" s="44"/>
      <c r="AA586" s="44"/>
      <c r="AB586" s="44"/>
      <c r="AC586" s="44"/>
      <c r="AD586" s="44"/>
      <c r="AE586" s="44"/>
      <c r="AF586" s="44"/>
      <c r="AG586" s="168"/>
      <c r="AH586" s="44"/>
      <c r="AK586" s="168"/>
      <c r="AL586" s="44"/>
      <c r="AM586" s="44"/>
      <c r="AN586" s="44"/>
    </row>
    <row r="587" spans="1:40" x14ac:dyDescent="0.3">
      <c r="L587" s="44"/>
      <c r="M587" s="44"/>
      <c r="N587" s="44"/>
      <c r="O587" s="44"/>
      <c r="R587" s="44"/>
      <c r="Z587" s="44"/>
      <c r="AA587" s="44"/>
      <c r="AB587" s="44"/>
      <c r="AC587" s="44"/>
      <c r="AD587" s="44"/>
      <c r="AE587" s="44"/>
      <c r="AF587" s="44"/>
      <c r="AG587" s="168"/>
      <c r="AH587" s="44"/>
      <c r="AK587" s="168"/>
      <c r="AL587" s="44"/>
      <c r="AM587" s="44"/>
      <c r="AN587" s="44"/>
    </row>
    <row r="588" spans="1:40" x14ac:dyDescent="0.3">
      <c r="A588" s="44"/>
      <c r="C588" s="44"/>
      <c r="D588" s="44"/>
      <c r="E588" s="44"/>
      <c r="F588" s="44"/>
      <c r="J588" s="44"/>
      <c r="K588" s="44"/>
      <c r="L588" s="44"/>
      <c r="M588" s="44"/>
      <c r="N588" s="44"/>
      <c r="O588" s="44"/>
      <c r="P588" s="44"/>
      <c r="Q588" s="44"/>
      <c r="R588" s="44"/>
      <c r="T588" s="44"/>
      <c r="U588" s="44"/>
      <c r="V588" s="44"/>
      <c r="Z588" s="44"/>
      <c r="AA588" s="44"/>
      <c r="AB588" s="44"/>
      <c r="AC588" s="44"/>
      <c r="AD588" s="44"/>
      <c r="AE588" s="44"/>
      <c r="AF588" s="44"/>
      <c r="AG588" s="168"/>
      <c r="AH588" s="44"/>
      <c r="AI588" s="44"/>
      <c r="AJ588" s="44"/>
      <c r="AK588" s="168"/>
      <c r="AL588" s="44"/>
      <c r="AM588" s="44"/>
      <c r="AN588" s="44"/>
    </row>
    <row r="589" spans="1:40" x14ac:dyDescent="0.3">
      <c r="A589" s="44"/>
      <c r="C589" s="44"/>
      <c r="D589" s="44"/>
      <c r="E589" s="44"/>
      <c r="F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T589" s="44"/>
      <c r="U589" s="44"/>
      <c r="V589" s="44"/>
      <c r="Y589" s="44"/>
      <c r="Z589" s="44"/>
      <c r="AA589" s="44"/>
      <c r="AB589" s="44"/>
      <c r="AC589" s="44"/>
      <c r="AD589" s="44"/>
      <c r="AE589" s="44"/>
      <c r="AF589" s="44"/>
      <c r="AG589" s="168"/>
      <c r="AH589" s="44"/>
      <c r="AI589" s="44"/>
      <c r="AJ589" s="44"/>
      <c r="AK589" s="168"/>
      <c r="AL589" s="44"/>
      <c r="AM589" s="44"/>
      <c r="AN589" s="44"/>
    </row>
    <row r="590" spans="1:40" x14ac:dyDescent="0.3">
      <c r="C590" s="44"/>
      <c r="D590" s="44"/>
      <c r="E590" s="44"/>
      <c r="F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T590" s="44"/>
      <c r="U590" s="44"/>
      <c r="V590" s="44"/>
      <c r="Y590" s="44"/>
      <c r="Z590" s="44"/>
      <c r="AA590" s="44"/>
      <c r="AB590" s="44"/>
      <c r="AC590" s="44"/>
      <c r="AD590" s="44"/>
      <c r="AE590" s="44"/>
      <c r="AF590" s="44"/>
      <c r="AG590" s="168"/>
      <c r="AH590" s="44"/>
      <c r="AI590" s="44"/>
      <c r="AJ590" s="44"/>
      <c r="AK590" s="168"/>
      <c r="AL590" s="44"/>
      <c r="AM590" s="44"/>
      <c r="AN590" s="44"/>
    </row>
    <row r="591" spans="1:40" x14ac:dyDescent="0.3">
      <c r="A591" s="135"/>
      <c r="B591" s="135"/>
      <c r="C591" s="135"/>
      <c r="D591" s="135"/>
      <c r="E591" s="135"/>
      <c r="F591" s="135"/>
      <c r="G591" s="135"/>
      <c r="H591" s="135"/>
      <c r="I591" s="135"/>
      <c r="J591" s="135"/>
      <c r="K591" s="135"/>
      <c r="L591" s="135"/>
      <c r="M591" s="135"/>
      <c r="N591" s="135"/>
      <c r="O591" s="135"/>
      <c r="P591" s="135"/>
      <c r="Q591" s="135"/>
      <c r="R591" s="135"/>
      <c r="T591" s="135"/>
      <c r="U591" s="135"/>
      <c r="V591" s="135"/>
      <c r="W591" s="135"/>
      <c r="X591" s="135"/>
      <c r="Y591" s="135"/>
      <c r="Z591" s="135"/>
      <c r="AA591" s="135"/>
      <c r="AB591" s="135"/>
      <c r="AC591" s="135"/>
      <c r="AD591" s="135"/>
      <c r="AE591" s="135"/>
      <c r="AF591" s="135"/>
      <c r="AG591" s="207"/>
      <c r="AH591" s="135"/>
      <c r="AI591" s="135"/>
      <c r="AJ591" s="135"/>
      <c r="AK591" s="207"/>
      <c r="AL591" s="135"/>
      <c r="AM591" s="135"/>
      <c r="AN591" s="135"/>
    </row>
    <row r="592" spans="1:40" x14ac:dyDescent="0.3"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Y592" s="44"/>
      <c r="Z592" s="44"/>
      <c r="AA592" s="44"/>
      <c r="AB592" s="44"/>
      <c r="AC592" s="44"/>
      <c r="AD592" s="44"/>
      <c r="AE592" s="44"/>
      <c r="AF592" s="44"/>
      <c r="AG592" s="168"/>
      <c r="AH592" s="44"/>
      <c r="AI592" s="44"/>
      <c r="AJ592" s="44"/>
      <c r="AK592" s="168"/>
      <c r="AL592" s="44"/>
      <c r="AM592" s="44"/>
      <c r="AN592" s="44"/>
    </row>
    <row r="593" spans="3:40" x14ac:dyDescent="0.3">
      <c r="C593" s="42"/>
      <c r="D593" s="42"/>
      <c r="E593" s="42"/>
      <c r="T593" s="42"/>
      <c r="U593" s="42"/>
    </row>
    <row r="595" spans="3:40" x14ac:dyDescent="0.3">
      <c r="C595" s="42"/>
      <c r="D595" s="42"/>
      <c r="E595" s="42"/>
      <c r="T595" s="42"/>
      <c r="U595" s="42"/>
    </row>
    <row r="596" spans="3:40" x14ac:dyDescent="0.3">
      <c r="C596" s="42"/>
      <c r="T596" s="42"/>
    </row>
    <row r="597" spans="3:40" x14ac:dyDescent="0.3">
      <c r="C597" s="42"/>
      <c r="T597" s="42"/>
    </row>
    <row r="598" spans="3:40" x14ac:dyDescent="0.3">
      <c r="C598" s="42"/>
      <c r="F598" s="184"/>
      <c r="H598" s="184"/>
      <c r="I598" s="184"/>
      <c r="J598" s="238"/>
      <c r="K598" s="238"/>
      <c r="L598" s="123"/>
      <c r="M598" s="123"/>
      <c r="N598" s="160"/>
      <c r="O598" s="160"/>
      <c r="P598" s="123"/>
      <c r="Q598" s="123"/>
      <c r="R598" s="123"/>
      <c r="T598" s="42"/>
      <c r="V598" s="123"/>
      <c r="W598" s="123"/>
      <c r="X598" s="123"/>
      <c r="Y598" s="123"/>
      <c r="Z598" s="238"/>
      <c r="AA598" s="123"/>
      <c r="AB598" s="123"/>
      <c r="AC598" s="160"/>
      <c r="AD598" s="160"/>
      <c r="AE598" s="123"/>
      <c r="AF598" s="123"/>
      <c r="AH598" s="236"/>
      <c r="AI598" s="123"/>
      <c r="AJ598" s="123"/>
      <c r="AL598" s="123"/>
      <c r="AM598" s="160"/>
      <c r="AN598" s="160"/>
    </row>
    <row r="599" spans="3:40" x14ac:dyDescent="0.3">
      <c r="C599" s="42"/>
      <c r="J599" s="188"/>
      <c r="K599" s="188"/>
      <c r="T599" s="42"/>
      <c r="V599" s="123"/>
      <c r="W599" s="123"/>
      <c r="X599" s="123"/>
      <c r="Y599" s="123"/>
      <c r="Z599" s="238"/>
    </row>
    <row r="600" spans="3:40" x14ac:dyDescent="0.3">
      <c r="C600" s="42"/>
      <c r="F600" s="184"/>
      <c r="H600" s="184"/>
      <c r="I600" s="184"/>
      <c r="J600" s="238"/>
      <c r="K600" s="238"/>
      <c r="L600" s="123"/>
      <c r="M600" s="123"/>
      <c r="N600" s="160"/>
      <c r="O600" s="160"/>
      <c r="P600" s="123"/>
      <c r="Q600" s="123"/>
      <c r="R600" s="123"/>
      <c r="T600" s="42"/>
      <c r="V600" s="123"/>
      <c r="W600" s="123"/>
      <c r="X600" s="123"/>
      <c r="Y600" s="123"/>
      <c r="Z600" s="238"/>
      <c r="AA600" s="123"/>
      <c r="AB600" s="123"/>
      <c r="AC600" s="160"/>
      <c r="AD600" s="160"/>
      <c r="AE600" s="123"/>
      <c r="AF600" s="123"/>
      <c r="AH600" s="236"/>
      <c r="AI600" s="123"/>
      <c r="AJ600" s="123"/>
      <c r="AL600" s="123"/>
      <c r="AM600" s="160"/>
      <c r="AN600" s="160"/>
    </row>
    <row r="601" spans="3:40" x14ac:dyDescent="0.3">
      <c r="C601" s="42"/>
      <c r="J601" s="188"/>
      <c r="K601" s="188"/>
      <c r="T601" s="42"/>
      <c r="V601" s="123"/>
      <c r="W601" s="123"/>
      <c r="X601" s="123"/>
      <c r="Y601" s="123"/>
      <c r="Z601" s="238"/>
    </row>
    <row r="602" spans="3:40" x14ac:dyDescent="0.3">
      <c r="C602" s="42"/>
      <c r="F602" s="184"/>
      <c r="H602" s="184"/>
      <c r="I602" s="184"/>
      <c r="J602" s="238"/>
      <c r="K602" s="238"/>
      <c r="L602" s="123"/>
      <c r="M602" s="123"/>
      <c r="N602" s="160"/>
      <c r="O602" s="160"/>
      <c r="P602" s="123"/>
      <c r="Q602" s="123"/>
      <c r="R602" s="123"/>
      <c r="T602" s="42"/>
      <c r="V602" s="123"/>
      <c r="W602" s="123"/>
      <c r="X602" s="123"/>
      <c r="Y602" s="123"/>
      <c r="Z602" s="238"/>
      <c r="AA602" s="123"/>
      <c r="AB602" s="123"/>
      <c r="AC602" s="160"/>
      <c r="AD602" s="160"/>
      <c r="AE602" s="123"/>
      <c r="AF602" s="123"/>
      <c r="AH602" s="236"/>
      <c r="AI602" s="123"/>
      <c r="AJ602" s="123"/>
      <c r="AL602" s="123"/>
      <c r="AM602" s="160"/>
      <c r="AN602" s="160"/>
    </row>
    <row r="603" spans="3:40" x14ac:dyDescent="0.3">
      <c r="C603" s="42"/>
      <c r="J603" s="188"/>
      <c r="K603" s="188"/>
      <c r="T603" s="42"/>
      <c r="V603" s="123"/>
      <c r="W603" s="123"/>
      <c r="X603" s="123"/>
      <c r="Y603" s="123"/>
      <c r="Z603" s="238"/>
    </row>
    <row r="604" spans="3:40" x14ac:dyDescent="0.3">
      <c r="C604" s="42"/>
      <c r="F604" s="184"/>
      <c r="H604" s="184"/>
      <c r="I604" s="184"/>
      <c r="J604" s="238"/>
      <c r="K604" s="238"/>
      <c r="L604" s="123"/>
      <c r="M604" s="123"/>
      <c r="N604" s="160"/>
      <c r="O604" s="160"/>
      <c r="P604" s="123"/>
      <c r="Q604" s="123"/>
      <c r="R604" s="123"/>
      <c r="T604" s="42"/>
      <c r="V604" s="123"/>
      <c r="W604" s="123"/>
      <c r="X604" s="123"/>
      <c r="Y604" s="123"/>
      <c r="Z604" s="238"/>
      <c r="AA604" s="123"/>
      <c r="AB604" s="123"/>
      <c r="AC604" s="160"/>
      <c r="AD604" s="160"/>
      <c r="AE604" s="123"/>
      <c r="AF604" s="123"/>
      <c r="AH604" s="236"/>
      <c r="AI604" s="123"/>
      <c r="AJ604" s="123"/>
      <c r="AL604" s="123"/>
      <c r="AM604" s="160"/>
      <c r="AN604" s="160"/>
    </row>
    <row r="605" spans="3:40" x14ac:dyDescent="0.3">
      <c r="C605" s="42"/>
      <c r="J605" s="188"/>
      <c r="K605" s="188"/>
      <c r="T605" s="42"/>
      <c r="V605" s="123"/>
      <c r="W605" s="123"/>
      <c r="X605" s="123"/>
      <c r="Y605" s="123"/>
      <c r="Z605" s="238"/>
    </row>
    <row r="606" spans="3:40" x14ac:dyDescent="0.3">
      <c r="C606" s="42"/>
      <c r="F606" s="184"/>
      <c r="H606" s="184"/>
      <c r="I606" s="184"/>
      <c r="J606" s="238"/>
      <c r="K606" s="238"/>
      <c r="L606" s="123"/>
      <c r="M606" s="123"/>
      <c r="N606" s="160"/>
      <c r="O606" s="160"/>
      <c r="P606" s="123"/>
      <c r="Q606" s="123"/>
      <c r="R606" s="123"/>
      <c r="T606" s="42"/>
      <c r="V606" s="123"/>
      <c r="W606" s="123"/>
      <c r="X606" s="123"/>
      <c r="Y606" s="123"/>
      <c r="Z606" s="238"/>
      <c r="AA606" s="123"/>
      <c r="AB606" s="123"/>
      <c r="AC606" s="160"/>
      <c r="AD606" s="160"/>
      <c r="AE606" s="123"/>
      <c r="AF606" s="123"/>
      <c r="AH606" s="236"/>
      <c r="AI606" s="123"/>
      <c r="AJ606" s="123"/>
      <c r="AL606" s="123"/>
      <c r="AM606" s="160"/>
      <c r="AN606" s="160"/>
    </row>
    <row r="607" spans="3:40" x14ac:dyDescent="0.3">
      <c r="C607" s="42"/>
      <c r="J607" s="188"/>
      <c r="K607" s="188"/>
      <c r="T607" s="42"/>
      <c r="V607" s="123"/>
      <c r="W607" s="123"/>
      <c r="X607" s="123"/>
      <c r="Y607" s="123"/>
      <c r="Z607" s="238"/>
    </row>
    <row r="608" spans="3:40" x14ac:dyDescent="0.3">
      <c r="C608" s="42"/>
      <c r="F608" s="184"/>
      <c r="H608" s="184"/>
      <c r="I608" s="184"/>
      <c r="J608" s="238"/>
      <c r="K608" s="238"/>
      <c r="L608" s="123"/>
      <c r="M608" s="123"/>
      <c r="N608" s="160"/>
      <c r="O608" s="160"/>
      <c r="P608" s="123"/>
      <c r="Q608" s="123"/>
      <c r="R608" s="123"/>
      <c r="T608" s="42"/>
      <c r="V608" s="123"/>
      <c r="W608" s="123"/>
      <c r="X608" s="123"/>
      <c r="Y608" s="123"/>
      <c r="Z608" s="238"/>
      <c r="AA608" s="123"/>
      <c r="AB608" s="123"/>
      <c r="AC608" s="160"/>
      <c r="AD608" s="160"/>
      <c r="AE608" s="123"/>
      <c r="AF608" s="123"/>
      <c r="AH608" s="236"/>
      <c r="AI608" s="123"/>
      <c r="AJ608" s="123"/>
      <c r="AL608" s="123"/>
      <c r="AM608" s="160"/>
      <c r="AN608" s="160"/>
    </row>
    <row r="609" spans="3:40" x14ac:dyDescent="0.3">
      <c r="F609" s="210"/>
      <c r="H609" s="210"/>
      <c r="I609" s="210"/>
      <c r="J609" s="238"/>
      <c r="K609" s="238"/>
      <c r="L609" s="210"/>
      <c r="M609" s="210"/>
      <c r="N609" s="210"/>
      <c r="O609" s="210"/>
      <c r="P609" s="210"/>
      <c r="Q609" s="210"/>
      <c r="R609" s="210"/>
      <c r="V609" s="210"/>
      <c r="Y609" s="210"/>
      <c r="Z609" s="238"/>
      <c r="AA609" s="210"/>
      <c r="AB609" s="210"/>
      <c r="AC609" s="210"/>
      <c r="AD609" s="210"/>
      <c r="AE609" s="210"/>
      <c r="AF609" s="210"/>
      <c r="AI609" s="210"/>
      <c r="AJ609" s="210"/>
      <c r="AK609" s="214"/>
      <c r="AL609" s="210"/>
      <c r="AM609" s="160"/>
      <c r="AN609" s="160"/>
    </row>
    <row r="610" spans="3:40" x14ac:dyDescent="0.3">
      <c r="C610" s="42"/>
      <c r="F610" s="123"/>
      <c r="H610" s="123"/>
      <c r="I610" s="123"/>
      <c r="J610" s="188"/>
      <c r="K610" s="188"/>
      <c r="L610" s="123"/>
      <c r="M610" s="123"/>
      <c r="N610" s="160"/>
      <c r="O610" s="160"/>
      <c r="P610" s="184"/>
      <c r="Q610" s="184"/>
      <c r="R610" s="123"/>
      <c r="T610" s="42"/>
      <c r="V610" s="123"/>
      <c r="W610" s="123"/>
      <c r="X610" s="123"/>
      <c r="Y610" s="123"/>
      <c r="Z610" s="238"/>
      <c r="AA610" s="123"/>
      <c r="AB610" s="123"/>
      <c r="AC610" s="160"/>
      <c r="AD610" s="160"/>
      <c r="AE610" s="123"/>
      <c r="AF610" s="123"/>
      <c r="AH610" s="236"/>
      <c r="AI610" s="184"/>
      <c r="AJ610" s="184"/>
      <c r="AL610" s="123"/>
      <c r="AM610" s="160"/>
      <c r="AN610" s="160"/>
    </row>
    <row r="611" spans="3:40" x14ac:dyDescent="0.3">
      <c r="F611" s="210"/>
      <c r="H611" s="210"/>
      <c r="I611" s="210"/>
      <c r="J611" s="238"/>
      <c r="K611" s="238"/>
      <c r="L611" s="210"/>
      <c r="M611" s="210"/>
      <c r="N611" s="210"/>
      <c r="O611" s="210"/>
      <c r="P611" s="210"/>
      <c r="Q611" s="210"/>
      <c r="R611" s="210"/>
      <c r="V611" s="210"/>
      <c r="Y611" s="210"/>
      <c r="Z611" s="238"/>
      <c r="AA611" s="210"/>
      <c r="AB611" s="210"/>
      <c r="AC611" s="210"/>
      <c r="AD611" s="210"/>
      <c r="AE611" s="210"/>
      <c r="AF611" s="210"/>
      <c r="AI611" s="210"/>
      <c r="AJ611" s="210"/>
      <c r="AK611" s="214"/>
      <c r="AL611" s="210"/>
    </row>
    <row r="612" spans="3:40" x14ac:dyDescent="0.3">
      <c r="C612" s="42"/>
      <c r="D612" s="42"/>
      <c r="E612" s="42"/>
      <c r="J612" s="188"/>
      <c r="K612" s="188"/>
      <c r="T612" s="42"/>
      <c r="U612" s="42"/>
      <c r="V612" s="123"/>
      <c r="W612" s="123"/>
      <c r="X612" s="123"/>
      <c r="Y612" s="123"/>
      <c r="Z612" s="238"/>
    </row>
    <row r="613" spans="3:40" x14ac:dyDescent="0.3">
      <c r="C613" s="42"/>
      <c r="J613" s="188"/>
      <c r="K613" s="188"/>
      <c r="T613" s="42"/>
      <c r="V613" s="123"/>
      <c r="W613" s="123"/>
      <c r="X613" s="123"/>
      <c r="Y613" s="123"/>
      <c r="Z613" s="238"/>
    </row>
    <row r="614" spans="3:40" x14ac:dyDescent="0.3">
      <c r="C614" s="42"/>
      <c r="J614" s="188"/>
      <c r="K614" s="188"/>
      <c r="T614" s="42"/>
      <c r="V614" s="123"/>
      <c r="W614" s="123"/>
      <c r="X614" s="123"/>
      <c r="Y614" s="123"/>
      <c r="Z614" s="238"/>
    </row>
    <row r="615" spans="3:40" x14ac:dyDescent="0.3">
      <c r="C615" s="42"/>
      <c r="F615" s="184"/>
      <c r="H615" s="184"/>
      <c r="I615" s="184"/>
      <c r="J615" s="238"/>
      <c r="K615" s="238"/>
      <c r="L615" s="123"/>
      <c r="M615" s="123"/>
      <c r="N615" s="160"/>
      <c r="O615" s="160"/>
      <c r="P615" s="123"/>
      <c r="Q615" s="123"/>
      <c r="R615" s="123"/>
      <c r="T615" s="42"/>
      <c r="V615" s="123"/>
      <c r="W615" s="123"/>
      <c r="X615" s="123"/>
      <c r="Y615" s="123"/>
      <c r="Z615" s="238"/>
      <c r="AA615" s="123"/>
      <c r="AB615" s="123"/>
      <c r="AC615" s="160"/>
      <c r="AD615" s="160"/>
      <c r="AE615" s="123"/>
      <c r="AF615" s="123"/>
      <c r="AH615" s="236"/>
      <c r="AI615" s="123"/>
      <c r="AJ615" s="123"/>
      <c r="AL615" s="123"/>
      <c r="AM615" s="160"/>
      <c r="AN615" s="160"/>
    </row>
    <row r="616" spans="3:40" x14ac:dyDescent="0.3">
      <c r="C616" s="42"/>
      <c r="J616" s="188"/>
      <c r="K616" s="188"/>
      <c r="T616" s="42"/>
      <c r="V616" s="123"/>
      <c r="W616" s="123"/>
      <c r="X616" s="123"/>
      <c r="Y616" s="123"/>
      <c r="Z616" s="238"/>
    </row>
    <row r="617" spans="3:40" x14ac:dyDescent="0.3">
      <c r="C617" s="42"/>
      <c r="F617" s="184"/>
      <c r="H617" s="184"/>
      <c r="I617" s="184"/>
      <c r="J617" s="238"/>
      <c r="K617" s="238"/>
      <c r="L617" s="123"/>
      <c r="M617" s="123"/>
      <c r="N617" s="160"/>
      <c r="O617" s="160"/>
      <c r="P617" s="123"/>
      <c r="Q617" s="123"/>
      <c r="R617" s="123"/>
      <c r="T617" s="42"/>
      <c r="V617" s="123"/>
      <c r="W617" s="123"/>
      <c r="X617" s="123"/>
      <c r="Y617" s="123"/>
      <c r="Z617" s="238"/>
      <c r="AA617" s="123"/>
      <c r="AB617" s="123"/>
      <c r="AC617" s="160"/>
      <c r="AD617" s="160"/>
      <c r="AE617" s="123"/>
      <c r="AF617" s="123"/>
      <c r="AH617" s="236"/>
      <c r="AI617" s="123"/>
      <c r="AJ617" s="123"/>
      <c r="AL617" s="123"/>
      <c r="AM617" s="160"/>
      <c r="AN617" s="160"/>
    </row>
    <row r="618" spans="3:40" x14ac:dyDescent="0.3">
      <c r="F618" s="210"/>
      <c r="H618" s="210"/>
      <c r="I618" s="210"/>
      <c r="J618" s="238"/>
      <c r="K618" s="238"/>
      <c r="L618" s="210"/>
      <c r="M618" s="210"/>
      <c r="N618" s="210"/>
      <c r="O618" s="210"/>
      <c r="P618" s="210"/>
      <c r="Q618" s="210"/>
      <c r="R618" s="210"/>
      <c r="V618" s="210"/>
      <c r="Y618" s="210"/>
      <c r="Z618" s="213"/>
      <c r="AA618" s="210"/>
      <c r="AB618" s="210"/>
      <c r="AC618" s="210"/>
      <c r="AD618" s="210"/>
      <c r="AE618" s="210"/>
      <c r="AF618" s="210"/>
      <c r="AI618" s="210"/>
      <c r="AJ618" s="210"/>
      <c r="AK618" s="214"/>
      <c r="AL618" s="210"/>
    </row>
    <row r="619" spans="3:40" x14ac:dyDescent="0.3">
      <c r="C619" s="42"/>
      <c r="F619" s="123"/>
      <c r="H619" s="123"/>
      <c r="I619" s="123"/>
      <c r="L619" s="123"/>
      <c r="M619" s="123"/>
      <c r="N619" s="160"/>
      <c r="O619" s="160"/>
      <c r="P619" s="184"/>
      <c r="Q619" s="184"/>
      <c r="R619" s="123"/>
      <c r="T619" s="42"/>
      <c r="V619" s="123"/>
      <c r="W619" s="123"/>
      <c r="X619" s="123"/>
      <c r="Y619" s="123"/>
      <c r="Z619" s="237"/>
      <c r="AA619" s="123"/>
      <c r="AB619" s="123"/>
      <c r="AC619" s="160"/>
      <c r="AD619" s="160"/>
      <c r="AE619" s="123"/>
      <c r="AF619" s="123"/>
      <c r="AH619" s="236"/>
      <c r="AI619" s="184"/>
      <c r="AJ619" s="184"/>
      <c r="AL619" s="123"/>
      <c r="AM619" s="160"/>
      <c r="AN619" s="160"/>
    </row>
    <row r="620" spans="3:40" x14ac:dyDescent="0.3">
      <c r="F620" s="210"/>
      <c r="H620" s="210"/>
      <c r="I620" s="210"/>
      <c r="J620" s="213"/>
      <c r="K620" s="213"/>
      <c r="L620" s="210"/>
      <c r="M620" s="210"/>
      <c r="N620" s="210"/>
      <c r="O620" s="210"/>
      <c r="P620" s="210"/>
      <c r="Q620" s="210"/>
      <c r="R620" s="210"/>
      <c r="V620" s="210"/>
      <c r="Y620" s="210"/>
      <c r="Z620" s="213"/>
      <c r="AA620" s="210"/>
      <c r="AB620" s="210"/>
      <c r="AC620" s="210"/>
      <c r="AD620" s="210"/>
      <c r="AE620" s="210"/>
      <c r="AF620" s="210"/>
      <c r="AI620" s="210"/>
      <c r="AJ620" s="210"/>
      <c r="AK620" s="214"/>
      <c r="AL620" s="210"/>
    </row>
    <row r="621" spans="3:40" x14ac:dyDescent="0.3">
      <c r="C621" s="42"/>
      <c r="D621" s="42"/>
      <c r="E621" s="42"/>
      <c r="T621" s="42"/>
      <c r="U621" s="42"/>
      <c r="V621" s="123"/>
      <c r="W621" s="123"/>
      <c r="X621" s="123"/>
      <c r="Y621" s="123"/>
      <c r="Z621" s="237"/>
    </row>
    <row r="622" spans="3:40" x14ac:dyDescent="0.3">
      <c r="C622" s="42"/>
      <c r="T622" s="42"/>
      <c r="V622" s="123"/>
      <c r="W622" s="123"/>
      <c r="X622" s="123"/>
      <c r="Y622" s="123"/>
      <c r="Z622" s="237"/>
    </row>
    <row r="623" spans="3:40" x14ac:dyDescent="0.3">
      <c r="C623" s="42"/>
      <c r="F623" s="184"/>
      <c r="H623" s="184"/>
      <c r="I623" s="184"/>
      <c r="J623" s="237"/>
      <c r="K623" s="237"/>
      <c r="L623" s="123"/>
      <c r="M623" s="123"/>
      <c r="N623" s="160"/>
      <c r="O623" s="160"/>
      <c r="P623" s="123"/>
      <c r="Q623" s="123"/>
      <c r="R623" s="123"/>
      <c r="T623" s="42"/>
      <c r="V623" s="123"/>
      <c r="W623" s="123"/>
      <c r="X623" s="123"/>
      <c r="Y623" s="123"/>
      <c r="Z623" s="237"/>
      <c r="AA623" s="123"/>
      <c r="AB623" s="123"/>
      <c r="AC623" s="160"/>
      <c r="AD623" s="160"/>
      <c r="AE623" s="123"/>
      <c r="AF623" s="123"/>
      <c r="AH623" s="236"/>
      <c r="AI623" s="123"/>
      <c r="AJ623" s="123"/>
      <c r="AL623" s="123"/>
      <c r="AM623" s="160"/>
      <c r="AN623" s="160"/>
    </row>
    <row r="624" spans="3:40" x14ac:dyDescent="0.3">
      <c r="C624" s="42"/>
      <c r="T624" s="42"/>
      <c r="V624" s="123"/>
      <c r="W624" s="123"/>
      <c r="X624" s="123"/>
      <c r="Y624" s="123"/>
      <c r="Z624" s="237"/>
    </row>
    <row r="625" spans="1:40" x14ac:dyDescent="0.3">
      <c r="C625" s="42"/>
      <c r="F625" s="184"/>
      <c r="H625" s="184"/>
      <c r="I625" s="184"/>
      <c r="J625" s="237"/>
      <c r="K625" s="237"/>
      <c r="L625" s="123"/>
      <c r="M625" s="123"/>
      <c r="N625" s="160"/>
      <c r="O625" s="160"/>
      <c r="P625" s="123"/>
      <c r="Q625" s="123"/>
      <c r="R625" s="123"/>
      <c r="T625" s="42"/>
      <c r="V625" s="123"/>
      <c r="W625" s="123"/>
      <c r="X625" s="123"/>
      <c r="Y625" s="123"/>
      <c r="Z625" s="237"/>
      <c r="AA625" s="123"/>
      <c r="AB625" s="123"/>
      <c r="AC625" s="160"/>
      <c r="AD625" s="160"/>
      <c r="AE625" s="123"/>
      <c r="AF625" s="123"/>
      <c r="AH625" s="236"/>
      <c r="AI625" s="123"/>
      <c r="AJ625" s="123"/>
      <c r="AL625" s="123"/>
      <c r="AM625" s="160"/>
      <c r="AN625" s="160"/>
    </row>
    <row r="626" spans="1:40" x14ac:dyDescent="0.3">
      <c r="C626" s="42"/>
      <c r="T626" s="42"/>
      <c r="V626" s="123"/>
      <c r="W626" s="123"/>
      <c r="X626" s="123"/>
      <c r="Y626" s="123"/>
      <c r="Z626" s="237"/>
    </row>
    <row r="627" spans="1:40" x14ac:dyDescent="0.3">
      <c r="C627" s="42"/>
      <c r="F627" s="184"/>
      <c r="H627" s="184"/>
      <c r="I627" s="184"/>
      <c r="J627" s="237"/>
      <c r="K627" s="237"/>
      <c r="L627" s="123"/>
      <c r="M627" s="123"/>
      <c r="N627" s="160"/>
      <c r="O627" s="160"/>
      <c r="P627" s="123"/>
      <c r="Q627" s="123"/>
      <c r="R627" s="123"/>
      <c r="T627" s="42"/>
      <c r="V627" s="123"/>
      <c r="W627" s="123"/>
      <c r="X627" s="123"/>
      <c r="Y627" s="123"/>
      <c r="Z627" s="237"/>
      <c r="AA627" s="123"/>
      <c r="AB627" s="123"/>
      <c r="AC627" s="160"/>
      <c r="AD627" s="160"/>
      <c r="AE627" s="123"/>
      <c r="AF627" s="123"/>
      <c r="AH627" s="236"/>
      <c r="AI627" s="123"/>
      <c r="AJ627" s="123"/>
      <c r="AL627" s="123"/>
      <c r="AM627" s="160"/>
      <c r="AN627" s="160"/>
    </row>
    <row r="628" spans="1:40" x14ac:dyDescent="0.3">
      <c r="C628" s="42"/>
      <c r="T628" s="42"/>
      <c r="V628" s="123"/>
      <c r="W628" s="123"/>
      <c r="X628" s="123"/>
      <c r="Y628" s="123"/>
      <c r="Z628" s="237"/>
    </row>
    <row r="629" spans="1:40" x14ac:dyDescent="0.3">
      <c r="C629" s="42"/>
      <c r="F629" s="184"/>
      <c r="H629" s="184"/>
      <c r="I629" s="184"/>
      <c r="J629" s="237"/>
      <c r="K629" s="237"/>
      <c r="L629" s="123"/>
      <c r="M629" s="123"/>
      <c r="N629" s="160"/>
      <c r="O629" s="160"/>
      <c r="P629" s="123"/>
      <c r="Q629" s="123"/>
      <c r="R629" s="123"/>
      <c r="T629" s="42"/>
      <c r="V629" s="123"/>
      <c r="W629" s="123"/>
      <c r="X629" s="123"/>
      <c r="Y629" s="123"/>
      <c r="Z629" s="237"/>
      <c r="AA629" s="123"/>
      <c r="AB629" s="123"/>
      <c r="AC629" s="160"/>
      <c r="AD629" s="160"/>
      <c r="AE629" s="123"/>
      <c r="AF629" s="123"/>
      <c r="AH629" s="236"/>
      <c r="AI629" s="123"/>
      <c r="AJ629" s="123"/>
      <c r="AL629" s="123"/>
      <c r="AM629" s="160"/>
      <c r="AN629" s="160"/>
    </row>
    <row r="630" spans="1:40" x14ac:dyDescent="0.3">
      <c r="F630" s="210"/>
      <c r="H630" s="210"/>
      <c r="I630" s="210"/>
      <c r="J630" s="213"/>
      <c r="K630" s="213"/>
      <c r="L630" s="210"/>
      <c r="M630" s="210"/>
      <c r="N630" s="210"/>
      <c r="O630" s="210"/>
      <c r="P630" s="210"/>
      <c r="Q630" s="210"/>
      <c r="R630" s="210"/>
      <c r="V630" s="210"/>
      <c r="Y630" s="210"/>
      <c r="Z630" s="213"/>
      <c r="AA630" s="210"/>
      <c r="AB630" s="210"/>
      <c r="AC630" s="210"/>
      <c r="AD630" s="210"/>
      <c r="AE630" s="210"/>
      <c r="AF630" s="210"/>
      <c r="AI630" s="210"/>
      <c r="AJ630" s="210"/>
      <c r="AK630" s="214"/>
      <c r="AL630" s="210"/>
    </row>
    <row r="631" spans="1:40" x14ac:dyDescent="0.3">
      <c r="C631" s="42"/>
      <c r="F631" s="123"/>
      <c r="H631" s="123"/>
      <c r="I631" s="123"/>
      <c r="L631" s="123"/>
      <c r="M631" s="123"/>
      <c r="N631" s="160"/>
      <c r="O631" s="160"/>
      <c r="P631" s="184"/>
      <c r="Q631" s="184"/>
      <c r="R631" s="123"/>
      <c r="T631" s="42"/>
      <c r="V631" s="123"/>
      <c r="W631" s="123"/>
      <c r="X631" s="123"/>
      <c r="Y631" s="123"/>
      <c r="Z631" s="237"/>
      <c r="AA631" s="123"/>
      <c r="AB631" s="123"/>
      <c r="AC631" s="160"/>
      <c r="AD631" s="160"/>
      <c r="AE631" s="123"/>
      <c r="AF631" s="123"/>
      <c r="AH631" s="236"/>
      <c r="AI631" s="184"/>
      <c r="AJ631" s="184"/>
      <c r="AL631" s="123"/>
      <c r="AM631" s="160"/>
      <c r="AN631" s="160"/>
    </row>
    <row r="632" spans="1:40" x14ac:dyDescent="0.3">
      <c r="F632" s="210"/>
      <c r="H632" s="210"/>
      <c r="I632" s="210"/>
      <c r="J632" s="213"/>
      <c r="K632" s="213"/>
      <c r="L632" s="210"/>
      <c r="M632" s="210"/>
      <c r="N632" s="210"/>
      <c r="O632" s="210"/>
      <c r="P632" s="210"/>
      <c r="Q632" s="210"/>
      <c r="R632" s="210"/>
      <c r="V632" s="210"/>
      <c r="Y632" s="210"/>
      <c r="Z632" s="213"/>
      <c r="AA632" s="210"/>
      <c r="AB632" s="210"/>
      <c r="AC632" s="210"/>
      <c r="AD632" s="210"/>
      <c r="AE632" s="210"/>
      <c r="AF632" s="210"/>
      <c r="AI632" s="210"/>
      <c r="AJ632" s="210"/>
      <c r="AK632" s="214"/>
      <c r="AL632" s="210"/>
    </row>
    <row r="633" spans="1:40" x14ac:dyDescent="0.3">
      <c r="C633" s="42"/>
      <c r="F633" s="123"/>
      <c r="H633" s="123"/>
      <c r="I633" s="123"/>
      <c r="L633" s="123"/>
      <c r="M633" s="123"/>
      <c r="N633" s="160"/>
      <c r="O633" s="160"/>
      <c r="P633" s="123"/>
      <c r="Q633" s="123"/>
      <c r="R633" s="123"/>
      <c r="T633" s="42"/>
      <c r="V633" s="123"/>
      <c r="W633" s="123"/>
      <c r="X633" s="123"/>
      <c r="Y633" s="123"/>
      <c r="AA633" s="123"/>
      <c r="AB633" s="123"/>
      <c r="AC633" s="160"/>
      <c r="AD633" s="160"/>
      <c r="AE633" s="123"/>
      <c r="AF633" s="123"/>
      <c r="AH633" s="236"/>
      <c r="AI633" s="123"/>
      <c r="AJ633" s="123"/>
      <c r="AL633" s="123"/>
      <c r="AM633" s="236"/>
      <c r="AN633" s="236"/>
    </row>
    <row r="634" spans="1:40" x14ac:dyDescent="0.3">
      <c r="F634" s="210"/>
      <c r="H634" s="210"/>
      <c r="I634" s="210"/>
      <c r="J634" s="213"/>
      <c r="K634" s="213"/>
      <c r="L634" s="210"/>
      <c r="M634" s="210"/>
      <c r="N634" s="210"/>
      <c r="O634" s="210"/>
      <c r="P634" s="210"/>
      <c r="Q634" s="210"/>
      <c r="R634" s="210"/>
      <c r="V634" s="210"/>
      <c r="Y634" s="210"/>
      <c r="Z634" s="213"/>
      <c r="AA634" s="210"/>
      <c r="AB634" s="210"/>
      <c r="AC634" s="210"/>
      <c r="AD634" s="210"/>
      <c r="AE634" s="210"/>
      <c r="AF634" s="210"/>
      <c r="AI634" s="210"/>
      <c r="AJ634" s="210"/>
      <c r="AK634" s="214"/>
      <c r="AL634" s="210"/>
    </row>
    <row r="637" spans="1:40" x14ac:dyDescent="0.3">
      <c r="A637" s="42"/>
    </row>
    <row r="639" spans="1:40" x14ac:dyDescent="0.3">
      <c r="H639" s="42"/>
      <c r="I639" s="42"/>
      <c r="Y639" s="42"/>
    </row>
    <row r="641" spans="1:40" x14ac:dyDescent="0.3">
      <c r="L641" s="42"/>
      <c r="M641" s="42"/>
      <c r="AA641" s="42"/>
      <c r="AB641" s="42"/>
    </row>
    <row r="642" spans="1:40" x14ac:dyDescent="0.3">
      <c r="R642" s="42"/>
      <c r="AK642" s="206"/>
      <c r="AL642" s="42"/>
    </row>
    <row r="643" spans="1:40" x14ac:dyDescent="0.3">
      <c r="R643" s="42"/>
      <c r="AK643" s="206"/>
      <c r="AL643" s="42"/>
    </row>
    <row r="644" spans="1:40" x14ac:dyDescent="0.3">
      <c r="A644" s="42"/>
      <c r="R644" s="42"/>
      <c r="AK644" s="206"/>
      <c r="AL644" s="42"/>
    </row>
    <row r="645" spans="1:40" x14ac:dyDescent="0.3">
      <c r="L645" s="42"/>
      <c r="M645" s="42"/>
      <c r="AA645" s="42"/>
      <c r="AB645" s="42"/>
    </row>
    <row r="646" spans="1:40" x14ac:dyDescent="0.3">
      <c r="A646" s="135"/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207"/>
      <c r="AH646" s="135"/>
      <c r="AI646" s="135"/>
      <c r="AJ646" s="135"/>
      <c r="AK646" s="207"/>
      <c r="AL646" s="135"/>
      <c r="AM646" s="135"/>
      <c r="AN646" s="135"/>
    </row>
    <row r="647" spans="1:40" x14ac:dyDescent="0.3">
      <c r="L647" s="44"/>
      <c r="M647" s="44"/>
      <c r="N647" s="44"/>
      <c r="O647" s="44"/>
      <c r="R647" s="44"/>
      <c r="AA647" s="44"/>
      <c r="AB647" s="44"/>
      <c r="AC647" s="44"/>
      <c r="AD647" s="44"/>
      <c r="AE647" s="44"/>
      <c r="AF647" s="44"/>
      <c r="AG647" s="168"/>
      <c r="AH647" s="44"/>
      <c r="AK647" s="168"/>
      <c r="AL647" s="44"/>
      <c r="AM647" s="44"/>
      <c r="AN647" s="44"/>
    </row>
    <row r="648" spans="1:40" x14ac:dyDescent="0.3">
      <c r="L648" s="44"/>
      <c r="M648" s="44"/>
      <c r="N648" s="44"/>
      <c r="O648" s="44"/>
      <c r="R648" s="44"/>
      <c r="Z648" s="44"/>
      <c r="AA648" s="44"/>
      <c r="AB648" s="44"/>
      <c r="AC648" s="44"/>
      <c r="AD648" s="44"/>
      <c r="AE648" s="44"/>
      <c r="AF648" s="44"/>
      <c r="AG648" s="168"/>
      <c r="AH648" s="44"/>
      <c r="AK648" s="168"/>
      <c r="AL648" s="44"/>
      <c r="AM648" s="44"/>
      <c r="AN648" s="44"/>
    </row>
    <row r="649" spans="1:40" x14ac:dyDescent="0.3">
      <c r="A649" s="44"/>
      <c r="C649" s="44"/>
      <c r="D649" s="44"/>
      <c r="E649" s="44"/>
      <c r="F649" s="44"/>
      <c r="J649" s="44"/>
      <c r="K649" s="44"/>
      <c r="L649" s="44"/>
      <c r="M649" s="44"/>
      <c r="N649" s="44"/>
      <c r="O649" s="44"/>
      <c r="P649" s="44"/>
      <c r="Q649" s="44"/>
      <c r="R649" s="44"/>
      <c r="T649" s="44"/>
      <c r="U649" s="44"/>
      <c r="V649" s="44"/>
      <c r="Z649" s="44"/>
      <c r="AA649" s="44"/>
      <c r="AB649" s="44"/>
      <c r="AC649" s="44"/>
      <c r="AD649" s="44"/>
      <c r="AE649" s="44"/>
      <c r="AF649" s="44"/>
      <c r="AG649" s="168"/>
      <c r="AH649" s="44"/>
      <c r="AI649" s="44"/>
      <c r="AJ649" s="44"/>
      <c r="AK649" s="168"/>
      <c r="AL649" s="44"/>
      <c r="AM649" s="44"/>
      <c r="AN649" s="44"/>
    </row>
    <row r="650" spans="1:40" x14ac:dyDescent="0.3">
      <c r="A650" s="44"/>
      <c r="C650" s="44"/>
      <c r="D650" s="44"/>
      <c r="E650" s="44"/>
      <c r="F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T650" s="44"/>
      <c r="U650" s="44"/>
      <c r="V650" s="44"/>
      <c r="Y650" s="44"/>
      <c r="Z650" s="44"/>
      <c r="AA650" s="44"/>
      <c r="AB650" s="44"/>
      <c r="AC650" s="44"/>
      <c r="AD650" s="44"/>
      <c r="AE650" s="44"/>
      <c r="AF650" s="44"/>
      <c r="AG650" s="168"/>
      <c r="AH650" s="44"/>
      <c r="AI650" s="44"/>
      <c r="AJ650" s="44"/>
      <c r="AK650" s="168"/>
      <c r="AL650" s="44"/>
      <c r="AM650" s="44"/>
      <c r="AN650" s="44"/>
    </row>
    <row r="651" spans="1:40" x14ac:dyDescent="0.3">
      <c r="C651" s="44"/>
      <c r="D651" s="44"/>
      <c r="E651" s="44"/>
      <c r="F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T651" s="44"/>
      <c r="U651" s="44"/>
      <c r="V651" s="44"/>
      <c r="Y651" s="44"/>
      <c r="Z651" s="44"/>
      <c r="AA651" s="44"/>
      <c r="AB651" s="44"/>
      <c r="AC651" s="44"/>
      <c r="AD651" s="44"/>
      <c r="AE651" s="44"/>
      <c r="AF651" s="44"/>
      <c r="AG651" s="168"/>
      <c r="AH651" s="44"/>
      <c r="AI651" s="44"/>
      <c r="AJ651" s="44"/>
      <c r="AK651" s="168"/>
      <c r="AL651" s="44"/>
      <c r="AM651" s="44"/>
      <c r="AN651" s="44"/>
    </row>
    <row r="652" spans="1:40" x14ac:dyDescent="0.3">
      <c r="A652" s="135"/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207"/>
      <c r="AH652" s="135"/>
      <c r="AI652" s="135"/>
      <c r="AJ652" s="135"/>
      <c r="AK652" s="207"/>
      <c r="AL652" s="135"/>
      <c r="AM652" s="135"/>
      <c r="AN652" s="135"/>
    </row>
    <row r="653" spans="1:40" x14ac:dyDescent="0.3"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Y653" s="44"/>
      <c r="Z653" s="44"/>
      <c r="AA653" s="44"/>
      <c r="AB653" s="44"/>
      <c r="AC653" s="44"/>
      <c r="AD653" s="44"/>
      <c r="AE653" s="44"/>
      <c r="AF653" s="44"/>
      <c r="AG653" s="168"/>
      <c r="AH653" s="44"/>
      <c r="AI653" s="44"/>
      <c r="AJ653" s="44"/>
      <c r="AK653" s="168"/>
      <c r="AL653" s="44"/>
      <c r="AM653" s="44"/>
      <c r="AN653" s="44"/>
    </row>
    <row r="654" spans="1:40" x14ac:dyDescent="0.3">
      <c r="C654" s="42"/>
      <c r="D654" s="42"/>
      <c r="E654" s="42"/>
      <c r="F654" s="123"/>
      <c r="H654" s="123"/>
      <c r="I654" s="123"/>
      <c r="J654" s="219"/>
      <c r="K654" s="219"/>
      <c r="L654" s="123"/>
      <c r="M654" s="123"/>
      <c r="N654" s="219"/>
      <c r="O654" s="219"/>
      <c r="P654" s="123"/>
      <c r="Q654" s="123"/>
      <c r="R654" s="123"/>
      <c r="T654" s="42"/>
      <c r="U654" s="42"/>
      <c r="V654" s="123"/>
      <c r="Y654" s="123"/>
      <c r="Z654" s="219"/>
      <c r="AA654" s="123"/>
      <c r="AB654" s="123"/>
      <c r="AC654" s="219"/>
      <c r="AD654" s="219"/>
      <c r="AE654" s="123"/>
      <c r="AF654" s="123"/>
      <c r="AH654" s="236"/>
      <c r="AI654" s="123"/>
      <c r="AJ654" s="123"/>
      <c r="AL654" s="123"/>
      <c r="AM654" s="160"/>
      <c r="AN654" s="160"/>
    </row>
    <row r="655" spans="1:40" x14ac:dyDescent="0.3">
      <c r="F655" s="210"/>
      <c r="H655" s="210"/>
      <c r="I655" s="210"/>
      <c r="J655" s="213"/>
      <c r="K655" s="213"/>
      <c r="L655" s="210"/>
      <c r="M655" s="210"/>
      <c r="N655" s="210"/>
      <c r="O655" s="210"/>
      <c r="P655" s="210"/>
      <c r="Q655" s="210"/>
      <c r="R655" s="210"/>
      <c r="V655" s="210"/>
      <c r="Y655" s="210"/>
      <c r="Z655" s="213"/>
      <c r="AA655" s="210"/>
      <c r="AB655" s="210"/>
      <c r="AC655" s="210"/>
      <c r="AD655" s="210"/>
      <c r="AE655" s="210"/>
      <c r="AF655" s="210"/>
      <c r="AI655" s="210"/>
      <c r="AJ655" s="210"/>
      <c r="AK655" s="214"/>
      <c r="AL655" s="210"/>
      <c r="AM655" s="160"/>
      <c r="AN655" s="160"/>
    </row>
    <row r="656" spans="1:40" x14ac:dyDescent="0.3">
      <c r="C656" s="42"/>
      <c r="F656" s="123"/>
      <c r="H656" s="123"/>
      <c r="I656" s="123"/>
      <c r="J656" s="219"/>
      <c r="K656" s="219"/>
      <c r="L656" s="123"/>
      <c r="M656" s="123"/>
      <c r="N656" s="219"/>
      <c r="O656" s="219"/>
      <c r="P656" s="123"/>
      <c r="Q656" s="123"/>
      <c r="R656" s="123"/>
      <c r="T656" s="42"/>
      <c r="V656" s="123"/>
      <c r="Y656" s="123"/>
      <c r="Z656" s="219"/>
      <c r="AA656" s="123"/>
      <c r="AB656" s="123"/>
      <c r="AC656" s="219"/>
      <c r="AD656" s="219"/>
      <c r="AE656" s="123"/>
      <c r="AF656" s="123"/>
      <c r="AH656" s="236"/>
      <c r="AI656" s="123"/>
      <c r="AJ656" s="123"/>
      <c r="AL656" s="123"/>
      <c r="AM656" s="160"/>
      <c r="AN656" s="160"/>
    </row>
    <row r="657" spans="3:40" x14ac:dyDescent="0.3">
      <c r="F657" s="123"/>
      <c r="H657" s="123"/>
      <c r="I657" s="123"/>
      <c r="J657" s="219"/>
      <c r="K657" s="219"/>
      <c r="L657" s="123"/>
      <c r="M657" s="123"/>
      <c r="N657" s="219"/>
      <c r="O657" s="219"/>
      <c r="P657" s="123"/>
      <c r="Q657" s="123"/>
      <c r="R657" s="123"/>
      <c r="V657" s="123"/>
      <c r="Y657" s="123"/>
      <c r="Z657" s="219"/>
      <c r="AA657" s="123"/>
      <c r="AB657" s="123"/>
      <c r="AC657" s="219"/>
      <c r="AD657" s="219"/>
      <c r="AH657" s="236"/>
      <c r="AI657" s="123"/>
      <c r="AJ657" s="123"/>
      <c r="AL657" s="123"/>
      <c r="AM657" s="160"/>
      <c r="AN657" s="160"/>
    </row>
    <row r="658" spans="3:40" x14ac:dyDescent="0.3">
      <c r="C658" s="42"/>
      <c r="D658" s="42"/>
      <c r="E658" s="42"/>
      <c r="F658" s="123"/>
      <c r="H658" s="123"/>
      <c r="I658" s="123"/>
      <c r="J658" s="219"/>
      <c r="K658" s="219"/>
      <c r="L658" s="123"/>
      <c r="M658" s="123"/>
      <c r="N658" s="219"/>
      <c r="O658" s="219"/>
      <c r="P658" s="123"/>
      <c r="Q658" s="123"/>
      <c r="R658" s="123"/>
      <c r="T658" s="42"/>
      <c r="U658" s="42"/>
      <c r="V658" s="123"/>
      <c r="Y658" s="123"/>
      <c r="Z658" s="219"/>
      <c r="AA658" s="123"/>
      <c r="AB658" s="123"/>
      <c r="AC658" s="219"/>
      <c r="AD658" s="219"/>
      <c r="AE658" s="123"/>
      <c r="AF658" s="123"/>
      <c r="AH658" s="236"/>
      <c r="AI658" s="123"/>
      <c r="AJ658" s="123"/>
      <c r="AL658" s="123"/>
      <c r="AM658" s="160"/>
      <c r="AN658" s="160"/>
    </row>
    <row r="659" spans="3:40" x14ac:dyDescent="0.3">
      <c r="C659" s="42"/>
      <c r="D659" s="42"/>
      <c r="E659" s="42"/>
      <c r="F659" s="123"/>
      <c r="H659" s="123"/>
      <c r="I659" s="123"/>
      <c r="J659" s="219"/>
      <c r="K659" s="219"/>
      <c r="L659" s="123"/>
      <c r="M659" s="123"/>
      <c r="N659" s="219"/>
      <c r="O659" s="219"/>
      <c r="P659" s="123"/>
      <c r="Q659" s="123"/>
      <c r="R659" s="123"/>
      <c r="T659" s="42"/>
      <c r="U659" s="42"/>
      <c r="V659" s="123"/>
      <c r="Y659" s="123"/>
      <c r="Z659" s="219"/>
      <c r="AA659" s="123"/>
      <c r="AB659" s="123"/>
      <c r="AC659" s="219"/>
      <c r="AD659" s="219"/>
      <c r="AE659" s="123"/>
      <c r="AF659" s="123"/>
      <c r="AH659" s="236"/>
      <c r="AI659" s="123"/>
      <c r="AJ659" s="123"/>
      <c r="AL659" s="123"/>
      <c r="AM659" s="160"/>
      <c r="AN659" s="160"/>
    </row>
    <row r="660" spans="3:40" x14ac:dyDescent="0.3">
      <c r="C660" s="42"/>
      <c r="D660" s="42"/>
      <c r="E660" s="42"/>
      <c r="F660" s="123"/>
      <c r="H660" s="123"/>
      <c r="I660" s="123"/>
      <c r="J660" s="219"/>
      <c r="K660" s="219"/>
      <c r="L660" s="123"/>
      <c r="M660" s="123"/>
      <c r="N660" s="219"/>
      <c r="O660" s="219"/>
      <c r="P660" s="123"/>
      <c r="Q660" s="123"/>
      <c r="R660" s="123"/>
      <c r="T660" s="42"/>
      <c r="U660" s="42"/>
      <c r="V660" s="123"/>
      <c r="Y660" s="123"/>
      <c r="Z660" s="219"/>
      <c r="AA660" s="123"/>
      <c r="AB660" s="123"/>
      <c r="AC660" s="219"/>
      <c r="AD660" s="219"/>
      <c r="AE660" s="123"/>
      <c r="AF660" s="123"/>
      <c r="AH660" s="236"/>
      <c r="AI660" s="123"/>
      <c r="AJ660" s="123"/>
      <c r="AL660" s="123"/>
      <c r="AM660" s="160"/>
      <c r="AN660" s="160"/>
    </row>
    <row r="661" spans="3:40" x14ac:dyDescent="0.3">
      <c r="C661" s="42"/>
      <c r="D661" s="42"/>
      <c r="E661" s="42"/>
      <c r="F661" s="123"/>
      <c r="H661" s="123"/>
      <c r="I661" s="123"/>
      <c r="J661" s="219"/>
      <c r="K661" s="219"/>
      <c r="L661" s="123"/>
      <c r="M661" s="123"/>
      <c r="N661" s="219"/>
      <c r="O661" s="219"/>
      <c r="P661" s="123"/>
      <c r="Q661" s="123"/>
      <c r="R661" s="123"/>
      <c r="T661" s="42"/>
      <c r="U661" s="42"/>
      <c r="V661" s="123"/>
      <c r="Y661" s="123"/>
      <c r="Z661" s="219"/>
      <c r="AA661" s="123"/>
      <c r="AB661" s="123"/>
      <c r="AC661" s="219"/>
      <c r="AD661" s="219"/>
      <c r="AE661" s="123"/>
      <c r="AF661" s="123"/>
      <c r="AH661" s="236"/>
      <c r="AI661" s="123"/>
      <c r="AJ661" s="123"/>
      <c r="AL661" s="123"/>
      <c r="AM661" s="160"/>
      <c r="AN661" s="160"/>
    </row>
    <row r="662" spans="3:40" x14ac:dyDescent="0.3">
      <c r="C662" s="42"/>
      <c r="D662" s="42"/>
      <c r="E662" s="42"/>
      <c r="F662" s="123"/>
      <c r="H662" s="123"/>
      <c r="I662" s="123"/>
      <c r="J662" s="219"/>
      <c r="K662" s="219"/>
      <c r="L662" s="123"/>
      <c r="M662" s="123"/>
      <c r="N662" s="219"/>
      <c r="O662" s="219"/>
      <c r="P662" s="123"/>
      <c r="Q662" s="123"/>
      <c r="R662" s="123"/>
      <c r="T662" s="42"/>
      <c r="U662" s="42"/>
      <c r="V662" s="123"/>
      <c r="Y662" s="123"/>
      <c r="Z662" s="219"/>
      <c r="AA662" s="123"/>
      <c r="AB662" s="123"/>
      <c r="AC662" s="219"/>
      <c r="AD662" s="219"/>
      <c r="AE662" s="123"/>
      <c r="AF662" s="123"/>
      <c r="AH662" s="236"/>
      <c r="AI662" s="123"/>
      <c r="AJ662" s="123"/>
      <c r="AL662" s="123"/>
      <c r="AM662" s="160"/>
      <c r="AN662" s="160"/>
    </row>
    <row r="663" spans="3:40" x14ac:dyDescent="0.3">
      <c r="C663" s="42"/>
      <c r="D663" s="42"/>
      <c r="E663" s="42"/>
      <c r="F663" s="123"/>
      <c r="H663" s="123"/>
      <c r="I663" s="123"/>
      <c r="J663" s="219"/>
      <c r="K663" s="219"/>
      <c r="L663" s="123"/>
      <c r="M663" s="123"/>
      <c r="N663" s="219"/>
      <c r="O663" s="219"/>
      <c r="P663" s="123"/>
      <c r="Q663" s="123"/>
      <c r="R663" s="123"/>
      <c r="T663" s="42"/>
      <c r="U663" s="42"/>
      <c r="V663" s="123"/>
      <c r="Y663" s="123"/>
      <c r="Z663" s="219"/>
      <c r="AA663" s="123"/>
      <c r="AB663" s="123"/>
      <c r="AC663" s="219"/>
      <c r="AD663" s="219"/>
      <c r="AE663" s="123"/>
      <c r="AF663" s="123"/>
      <c r="AH663" s="236"/>
      <c r="AI663" s="123"/>
      <c r="AJ663" s="123"/>
      <c r="AL663" s="123"/>
      <c r="AM663" s="160"/>
      <c r="AN663" s="160"/>
    </row>
    <row r="664" spans="3:40" x14ac:dyDescent="0.3">
      <c r="F664" s="210"/>
      <c r="H664" s="210"/>
      <c r="I664" s="210"/>
      <c r="J664" s="213"/>
      <c r="K664" s="213"/>
      <c r="L664" s="210"/>
      <c r="M664" s="210"/>
      <c r="N664" s="210"/>
      <c r="O664" s="210"/>
      <c r="P664" s="210"/>
      <c r="Q664" s="210"/>
      <c r="R664" s="210"/>
      <c r="V664" s="210"/>
      <c r="Y664" s="210"/>
      <c r="Z664" s="213"/>
      <c r="AA664" s="210"/>
      <c r="AB664" s="210"/>
      <c r="AC664" s="210"/>
      <c r="AD664" s="210"/>
      <c r="AE664" s="210"/>
      <c r="AF664" s="210"/>
      <c r="AI664" s="210"/>
      <c r="AJ664" s="210"/>
      <c r="AK664" s="214"/>
      <c r="AL664" s="210"/>
      <c r="AM664" s="160"/>
      <c r="AN664" s="160"/>
    </row>
    <row r="665" spans="3:40" x14ac:dyDescent="0.3">
      <c r="C665" s="42"/>
      <c r="F665" s="123"/>
      <c r="H665" s="123"/>
      <c r="I665" s="123"/>
      <c r="J665" s="219"/>
      <c r="K665" s="219"/>
      <c r="L665" s="123"/>
      <c r="M665" s="123"/>
      <c r="N665" s="219"/>
      <c r="O665" s="219"/>
      <c r="P665" s="123"/>
      <c r="Q665" s="123"/>
      <c r="R665" s="123"/>
      <c r="T665" s="42"/>
      <c r="V665" s="123"/>
      <c r="Y665" s="123"/>
      <c r="Z665" s="219"/>
      <c r="AA665" s="123"/>
      <c r="AB665" s="123"/>
      <c r="AC665" s="219"/>
      <c r="AD665" s="219"/>
      <c r="AE665" s="123"/>
      <c r="AF665" s="123"/>
      <c r="AH665" s="236"/>
      <c r="AI665" s="123"/>
      <c r="AJ665" s="123"/>
      <c r="AL665" s="123"/>
      <c r="AM665" s="160"/>
      <c r="AN665" s="160"/>
    </row>
    <row r="666" spans="3:40" x14ac:dyDescent="0.3">
      <c r="F666" s="123"/>
      <c r="H666" s="123"/>
      <c r="I666" s="123"/>
      <c r="J666" s="219"/>
      <c r="K666" s="219"/>
      <c r="L666" s="123"/>
      <c r="M666" s="123"/>
      <c r="N666" s="219"/>
      <c r="O666" s="219"/>
      <c r="P666" s="123"/>
      <c r="Q666" s="123"/>
      <c r="R666" s="123"/>
      <c r="V666" s="123"/>
      <c r="Y666" s="123"/>
      <c r="Z666" s="219"/>
      <c r="AA666" s="123"/>
      <c r="AB666" s="123"/>
      <c r="AC666" s="219"/>
      <c r="AD666" s="219"/>
      <c r="AH666" s="236"/>
      <c r="AI666" s="123"/>
      <c r="AJ666" s="123"/>
      <c r="AL666" s="123"/>
      <c r="AM666" s="160"/>
      <c r="AN666" s="160"/>
    </row>
    <row r="667" spans="3:40" x14ac:dyDescent="0.3">
      <c r="C667" s="42"/>
      <c r="D667" s="42"/>
      <c r="E667" s="42"/>
      <c r="F667" s="123"/>
      <c r="H667" s="123"/>
      <c r="I667" s="123"/>
      <c r="J667" s="219"/>
      <c r="K667" s="219"/>
      <c r="L667" s="123"/>
      <c r="M667" s="123"/>
      <c r="N667" s="219"/>
      <c r="O667" s="219"/>
      <c r="P667" s="123"/>
      <c r="Q667" s="123"/>
      <c r="R667" s="123"/>
      <c r="T667" s="42"/>
      <c r="U667" s="42"/>
      <c r="V667" s="123"/>
      <c r="Y667" s="123"/>
      <c r="Z667" s="219"/>
      <c r="AA667" s="123"/>
      <c r="AB667" s="123"/>
      <c r="AC667" s="219"/>
      <c r="AD667" s="219"/>
      <c r="AE667" s="123"/>
      <c r="AF667" s="123"/>
      <c r="AH667" s="236"/>
      <c r="AI667" s="123"/>
      <c r="AJ667" s="123"/>
      <c r="AL667" s="123"/>
      <c r="AM667" s="160"/>
      <c r="AN667" s="160"/>
    </row>
    <row r="668" spans="3:40" x14ac:dyDescent="0.3">
      <c r="F668" s="210"/>
      <c r="H668" s="210"/>
      <c r="I668" s="210"/>
      <c r="J668" s="213"/>
      <c r="K668" s="213"/>
      <c r="L668" s="210"/>
      <c r="M668" s="210"/>
      <c r="N668" s="210"/>
      <c r="O668" s="210"/>
      <c r="P668" s="210"/>
      <c r="Q668" s="210"/>
      <c r="R668" s="210"/>
      <c r="V668" s="210"/>
      <c r="Y668" s="210"/>
      <c r="Z668" s="213"/>
      <c r="AA668" s="210"/>
      <c r="AB668" s="210"/>
      <c r="AC668" s="210"/>
      <c r="AD668" s="210"/>
      <c r="AE668" s="210"/>
      <c r="AF668" s="210"/>
      <c r="AI668" s="210"/>
      <c r="AJ668" s="210"/>
      <c r="AK668" s="214"/>
      <c r="AL668" s="210"/>
      <c r="AM668" s="160"/>
      <c r="AN668" s="160"/>
    </row>
    <row r="669" spans="3:40" x14ac:dyDescent="0.3">
      <c r="C669" s="42"/>
      <c r="F669" s="123"/>
      <c r="H669" s="123"/>
      <c r="I669" s="123"/>
      <c r="J669" s="219"/>
      <c r="K669" s="219"/>
      <c r="L669" s="123"/>
      <c r="M669" s="123"/>
      <c r="N669" s="219"/>
      <c r="O669" s="219"/>
      <c r="P669" s="123"/>
      <c r="Q669" s="123"/>
      <c r="R669" s="123"/>
      <c r="T669" s="42"/>
      <c r="V669" s="123"/>
      <c r="Y669" s="123"/>
      <c r="Z669" s="219"/>
      <c r="AA669" s="123"/>
      <c r="AB669" s="123"/>
      <c r="AC669" s="219"/>
      <c r="AD669" s="219"/>
      <c r="AE669" s="123"/>
      <c r="AF669" s="123"/>
      <c r="AH669" s="236"/>
      <c r="AI669" s="123"/>
      <c r="AJ669" s="123"/>
      <c r="AL669" s="123"/>
      <c r="AM669" s="160"/>
      <c r="AN669" s="160"/>
    </row>
    <row r="670" spans="3:40" x14ac:dyDescent="0.3">
      <c r="F670" s="123"/>
      <c r="H670" s="123"/>
      <c r="I670" s="123"/>
      <c r="J670" s="219"/>
      <c r="K670" s="219"/>
      <c r="L670" s="123"/>
      <c r="M670" s="123"/>
      <c r="N670" s="219"/>
      <c r="O670" s="219"/>
      <c r="P670" s="123"/>
      <c r="Q670" s="123"/>
      <c r="R670" s="123"/>
      <c r="V670" s="123"/>
      <c r="Y670" s="123"/>
      <c r="Z670" s="219"/>
      <c r="AA670" s="123"/>
      <c r="AB670" s="123"/>
      <c r="AC670" s="219"/>
      <c r="AD670" s="219"/>
      <c r="AH670" s="236"/>
      <c r="AI670" s="123"/>
      <c r="AJ670" s="123"/>
      <c r="AL670" s="123"/>
      <c r="AM670" s="160"/>
      <c r="AN670" s="160"/>
    </row>
    <row r="671" spans="3:40" x14ac:dyDescent="0.3">
      <c r="C671" s="42"/>
      <c r="D671" s="42"/>
      <c r="E671" s="42"/>
      <c r="F671" s="123"/>
      <c r="H671" s="123"/>
      <c r="I671" s="123"/>
      <c r="J671" s="219"/>
      <c r="K671" s="219"/>
      <c r="L671" s="123"/>
      <c r="M671" s="123"/>
      <c r="N671" s="219"/>
      <c r="O671" s="219"/>
      <c r="P671" s="123"/>
      <c r="Q671" s="123"/>
      <c r="R671" s="123"/>
      <c r="T671" s="42"/>
      <c r="U671" s="42"/>
      <c r="V671" s="123"/>
      <c r="Y671" s="123"/>
      <c r="Z671" s="219"/>
      <c r="AA671" s="123"/>
      <c r="AB671" s="123"/>
      <c r="AC671" s="219"/>
      <c r="AD671" s="219"/>
      <c r="AE671" s="123"/>
      <c r="AF671" s="123"/>
      <c r="AH671" s="236"/>
      <c r="AI671" s="123"/>
      <c r="AJ671" s="123"/>
      <c r="AL671" s="123"/>
      <c r="AM671" s="160"/>
      <c r="AN671" s="160"/>
    </row>
    <row r="672" spans="3:40" x14ac:dyDescent="0.3">
      <c r="C672" s="42"/>
      <c r="D672" s="42"/>
      <c r="E672" s="42"/>
      <c r="F672" s="123"/>
      <c r="G672" s="123"/>
      <c r="H672" s="123"/>
      <c r="I672" s="123"/>
      <c r="J672" s="219"/>
      <c r="K672" s="219"/>
      <c r="L672" s="123"/>
      <c r="M672" s="123"/>
      <c r="N672" s="219"/>
      <c r="O672" s="219"/>
      <c r="P672" s="123"/>
      <c r="Q672" s="123"/>
      <c r="R672" s="123"/>
      <c r="T672" s="42"/>
      <c r="U672" s="42"/>
      <c r="V672" s="123"/>
      <c r="W672" s="123"/>
      <c r="X672" s="123"/>
      <c r="Y672" s="123"/>
      <c r="Z672" s="219"/>
      <c r="AA672" s="123"/>
      <c r="AB672" s="123"/>
      <c r="AC672" s="219"/>
      <c r="AD672" s="219"/>
      <c r="AE672" s="123"/>
      <c r="AF672" s="123"/>
      <c r="AH672" s="236"/>
      <c r="AI672" s="123"/>
      <c r="AJ672" s="123"/>
      <c r="AL672" s="123"/>
      <c r="AM672" s="160"/>
      <c r="AN672" s="160"/>
    </row>
    <row r="673" spans="3:40" x14ac:dyDescent="0.3">
      <c r="C673" s="42"/>
      <c r="D673" s="42"/>
      <c r="E673" s="42"/>
      <c r="F673" s="123"/>
      <c r="G673" s="123"/>
      <c r="H673" s="123"/>
      <c r="I673" s="123"/>
      <c r="J673" s="219"/>
      <c r="K673" s="219"/>
      <c r="L673" s="123"/>
      <c r="M673" s="123"/>
      <c r="N673" s="219"/>
      <c r="O673" s="219"/>
      <c r="P673" s="123"/>
      <c r="Q673" s="123"/>
      <c r="R673" s="123"/>
      <c r="T673" s="42"/>
      <c r="U673" s="42"/>
      <c r="V673" s="123"/>
      <c r="W673" s="123"/>
      <c r="X673" s="123"/>
      <c r="Y673" s="123"/>
      <c r="Z673" s="219"/>
      <c r="AA673" s="123"/>
      <c r="AB673" s="123"/>
      <c r="AC673" s="219"/>
      <c r="AD673" s="219"/>
      <c r="AE673" s="123"/>
      <c r="AF673" s="123"/>
      <c r="AH673" s="236"/>
      <c r="AI673" s="123"/>
      <c r="AJ673" s="123"/>
      <c r="AL673" s="123"/>
      <c r="AM673" s="160"/>
      <c r="AN673" s="160"/>
    </row>
    <row r="674" spans="3:40" x14ac:dyDescent="0.3">
      <c r="C674" s="42"/>
      <c r="D674" s="42"/>
      <c r="E674" s="42"/>
      <c r="F674" s="123"/>
      <c r="H674" s="123"/>
      <c r="I674" s="123"/>
      <c r="J674" s="219"/>
      <c r="K674" s="219"/>
      <c r="L674" s="123"/>
      <c r="M674" s="123"/>
      <c r="N674" s="219"/>
      <c r="O674" s="219"/>
      <c r="P674" s="123"/>
      <c r="Q674" s="123"/>
      <c r="R674" s="123"/>
      <c r="T674" s="42"/>
      <c r="U674" s="42"/>
      <c r="V674" s="123"/>
      <c r="Y674" s="123"/>
      <c r="Z674" s="219"/>
      <c r="AA674" s="123"/>
      <c r="AB674" s="123"/>
      <c r="AC674" s="219"/>
      <c r="AD674" s="219"/>
      <c r="AE674" s="123"/>
      <c r="AF674" s="123"/>
      <c r="AH674" s="236"/>
      <c r="AI674" s="123"/>
      <c r="AJ674" s="123"/>
      <c r="AL674" s="123"/>
      <c r="AM674" s="160"/>
      <c r="AN674" s="160"/>
    </row>
    <row r="675" spans="3:40" x14ac:dyDescent="0.3">
      <c r="C675" s="42"/>
      <c r="D675" s="42"/>
      <c r="E675" s="42"/>
      <c r="F675" s="123"/>
      <c r="H675" s="123"/>
      <c r="I675" s="123"/>
      <c r="J675" s="219"/>
      <c r="K675" s="219"/>
      <c r="L675" s="123"/>
      <c r="M675" s="123"/>
      <c r="N675" s="219"/>
      <c r="O675" s="219"/>
      <c r="P675" s="123"/>
      <c r="Q675" s="123"/>
      <c r="R675" s="123"/>
      <c r="T675" s="42"/>
      <c r="U675" s="42"/>
      <c r="V675" s="123"/>
      <c r="Y675" s="123"/>
      <c r="Z675" s="219"/>
      <c r="AA675" s="123"/>
      <c r="AB675" s="123"/>
      <c r="AC675" s="219"/>
      <c r="AD675" s="219"/>
      <c r="AE675" s="123"/>
      <c r="AF675" s="123"/>
      <c r="AH675" s="236"/>
      <c r="AI675" s="123"/>
      <c r="AJ675" s="123"/>
      <c r="AL675" s="123"/>
      <c r="AM675" s="160"/>
      <c r="AN675" s="160"/>
    </row>
    <row r="676" spans="3:40" x14ac:dyDescent="0.3">
      <c r="C676" s="42"/>
      <c r="D676" s="42"/>
      <c r="E676" s="42"/>
      <c r="F676" s="123"/>
      <c r="H676" s="123"/>
      <c r="I676" s="123"/>
      <c r="J676" s="219"/>
      <c r="K676" s="219"/>
      <c r="L676" s="123"/>
      <c r="M676" s="123"/>
      <c r="N676" s="219"/>
      <c r="O676" s="219"/>
      <c r="P676" s="123"/>
      <c r="Q676" s="123"/>
      <c r="R676" s="123"/>
      <c r="T676" s="42"/>
      <c r="U676" s="42"/>
      <c r="V676" s="123"/>
      <c r="Y676" s="123"/>
      <c r="Z676" s="219"/>
      <c r="AA676" s="123"/>
      <c r="AB676" s="123"/>
      <c r="AC676" s="219"/>
      <c r="AD676" s="219"/>
      <c r="AE676" s="123"/>
      <c r="AF676" s="123"/>
      <c r="AH676" s="236"/>
      <c r="AI676" s="123"/>
      <c r="AJ676" s="123"/>
      <c r="AL676" s="123"/>
      <c r="AM676" s="160"/>
      <c r="AN676" s="160"/>
    </row>
    <row r="677" spans="3:40" x14ac:dyDescent="0.3">
      <c r="C677" s="42"/>
      <c r="D677" s="42"/>
      <c r="E677" s="42"/>
      <c r="F677" s="123"/>
      <c r="H677" s="123"/>
      <c r="I677" s="123"/>
      <c r="J677" s="219"/>
      <c r="K677" s="219"/>
      <c r="L677" s="123"/>
      <c r="M677" s="123"/>
      <c r="N677" s="219"/>
      <c r="O677" s="219"/>
      <c r="P677" s="123"/>
      <c r="Q677" s="123"/>
      <c r="R677" s="123"/>
      <c r="T677" s="42"/>
      <c r="U677" s="42"/>
      <c r="V677" s="123"/>
      <c r="Y677" s="123"/>
      <c r="Z677" s="219"/>
      <c r="AA677" s="123"/>
      <c r="AB677" s="123"/>
      <c r="AC677" s="219"/>
      <c r="AD677" s="219"/>
      <c r="AE677" s="123"/>
      <c r="AF677" s="123"/>
      <c r="AH677" s="236"/>
      <c r="AI677" s="123"/>
      <c r="AJ677" s="123"/>
      <c r="AL677" s="123"/>
      <c r="AM677" s="160"/>
      <c r="AN677" s="160"/>
    </row>
    <row r="678" spans="3:40" x14ac:dyDescent="0.3">
      <c r="F678" s="210"/>
      <c r="H678" s="210"/>
      <c r="I678" s="210"/>
      <c r="J678" s="213"/>
      <c r="K678" s="213"/>
      <c r="L678" s="210"/>
      <c r="M678" s="210"/>
      <c r="N678" s="210"/>
      <c r="O678" s="210"/>
      <c r="P678" s="210"/>
      <c r="Q678" s="210"/>
      <c r="R678" s="210"/>
      <c r="V678" s="210"/>
      <c r="Y678" s="210"/>
      <c r="Z678" s="213"/>
      <c r="AA678" s="210"/>
      <c r="AB678" s="210"/>
      <c r="AC678" s="210"/>
      <c r="AD678" s="210"/>
      <c r="AE678" s="210"/>
      <c r="AF678" s="210"/>
      <c r="AI678" s="210"/>
      <c r="AJ678" s="210"/>
      <c r="AK678" s="214"/>
      <c r="AL678" s="210"/>
      <c r="AM678" s="160"/>
      <c r="AN678" s="160"/>
    </row>
    <row r="679" spans="3:40" x14ac:dyDescent="0.3">
      <c r="C679" s="42"/>
      <c r="F679" s="123"/>
      <c r="H679" s="123"/>
      <c r="I679" s="123"/>
      <c r="J679" s="219"/>
      <c r="K679" s="219"/>
      <c r="L679" s="123"/>
      <c r="M679" s="123"/>
      <c r="N679" s="219"/>
      <c r="O679" s="219"/>
      <c r="P679" s="123"/>
      <c r="Q679" s="123"/>
      <c r="R679" s="123"/>
      <c r="T679" s="42"/>
      <c r="V679" s="123"/>
      <c r="Y679" s="123"/>
      <c r="Z679" s="219"/>
      <c r="AA679" s="123"/>
      <c r="AB679" s="123"/>
      <c r="AC679" s="219"/>
      <c r="AD679" s="219"/>
      <c r="AE679" s="123"/>
      <c r="AF679" s="123"/>
      <c r="AH679" s="236"/>
      <c r="AI679" s="123"/>
      <c r="AJ679" s="123"/>
      <c r="AL679" s="123"/>
      <c r="AM679" s="160"/>
      <c r="AN679" s="160"/>
    </row>
    <row r="680" spans="3:40" x14ac:dyDescent="0.3">
      <c r="V680" s="123"/>
      <c r="Y680" s="123"/>
      <c r="Z680" s="213"/>
      <c r="AA680" s="123"/>
      <c r="AB680" s="123"/>
      <c r="AC680" s="123"/>
      <c r="AD680" s="123"/>
      <c r="AE680" s="123"/>
      <c r="AF680" s="123"/>
      <c r="AI680" s="123"/>
      <c r="AJ680" s="123"/>
      <c r="AL680" s="123"/>
      <c r="AM680" s="160"/>
      <c r="AN680" s="160"/>
    </row>
    <row r="681" spans="3:40" x14ac:dyDescent="0.3">
      <c r="C681" s="42"/>
      <c r="D681" s="42"/>
      <c r="E681" s="42"/>
      <c r="L681" s="123"/>
      <c r="M681" s="123"/>
      <c r="N681" s="219"/>
      <c r="O681" s="219"/>
      <c r="R681" s="123"/>
      <c r="T681" s="42"/>
      <c r="U681" s="42"/>
      <c r="AA681" s="123"/>
      <c r="AB681" s="123"/>
      <c r="AC681" s="219"/>
      <c r="AD681" s="219"/>
      <c r="AE681" s="123"/>
      <c r="AF681" s="123"/>
      <c r="AH681" s="236"/>
      <c r="AL681" s="123"/>
      <c r="AM681" s="160"/>
      <c r="AN681" s="160"/>
    </row>
    <row r="682" spans="3:40" x14ac:dyDescent="0.3">
      <c r="D682" s="42"/>
      <c r="E682" s="42"/>
      <c r="F682" s="184"/>
      <c r="H682" s="184"/>
      <c r="I682" s="184"/>
      <c r="J682" s="219"/>
      <c r="K682" s="219"/>
      <c r="L682" s="123"/>
      <c r="M682" s="123"/>
      <c r="N682" s="219"/>
      <c r="O682" s="219"/>
      <c r="P682" s="184"/>
      <c r="Q682" s="184"/>
      <c r="R682" s="123"/>
      <c r="U682" s="42"/>
      <c r="V682" s="123"/>
      <c r="Y682" s="123"/>
      <c r="Z682" s="219"/>
      <c r="AA682" s="123"/>
      <c r="AB682" s="123"/>
      <c r="AC682" s="219"/>
      <c r="AD682" s="219"/>
      <c r="AE682" s="123"/>
      <c r="AF682" s="123"/>
      <c r="AH682" s="236"/>
      <c r="AI682" s="123"/>
      <c r="AJ682" s="123"/>
      <c r="AL682" s="123"/>
      <c r="AM682" s="160"/>
      <c r="AN682" s="160"/>
    </row>
    <row r="683" spans="3:40" x14ac:dyDescent="0.3">
      <c r="F683" s="210"/>
      <c r="H683" s="210"/>
      <c r="I683" s="210"/>
      <c r="J683" s="213"/>
      <c r="K683" s="213"/>
      <c r="L683" s="210"/>
      <c r="M683" s="210"/>
      <c r="N683" s="210"/>
      <c r="O683" s="210"/>
      <c r="P683" s="210"/>
      <c r="Q683" s="210"/>
      <c r="R683" s="210"/>
      <c r="V683" s="210"/>
      <c r="Y683" s="210"/>
      <c r="Z683" s="213"/>
      <c r="AA683" s="210"/>
      <c r="AB683" s="210"/>
      <c r="AC683" s="210"/>
      <c r="AD683" s="210"/>
      <c r="AE683" s="210"/>
      <c r="AF683" s="210"/>
      <c r="AI683" s="210"/>
      <c r="AJ683" s="210"/>
      <c r="AK683" s="214"/>
      <c r="AL683" s="210"/>
      <c r="AM683" s="160"/>
      <c r="AN683" s="160"/>
    </row>
    <row r="684" spans="3:40" x14ac:dyDescent="0.3">
      <c r="C684" s="42"/>
      <c r="F684" s="123"/>
      <c r="H684" s="123"/>
      <c r="I684" s="123"/>
      <c r="J684" s="219"/>
      <c r="K684" s="219"/>
      <c r="L684" s="123"/>
      <c r="M684" s="123"/>
      <c r="N684" s="219"/>
      <c r="O684" s="219"/>
      <c r="P684" s="123"/>
      <c r="Q684" s="123"/>
      <c r="R684" s="123"/>
      <c r="T684" s="42"/>
      <c r="V684" s="123"/>
      <c r="Y684" s="123"/>
      <c r="Z684" s="219"/>
      <c r="AA684" s="123"/>
      <c r="AB684" s="123"/>
      <c r="AC684" s="219"/>
      <c r="AD684" s="219"/>
      <c r="AE684" s="123"/>
      <c r="AF684" s="123"/>
      <c r="AH684" s="236"/>
      <c r="AI684" s="123"/>
      <c r="AJ684" s="123"/>
      <c r="AL684" s="123"/>
      <c r="AM684" s="160"/>
      <c r="AN684" s="160"/>
    </row>
    <row r="685" spans="3:40" x14ac:dyDescent="0.3">
      <c r="F685" s="123"/>
      <c r="H685" s="123"/>
      <c r="I685" s="123"/>
      <c r="J685" s="219"/>
      <c r="K685" s="219"/>
      <c r="L685" s="123"/>
      <c r="M685" s="123"/>
      <c r="N685" s="219"/>
      <c r="O685" s="219"/>
      <c r="P685" s="123"/>
      <c r="Q685" s="123"/>
      <c r="R685" s="123"/>
      <c r="V685" s="123"/>
      <c r="Y685" s="123"/>
      <c r="Z685" s="219"/>
      <c r="AA685" s="123"/>
      <c r="AB685" s="123"/>
      <c r="AC685" s="219"/>
      <c r="AD685" s="219"/>
      <c r="AH685" s="236"/>
      <c r="AI685" s="123"/>
      <c r="AJ685" s="123"/>
      <c r="AL685" s="123"/>
      <c r="AM685" s="160"/>
      <c r="AN685" s="160"/>
    </row>
    <row r="686" spans="3:40" x14ac:dyDescent="0.3">
      <c r="D686" s="42"/>
      <c r="E686" s="42"/>
      <c r="F686" s="123"/>
      <c r="H686" s="123"/>
      <c r="I686" s="123"/>
      <c r="J686" s="219"/>
      <c r="K686" s="219"/>
      <c r="L686" s="184"/>
      <c r="M686" s="184"/>
      <c r="N686" s="219"/>
      <c r="O686" s="219"/>
      <c r="P686" s="123"/>
      <c r="Q686" s="123"/>
      <c r="R686" s="123"/>
      <c r="U686" s="42"/>
      <c r="V686" s="123"/>
      <c r="Y686" s="123"/>
      <c r="Z686" s="219"/>
      <c r="AA686" s="184"/>
      <c r="AB686" s="184"/>
      <c r="AC686" s="219"/>
      <c r="AD686" s="219"/>
      <c r="AE686" s="123"/>
      <c r="AF686" s="123"/>
      <c r="AH686" s="236"/>
      <c r="AI686" s="123"/>
      <c r="AJ686" s="123"/>
      <c r="AL686" s="123"/>
      <c r="AM686" s="160"/>
      <c r="AN686" s="160"/>
    </row>
    <row r="687" spans="3:40" x14ac:dyDescent="0.3">
      <c r="D687" s="42"/>
      <c r="E687" s="42"/>
      <c r="F687" s="123"/>
      <c r="H687" s="123"/>
      <c r="I687" s="123"/>
      <c r="J687" s="219"/>
      <c r="K687" s="219"/>
      <c r="L687" s="184"/>
      <c r="M687" s="184"/>
      <c r="N687" s="219"/>
      <c r="O687" s="219"/>
      <c r="P687" s="123"/>
      <c r="Q687" s="123"/>
      <c r="R687" s="123"/>
      <c r="U687" s="42"/>
      <c r="V687" s="123"/>
      <c r="Y687" s="123"/>
      <c r="Z687" s="219"/>
      <c r="AA687" s="184"/>
      <c r="AB687" s="184"/>
      <c r="AC687" s="219"/>
      <c r="AD687" s="219"/>
      <c r="AE687" s="123"/>
      <c r="AF687" s="123"/>
      <c r="AH687" s="236"/>
      <c r="AI687" s="123"/>
      <c r="AJ687" s="123"/>
      <c r="AL687" s="123"/>
      <c r="AM687" s="160"/>
      <c r="AN687" s="160"/>
    </row>
    <row r="688" spans="3:40" x14ac:dyDescent="0.3">
      <c r="D688" s="42"/>
      <c r="E688" s="42"/>
      <c r="F688" s="123"/>
      <c r="H688" s="123"/>
      <c r="I688" s="123"/>
      <c r="J688" s="219"/>
      <c r="K688" s="219"/>
      <c r="L688" s="184"/>
      <c r="M688" s="184"/>
      <c r="N688" s="219"/>
      <c r="O688" s="219"/>
      <c r="P688" s="123"/>
      <c r="Q688" s="123"/>
      <c r="R688" s="123"/>
      <c r="U688" s="42"/>
      <c r="V688" s="123"/>
      <c r="Y688" s="123"/>
      <c r="Z688" s="219"/>
      <c r="AA688" s="184"/>
      <c r="AB688" s="184"/>
      <c r="AC688" s="219"/>
      <c r="AD688" s="219"/>
      <c r="AE688" s="123"/>
      <c r="AF688" s="123"/>
      <c r="AH688" s="236"/>
      <c r="AI688" s="123"/>
      <c r="AJ688" s="123"/>
      <c r="AL688" s="123"/>
      <c r="AM688" s="160"/>
      <c r="AN688" s="160"/>
    </row>
    <row r="689" spans="1:40" x14ac:dyDescent="0.3">
      <c r="F689" s="210"/>
      <c r="H689" s="210"/>
      <c r="I689" s="210"/>
      <c r="J689" s="213"/>
      <c r="K689" s="213"/>
      <c r="L689" s="210"/>
      <c r="M689" s="210"/>
      <c r="N689" s="210"/>
      <c r="O689" s="210"/>
      <c r="P689" s="210"/>
      <c r="Q689" s="210"/>
      <c r="R689" s="210"/>
      <c r="V689" s="210"/>
      <c r="Y689" s="210"/>
      <c r="Z689" s="213"/>
      <c r="AA689" s="210"/>
      <c r="AB689" s="210"/>
      <c r="AC689" s="210"/>
      <c r="AD689" s="210"/>
      <c r="AE689" s="210"/>
      <c r="AF689" s="210"/>
      <c r="AI689" s="210"/>
      <c r="AJ689" s="210"/>
      <c r="AK689" s="214"/>
      <c r="AL689" s="210"/>
      <c r="AM689" s="160"/>
      <c r="AN689" s="160"/>
    </row>
    <row r="690" spans="1:40" x14ac:dyDescent="0.3">
      <c r="C690" s="42"/>
      <c r="F690" s="123"/>
      <c r="H690" s="123"/>
      <c r="I690" s="123"/>
      <c r="J690" s="219"/>
      <c r="K690" s="219"/>
      <c r="L690" s="123"/>
      <c r="M690" s="123"/>
      <c r="N690" s="219"/>
      <c r="O690" s="219"/>
      <c r="P690" s="123"/>
      <c r="Q690" s="123"/>
      <c r="R690" s="123"/>
      <c r="T690" s="42"/>
      <c r="V690" s="123"/>
      <c r="Y690" s="123"/>
      <c r="Z690" s="219"/>
      <c r="AA690" s="123"/>
      <c r="AB690" s="123"/>
      <c r="AC690" s="219"/>
      <c r="AD690" s="219"/>
      <c r="AE690" s="123"/>
      <c r="AF690" s="123"/>
      <c r="AH690" s="236"/>
      <c r="AI690" s="123"/>
      <c r="AJ690" s="123"/>
      <c r="AL690" s="123"/>
      <c r="AM690" s="160"/>
      <c r="AN690" s="160"/>
    </row>
    <row r="691" spans="1:40" x14ac:dyDescent="0.3">
      <c r="F691" s="123"/>
      <c r="H691" s="123"/>
      <c r="I691" s="123"/>
      <c r="J691" s="219"/>
      <c r="K691" s="219"/>
      <c r="L691" s="123"/>
      <c r="M691" s="123"/>
      <c r="N691" s="219"/>
      <c r="O691" s="219"/>
      <c r="P691" s="123"/>
      <c r="Q691" s="123"/>
      <c r="R691" s="123"/>
      <c r="V691" s="123"/>
      <c r="Y691" s="123"/>
      <c r="Z691" s="219"/>
      <c r="AA691" s="123"/>
      <c r="AB691" s="123"/>
      <c r="AC691" s="219"/>
      <c r="AD691" s="219"/>
      <c r="AH691" s="236"/>
      <c r="AI691" s="123"/>
      <c r="AJ691" s="123"/>
      <c r="AL691" s="123"/>
      <c r="AM691" s="160"/>
      <c r="AN691" s="160"/>
    </row>
    <row r="692" spans="1:40" x14ac:dyDescent="0.3">
      <c r="C692" s="42"/>
      <c r="F692" s="123"/>
      <c r="H692" s="123"/>
      <c r="I692" s="123"/>
      <c r="J692" s="219"/>
      <c r="K692" s="219"/>
      <c r="L692" s="123"/>
      <c r="M692" s="123"/>
      <c r="N692" s="219"/>
      <c r="O692" s="219"/>
      <c r="P692" s="123"/>
      <c r="Q692" s="123"/>
      <c r="R692" s="123"/>
      <c r="T692" s="42"/>
      <c r="V692" s="123"/>
      <c r="Y692" s="123"/>
      <c r="Z692" s="219"/>
      <c r="AA692" s="123"/>
      <c r="AB692" s="123"/>
      <c r="AC692" s="219"/>
      <c r="AD692" s="219"/>
      <c r="AE692" s="123"/>
      <c r="AF692" s="123"/>
      <c r="AH692" s="236"/>
      <c r="AI692" s="123"/>
      <c r="AJ692" s="123"/>
      <c r="AL692" s="123"/>
      <c r="AM692" s="160"/>
      <c r="AN692" s="160"/>
    </row>
    <row r="693" spans="1:40" x14ac:dyDescent="0.3">
      <c r="F693" s="210"/>
      <c r="H693" s="210"/>
      <c r="I693" s="210"/>
      <c r="J693" s="213"/>
      <c r="K693" s="213"/>
      <c r="L693" s="210"/>
      <c r="M693" s="210"/>
      <c r="N693" s="210"/>
      <c r="O693" s="210"/>
      <c r="P693" s="210"/>
      <c r="Q693" s="210"/>
      <c r="R693" s="210"/>
      <c r="V693" s="210"/>
      <c r="Y693" s="210"/>
      <c r="Z693" s="213"/>
      <c r="AA693" s="210"/>
      <c r="AB693" s="210"/>
      <c r="AC693" s="210"/>
      <c r="AD693" s="210"/>
      <c r="AE693" s="210"/>
      <c r="AF693" s="210"/>
      <c r="AI693" s="210"/>
      <c r="AJ693" s="210"/>
      <c r="AK693" s="214"/>
      <c r="AL693" s="210"/>
    </row>
    <row r="695" spans="1:40" x14ac:dyDescent="0.3">
      <c r="C695" s="42"/>
      <c r="L695" s="123"/>
      <c r="M695" s="123"/>
      <c r="P695" s="123"/>
      <c r="Q695" s="123"/>
      <c r="R695" s="123"/>
      <c r="T695" s="42"/>
    </row>
    <row r="696" spans="1:40" x14ac:dyDescent="0.3">
      <c r="A696" s="42"/>
      <c r="L696" s="123"/>
      <c r="M696" s="123"/>
      <c r="P696" s="123"/>
      <c r="Q696" s="123"/>
      <c r="R696" s="123"/>
    </row>
    <row r="697" spans="1:40" x14ac:dyDescent="0.3">
      <c r="L697" s="123"/>
      <c r="M697" s="123"/>
      <c r="P697" s="123"/>
      <c r="Q697" s="123"/>
      <c r="R697" s="123"/>
    </row>
    <row r="698" spans="1:40" x14ac:dyDescent="0.3">
      <c r="L698" s="123"/>
      <c r="M698" s="123"/>
      <c r="P698" s="123"/>
      <c r="Q698" s="123"/>
      <c r="R698" s="123"/>
    </row>
    <row r="699" spans="1:40" x14ac:dyDescent="0.3">
      <c r="L699" s="123"/>
      <c r="M699" s="123"/>
      <c r="P699" s="123"/>
      <c r="Q699" s="123"/>
      <c r="R699" s="123"/>
    </row>
    <row r="700" spans="1:40" x14ac:dyDescent="0.3">
      <c r="L700" s="123"/>
      <c r="M700" s="123"/>
      <c r="P700" s="123"/>
      <c r="Q700" s="123"/>
      <c r="R700" s="123"/>
    </row>
    <row r="701" spans="1:40" x14ac:dyDescent="0.3">
      <c r="L701" s="123"/>
      <c r="M701" s="123"/>
      <c r="P701" s="123"/>
      <c r="Q701" s="123"/>
      <c r="R701" s="123"/>
    </row>
    <row r="734" spans="49:49" x14ac:dyDescent="0.3">
      <c r="AW734" s="123"/>
    </row>
    <row r="735" spans="49:49" x14ac:dyDescent="0.3">
      <c r="AW735" s="123"/>
    </row>
    <row r="736" spans="49:49" x14ac:dyDescent="0.3">
      <c r="AW736" s="123"/>
    </row>
    <row r="737" spans="49:49" x14ac:dyDescent="0.3">
      <c r="AW737" s="123"/>
    </row>
    <row r="738" spans="49:49" x14ac:dyDescent="0.3">
      <c r="AW738" s="123"/>
    </row>
    <row r="739" spans="49:49" x14ac:dyDescent="0.3">
      <c r="AW739" s="123"/>
    </row>
    <row r="742" spans="49:49" x14ac:dyDescent="0.3">
      <c r="AW742" s="123"/>
    </row>
    <row r="743" spans="49:49" x14ac:dyDescent="0.3">
      <c r="AW743" s="123"/>
    </row>
    <row r="744" spans="49:49" x14ac:dyDescent="0.3">
      <c r="AW744" s="123"/>
    </row>
    <row r="745" spans="49:49" x14ac:dyDescent="0.3">
      <c r="AW745" s="123"/>
    </row>
    <row r="746" spans="49:49" x14ac:dyDescent="0.3">
      <c r="AW746" s="123"/>
    </row>
    <row r="747" spans="49:49" x14ac:dyDescent="0.3">
      <c r="AW747" s="123"/>
    </row>
    <row r="748" spans="49:49" x14ac:dyDescent="0.3">
      <c r="AW748" s="123"/>
    </row>
    <row r="749" spans="49:49" x14ac:dyDescent="0.3">
      <c r="AW749" s="123"/>
    </row>
    <row r="752" spans="49:49" x14ac:dyDescent="0.3">
      <c r="AW752" s="123"/>
    </row>
    <row r="753" spans="49:51" x14ac:dyDescent="0.3">
      <c r="AW753" s="123"/>
    </row>
    <row r="756" spans="49:51" x14ac:dyDescent="0.3">
      <c r="AW756" s="123"/>
    </row>
    <row r="757" spans="49:51" x14ac:dyDescent="0.3">
      <c r="AW757" s="123"/>
    </row>
    <row r="758" spans="49:51" x14ac:dyDescent="0.3">
      <c r="AW758" s="123"/>
    </row>
    <row r="759" spans="49:51" x14ac:dyDescent="0.3">
      <c r="AW759" s="123"/>
    </row>
    <row r="767" spans="49:51" x14ac:dyDescent="0.3">
      <c r="AY767" s="42"/>
    </row>
    <row r="768" spans="49:51" x14ac:dyDescent="0.3">
      <c r="AY768" s="42"/>
    </row>
    <row r="769" spans="45:69" x14ac:dyDescent="0.3">
      <c r="BD769" s="42"/>
    </row>
    <row r="770" spans="45:69" x14ac:dyDescent="0.3">
      <c r="BD770" s="42"/>
    </row>
    <row r="771" spans="45:69" x14ac:dyDescent="0.3">
      <c r="AS771" s="42"/>
      <c r="BD771" s="42"/>
    </row>
    <row r="773" spans="45:69" x14ac:dyDescent="0.3">
      <c r="AS773" s="135"/>
      <c r="AT773" s="135"/>
      <c r="AU773" s="135"/>
      <c r="AV773" s="135"/>
      <c r="AW773" s="135"/>
      <c r="AX773" s="135"/>
      <c r="AY773" s="135"/>
      <c r="AZ773" s="135"/>
      <c r="BA773" s="135"/>
      <c r="BB773" s="135"/>
      <c r="BC773" s="135"/>
      <c r="BD773" s="135"/>
      <c r="BE773" s="135"/>
    </row>
    <row r="774" spans="45:69" x14ac:dyDescent="0.3">
      <c r="AX774" s="42"/>
    </row>
    <row r="775" spans="45:69" x14ac:dyDescent="0.3">
      <c r="AX775" s="135"/>
      <c r="AY775" s="135"/>
      <c r="AZ775" s="135"/>
      <c r="BA775" s="135"/>
      <c r="BC775" s="44"/>
      <c r="BD775" s="44"/>
    </row>
    <row r="776" spans="45:69" x14ac:dyDescent="0.3">
      <c r="AV776" s="44"/>
      <c r="AW776" s="44"/>
      <c r="AZ776" s="44"/>
      <c r="BA776" s="44"/>
      <c r="BC776" s="44"/>
      <c r="BD776" s="44"/>
      <c r="BE776" s="44"/>
      <c r="BG776" s="135"/>
      <c r="BH776" s="42"/>
      <c r="BK776" s="135"/>
      <c r="BM776" s="135"/>
      <c r="BN776" s="42"/>
      <c r="BQ776" s="135"/>
    </row>
    <row r="777" spans="45:69" x14ac:dyDescent="0.3"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H777" s="44"/>
      <c r="BI777" s="44"/>
      <c r="BJ777" s="44"/>
      <c r="BN777" s="44"/>
      <c r="BO777" s="44"/>
      <c r="BP777" s="44"/>
    </row>
    <row r="778" spans="45:69" x14ac:dyDescent="0.3">
      <c r="AS778" s="44"/>
      <c r="AU778" s="42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G778" s="44"/>
      <c r="BH778" s="44"/>
      <c r="BI778" s="44"/>
      <c r="BJ778" s="44"/>
      <c r="BK778" s="44"/>
      <c r="BM778" s="44"/>
      <c r="BN778" s="44"/>
      <c r="BO778" s="44"/>
      <c r="BP778" s="44"/>
      <c r="BQ778" s="44"/>
    </row>
    <row r="779" spans="45:69" x14ac:dyDescent="0.3">
      <c r="AS779" s="44"/>
      <c r="AU779" s="42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G779" s="44"/>
      <c r="BH779" s="44"/>
      <c r="BI779" s="44"/>
      <c r="BJ779" s="44"/>
      <c r="BK779" s="44"/>
      <c r="BM779" s="44"/>
      <c r="BN779" s="44"/>
      <c r="BO779" s="44"/>
      <c r="BP779" s="44"/>
      <c r="BQ779" s="44"/>
    </row>
    <row r="780" spans="45:69" x14ac:dyDescent="0.3">
      <c r="AS780" s="135"/>
      <c r="AT780" s="135"/>
      <c r="AU780" s="135"/>
      <c r="AV780" s="135"/>
      <c r="AW780" s="135"/>
      <c r="AX780" s="135"/>
      <c r="AY780" s="135"/>
      <c r="AZ780" s="135"/>
      <c r="BA780" s="135"/>
      <c r="BB780" s="135"/>
      <c r="BC780" s="135"/>
      <c r="BD780" s="135"/>
      <c r="BE780" s="135"/>
      <c r="BG780" s="135"/>
      <c r="BH780" s="135"/>
      <c r="BI780" s="135"/>
      <c r="BJ780" s="135"/>
      <c r="BK780" s="135"/>
      <c r="BM780" s="135"/>
      <c r="BN780" s="135"/>
      <c r="BO780" s="135"/>
      <c r="BP780" s="135"/>
      <c r="BQ780" s="135"/>
    </row>
    <row r="781" spans="45:69" x14ac:dyDescent="0.3"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</row>
    <row r="782" spans="45:69" x14ac:dyDescent="0.3">
      <c r="AU782" s="42"/>
      <c r="AV782" s="44"/>
      <c r="AY782" s="219"/>
    </row>
    <row r="783" spans="45:69" x14ac:dyDescent="0.3">
      <c r="AV783" s="44"/>
      <c r="AW783" s="123"/>
      <c r="AX783" s="188"/>
      <c r="AY783" s="188"/>
      <c r="AZ783" s="188"/>
      <c r="BA783" s="160"/>
      <c r="BB783" s="188"/>
      <c r="BC783" s="219"/>
      <c r="BD783" s="219"/>
      <c r="BE783" s="160"/>
      <c r="BG783" s="188"/>
      <c r="BH783" s="188"/>
      <c r="BI783" s="188"/>
      <c r="BJ783" s="188"/>
      <c r="BK783" s="188"/>
      <c r="BM783" s="188"/>
      <c r="BN783" s="188"/>
      <c r="BO783" s="188"/>
      <c r="BP783" s="188"/>
      <c r="BQ783" s="188"/>
    </row>
    <row r="784" spans="45:69" x14ac:dyDescent="0.3">
      <c r="AV784" s="44"/>
      <c r="AW784" s="123"/>
      <c r="AX784" s="188"/>
      <c r="AY784" s="188"/>
      <c r="AZ784" s="188"/>
      <c r="BA784" s="160"/>
      <c r="BB784" s="188"/>
      <c r="BC784" s="219"/>
      <c r="BD784" s="219"/>
      <c r="BE784" s="160"/>
      <c r="BG784" s="188"/>
      <c r="BH784" s="188"/>
      <c r="BI784" s="188"/>
      <c r="BJ784" s="188"/>
      <c r="BK784" s="188"/>
      <c r="BM784" s="188"/>
      <c r="BN784" s="188"/>
      <c r="BO784" s="188"/>
      <c r="BP784" s="188"/>
      <c r="BQ784" s="188"/>
    </row>
    <row r="785" spans="48:69" x14ac:dyDescent="0.3">
      <c r="AV785" s="44"/>
      <c r="AW785" s="123"/>
      <c r="AX785" s="188"/>
      <c r="AY785" s="188"/>
      <c r="AZ785" s="188"/>
      <c r="BA785" s="160"/>
      <c r="BB785" s="188"/>
      <c r="BC785" s="219"/>
      <c r="BD785" s="219"/>
      <c r="BE785" s="160"/>
      <c r="BG785" s="188"/>
      <c r="BH785" s="188"/>
      <c r="BI785" s="188"/>
      <c r="BJ785" s="188"/>
      <c r="BK785" s="188"/>
      <c r="BM785" s="188"/>
      <c r="BN785" s="188"/>
      <c r="BO785" s="188"/>
      <c r="BP785" s="188"/>
      <c r="BQ785" s="188"/>
    </row>
    <row r="786" spans="48:69" x14ac:dyDescent="0.3">
      <c r="AV786" s="44"/>
      <c r="AW786" s="123"/>
      <c r="AX786" s="188"/>
      <c r="AY786" s="188"/>
      <c r="AZ786" s="188"/>
      <c r="BA786" s="160"/>
      <c r="BB786" s="188"/>
      <c r="BC786" s="219"/>
      <c r="BD786" s="219"/>
      <c r="BE786" s="160"/>
      <c r="BG786" s="188"/>
      <c r="BH786" s="188"/>
      <c r="BI786" s="188"/>
      <c r="BJ786" s="188"/>
      <c r="BK786" s="188"/>
      <c r="BM786" s="188"/>
      <c r="BN786" s="188"/>
      <c r="BO786" s="188"/>
      <c r="BP786" s="188"/>
      <c r="BQ786" s="188"/>
    </row>
    <row r="787" spans="48:69" x14ac:dyDescent="0.3">
      <c r="AV787" s="44"/>
      <c r="AW787" s="123"/>
      <c r="AX787" s="188"/>
      <c r="AY787" s="188"/>
      <c r="AZ787" s="188"/>
      <c r="BA787" s="160"/>
      <c r="BB787" s="188"/>
      <c r="BC787" s="219"/>
      <c r="BD787" s="219"/>
      <c r="BE787" s="160"/>
      <c r="BG787" s="188"/>
      <c r="BH787" s="188"/>
      <c r="BI787" s="188"/>
      <c r="BJ787" s="188"/>
      <c r="BK787" s="188"/>
      <c r="BM787" s="188"/>
      <c r="BN787" s="188"/>
      <c r="BO787" s="188"/>
      <c r="BP787" s="188"/>
      <c r="BQ787" s="188"/>
    </row>
    <row r="788" spans="48:69" x14ac:dyDescent="0.3">
      <c r="AV788" s="44"/>
      <c r="AW788" s="123"/>
      <c r="AX788" s="188"/>
      <c r="AY788" s="188"/>
      <c r="AZ788" s="188"/>
      <c r="BA788" s="160"/>
      <c r="BB788" s="188"/>
      <c r="BC788" s="219"/>
      <c r="BD788" s="219"/>
      <c r="BE788" s="160"/>
      <c r="BG788" s="188"/>
      <c r="BH788" s="188"/>
      <c r="BI788" s="188"/>
      <c r="BJ788" s="188"/>
      <c r="BK788" s="188"/>
      <c r="BM788" s="188"/>
      <c r="BN788" s="188"/>
      <c r="BO788" s="188"/>
      <c r="BP788" s="188"/>
      <c r="BQ788" s="188"/>
    </row>
    <row r="789" spans="48:69" x14ac:dyDescent="0.3">
      <c r="AV789" s="44"/>
      <c r="AW789" s="123"/>
      <c r="AX789" s="188"/>
      <c r="AY789" s="188"/>
      <c r="AZ789" s="188"/>
      <c r="BA789" s="160"/>
      <c r="BB789" s="188"/>
      <c r="BC789" s="219"/>
      <c r="BD789" s="219"/>
      <c r="BE789" s="160"/>
      <c r="BG789" s="188"/>
      <c r="BH789" s="188"/>
      <c r="BI789" s="188"/>
      <c r="BJ789" s="188"/>
      <c r="BK789" s="188"/>
      <c r="BM789" s="188"/>
      <c r="BN789" s="188"/>
      <c r="BO789" s="188"/>
      <c r="BP789" s="188"/>
      <c r="BQ789" s="188"/>
    </row>
    <row r="790" spans="48:69" x14ac:dyDescent="0.3">
      <c r="AY790" s="219"/>
      <c r="AZ790" s="188"/>
      <c r="BA790" s="160"/>
      <c r="BB790" s="188"/>
      <c r="BC790" s="219"/>
      <c r="BD790" s="219"/>
      <c r="BE790" s="160"/>
      <c r="BK790" s="188"/>
      <c r="BQ790" s="188"/>
    </row>
    <row r="791" spans="48:69" x14ac:dyDescent="0.3">
      <c r="AV791" s="44"/>
      <c r="AY791" s="219"/>
      <c r="AZ791" s="188"/>
      <c r="BA791" s="160"/>
      <c r="BB791" s="188"/>
      <c r="BC791" s="219"/>
      <c r="BD791" s="219"/>
      <c r="BE791" s="160"/>
      <c r="BK791" s="188"/>
      <c r="BQ791" s="188"/>
    </row>
    <row r="792" spans="48:69" x14ac:dyDescent="0.3">
      <c r="AV792" s="44"/>
      <c r="AW792" s="123"/>
      <c r="AX792" s="188"/>
      <c r="AY792" s="188"/>
      <c r="AZ792" s="188"/>
      <c r="BA792" s="160"/>
      <c r="BB792" s="188"/>
      <c r="BC792" s="219"/>
      <c r="BD792" s="219"/>
      <c r="BE792" s="160"/>
      <c r="BG792" s="188"/>
      <c r="BH792" s="188"/>
      <c r="BI792" s="188"/>
      <c r="BJ792" s="188"/>
      <c r="BK792" s="188"/>
      <c r="BM792" s="188"/>
      <c r="BN792" s="188"/>
      <c r="BO792" s="188"/>
      <c r="BP792" s="188"/>
      <c r="BQ792" s="188"/>
    </row>
    <row r="793" spans="48:69" x14ac:dyDescent="0.3">
      <c r="AV793" s="44"/>
      <c r="AW793" s="123"/>
      <c r="AX793" s="188"/>
      <c r="AY793" s="188"/>
      <c r="AZ793" s="188"/>
      <c r="BA793" s="160"/>
      <c r="BB793" s="188"/>
      <c r="BC793" s="219"/>
      <c r="BD793" s="219"/>
      <c r="BE793" s="160"/>
      <c r="BG793" s="188"/>
      <c r="BH793" s="188"/>
      <c r="BI793" s="188"/>
      <c r="BJ793" s="188"/>
      <c r="BK793" s="188"/>
      <c r="BM793" s="188"/>
      <c r="BN793" s="188"/>
      <c r="BO793" s="188"/>
      <c r="BP793" s="188"/>
      <c r="BQ793" s="188"/>
    </row>
    <row r="794" spans="48:69" x14ac:dyDescent="0.3">
      <c r="AV794" s="44"/>
      <c r="AW794" s="123"/>
      <c r="AX794" s="188"/>
      <c r="AY794" s="188"/>
      <c r="AZ794" s="188"/>
      <c r="BA794" s="160"/>
      <c r="BB794" s="188"/>
      <c r="BC794" s="219"/>
      <c r="BD794" s="219"/>
      <c r="BE794" s="160"/>
      <c r="BG794" s="188"/>
      <c r="BH794" s="188"/>
      <c r="BI794" s="188"/>
      <c r="BJ794" s="188"/>
      <c r="BK794" s="188"/>
      <c r="BM794" s="188"/>
      <c r="BN794" s="188"/>
      <c r="BO794" s="188"/>
      <c r="BP794" s="188"/>
      <c r="BQ794" s="188"/>
    </row>
    <row r="795" spans="48:69" x14ac:dyDescent="0.3">
      <c r="AV795" s="44"/>
      <c r="AW795" s="123"/>
      <c r="AX795" s="188"/>
      <c r="AY795" s="188"/>
      <c r="AZ795" s="188"/>
      <c r="BA795" s="160"/>
      <c r="BB795" s="188"/>
      <c r="BC795" s="219"/>
      <c r="BD795" s="219"/>
      <c r="BE795" s="160"/>
      <c r="BG795" s="188"/>
      <c r="BH795" s="188"/>
      <c r="BI795" s="188"/>
      <c r="BJ795" s="188"/>
      <c r="BK795" s="188"/>
      <c r="BM795" s="188"/>
      <c r="BN795" s="188"/>
      <c r="BO795" s="188"/>
      <c r="BP795" s="188"/>
      <c r="BQ795" s="188"/>
    </row>
    <row r="796" spans="48:69" x14ac:dyDescent="0.3">
      <c r="AV796" s="44"/>
      <c r="AW796" s="123"/>
      <c r="AX796" s="188"/>
      <c r="AY796" s="188"/>
      <c r="AZ796" s="188"/>
      <c r="BA796" s="160"/>
      <c r="BB796" s="188"/>
      <c r="BC796" s="219"/>
      <c r="BD796" s="219"/>
      <c r="BE796" s="160"/>
      <c r="BG796" s="188"/>
      <c r="BH796" s="188"/>
      <c r="BI796" s="188"/>
      <c r="BJ796" s="188"/>
      <c r="BK796" s="188"/>
      <c r="BM796" s="188"/>
      <c r="BN796" s="188"/>
      <c r="BO796" s="188"/>
      <c r="BP796" s="188"/>
      <c r="BQ796" s="188"/>
    </row>
    <row r="797" spans="48:69" x14ac:dyDescent="0.3">
      <c r="AV797" s="44"/>
      <c r="AW797" s="123"/>
      <c r="AX797" s="188"/>
      <c r="AY797" s="188"/>
      <c r="AZ797" s="188"/>
      <c r="BA797" s="160"/>
      <c r="BB797" s="188"/>
      <c r="BC797" s="219"/>
      <c r="BD797" s="219"/>
      <c r="BE797" s="160"/>
      <c r="BG797" s="188"/>
      <c r="BH797" s="188"/>
      <c r="BI797" s="188"/>
      <c r="BJ797" s="188"/>
      <c r="BK797" s="188"/>
      <c r="BM797" s="188"/>
      <c r="BN797" s="188"/>
      <c r="BO797" s="188"/>
      <c r="BP797" s="188"/>
      <c r="BQ797" s="188"/>
    </row>
    <row r="798" spans="48:69" x14ac:dyDescent="0.3">
      <c r="AV798" s="44"/>
      <c r="AW798" s="123"/>
      <c r="AX798" s="188"/>
      <c r="AY798" s="188"/>
      <c r="AZ798" s="188"/>
      <c r="BA798" s="160"/>
      <c r="BB798" s="188"/>
      <c r="BC798" s="219"/>
      <c r="BD798" s="219"/>
      <c r="BE798" s="160"/>
      <c r="BG798" s="188"/>
      <c r="BH798" s="188"/>
      <c r="BI798" s="188"/>
      <c r="BJ798" s="188"/>
      <c r="BK798" s="188"/>
      <c r="BM798" s="188"/>
      <c r="BN798" s="188"/>
      <c r="BO798" s="188"/>
      <c r="BP798" s="188"/>
      <c r="BQ798" s="188"/>
    </row>
    <row r="799" spans="48:69" x14ac:dyDescent="0.3">
      <c r="AV799" s="44"/>
      <c r="AW799" s="123"/>
      <c r="AX799" s="188"/>
      <c r="AY799" s="188"/>
      <c r="AZ799" s="188"/>
      <c r="BA799" s="160"/>
      <c r="BB799" s="188"/>
      <c r="BC799" s="219"/>
      <c r="BD799" s="219"/>
      <c r="BE799" s="160"/>
      <c r="BG799" s="188"/>
      <c r="BH799" s="188"/>
      <c r="BI799" s="188"/>
      <c r="BJ799" s="188"/>
      <c r="BK799" s="188"/>
      <c r="BM799" s="188"/>
      <c r="BN799" s="188"/>
      <c r="BO799" s="188"/>
      <c r="BP799" s="188"/>
      <c r="BQ799" s="188"/>
    </row>
    <row r="800" spans="48:69" x14ac:dyDescent="0.3">
      <c r="AY800" s="219"/>
      <c r="AZ800" s="188"/>
      <c r="BA800" s="160"/>
      <c r="BB800" s="188"/>
      <c r="BC800" s="219"/>
      <c r="BD800" s="219"/>
      <c r="BE800" s="160"/>
      <c r="BK800" s="188"/>
      <c r="BQ800" s="188"/>
    </row>
    <row r="801" spans="45:75" x14ac:dyDescent="0.3">
      <c r="AU801" s="42"/>
      <c r="AZ801" s="188"/>
      <c r="BB801" s="188"/>
      <c r="BG801" s="188"/>
      <c r="BH801" s="188"/>
      <c r="BJ801" s="188"/>
      <c r="BK801" s="188"/>
    </row>
    <row r="802" spans="45:75" x14ac:dyDescent="0.3">
      <c r="AZ802" s="188"/>
      <c r="BB802" s="188"/>
    </row>
    <row r="803" spans="45:75" x14ac:dyDescent="0.3">
      <c r="AS803" s="42"/>
      <c r="AZ803" s="188"/>
      <c r="BB803" s="188"/>
      <c r="BI803" s="188"/>
    </row>
    <row r="804" spans="45:75" x14ac:dyDescent="0.3">
      <c r="AZ804" s="188"/>
      <c r="BB804" s="188"/>
    </row>
    <row r="805" spans="45:75" x14ac:dyDescent="0.3">
      <c r="AY805" s="188"/>
      <c r="BB805" s="188"/>
    </row>
    <row r="806" spans="45:75" x14ac:dyDescent="0.3">
      <c r="AY806" s="42"/>
      <c r="AZ806" s="188"/>
      <c r="BB806" s="188"/>
    </row>
    <row r="807" spans="45:75" x14ac:dyDescent="0.3">
      <c r="AY807" s="42"/>
      <c r="AZ807" s="188"/>
      <c r="BB807" s="188"/>
    </row>
    <row r="808" spans="45:75" x14ac:dyDescent="0.3">
      <c r="AZ808" s="188"/>
      <c r="BB808" s="188"/>
      <c r="BD808" s="42"/>
    </row>
    <row r="809" spans="45:75" x14ac:dyDescent="0.3">
      <c r="AZ809" s="188"/>
      <c r="BB809" s="188"/>
      <c r="BD809" s="42"/>
    </row>
    <row r="810" spans="45:75" x14ac:dyDescent="0.3">
      <c r="AS810" s="42"/>
      <c r="AZ810" s="188"/>
      <c r="BB810" s="188"/>
      <c r="BD810" s="42"/>
    </row>
    <row r="811" spans="45:75" x14ac:dyDescent="0.3">
      <c r="AZ811" s="188"/>
      <c r="BB811" s="188"/>
    </row>
    <row r="812" spans="45:75" x14ac:dyDescent="0.3">
      <c r="AS812" s="135"/>
      <c r="AT812" s="135"/>
      <c r="AU812" s="135"/>
      <c r="AV812" s="135"/>
      <c r="AW812" s="135"/>
      <c r="AX812" s="135"/>
      <c r="AY812" s="135"/>
      <c r="AZ812" s="244"/>
      <c r="BA812" s="135"/>
      <c r="BB812" s="244"/>
      <c r="BC812" s="135"/>
      <c r="BD812" s="135"/>
      <c r="BE812" s="135"/>
    </row>
    <row r="813" spans="45:75" x14ac:dyDescent="0.3">
      <c r="AX813" s="42"/>
      <c r="AZ813" s="188"/>
      <c r="BB813" s="188"/>
    </row>
    <row r="814" spans="45:75" x14ac:dyDescent="0.3">
      <c r="AX814" s="135"/>
      <c r="AY814" s="135"/>
      <c r="AZ814" s="244"/>
      <c r="BA814" s="135"/>
      <c r="BB814" s="188"/>
      <c r="BC814" s="44"/>
      <c r="BD814" s="44"/>
    </row>
    <row r="815" spans="45:75" x14ac:dyDescent="0.3">
      <c r="AV815" s="44"/>
      <c r="AW815" s="44"/>
      <c r="AZ815" s="245"/>
      <c r="BA815" s="44"/>
      <c r="BB815" s="188"/>
      <c r="BC815" s="44"/>
      <c r="BD815" s="44"/>
      <c r="BE815" s="44"/>
      <c r="BG815" s="135"/>
      <c r="BH815" s="135"/>
      <c r="BI815" s="42"/>
      <c r="BM815" s="135"/>
      <c r="BN815" s="135"/>
      <c r="BP815" s="135"/>
      <c r="BQ815" s="135"/>
      <c r="BR815" s="42"/>
      <c r="BV815" s="135"/>
      <c r="BW815" s="135"/>
    </row>
    <row r="816" spans="45:75" x14ac:dyDescent="0.3">
      <c r="AV816" s="44"/>
      <c r="AW816" s="44"/>
      <c r="AX816" s="44"/>
      <c r="AY816" s="44"/>
      <c r="AZ816" s="245"/>
      <c r="BA816" s="44"/>
      <c r="BB816" s="245"/>
      <c r="BC816" s="44"/>
      <c r="BD816" s="44"/>
      <c r="BE816" s="44"/>
      <c r="BH816" s="44"/>
      <c r="BI816" s="44"/>
      <c r="BJ816" s="44"/>
      <c r="BK816" s="44"/>
      <c r="BL816" s="44"/>
      <c r="BM816" s="44"/>
      <c r="BQ816" s="44"/>
      <c r="BR816" s="44"/>
      <c r="BS816" s="44"/>
      <c r="BT816" s="44"/>
      <c r="BU816" s="44"/>
      <c r="BV816" s="44"/>
    </row>
    <row r="817" spans="45:75" x14ac:dyDescent="0.3">
      <c r="AS817" s="44"/>
      <c r="AU817" s="42"/>
      <c r="AV817" s="44"/>
      <c r="AW817" s="44"/>
      <c r="AX817" s="44"/>
      <c r="AY817" s="44"/>
      <c r="AZ817" s="245"/>
      <c r="BA817" s="44"/>
      <c r="BB817" s="245"/>
      <c r="BC817" s="44"/>
      <c r="BD817" s="44"/>
      <c r="BE817" s="44"/>
      <c r="BG817" s="44"/>
      <c r="BH817" s="44"/>
      <c r="BI817" s="44"/>
      <c r="BJ817" s="44"/>
      <c r="BK817" s="44"/>
      <c r="BL817" s="44"/>
      <c r="BM817" s="44"/>
      <c r="BN817" s="44"/>
      <c r="BP817" s="44"/>
      <c r="BQ817" s="44"/>
      <c r="BR817" s="44"/>
      <c r="BS817" s="44"/>
      <c r="BT817" s="44"/>
      <c r="BU817" s="44"/>
      <c r="BV817" s="44"/>
      <c r="BW817" s="44"/>
    </row>
    <row r="818" spans="45:75" x14ac:dyDescent="0.3">
      <c r="AS818" s="44"/>
      <c r="AU818" s="42"/>
      <c r="AV818" s="44"/>
      <c r="AW818" s="44"/>
      <c r="AX818" s="44"/>
      <c r="AY818" s="44"/>
      <c r="AZ818" s="245"/>
      <c r="BA818" s="44"/>
      <c r="BB818" s="245"/>
      <c r="BC818" s="44"/>
      <c r="BD818" s="44"/>
      <c r="BE818" s="44"/>
      <c r="BG818" s="44"/>
      <c r="BH818" s="44"/>
      <c r="BI818" s="44"/>
      <c r="BJ818" s="44"/>
      <c r="BK818" s="44"/>
      <c r="BL818" s="44"/>
      <c r="BM818" s="44"/>
      <c r="BN818" s="44"/>
      <c r="BP818" s="44"/>
      <c r="BQ818" s="44"/>
      <c r="BR818" s="44"/>
      <c r="BS818" s="44"/>
      <c r="BT818" s="44"/>
      <c r="BU818" s="44"/>
      <c r="BV818" s="44"/>
      <c r="BW818" s="44"/>
    </row>
    <row r="819" spans="45:75" x14ac:dyDescent="0.3">
      <c r="AS819" s="135"/>
      <c r="AT819" s="135"/>
      <c r="AU819" s="135"/>
      <c r="AV819" s="135"/>
      <c r="AW819" s="135"/>
      <c r="AX819" s="135"/>
      <c r="AY819" s="135"/>
      <c r="AZ819" s="244"/>
      <c r="BA819" s="135"/>
      <c r="BB819" s="244"/>
      <c r="BC819" s="135"/>
      <c r="BD819" s="135"/>
      <c r="BE819" s="135"/>
      <c r="BG819" s="135"/>
      <c r="BH819" s="135"/>
      <c r="BI819" s="135"/>
      <c r="BJ819" s="135"/>
      <c r="BK819" s="135"/>
      <c r="BL819" s="135"/>
      <c r="BM819" s="135"/>
      <c r="BN819" s="135"/>
      <c r="BP819" s="135"/>
      <c r="BQ819" s="135"/>
      <c r="BR819" s="135"/>
      <c r="BS819" s="135"/>
      <c r="BT819" s="135"/>
      <c r="BU819" s="135"/>
      <c r="BV819" s="135"/>
      <c r="BW819" s="135"/>
    </row>
    <row r="820" spans="45:75" x14ac:dyDescent="0.3">
      <c r="AV820" s="44"/>
      <c r="AW820" s="44"/>
      <c r="AX820" s="44"/>
      <c r="AY820" s="44"/>
      <c r="AZ820" s="245"/>
      <c r="BA820" s="44"/>
      <c r="BB820" s="245"/>
      <c r="BC820" s="44"/>
      <c r="BD820" s="44"/>
      <c r="BE820" s="44"/>
      <c r="BG820" s="188"/>
      <c r="BH820" s="188"/>
      <c r="BI820" s="188"/>
      <c r="BJ820" s="188"/>
      <c r="BK820" s="188"/>
      <c r="BL820" s="188"/>
      <c r="BM820" s="188"/>
      <c r="BN820" s="188"/>
      <c r="BO820" s="188"/>
      <c r="BP820" s="188"/>
      <c r="BQ820" s="188"/>
      <c r="BR820" s="188"/>
      <c r="BS820" s="188"/>
      <c r="BT820" s="188"/>
      <c r="BU820" s="188"/>
      <c r="BV820" s="188"/>
      <c r="BW820" s="188"/>
    </row>
    <row r="821" spans="45:75" x14ac:dyDescent="0.3">
      <c r="AU821" s="42"/>
      <c r="AW821" s="123"/>
      <c r="AX821" s="188"/>
      <c r="AY821" s="188"/>
      <c r="AZ821" s="188"/>
      <c r="BA821" s="236"/>
      <c r="BB821" s="188"/>
      <c r="BC821" s="188"/>
      <c r="BD821" s="188"/>
      <c r="BE821" s="236"/>
      <c r="BG821" s="188"/>
      <c r="BH821" s="188"/>
      <c r="BI821" s="188"/>
      <c r="BJ821" s="188"/>
      <c r="BK821" s="188"/>
      <c r="BL821" s="188"/>
      <c r="BM821" s="188"/>
      <c r="BN821" s="188"/>
      <c r="BO821" s="188"/>
      <c r="BP821" s="188"/>
      <c r="BQ821" s="188"/>
      <c r="BR821" s="188"/>
      <c r="BS821" s="188"/>
      <c r="BT821" s="188"/>
      <c r="BU821" s="188"/>
      <c r="BV821" s="188"/>
      <c r="BW821" s="188"/>
    </row>
    <row r="822" spans="45:75" x14ac:dyDescent="0.3">
      <c r="AW822" s="123"/>
      <c r="AX822" s="188"/>
      <c r="AY822" s="188"/>
      <c r="AZ822" s="188"/>
      <c r="BA822" s="236"/>
      <c r="BB822" s="188"/>
      <c r="BC822" s="188"/>
      <c r="BD822" s="188"/>
      <c r="BE822" s="236"/>
      <c r="BG822" s="188"/>
      <c r="BH822" s="188"/>
      <c r="BI822" s="188"/>
      <c r="BJ822" s="188"/>
      <c r="BK822" s="188"/>
      <c r="BL822" s="188"/>
      <c r="BM822" s="188"/>
      <c r="BN822" s="188"/>
      <c r="BO822" s="188"/>
      <c r="BP822" s="188"/>
      <c r="BQ822" s="188"/>
      <c r="BR822" s="188"/>
      <c r="BS822" s="188"/>
      <c r="BT822" s="188"/>
      <c r="BU822" s="188"/>
      <c r="BV822" s="188"/>
      <c r="BW822" s="188"/>
    </row>
    <row r="823" spans="45:75" x14ac:dyDescent="0.3">
      <c r="AW823" s="123"/>
      <c r="AX823" s="188"/>
      <c r="AY823" s="188"/>
      <c r="AZ823" s="188"/>
      <c r="BA823" s="236"/>
      <c r="BB823" s="188"/>
      <c r="BC823" s="188"/>
      <c r="BD823" s="188"/>
      <c r="BE823" s="236"/>
      <c r="BG823" s="188"/>
      <c r="BH823" s="188"/>
      <c r="BI823" s="188"/>
      <c r="BJ823" s="188"/>
      <c r="BK823" s="188"/>
      <c r="BL823" s="188"/>
      <c r="BM823" s="188"/>
      <c r="BN823" s="188"/>
      <c r="BO823" s="188"/>
      <c r="BP823" s="188"/>
      <c r="BQ823" s="188"/>
      <c r="BR823" s="188"/>
      <c r="BS823" s="188"/>
      <c r="BT823" s="188"/>
      <c r="BU823" s="188"/>
      <c r="BV823" s="188"/>
      <c r="BW823" s="188"/>
    </row>
    <row r="824" spans="45:75" x14ac:dyDescent="0.3">
      <c r="AW824" s="123"/>
      <c r="AX824" s="188"/>
      <c r="AY824" s="188"/>
      <c r="AZ824" s="188"/>
      <c r="BA824" s="236"/>
      <c r="BB824" s="188"/>
      <c r="BC824" s="188"/>
      <c r="BD824" s="188"/>
      <c r="BE824" s="236"/>
      <c r="BG824" s="188"/>
      <c r="BH824" s="188"/>
      <c r="BI824" s="188"/>
      <c r="BJ824" s="188"/>
      <c r="BK824" s="188"/>
      <c r="BL824" s="188"/>
      <c r="BM824" s="188"/>
      <c r="BN824" s="188"/>
      <c r="BO824" s="188"/>
      <c r="BP824" s="188"/>
      <c r="BQ824" s="188"/>
      <c r="BR824" s="188"/>
      <c r="BS824" s="188"/>
      <c r="BT824" s="188"/>
      <c r="BU824" s="188"/>
      <c r="BV824" s="188"/>
      <c r="BW824" s="188"/>
    </row>
    <row r="825" spans="45:75" x14ac:dyDescent="0.3">
      <c r="AW825" s="123"/>
      <c r="AX825" s="188"/>
      <c r="AY825" s="188"/>
      <c r="AZ825" s="188"/>
      <c r="BA825" s="236"/>
      <c r="BB825" s="188"/>
      <c r="BC825" s="188"/>
      <c r="BD825" s="188"/>
      <c r="BE825" s="236"/>
      <c r="BG825" s="188"/>
      <c r="BH825" s="188"/>
      <c r="BI825" s="188"/>
      <c r="BJ825" s="188"/>
      <c r="BK825" s="188"/>
      <c r="BL825" s="188"/>
      <c r="BM825" s="188"/>
      <c r="BN825" s="188"/>
      <c r="BO825" s="188"/>
      <c r="BP825" s="188"/>
      <c r="BQ825" s="188"/>
      <c r="BR825" s="188"/>
      <c r="BS825" s="188"/>
      <c r="BT825" s="188"/>
      <c r="BU825" s="188"/>
      <c r="BV825" s="188"/>
      <c r="BW825" s="188"/>
    </row>
    <row r="826" spans="45:75" x14ac:dyDescent="0.3">
      <c r="AW826" s="123"/>
      <c r="AX826" s="188"/>
      <c r="AY826" s="188"/>
      <c r="AZ826" s="188"/>
      <c r="BA826" s="236"/>
      <c r="BB826" s="188"/>
      <c r="BC826" s="188"/>
      <c r="BD826" s="188"/>
      <c r="BE826" s="236"/>
      <c r="BG826" s="188"/>
      <c r="BH826" s="188"/>
      <c r="BI826" s="188"/>
      <c r="BJ826" s="188"/>
      <c r="BK826" s="188"/>
      <c r="BL826" s="188"/>
      <c r="BM826" s="188"/>
      <c r="BN826" s="188"/>
      <c r="BO826" s="188"/>
      <c r="BP826" s="188"/>
      <c r="BQ826" s="188"/>
      <c r="BR826" s="188"/>
      <c r="BS826" s="188"/>
      <c r="BT826" s="188"/>
      <c r="BU826" s="188"/>
      <c r="BV826" s="188"/>
      <c r="BW826" s="188"/>
    </row>
    <row r="827" spans="45:75" x14ac:dyDescent="0.3">
      <c r="AW827" s="123"/>
      <c r="AX827" s="188"/>
      <c r="AY827" s="188"/>
      <c r="AZ827" s="188"/>
      <c r="BA827" s="236"/>
      <c r="BB827" s="188"/>
      <c r="BC827" s="188"/>
      <c r="BD827" s="188"/>
      <c r="BE827" s="236"/>
      <c r="BG827" s="188"/>
      <c r="BH827" s="188"/>
      <c r="BI827" s="188"/>
      <c r="BJ827" s="188"/>
      <c r="BK827" s="188"/>
      <c r="BL827" s="188"/>
      <c r="BM827" s="188"/>
      <c r="BN827" s="188"/>
      <c r="BO827" s="188"/>
      <c r="BP827" s="188"/>
      <c r="BQ827" s="188"/>
      <c r="BR827" s="188"/>
      <c r="BS827" s="188"/>
      <c r="BT827" s="188"/>
      <c r="BU827" s="188"/>
      <c r="BV827" s="188"/>
      <c r="BW827" s="188"/>
    </row>
    <row r="828" spans="45:75" x14ac:dyDescent="0.3">
      <c r="AW828" s="123"/>
      <c r="AX828" s="188"/>
      <c r="AY828" s="188"/>
      <c r="AZ828" s="188"/>
      <c r="BA828" s="236"/>
      <c r="BB828" s="188"/>
      <c r="BC828" s="188"/>
      <c r="BD828" s="188"/>
      <c r="BE828" s="236"/>
      <c r="BG828" s="188"/>
      <c r="BH828" s="188"/>
      <c r="BI828" s="188"/>
      <c r="BJ828" s="188"/>
      <c r="BK828" s="188"/>
      <c r="BL828" s="188"/>
      <c r="BM828" s="188"/>
      <c r="BN828" s="188"/>
      <c r="BO828" s="188"/>
      <c r="BP828" s="188"/>
      <c r="BQ828" s="188"/>
      <c r="BR828" s="188"/>
      <c r="BS828" s="188"/>
      <c r="BT828" s="188"/>
      <c r="BU828" s="188"/>
      <c r="BV828" s="188"/>
      <c r="BW828" s="188"/>
    </row>
    <row r="829" spans="45:75" x14ac:dyDescent="0.3">
      <c r="AW829" s="123"/>
      <c r="AX829" s="188"/>
      <c r="AY829" s="188"/>
      <c r="AZ829" s="188"/>
      <c r="BA829" s="236"/>
      <c r="BB829" s="188"/>
      <c r="BC829" s="188"/>
      <c r="BD829" s="188"/>
      <c r="BE829" s="236"/>
      <c r="BG829" s="188"/>
      <c r="BH829" s="188"/>
      <c r="BI829" s="188"/>
      <c r="BJ829" s="188"/>
      <c r="BK829" s="188"/>
      <c r="BL829" s="188"/>
      <c r="BM829" s="188"/>
      <c r="BN829" s="188"/>
      <c r="BO829" s="188"/>
      <c r="BP829" s="188"/>
      <c r="BQ829" s="188"/>
      <c r="BR829" s="188"/>
      <c r="BS829" s="188"/>
      <c r="BT829" s="188"/>
      <c r="BU829" s="188"/>
      <c r="BV829" s="188"/>
      <c r="BW829" s="188"/>
    </row>
    <row r="830" spans="45:75" x14ac:dyDescent="0.3">
      <c r="AW830" s="123"/>
      <c r="AX830" s="188"/>
      <c r="AY830" s="188"/>
      <c r="AZ830" s="188"/>
      <c r="BA830" s="236"/>
      <c r="BB830" s="188"/>
      <c r="BC830" s="188"/>
      <c r="BD830" s="188"/>
      <c r="BE830" s="236"/>
      <c r="BG830" s="188"/>
      <c r="BH830" s="188"/>
      <c r="BI830" s="188"/>
      <c r="BJ830" s="188"/>
      <c r="BK830" s="188"/>
      <c r="BL830" s="188"/>
      <c r="BM830" s="188"/>
      <c r="BN830" s="188"/>
      <c r="BO830" s="188"/>
      <c r="BP830" s="188"/>
      <c r="BQ830" s="188"/>
      <c r="BR830" s="188"/>
      <c r="BS830" s="188"/>
      <c r="BT830" s="188"/>
      <c r="BU830" s="188"/>
      <c r="BV830" s="188"/>
      <c r="BW830" s="188"/>
    </row>
    <row r="831" spans="45:75" x14ac:dyDescent="0.3">
      <c r="AW831" s="123"/>
      <c r="AX831" s="188"/>
      <c r="AY831" s="188"/>
      <c r="AZ831" s="188"/>
      <c r="BA831" s="236"/>
      <c r="BB831" s="188"/>
      <c r="BC831" s="188"/>
      <c r="BD831" s="188"/>
      <c r="BE831" s="236"/>
      <c r="BG831" s="188"/>
      <c r="BH831" s="188"/>
      <c r="BI831" s="188"/>
      <c r="BJ831" s="188"/>
      <c r="BK831" s="188"/>
      <c r="BL831" s="188"/>
      <c r="BM831" s="188"/>
      <c r="BN831" s="188"/>
      <c r="BO831" s="188"/>
      <c r="BP831" s="188"/>
      <c r="BQ831" s="188"/>
      <c r="BR831" s="188"/>
      <c r="BS831" s="188"/>
      <c r="BT831" s="188"/>
      <c r="BU831" s="188"/>
      <c r="BV831" s="188"/>
      <c r="BW831" s="188"/>
    </row>
    <row r="832" spans="45:75" x14ac:dyDescent="0.3">
      <c r="AW832" s="123"/>
      <c r="AX832" s="188"/>
      <c r="AY832" s="188"/>
      <c r="AZ832" s="188"/>
      <c r="BA832" s="236"/>
      <c r="BB832" s="188"/>
      <c r="BC832" s="188"/>
      <c r="BD832" s="188"/>
      <c r="BE832" s="236"/>
      <c r="BG832" s="188"/>
      <c r="BH832" s="188"/>
      <c r="BI832" s="188"/>
      <c r="BJ832" s="188"/>
      <c r="BK832" s="188"/>
      <c r="BL832" s="188"/>
      <c r="BM832" s="188"/>
      <c r="BN832" s="188"/>
      <c r="BO832" s="188"/>
      <c r="BP832" s="188"/>
      <c r="BQ832" s="188"/>
      <c r="BR832" s="188"/>
      <c r="BS832" s="188"/>
      <c r="BT832" s="188"/>
      <c r="BU832" s="188"/>
      <c r="BV832" s="188"/>
      <c r="BW832" s="188"/>
    </row>
    <row r="833" spans="47:75" x14ac:dyDescent="0.3">
      <c r="AW833" s="123"/>
      <c r="AX833" s="188"/>
      <c r="AY833" s="188"/>
      <c r="AZ833" s="188"/>
      <c r="BA833" s="236"/>
      <c r="BB833" s="188"/>
      <c r="BC833" s="188"/>
      <c r="BD833" s="188"/>
      <c r="BE833" s="236"/>
      <c r="BG833" s="188"/>
      <c r="BH833" s="188"/>
      <c r="BI833" s="188"/>
      <c r="BJ833" s="188"/>
      <c r="BK833" s="188"/>
      <c r="BL833" s="188"/>
      <c r="BM833" s="188"/>
      <c r="BN833" s="188"/>
      <c r="BO833" s="188"/>
      <c r="BP833" s="188"/>
      <c r="BQ833" s="188"/>
      <c r="BR833" s="188"/>
      <c r="BS833" s="188"/>
      <c r="BT833" s="188"/>
      <c r="BU833" s="188"/>
      <c r="BV833" s="188"/>
      <c r="BW833" s="188"/>
    </row>
    <row r="834" spans="47:75" x14ac:dyDescent="0.3">
      <c r="AW834" s="123"/>
      <c r="AX834" s="188"/>
      <c r="AY834" s="188"/>
      <c r="AZ834" s="188"/>
      <c r="BA834" s="236"/>
      <c r="BB834" s="188"/>
      <c r="BC834" s="188"/>
      <c r="BD834" s="188"/>
      <c r="BE834" s="236"/>
      <c r="BG834" s="188"/>
      <c r="BH834" s="188"/>
      <c r="BI834" s="188"/>
      <c r="BJ834" s="188"/>
      <c r="BK834" s="188"/>
      <c r="BL834" s="188"/>
      <c r="BM834" s="188"/>
      <c r="BN834" s="188"/>
      <c r="BO834" s="188"/>
      <c r="BP834" s="188"/>
      <c r="BQ834" s="188"/>
      <c r="BR834" s="188"/>
      <c r="BS834" s="188"/>
      <c r="BT834" s="188"/>
      <c r="BU834" s="188"/>
      <c r="BV834" s="188"/>
      <c r="BW834" s="188"/>
    </row>
    <row r="835" spans="47:75" x14ac:dyDescent="0.3">
      <c r="AW835" s="123"/>
      <c r="AX835" s="188"/>
      <c r="AY835" s="188"/>
      <c r="AZ835" s="188"/>
      <c r="BA835" s="236"/>
      <c r="BB835" s="188"/>
      <c r="BC835" s="188"/>
      <c r="BD835" s="188"/>
      <c r="BE835" s="236"/>
      <c r="BG835" s="188"/>
      <c r="BH835" s="188"/>
      <c r="BI835" s="188"/>
      <c r="BJ835" s="188"/>
      <c r="BK835" s="188"/>
      <c r="BL835" s="188"/>
      <c r="BM835" s="188"/>
      <c r="BN835" s="188"/>
      <c r="BO835" s="188"/>
      <c r="BP835" s="188"/>
      <c r="BQ835" s="188"/>
      <c r="BR835" s="188"/>
      <c r="BS835" s="188"/>
      <c r="BT835" s="188"/>
      <c r="BU835" s="188"/>
      <c r="BV835" s="188"/>
      <c r="BW835" s="188"/>
    </row>
    <row r="836" spans="47:75" x14ac:dyDescent="0.3">
      <c r="AW836" s="123"/>
      <c r="AX836" s="188"/>
      <c r="AY836" s="188"/>
      <c r="AZ836" s="188"/>
      <c r="BA836" s="236"/>
      <c r="BB836" s="188"/>
      <c r="BC836" s="188"/>
      <c r="BD836" s="188"/>
      <c r="BE836" s="236"/>
      <c r="BG836" s="188"/>
      <c r="BH836" s="188"/>
      <c r="BI836" s="188"/>
      <c r="BJ836" s="188"/>
      <c r="BK836" s="188"/>
      <c r="BL836" s="188"/>
      <c r="BM836" s="188"/>
      <c r="BN836" s="188"/>
      <c r="BO836" s="188"/>
      <c r="BP836" s="188"/>
      <c r="BQ836" s="188"/>
      <c r="BR836" s="188"/>
      <c r="BS836" s="188"/>
      <c r="BT836" s="188"/>
      <c r="BU836" s="188"/>
      <c r="BV836" s="188"/>
      <c r="BW836" s="188"/>
    </row>
    <row r="837" spans="47:75" x14ac:dyDescent="0.3">
      <c r="AW837" s="123"/>
      <c r="AX837" s="188"/>
      <c r="AY837" s="188"/>
      <c r="AZ837" s="188"/>
      <c r="BA837" s="236"/>
      <c r="BB837" s="188"/>
      <c r="BC837" s="188"/>
      <c r="BD837" s="188"/>
      <c r="BE837" s="236"/>
      <c r="BG837" s="188"/>
      <c r="BH837" s="188"/>
      <c r="BI837" s="188"/>
      <c r="BJ837" s="188"/>
      <c r="BK837" s="188"/>
      <c r="BL837" s="188"/>
      <c r="BM837" s="188"/>
      <c r="BN837" s="188"/>
      <c r="BO837" s="188"/>
      <c r="BP837" s="188"/>
      <c r="BQ837" s="188"/>
      <c r="BR837" s="188"/>
      <c r="BS837" s="188"/>
      <c r="BT837" s="188"/>
      <c r="BU837" s="188"/>
      <c r="BV837" s="188"/>
      <c r="BW837" s="188"/>
    </row>
    <row r="838" spans="47:75" x14ac:dyDescent="0.3">
      <c r="AW838" s="123"/>
      <c r="AX838" s="188"/>
      <c r="AY838" s="188"/>
      <c r="AZ838" s="188"/>
      <c r="BA838" s="236"/>
      <c r="BB838" s="188"/>
      <c r="BC838" s="188"/>
      <c r="BD838" s="188"/>
      <c r="BE838" s="236"/>
      <c r="BG838" s="188"/>
      <c r="BH838" s="188"/>
      <c r="BI838" s="188"/>
      <c r="BJ838" s="188"/>
      <c r="BK838" s="188"/>
      <c r="BL838" s="188"/>
      <c r="BM838" s="188"/>
      <c r="BN838" s="188"/>
      <c r="BO838" s="188"/>
      <c r="BP838" s="188"/>
      <c r="BQ838" s="188"/>
      <c r="BR838" s="188"/>
      <c r="BS838" s="188"/>
      <c r="BT838" s="188"/>
      <c r="BU838" s="188"/>
      <c r="BV838" s="188"/>
      <c r="BW838" s="188"/>
    </row>
    <row r="839" spans="47:75" x14ac:dyDescent="0.3">
      <c r="AW839" s="123"/>
      <c r="AX839" s="188"/>
      <c r="AY839" s="188"/>
      <c r="AZ839" s="188"/>
      <c r="BA839" s="236"/>
      <c r="BB839" s="188"/>
      <c r="BC839" s="188"/>
      <c r="BD839" s="188"/>
      <c r="BE839" s="236"/>
      <c r="BG839" s="188"/>
      <c r="BH839" s="188"/>
      <c r="BI839" s="188"/>
      <c r="BJ839" s="188"/>
      <c r="BK839" s="188"/>
      <c r="BL839" s="188"/>
      <c r="BM839" s="188"/>
      <c r="BN839" s="188"/>
      <c r="BO839" s="188"/>
      <c r="BP839" s="188"/>
      <c r="BQ839" s="188"/>
      <c r="BR839" s="188"/>
      <c r="BS839" s="188"/>
      <c r="BT839" s="188"/>
      <c r="BU839" s="188"/>
      <c r="BV839" s="188"/>
      <c r="BW839" s="188"/>
    </row>
    <row r="840" spans="47:75" x14ac:dyDescent="0.3">
      <c r="AW840" s="123"/>
      <c r="AX840" s="188"/>
      <c r="AY840" s="188"/>
      <c r="AZ840" s="188"/>
      <c r="BA840" s="236"/>
      <c r="BB840" s="188"/>
      <c r="BC840" s="188"/>
      <c r="BD840" s="188"/>
      <c r="BE840" s="236"/>
      <c r="BG840" s="188"/>
      <c r="BH840" s="188"/>
      <c r="BI840" s="188"/>
      <c r="BJ840" s="188"/>
      <c r="BK840" s="188"/>
      <c r="BL840" s="188"/>
      <c r="BM840" s="188"/>
      <c r="BN840" s="188"/>
      <c r="BO840" s="188"/>
      <c r="BP840" s="188"/>
      <c r="BQ840" s="188"/>
      <c r="BR840" s="188"/>
      <c r="BS840" s="188"/>
      <c r="BT840" s="188"/>
      <c r="BU840" s="188"/>
      <c r="BV840" s="188"/>
      <c r="BW840" s="188"/>
    </row>
    <row r="841" spans="47:75" x14ac:dyDescent="0.3">
      <c r="AW841" s="123"/>
      <c r="AX841" s="188"/>
      <c r="AY841" s="188"/>
      <c r="AZ841" s="188"/>
      <c r="BA841" s="236"/>
      <c r="BB841" s="188"/>
      <c r="BC841" s="188"/>
      <c r="BD841" s="188"/>
      <c r="BE841" s="236"/>
      <c r="BG841" s="188"/>
      <c r="BH841" s="188"/>
      <c r="BI841" s="188"/>
      <c r="BJ841" s="188"/>
      <c r="BK841" s="188"/>
      <c r="BL841" s="188"/>
      <c r="BM841" s="188"/>
      <c r="BN841" s="188"/>
      <c r="BO841" s="188"/>
      <c r="BP841" s="188"/>
      <c r="BQ841" s="188"/>
      <c r="BR841" s="188"/>
      <c r="BS841" s="188"/>
      <c r="BT841" s="188"/>
      <c r="BU841" s="188"/>
      <c r="BV841" s="188"/>
      <c r="BW841" s="188"/>
    </row>
    <row r="842" spans="47:75" x14ac:dyDescent="0.3">
      <c r="AW842" s="123"/>
      <c r="AX842" s="188"/>
      <c r="AY842" s="188"/>
      <c r="AZ842" s="188"/>
      <c r="BA842" s="236"/>
      <c r="BB842" s="188"/>
      <c r="BC842" s="188"/>
      <c r="BD842" s="188"/>
      <c r="BE842" s="236"/>
      <c r="BG842" s="135"/>
      <c r="BH842" s="135"/>
      <c r="BI842" s="42"/>
      <c r="BM842" s="135"/>
      <c r="BN842" s="135"/>
      <c r="BO842" s="188"/>
      <c r="BP842" s="135"/>
      <c r="BQ842" s="135"/>
      <c r="BR842" s="42"/>
      <c r="BV842" s="135"/>
      <c r="BW842" s="135"/>
    </row>
    <row r="843" spans="47:75" x14ac:dyDescent="0.3">
      <c r="AU843" s="42"/>
      <c r="AV843" s="44"/>
      <c r="AW843" s="123"/>
      <c r="AX843" s="188"/>
      <c r="AY843" s="188"/>
      <c r="AZ843" s="188"/>
      <c r="BA843" s="236"/>
      <c r="BB843" s="188"/>
      <c r="BC843" s="188"/>
      <c r="BD843" s="188"/>
      <c r="BE843" s="236"/>
      <c r="BG843" s="245"/>
      <c r="BH843" s="188"/>
      <c r="BI843" s="188"/>
      <c r="BJ843" s="188"/>
      <c r="BK843" s="245"/>
      <c r="BL843" s="246"/>
      <c r="BM843" s="188"/>
      <c r="BN843" s="245"/>
      <c r="BO843" s="188"/>
      <c r="BP843" s="245"/>
      <c r="BQ843" s="188"/>
      <c r="BR843" s="188"/>
      <c r="BS843" s="188"/>
      <c r="BT843" s="245"/>
      <c r="BU843" s="246"/>
      <c r="BV843" s="188"/>
      <c r="BW843" s="245"/>
    </row>
    <row r="844" spans="47:75" x14ac:dyDescent="0.3">
      <c r="AV844" s="44"/>
      <c r="AW844" s="123"/>
      <c r="AX844" s="188"/>
      <c r="AY844" s="188"/>
      <c r="AZ844" s="188"/>
      <c r="BA844" s="236"/>
      <c r="BB844" s="188"/>
      <c r="BC844" s="188"/>
      <c r="BD844" s="188"/>
      <c r="BE844" s="236"/>
      <c r="BG844" s="188"/>
      <c r="BH844" s="188"/>
      <c r="BI844" s="188"/>
      <c r="BJ844" s="188"/>
      <c r="BK844" s="188"/>
      <c r="BL844" s="246"/>
      <c r="BM844" s="188"/>
      <c r="BN844" s="188"/>
      <c r="BO844" s="188"/>
      <c r="BP844" s="188"/>
      <c r="BQ844" s="188"/>
      <c r="BR844" s="188"/>
      <c r="BS844" s="188"/>
      <c r="BT844" s="188"/>
      <c r="BU844" s="246"/>
      <c r="BV844" s="188"/>
      <c r="BW844" s="188"/>
    </row>
    <row r="845" spans="47:75" x14ac:dyDescent="0.3">
      <c r="AV845" s="44"/>
      <c r="AW845" s="123"/>
      <c r="AX845" s="188"/>
      <c r="AY845" s="188"/>
      <c r="AZ845" s="188"/>
      <c r="BA845" s="236"/>
      <c r="BB845" s="188"/>
      <c r="BC845" s="188"/>
      <c r="BD845" s="188"/>
      <c r="BE845" s="236"/>
      <c r="BG845" s="188"/>
      <c r="BH845" s="188"/>
      <c r="BI845" s="188"/>
      <c r="BJ845" s="188"/>
      <c r="BK845" s="188"/>
      <c r="BL845" s="246"/>
      <c r="BM845" s="188"/>
      <c r="BN845" s="188"/>
      <c r="BO845" s="188"/>
      <c r="BP845" s="188"/>
      <c r="BQ845" s="188"/>
      <c r="BR845" s="188"/>
      <c r="BS845" s="188"/>
      <c r="BT845" s="188"/>
      <c r="BU845" s="246"/>
      <c r="BV845" s="188"/>
      <c r="BW845" s="188"/>
    </row>
    <row r="846" spans="47:75" x14ac:dyDescent="0.3">
      <c r="AV846" s="44"/>
      <c r="AW846" s="123"/>
      <c r="AX846" s="188"/>
      <c r="AY846" s="188"/>
      <c r="AZ846" s="188"/>
      <c r="BA846" s="236"/>
      <c r="BB846" s="188"/>
      <c r="BC846" s="188"/>
      <c r="BD846" s="188"/>
      <c r="BE846" s="236"/>
      <c r="BG846" s="188"/>
      <c r="BH846" s="188"/>
      <c r="BI846" s="188"/>
      <c r="BJ846" s="188"/>
      <c r="BK846" s="188"/>
      <c r="BL846" s="246"/>
      <c r="BM846" s="188"/>
      <c r="BN846" s="188"/>
      <c r="BO846" s="188"/>
      <c r="BP846" s="188"/>
      <c r="BQ846" s="188"/>
      <c r="BR846" s="188"/>
      <c r="BS846" s="188"/>
      <c r="BT846" s="188"/>
      <c r="BU846" s="246"/>
      <c r="BV846" s="188"/>
      <c r="BW846" s="188"/>
    </row>
    <row r="847" spans="47:75" x14ac:dyDescent="0.3">
      <c r="AX847" s="188"/>
      <c r="AY847" s="188"/>
      <c r="AZ847" s="188"/>
      <c r="BA847" s="236"/>
      <c r="BB847" s="188"/>
      <c r="BC847" s="188"/>
      <c r="BD847" s="188"/>
      <c r="BE847" s="236"/>
      <c r="BG847" s="188"/>
      <c r="BH847" s="188"/>
      <c r="BI847" s="188"/>
      <c r="BJ847" s="188"/>
      <c r="BK847" s="188"/>
      <c r="BL847" s="188"/>
      <c r="BM847" s="188"/>
      <c r="BN847" s="188"/>
      <c r="BO847" s="188"/>
      <c r="BP847" s="188"/>
      <c r="BQ847" s="188"/>
      <c r="BR847" s="188"/>
      <c r="BS847" s="188"/>
      <c r="BT847" s="188"/>
      <c r="BU847" s="188"/>
      <c r="BV847" s="188"/>
    </row>
    <row r="848" spans="47:75" x14ac:dyDescent="0.3">
      <c r="AU848" s="42"/>
    </row>
    <row r="849" spans="45:74" x14ac:dyDescent="0.3">
      <c r="AU849" s="42"/>
      <c r="AZ849" s="188"/>
      <c r="BA849" s="236"/>
      <c r="BB849" s="188"/>
      <c r="BC849" s="188"/>
      <c r="BD849" s="188"/>
      <c r="BE849" s="236"/>
      <c r="BG849" s="188"/>
      <c r="BH849" s="188"/>
      <c r="BI849" s="188"/>
      <c r="BJ849" s="188"/>
      <c r="BK849" s="188"/>
      <c r="BL849" s="188"/>
      <c r="BM849" s="188"/>
      <c r="BN849" s="188"/>
      <c r="BO849" s="188"/>
      <c r="BP849" s="188"/>
      <c r="BQ849" s="188"/>
      <c r="BR849" s="188"/>
      <c r="BS849" s="188"/>
      <c r="BT849" s="188"/>
      <c r="BU849" s="188"/>
      <c r="BV849" s="188"/>
    </row>
    <row r="850" spans="45:74" x14ac:dyDescent="0.3">
      <c r="AS850" s="42"/>
      <c r="AZ850" s="188"/>
      <c r="BB850" s="188"/>
    </row>
    <row r="851" spans="45:74" x14ac:dyDescent="0.3">
      <c r="AZ851" s="188"/>
      <c r="BB851" s="188"/>
      <c r="BO851" s="188"/>
      <c r="BP851" s="188"/>
      <c r="BQ851" s="188"/>
      <c r="BR851" s="188"/>
      <c r="BS851" s="188"/>
      <c r="BT851" s="188"/>
      <c r="BU851" s="188"/>
      <c r="BV851" s="188"/>
    </row>
    <row r="852" spans="45:74" x14ac:dyDescent="0.3">
      <c r="AY852" s="188"/>
      <c r="AZ852" s="188"/>
      <c r="BB852" s="188"/>
      <c r="BO852" s="188"/>
      <c r="BP852" s="188"/>
      <c r="BQ852" s="188"/>
      <c r="BR852" s="188"/>
      <c r="BS852" s="188"/>
      <c r="BT852" s="188"/>
      <c r="BU852" s="188"/>
      <c r="BV852" s="188"/>
    </row>
    <row r="853" spans="45:74" x14ac:dyDescent="0.3">
      <c r="AY853" s="42"/>
      <c r="AZ853" s="188"/>
      <c r="BB853" s="188"/>
      <c r="BO853" s="188"/>
      <c r="BP853" s="188"/>
      <c r="BQ853" s="188"/>
      <c r="BR853" s="188"/>
      <c r="BS853" s="188"/>
      <c r="BT853" s="188"/>
      <c r="BU853" s="188"/>
      <c r="BV853" s="188"/>
    </row>
    <row r="854" spans="45:74" x14ac:dyDescent="0.3">
      <c r="AY854" s="42"/>
      <c r="AZ854" s="188"/>
      <c r="BB854" s="188"/>
      <c r="BO854" s="188"/>
      <c r="BP854" s="188"/>
      <c r="BQ854" s="188"/>
      <c r="BR854" s="188"/>
      <c r="BS854" s="188"/>
      <c r="BT854" s="188"/>
      <c r="BU854" s="188"/>
      <c r="BV854" s="188"/>
    </row>
    <row r="855" spans="45:74" x14ac:dyDescent="0.3">
      <c r="AZ855" s="188"/>
      <c r="BB855" s="188"/>
      <c r="BD855" s="42"/>
      <c r="BO855" s="188"/>
      <c r="BP855" s="188"/>
      <c r="BQ855" s="188"/>
      <c r="BR855" s="188"/>
      <c r="BS855" s="188"/>
      <c r="BT855" s="188"/>
      <c r="BU855" s="188"/>
      <c r="BV855" s="188"/>
    </row>
    <row r="856" spans="45:74" x14ac:dyDescent="0.3">
      <c r="AZ856" s="188"/>
      <c r="BB856" s="188"/>
      <c r="BD856" s="42"/>
      <c r="BO856" s="188"/>
      <c r="BP856" s="188"/>
      <c r="BQ856" s="188"/>
      <c r="BR856" s="188"/>
      <c r="BS856" s="188"/>
      <c r="BT856" s="188"/>
      <c r="BU856" s="188"/>
      <c r="BV856" s="188"/>
    </row>
    <row r="857" spans="45:74" x14ac:dyDescent="0.3">
      <c r="AS857" s="42"/>
      <c r="AZ857" s="188"/>
      <c r="BB857" s="188"/>
      <c r="BD857" s="42"/>
      <c r="BO857" s="188"/>
      <c r="BP857" s="188"/>
      <c r="BQ857" s="188"/>
      <c r="BR857" s="188"/>
      <c r="BS857" s="188"/>
      <c r="BT857" s="188"/>
      <c r="BU857" s="188"/>
      <c r="BV857" s="188"/>
    </row>
    <row r="858" spans="45:74" x14ac:dyDescent="0.3">
      <c r="AZ858" s="188"/>
      <c r="BB858" s="188"/>
      <c r="BO858" s="188"/>
      <c r="BP858" s="188"/>
      <c r="BQ858" s="188"/>
      <c r="BR858" s="188"/>
      <c r="BS858" s="188"/>
      <c r="BT858" s="188"/>
      <c r="BU858" s="188"/>
      <c r="BV858" s="188"/>
    </row>
    <row r="859" spans="45:74" x14ac:dyDescent="0.3">
      <c r="AS859" s="135"/>
      <c r="AT859" s="135"/>
      <c r="AU859" s="135"/>
      <c r="AV859" s="135"/>
      <c r="AW859" s="135"/>
      <c r="AX859" s="135"/>
      <c r="AY859" s="135"/>
      <c r="AZ859" s="244"/>
      <c r="BA859" s="135"/>
      <c r="BB859" s="244"/>
      <c r="BC859" s="135"/>
      <c r="BD859" s="135"/>
      <c r="BE859" s="135"/>
      <c r="BO859" s="188"/>
      <c r="BP859" s="188"/>
      <c r="BQ859" s="188"/>
      <c r="BR859" s="188"/>
      <c r="BS859" s="188"/>
      <c r="BT859" s="188"/>
      <c r="BU859" s="188"/>
      <c r="BV859" s="188"/>
    </row>
    <row r="860" spans="45:74" x14ac:dyDescent="0.3">
      <c r="AX860" s="42"/>
      <c r="AZ860" s="188"/>
      <c r="BB860" s="188"/>
      <c r="BO860" s="188"/>
      <c r="BP860" s="188"/>
      <c r="BQ860" s="188"/>
      <c r="BR860" s="188"/>
      <c r="BS860" s="188"/>
      <c r="BT860" s="188"/>
      <c r="BU860" s="188"/>
      <c r="BV860" s="188"/>
    </row>
    <row r="861" spans="45:74" x14ac:dyDescent="0.3">
      <c r="AX861" s="135"/>
      <c r="AY861" s="135"/>
      <c r="AZ861" s="244"/>
      <c r="BA861" s="135"/>
      <c r="BB861" s="188"/>
      <c r="BC861" s="44"/>
      <c r="BD861" s="44"/>
      <c r="BO861" s="188"/>
      <c r="BP861" s="188"/>
      <c r="BQ861" s="188"/>
      <c r="BR861" s="188"/>
      <c r="BS861" s="188"/>
      <c r="BT861" s="188"/>
      <c r="BU861" s="188"/>
      <c r="BV861" s="188"/>
    </row>
    <row r="862" spans="45:74" x14ac:dyDescent="0.3">
      <c r="AV862" s="44"/>
      <c r="AW862" s="44"/>
      <c r="AZ862" s="245"/>
      <c r="BA862" s="44"/>
      <c r="BB862" s="188"/>
      <c r="BC862" s="44"/>
      <c r="BD862" s="44"/>
      <c r="BE862" s="44"/>
      <c r="BG862" s="135"/>
      <c r="BH862" s="42"/>
      <c r="BK862" s="135"/>
      <c r="BM862" s="135"/>
      <c r="BN862" s="42"/>
      <c r="BQ862" s="135"/>
    </row>
    <row r="863" spans="45:74" x14ac:dyDescent="0.3">
      <c r="AV863" s="44"/>
      <c r="AW863" s="44"/>
      <c r="AX863" s="44"/>
      <c r="AY863" s="44"/>
      <c r="AZ863" s="245"/>
      <c r="BA863" s="44"/>
      <c r="BB863" s="245"/>
      <c r="BC863" s="44"/>
      <c r="BD863" s="44"/>
      <c r="BE863" s="44"/>
      <c r="BH863" s="44"/>
      <c r="BI863" s="44"/>
      <c r="BN863" s="44"/>
      <c r="BO863" s="44"/>
    </row>
    <row r="864" spans="45:74" x14ac:dyDescent="0.3">
      <c r="AS864" s="44"/>
      <c r="AU864" s="42"/>
      <c r="AV864" s="44"/>
      <c r="AW864" s="44"/>
      <c r="AX864" s="44"/>
      <c r="AY864" s="44"/>
      <c r="AZ864" s="245"/>
      <c r="BA864" s="44"/>
      <c r="BB864" s="245"/>
      <c r="BC864" s="44"/>
      <c r="BD864" s="44"/>
      <c r="BE864" s="44"/>
      <c r="BG864" s="44"/>
      <c r="BH864" s="44"/>
      <c r="BI864" s="44"/>
      <c r="BJ864" s="44"/>
      <c r="BK864" s="44"/>
      <c r="BM864" s="44"/>
      <c r="BN864" s="44"/>
      <c r="BO864" s="44"/>
      <c r="BP864" s="44"/>
      <c r="BQ864" s="44"/>
    </row>
    <row r="865" spans="45:71" x14ac:dyDescent="0.3">
      <c r="AS865" s="44"/>
      <c r="AU865" s="42"/>
      <c r="AV865" s="44"/>
      <c r="AW865" s="44"/>
      <c r="AX865" s="44"/>
      <c r="AY865" s="44"/>
      <c r="AZ865" s="245"/>
      <c r="BA865" s="44"/>
      <c r="BB865" s="245"/>
      <c r="BC865" s="44"/>
      <c r="BD865" s="44"/>
      <c r="BE865" s="44"/>
      <c r="BG865" s="44"/>
      <c r="BH865" s="44"/>
      <c r="BI865" s="44"/>
      <c r="BJ865" s="44"/>
      <c r="BK865" s="44"/>
      <c r="BM865" s="44"/>
      <c r="BN865" s="44"/>
      <c r="BO865" s="44"/>
      <c r="BP865" s="44"/>
      <c r="BQ865" s="44"/>
    </row>
    <row r="866" spans="45:71" x14ac:dyDescent="0.3">
      <c r="AS866" s="135"/>
      <c r="AT866" s="135"/>
      <c r="AU866" s="135"/>
      <c r="AV866" s="135"/>
      <c r="AW866" s="135"/>
      <c r="AX866" s="135"/>
      <c r="AY866" s="135"/>
      <c r="AZ866" s="244"/>
      <c r="BA866" s="135"/>
      <c r="BB866" s="244"/>
      <c r="BC866" s="135"/>
      <c r="BD866" s="135"/>
      <c r="BE866" s="135"/>
      <c r="BG866" s="135"/>
      <c r="BH866" s="135"/>
      <c r="BI866" s="135"/>
      <c r="BJ866" s="135"/>
      <c r="BK866" s="135"/>
      <c r="BM866" s="135"/>
      <c r="BN866" s="135"/>
      <c r="BO866" s="135"/>
      <c r="BP866" s="135"/>
      <c r="BQ866" s="135"/>
    </row>
    <row r="867" spans="45:71" x14ac:dyDescent="0.3">
      <c r="AV867" s="44"/>
      <c r="AW867" s="44"/>
      <c r="AX867" s="44"/>
      <c r="AY867" s="44"/>
      <c r="AZ867" s="245"/>
      <c r="BA867" s="44"/>
      <c r="BB867" s="245"/>
      <c r="BC867" s="44"/>
      <c r="BD867" s="44"/>
      <c r="BE867" s="44"/>
      <c r="BG867" s="188"/>
      <c r="BH867" s="188"/>
      <c r="BI867" s="188"/>
      <c r="BJ867" s="188"/>
      <c r="BK867" s="188"/>
      <c r="BL867" s="188"/>
      <c r="BM867" s="188"/>
      <c r="BN867" s="188"/>
      <c r="BO867" s="188"/>
      <c r="BP867" s="188"/>
      <c r="BQ867" s="188"/>
    </row>
    <row r="868" spans="45:71" x14ac:dyDescent="0.3">
      <c r="AT868" s="42"/>
      <c r="AV868" s="123"/>
      <c r="AW868" s="123"/>
      <c r="AX868" s="188"/>
      <c r="AY868" s="188"/>
      <c r="AZ868" s="188"/>
      <c r="BA868" s="236"/>
      <c r="BB868" s="188"/>
      <c r="BC868" s="188"/>
      <c r="BD868" s="188"/>
      <c r="BE868" s="236"/>
      <c r="BG868" s="188"/>
      <c r="BH868" s="188"/>
      <c r="BI868" s="188"/>
      <c r="BJ868" s="188"/>
      <c r="BK868" s="188"/>
      <c r="BL868" s="188"/>
      <c r="BM868" s="188"/>
      <c r="BN868" s="188"/>
      <c r="BO868" s="188"/>
      <c r="BP868" s="188"/>
      <c r="BQ868" s="188"/>
      <c r="BR868" s="188"/>
      <c r="BS868" s="188"/>
    </row>
    <row r="869" spans="45:71" x14ac:dyDescent="0.3">
      <c r="AV869" s="123"/>
      <c r="AW869" s="123"/>
      <c r="AX869" s="188"/>
      <c r="AY869" s="188"/>
      <c r="AZ869" s="188"/>
      <c r="BA869" s="236"/>
      <c r="BB869" s="188"/>
      <c r="BC869" s="188"/>
      <c r="BD869" s="188"/>
      <c r="BE869" s="236"/>
      <c r="BG869" s="188"/>
      <c r="BH869" s="188"/>
      <c r="BI869" s="188"/>
      <c r="BJ869" s="188"/>
      <c r="BK869" s="188"/>
      <c r="BL869" s="188"/>
      <c r="BM869" s="188"/>
      <c r="BN869" s="188"/>
      <c r="BO869" s="188"/>
      <c r="BP869" s="188"/>
      <c r="BQ869" s="188"/>
      <c r="BR869" s="188"/>
      <c r="BS869" s="188"/>
    </row>
    <row r="870" spans="45:71" x14ac:dyDescent="0.3">
      <c r="AV870" s="123"/>
      <c r="AW870" s="123"/>
      <c r="AX870" s="188"/>
      <c r="AY870" s="188"/>
      <c r="AZ870" s="188"/>
      <c r="BA870" s="236"/>
      <c r="BB870" s="188"/>
      <c r="BC870" s="188"/>
      <c r="BD870" s="188"/>
      <c r="BE870" s="236"/>
      <c r="BG870" s="188"/>
      <c r="BH870" s="188"/>
      <c r="BI870" s="188"/>
      <c r="BJ870" s="188"/>
      <c r="BK870" s="188"/>
      <c r="BL870" s="188"/>
      <c r="BM870" s="188"/>
      <c r="BN870" s="188"/>
      <c r="BO870" s="188"/>
      <c r="BP870" s="188"/>
      <c r="BQ870" s="188"/>
      <c r="BR870" s="188"/>
      <c r="BS870" s="188"/>
    </row>
    <row r="871" spans="45:71" x14ac:dyDescent="0.3">
      <c r="AV871" s="123"/>
      <c r="AW871" s="123"/>
      <c r="AX871" s="188"/>
      <c r="AY871" s="188"/>
      <c r="AZ871" s="188"/>
      <c r="BA871" s="236"/>
      <c r="BB871" s="188"/>
      <c r="BC871" s="188"/>
      <c r="BD871" s="188"/>
      <c r="BE871" s="236"/>
      <c r="BG871" s="188"/>
      <c r="BH871" s="188"/>
      <c r="BI871" s="188"/>
      <c r="BJ871" s="188"/>
      <c r="BK871" s="188"/>
      <c r="BL871" s="188"/>
      <c r="BM871" s="188"/>
      <c r="BN871" s="188"/>
      <c r="BO871" s="188"/>
      <c r="BP871" s="188"/>
      <c r="BQ871" s="188"/>
      <c r="BR871" s="188"/>
      <c r="BS871" s="188"/>
    </row>
    <row r="872" spans="45:71" x14ac:dyDescent="0.3">
      <c r="AV872" s="123"/>
      <c r="AW872" s="123"/>
      <c r="AX872" s="188"/>
      <c r="AY872" s="188"/>
      <c r="AZ872" s="188"/>
      <c r="BA872" s="236"/>
      <c r="BB872" s="188"/>
      <c r="BC872" s="188"/>
      <c r="BD872" s="188"/>
      <c r="BE872" s="236"/>
      <c r="BG872" s="188"/>
      <c r="BH872" s="188"/>
      <c r="BI872" s="188"/>
      <c r="BJ872" s="188"/>
      <c r="BK872" s="188"/>
      <c r="BL872" s="188"/>
      <c r="BM872" s="188"/>
      <c r="BN872" s="188"/>
      <c r="BO872" s="188"/>
      <c r="BP872" s="188"/>
      <c r="BQ872" s="188"/>
      <c r="BR872" s="188"/>
      <c r="BS872" s="188"/>
    </row>
    <row r="873" spans="45:71" x14ac:dyDescent="0.3">
      <c r="AV873" s="123"/>
      <c r="AW873" s="123"/>
      <c r="AX873" s="188"/>
      <c r="AY873" s="188"/>
      <c r="AZ873" s="188"/>
      <c r="BA873" s="236"/>
      <c r="BB873" s="188"/>
      <c r="BC873" s="188"/>
      <c r="BD873" s="188"/>
      <c r="BE873" s="236"/>
      <c r="BG873" s="188"/>
      <c r="BH873" s="188"/>
      <c r="BI873" s="188"/>
      <c r="BJ873" s="188"/>
      <c r="BK873" s="188"/>
      <c r="BL873" s="188"/>
      <c r="BM873" s="188"/>
      <c r="BN873" s="188"/>
      <c r="BO873" s="188"/>
      <c r="BP873" s="188"/>
      <c r="BQ873" s="188"/>
      <c r="BR873" s="188"/>
      <c r="BS873" s="188"/>
    </row>
    <row r="874" spans="45:71" x14ac:dyDescent="0.3">
      <c r="AV874" s="123"/>
      <c r="AW874" s="123"/>
      <c r="AX874" s="188"/>
      <c r="AY874" s="188"/>
      <c r="AZ874" s="188"/>
      <c r="BA874" s="236"/>
      <c r="BB874" s="188"/>
      <c r="BC874" s="188"/>
      <c r="BD874" s="188"/>
      <c r="BE874" s="236"/>
      <c r="BG874" s="188"/>
      <c r="BH874" s="188"/>
      <c r="BI874" s="188"/>
      <c r="BJ874" s="188"/>
      <c r="BK874" s="188"/>
      <c r="BL874" s="188"/>
      <c r="BM874" s="188"/>
      <c r="BN874" s="188"/>
      <c r="BO874" s="188"/>
      <c r="BP874" s="188"/>
      <c r="BQ874" s="188"/>
      <c r="BR874" s="188"/>
      <c r="BS874" s="188"/>
    </row>
    <row r="875" spans="45:71" x14ac:dyDescent="0.3">
      <c r="AV875" s="123"/>
      <c r="AW875" s="123"/>
      <c r="AX875" s="188"/>
      <c r="AY875" s="188"/>
      <c r="AZ875" s="188"/>
      <c r="BA875" s="236"/>
      <c r="BB875" s="188"/>
      <c r="BC875" s="188"/>
      <c r="BD875" s="188"/>
      <c r="BE875" s="236"/>
      <c r="BG875" s="188"/>
      <c r="BH875" s="188"/>
      <c r="BI875" s="188"/>
      <c r="BJ875" s="188"/>
      <c r="BK875" s="188"/>
      <c r="BL875" s="188"/>
      <c r="BM875" s="188"/>
      <c r="BN875" s="188"/>
      <c r="BO875" s="188"/>
      <c r="BP875" s="188"/>
      <c r="BQ875" s="188"/>
      <c r="BR875" s="188"/>
      <c r="BS875" s="188"/>
    </row>
    <row r="876" spans="45:71" x14ac:dyDescent="0.3">
      <c r="AV876" s="123"/>
      <c r="AW876" s="123"/>
      <c r="AX876" s="188"/>
      <c r="AY876" s="188"/>
      <c r="AZ876" s="188"/>
      <c r="BA876" s="236"/>
      <c r="BB876" s="188"/>
      <c r="BC876" s="188"/>
      <c r="BD876" s="188"/>
      <c r="BE876" s="236"/>
      <c r="BG876" s="188"/>
      <c r="BH876" s="188"/>
      <c r="BI876" s="188"/>
      <c r="BJ876" s="188"/>
      <c r="BK876" s="188"/>
      <c r="BL876" s="188"/>
      <c r="BM876" s="188"/>
      <c r="BN876" s="188"/>
      <c r="BO876" s="188"/>
      <c r="BP876" s="188"/>
      <c r="BQ876" s="188"/>
      <c r="BR876" s="188"/>
      <c r="BS876" s="188"/>
    </row>
    <row r="877" spans="45:71" x14ac:dyDescent="0.3">
      <c r="AV877" s="123"/>
      <c r="AW877" s="123"/>
      <c r="AX877" s="188"/>
      <c r="AY877" s="188"/>
      <c r="AZ877" s="188"/>
      <c r="BA877" s="236"/>
      <c r="BB877" s="188"/>
      <c r="BC877" s="188"/>
      <c r="BD877" s="188"/>
      <c r="BE877" s="236"/>
      <c r="BG877" s="188"/>
      <c r="BH877" s="188"/>
      <c r="BI877" s="188"/>
      <c r="BJ877" s="188"/>
      <c r="BK877" s="188"/>
      <c r="BL877" s="188"/>
      <c r="BM877" s="188"/>
      <c r="BN877" s="188"/>
      <c r="BO877" s="188"/>
      <c r="BP877" s="188"/>
      <c r="BQ877" s="188"/>
      <c r="BR877" s="188"/>
      <c r="BS877" s="188"/>
    </row>
    <row r="878" spans="45:71" x14ac:dyDescent="0.3">
      <c r="AV878" s="123"/>
      <c r="AW878" s="123"/>
      <c r="AX878" s="188"/>
      <c r="AY878" s="188"/>
      <c r="AZ878" s="188"/>
      <c r="BA878" s="236"/>
      <c r="BB878" s="188"/>
      <c r="BC878" s="188"/>
      <c r="BD878" s="188"/>
      <c r="BE878" s="236"/>
      <c r="BG878" s="188"/>
      <c r="BH878" s="188"/>
      <c r="BI878" s="188"/>
      <c r="BJ878" s="188"/>
      <c r="BK878" s="188"/>
      <c r="BL878" s="188"/>
      <c r="BM878" s="188"/>
      <c r="BN878" s="188"/>
      <c r="BO878" s="188"/>
      <c r="BP878" s="188"/>
      <c r="BQ878" s="188"/>
      <c r="BR878" s="188"/>
      <c r="BS878" s="188"/>
    </row>
    <row r="879" spans="45:71" x14ac:dyDescent="0.3">
      <c r="AV879" s="123"/>
      <c r="AW879" s="123"/>
      <c r="AX879" s="188"/>
      <c r="AY879" s="188"/>
      <c r="AZ879" s="188"/>
      <c r="BA879" s="236"/>
      <c r="BB879" s="188"/>
      <c r="BC879" s="188"/>
      <c r="BD879" s="188"/>
      <c r="BE879" s="236"/>
      <c r="BG879" s="188"/>
      <c r="BH879" s="188"/>
      <c r="BI879" s="188"/>
      <c r="BJ879" s="188"/>
      <c r="BK879" s="188"/>
      <c r="BL879" s="188"/>
      <c r="BM879" s="188"/>
      <c r="BN879" s="188"/>
      <c r="BO879" s="188"/>
      <c r="BP879" s="188"/>
      <c r="BQ879" s="188"/>
      <c r="BR879" s="188"/>
      <c r="BS879" s="188"/>
    </row>
    <row r="880" spans="45:71" x14ac:dyDescent="0.3">
      <c r="AV880" s="123"/>
      <c r="AW880" s="123"/>
      <c r="AX880" s="188"/>
      <c r="AY880" s="188"/>
      <c r="AZ880" s="188"/>
      <c r="BA880" s="236"/>
      <c r="BB880" s="188"/>
      <c r="BC880" s="188"/>
      <c r="BD880" s="188"/>
      <c r="BE880" s="236"/>
      <c r="BG880" s="188"/>
      <c r="BH880" s="188"/>
      <c r="BI880" s="188"/>
      <c r="BJ880" s="188"/>
      <c r="BK880" s="188"/>
      <c r="BL880" s="188"/>
      <c r="BM880" s="188"/>
      <c r="BN880" s="188"/>
      <c r="BO880" s="188"/>
      <c r="BP880" s="188"/>
      <c r="BQ880" s="188"/>
      <c r="BR880" s="188"/>
      <c r="BS880" s="188"/>
    </row>
    <row r="881" spans="46:71" x14ac:dyDescent="0.3">
      <c r="AV881" s="123"/>
      <c r="AW881" s="123"/>
      <c r="AX881" s="188"/>
      <c r="AY881" s="188"/>
      <c r="AZ881" s="188"/>
      <c r="BA881" s="236"/>
      <c r="BB881" s="188"/>
      <c r="BC881" s="188"/>
      <c r="BD881" s="188"/>
      <c r="BE881" s="236"/>
      <c r="BG881" s="188"/>
      <c r="BH881" s="188"/>
      <c r="BI881" s="188"/>
      <c r="BJ881" s="188"/>
      <c r="BK881" s="188"/>
      <c r="BL881" s="188"/>
      <c r="BM881" s="188"/>
      <c r="BN881" s="188"/>
      <c r="BO881" s="188"/>
      <c r="BP881" s="188"/>
      <c r="BQ881" s="188"/>
      <c r="BR881" s="188"/>
      <c r="BS881" s="188"/>
    </row>
    <row r="882" spans="46:71" x14ac:dyDescent="0.3">
      <c r="AV882" s="123"/>
      <c r="AW882" s="123"/>
      <c r="AX882" s="188"/>
      <c r="AY882" s="188"/>
      <c r="AZ882" s="188"/>
      <c r="BA882" s="236"/>
      <c r="BB882" s="188"/>
      <c r="BC882" s="188"/>
      <c r="BD882" s="188"/>
      <c r="BE882" s="236"/>
      <c r="BG882" s="188"/>
      <c r="BH882" s="188"/>
      <c r="BI882" s="188"/>
      <c r="BJ882" s="188"/>
      <c r="BK882" s="188"/>
      <c r="BL882" s="188"/>
      <c r="BM882" s="188"/>
      <c r="BN882" s="188"/>
      <c r="BO882" s="188"/>
      <c r="BP882" s="188"/>
      <c r="BQ882" s="188"/>
      <c r="BR882" s="188"/>
      <c r="BS882" s="188"/>
    </row>
    <row r="883" spans="46:71" x14ac:dyDescent="0.3">
      <c r="AV883" s="123"/>
      <c r="AW883" s="123"/>
      <c r="AX883" s="188"/>
      <c r="AY883" s="188"/>
      <c r="AZ883" s="188"/>
      <c r="BA883" s="236"/>
      <c r="BB883" s="188"/>
      <c r="BC883" s="188"/>
      <c r="BD883" s="188"/>
      <c r="BE883" s="236"/>
      <c r="BG883" s="188"/>
      <c r="BH883" s="188"/>
      <c r="BI883" s="188"/>
      <c r="BJ883" s="188"/>
      <c r="BK883" s="188"/>
      <c r="BL883" s="188"/>
      <c r="BM883" s="188"/>
      <c r="BN883" s="188"/>
      <c r="BO883" s="188"/>
      <c r="BP883" s="188"/>
      <c r="BQ883" s="188"/>
      <c r="BR883" s="188"/>
      <c r="BS883" s="188"/>
    </row>
    <row r="884" spans="46:71" x14ac:dyDescent="0.3">
      <c r="AV884" s="123"/>
      <c r="AW884" s="123"/>
      <c r="AX884" s="188"/>
      <c r="AY884" s="188"/>
      <c r="AZ884" s="188"/>
      <c r="BA884" s="236"/>
      <c r="BB884" s="188"/>
      <c r="BC884" s="188"/>
      <c r="BD884" s="188"/>
      <c r="BE884" s="236"/>
      <c r="BG884" s="188"/>
      <c r="BH884" s="188"/>
      <c r="BI884" s="188"/>
      <c r="BJ884" s="188"/>
      <c r="BK884" s="188"/>
      <c r="BL884" s="188"/>
      <c r="BM884" s="188"/>
      <c r="BN884" s="188"/>
      <c r="BO884" s="188"/>
      <c r="BP884" s="188"/>
      <c r="BQ884" s="188"/>
      <c r="BR884" s="188"/>
      <c r="BS884" s="188"/>
    </row>
    <row r="885" spans="46:71" x14ac:dyDescent="0.3">
      <c r="AV885" s="123"/>
      <c r="AW885" s="123"/>
      <c r="AX885" s="188"/>
      <c r="AY885" s="188"/>
      <c r="AZ885" s="188"/>
      <c r="BA885" s="236"/>
      <c r="BB885" s="188"/>
      <c r="BC885" s="188"/>
      <c r="BD885" s="188"/>
      <c r="BE885" s="236"/>
      <c r="BG885" s="188"/>
      <c r="BH885" s="188"/>
      <c r="BI885" s="188"/>
      <c r="BJ885" s="188"/>
      <c r="BK885" s="188"/>
      <c r="BL885" s="188"/>
      <c r="BM885" s="188"/>
      <c r="BN885" s="188"/>
      <c r="BO885" s="188"/>
      <c r="BP885" s="188"/>
      <c r="BQ885" s="188"/>
      <c r="BR885" s="188"/>
      <c r="BS885" s="188"/>
    </row>
    <row r="886" spans="46:71" x14ac:dyDescent="0.3">
      <c r="AZ886" s="188"/>
      <c r="BB886" s="188"/>
      <c r="BC886" s="188"/>
      <c r="BD886" s="188"/>
      <c r="BG886" s="188"/>
      <c r="BH886" s="188"/>
      <c r="BI886" s="188"/>
      <c r="BJ886" s="188"/>
      <c r="BK886" s="188"/>
      <c r="BL886" s="188"/>
      <c r="BM886" s="188"/>
      <c r="BN886" s="188"/>
      <c r="BO886" s="188"/>
      <c r="BP886" s="188"/>
      <c r="BQ886" s="188"/>
      <c r="BR886" s="188"/>
      <c r="BS886" s="188"/>
    </row>
    <row r="887" spans="46:71" x14ac:dyDescent="0.3">
      <c r="AT887" s="42"/>
      <c r="AV887" s="123"/>
      <c r="AW887" s="123"/>
      <c r="AX887" s="188"/>
      <c r="AY887" s="188"/>
      <c r="AZ887" s="188"/>
      <c r="BA887" s="236"/>
      <c r="BB887" s="188"/>
      <c r="BC887" s="188"/>
      <c r="BD887" s="188"/>
      <c r="BE887" s="236"/>
    </row>
    <row r="888" spans="46:71" x14ac:dyDescent="0.3">
      <c r="AV888" s="123"/>
      <c r="AW888" s="123"/>
      <c r="AX888" s="188"/>
      <c r="AY888" s="188"/>
      <c r="AZ888" s="188"/>
      <c r="BA888" s="236"/>
      <c r="BB888" s="188"/>
      <c r="BC888" s="188"/>
      <c r="BD888" s="188"/>
      <c r="BE888" s="236"/>
    </row>
    <row r="889" spans="46:71" x14ac:dyDescent="0.3">
      <c r="AV889" s="123"/>
      <c r="AW889" s="123"/>
      <c r="AX889" s="188"/>
      <c r="AY889" s="188"/>
      <c r="AZ889" s="188"/>
      <c r="BA889" s="236"/>
      <c r="BB889" s="188"/>
      <c r="BC889" s="188"/>
      <c r="BD889" s="188"/>
      <c r="BE889" s="236"/>
    </row>
    <row r="890" spans="46:71" x14ac:dyDescent="0.3">
      <c r="AV890" s="123"/>
      <c r="AW890" s="123"/>
      <c r="AX890" s="188"/>
      <c r="AY890" s="188"/>
      <c r="AZ890" s="188"/>
      <c r="BA890" s="236"/>
      <c r="BB890" s="188"/>
      <c r="BC890" s="188"/>
      <c r="BD890" s="188"/>
      <c r="BE890" s="236"/>
    </row>
    <row r="891" spans="46:71" x14ac:dyDescent="0.3">
      <c r="AV891" s="123"/>
      <c r="AW891" s="123"/>
      <c r="AX891" s="188"/>
      <c r="AY891" s="188"/>
      <c r="AZ891" s="188"/>
      <c r="BA891" s="236"/>
      <c r="BB891" s="188"/>
      <c r="BC891" s="188"/>
      <c r="BD891" s="188"/>
      <c r="BE891" s="236"/>
    </row>
    <row r="892" spans="46:71" x14ac:dyDescent="0.3">
      <c r="AV892" s="123"/>
      <c r="AW892" s="123"/>
      <c r="AX892" s="188"/>
      <c r="AY892" s="188"/>
      <c r="AZ892" s="188"/>
      <c r="BA892" s="236"/>
      <c r="BB892" s="188"/>
      <c r="BC892" s="188"/>
      <c r="BD892" s="188"/>
      <c r="BE892" s="236"/>
    </row>
    <row r="893" spans="46:71" x14ac:dyDescent="0.3">
      <c r="AV893" s="123"/>
      <c r="AW893" s="123"/>
      <c r="AX893" s="188"/>
      <c r="AY893" s="188"/>
      <c r="AZ893" s="188"/>
      <c r="BA893" s="236"/>
      <c r="BB893" s="188"/>
      <c r="BC893" s="188"/>
      <c r="BD893" s="188"/>
      <c r="BE893" s="236"/>
    </row>
    <row r="894" spans="46:71" x14ac:dyDescent="0.3">
      <c r="AV894" s="123"/>
      <c r="AW894" s="123"/>
      <c r="AX894" s="188"/>
      <c r="AY894" s="188"/>
      <c r="AZ894" s="188"/>
      <c r="BA894" s="236"/>
      <c r="BB894" s="188"/>
      <c r="BC894" s="188"/>
      <c r="BD894" s="188"/>
      <c r="BE894" s="236"/>
    </row>
    <row r="895" spans="46:71" x14ac:dyDescent="0.3">
      <c r="AV895" s="123"/>
      <c r="AW895" s="123"/>
      <c r="AX895" s="188"/>
      <c r="AY895" s="188"/>
      <c r="AZ895" s="188"/>
      <c r="BA895" s="236"/>
      <c r="BB895" s="188"/>
      <c r="BC895" s="188"/>
      <c r="BD895" s="188"/>
      <c r="BE895" s="236"/>
    </row>
    <row r="896" spans="46:71" x14ac:dyDescent="0.3">
      <c r="AV896" s="123"/>
      <c r="AW896" s="123"/>
      <c r="AX896" s="188"/>
      <c r="AY896" s="188"/>
      <c r="AZ896" s="188"/>
      <c r="BA896" s="236"/>
      <c r="BB896" s="188"/>
      <c r="BC896" s="188"/>
      <c r="BD896" s="188"/>
      <c r="BE896" s="236"/>
    </row>
    <row r="897" spans="45:57" x14ac:dyDescent="0.3">
      <c r="AV897" s="123"/>
      <c r="AW897" s="123"/>
      <c r="AX897" s="188"/>
      <c r="AY897" s="188"/>
      <c r="AZ897" s="188"/>
      <c r="BA897" s="236"/>
      <c r="BB897" s="188"/>
      <c r="BC897" s="188"/>
      <c r="BD897" s="188"/>
      <c r="BE897" s="236"/>
    </row>
    <row r="898" spans="45:57" x14ac:dyDescent="0.3">
      <c r="AV898" s="123"/>
      <c r="AW898" s="123"/>
      <c r="AX898" s="188"/>
      <c r="AY898" s="188"/>
      <c r="AZ898" s="188"/>
      <c r="BA898" s="236"/>
      <c r="BB898" s="188"/>
      <c r="BC898" s="188"/>
      <c r="BD898" s="188"/>
      <c r="BE898" s="236"/>
    </row>
    <row r="899" spans="45:57" x14ac:dyDescent="0.3">
      <c r="AV899" s="123"/>
      <c r="AW899" s="123"/>
      <c r="AX899" s="188"/>
      <c r="AY899" s="188"/>
      <c r="AZ899" s="188"/>
      <c r="BA899" s="236"/>
      <c r="BB899" s="188"/>
      <c r="BC899" s="188"/>
      <c r="BD899" s="188"/>
      <c r="BE899" s="236"/>
    </row>
    <row r="900" spans="45:57" x14ac:dyDescent="0.3">
      <c r="AV900" s="123"/>
      <c r="AW900" s="123"/>
      <c r="AX900" s="188"/>
      <c r="AY900" s="188"/>
      <c r="AZ900" s="188"/>
      <c r="BA900" s="236"/>
      <c r="BB900" s="188"/>
      <c r="BC900" s="188"/>
      <c r="BD900" s="188"/>
      <c r="BE900" s="236"/>
    </row>
    <row r="901" spans="45:57" x14ac:dyDescent="0.3">
      <c r="AV901" s="123"/>
      <c r="AW901" s="123"/>
      <c r="AX901" s="188"/>
      <c r="AY901" s="188"/>
      <c r="AZ901" s="188"/>
      <c r="BA901" s="236"/>
      <c r="BB901" s="188"/>
      <c r="BC901" s="188"/>
      <c r="BD901" s="188"/>
      <c r="BE901" s="236"/>
    </row>
    <row r="902" spans="45:57" x14ac:dyDescent="0.3">
      <c r="AV902" s="123"/>
      <c r="AW902" s="123"/>
      <c r="AX902" s="188"/>
      <c r="AY902" s="188"/>
      <c r="AZ902" s="188"/>
      <c r="BA902" s="236"/>
      <c r="BB902" s="188"/>
      <c r="BC902" s="188"/>
      <c r="BD902" s="188"/>
      <c r="BE902" s="236"/>
    </row>
    <row r="903" spans="45:57" x14ac:dyDescent="0.3">
      <c r="AV903" s="123"/>
      <c r="AW903" s="123"/>
      <c r="AX903" s="188"/>
      <c r="AY903" s="188"/>
      <c r="AZ903" s="188"/>
      <c r="BA903" s="236"/>
      <c r="BB903" s="188"/>
      <c r="BC903" s="188"/>
      <c r="BD903" s="188"/>
      <c r="BE903" s="236"/>
    </row>
    <row r="904" spans="45:57" x14ac:dyDescent="0.3">
      <c r="AV904" s="123"/>
      <c r="AW904" s="123"/>
      <c r="AX904" s="188"/>
      <c r="AY904" s="188"/>
      <c r="AZ904" s="188"/>
      <c r="BA904" s="236"/>
      <c r="BB904" s="188"/>
      <c r="BC904" s="188"/>
      <c r="BD904" s="188"/>
      <c r="BE904" s="236"/>
    </row>
    <row r="905" spans="45:57" x14ac:dyDescent="0.3">
      <c r="BB905" s="188"/>
    </row>
    <row r="906" spans="45:57" x14ac:dyDescent="0.3">
      <c r="AU906" s="42"/>
      <c r="BB906" s="188"/>
    </row>
    <row r="907" spans="45:57" x14ac:dyDescent="0.3">
      <c r="AU907" s="42"/>
    </row>
    <row r="908" spans="45:57" x14ac:dyDescent="0.3">
      <c r="AU908" s="42"/>
      <c r="BB908" s="188"/>
    </row>
    <row r="909" spans="45:57" x14ac:dyDescent="0.3">
      <c r="AS909" s="42"/>
      <c r="AZ909" s="188"/>
      <c r="BB909" s="188"/>
    </row>
    <row r="910" spans="45:57" x14ac:dyDescent="0.3">
      <c r="AZ910" s="188"/>
      <c r="BB910" s="188"/>
    </row>
    <row r="911" spans="45:57" x14ac:dyDescent="0.3">
      <c r="AY911" s="188"/>
      <c r="AZ911" s="188"/>
      <c r="BB911" s="188"/>
    </row>
    <row r="912" spans="45:57" x14ac:dyDescent="0.3">
      <c r="AY912" s="42"/>
      <c r="AZ912" s="188"/>
      <c r="BB912" s="188"/>
    </row>
    <row r="913" spans="45:57" x14ac:dyDescent="0.3">
      <c r="AY913" s="42"/>
      <c r="AZ913" s="188"/>
      <c r="BB913" s="188"/>
    </row>
    <row r="914" spans="45:57" x14ac:dyDescent="0.3">
      <c r="AZ914" s="188"/>
      <c r="BB914" s="188"/>
      <c r="BD914" s="42"/>
    </row>
    <row r="915" spans="45:57" x14ac:dyDescent="0.3">
      <c r="AZ915" s="188"/>
      <c r="BB915" s="188"/>
      <c r="BD915" s="42"/>
    </row>
    <row r="916" spans="45:57" x14ac:dyDescent="0.3">
      <c r="AS916" s="42"/>
      <c r="AZ916" s="188"/>
      <c r="BB916" s="188"/>
      <c r="BD916" s="42"/>
    </row>
    <row r="917" spans="45:57" x14ac:dyDescent="0.3">
      <c r="AZ917" s="188"/>
      <c r="BB917" s="188"/>
    </row>
    <row r="918" spans="45:57" x14ac:dyDescent="0.3">
      <c r="AS918" s="135"/>
      <c r="AT918" s="135"/>
      <c r="AU918" s="135"/>
      <c r="AV918" s="135"/>
      <c r="AW918" s="135"/>
      <c r="AX918" s="135"/>
      <c r="AY918" s="135"/>
      <c r="AZ918" s="244"/>
      <c r="BA918" s="135"/>
      <c r="BB918" s="244"/>
      <c r="BC918" s="135"/>
      <c r="BD918" s="135"/>
      <c r="BE918" s="135"/>
    </row>
    <row r="919" spans="45:57" x14ac:dyDescent="0.3">
      <c r="AX919" s="42"/>
      <c r="AZ919" s="188"/>
      <c r="BB919" s="188"/>
    </row>
    <row r="920" spans="45:57" x14ac:dyDescent="0.3">
      <c r="AX920" s="135"/>
      <c r="AY920" s="135"/>
      <c r="AZ920" s="244"/>
      <c r="BA920" s="135"/>
      <c r="BB920" s="188"/>
      <c r="BC920" s="44"/>
      <c r="BD920" s="44"/>
    </row>
    <row r="921" spans="45:57" x14ac:dyDescent="0.3">
      <c r="AV921" s="44"/>
      <c r="AW921" s="44"/>
      <c r="AZ921" s="245"/>
      <c r="BA921" s="44"/>
      <c r="BB921" s="188"/>
      <c r="BC921" s="44"/>
      <c r="BD921" s="44"/>
      <c r="BE921" s="44"/>
    </row>
    <row r="922" spans="45:57" x14ac:dyDescent="0.3">
      <c r="AV922" s="44"/>
      <c r="AW922" s="44"/>
      <c r="AX922" s="44"/>
      <c r="AY922" s="44"/>
      <c r="AZ922" s="245"/>
      <c r="BA922" s="44"/>
      <c r="BB922" s="245"/>
      <c r="BC922" s="44"/>
      <c r="BD922" s="44"/>
      <c r="BE922" s="44"/>
    </row>
    <row r="923" spans="45:57" x14ac:dyDescent="0.3">
      <c r="AS923" s="44"/>
      <c r="AU923" s="42"/>
      <c r="AV923" s="44"/>
      <c r="AW923" s="44"/>
      <c r="AX923" s="44"/>
      <c r="AY923" s="44"/>
      <c r="AZ923" s="245"/>
      <c r="BA923" s="44"/>
      <c r="BB923" s="245"/>
      <c r="BC923" s="44"/>
      <c r="BD923" s="44"/>
      <c r="BE923" s="44"/>
    </row>
    <row r="924" spans="45:57" x14ac:dyDescent="0.3">
      <c r="AS924" s="44"/>
      <c r="AU924" s="42"/>
      <c r="AV924" s="44"/>
      <c r="AW924" s="44"/>
      <c r="AX924" s="44"/>
      <c r="AY924" s="44"/>
      <c r="AZ924" s="245"/>
      <c r="BA924" s="44"/>
      <c r="BB924" s="245"/>
      <c r="BC924" s="44"/>
      <c r="BD924" s="44"/>
      <c r="BE924" s="44"/>
    </row>
    <row r="925" spans="45:57" x14ac:dyDescent="0.3">
      <c r="AS925" s="135"/>
      <c r="AT925" s="135"/>
      <c r="AU925" s="135"/>
      <c r="AV925" s="135"/>
      <c r="AW925" s="135"/>
      <c r="AX925" s="135"/>
      <c r="AY925" s="135"/>
      <c r="AZ925" s="244"/>
      <c r="BA925" s="135"/>
      <c r="BB925" s="244"/>
      <c r="BC925" s="135"/>
      <c r="BD925" s="135"/>
      <c r="BE925" s="135"/>
    </row>
    <row r="926" spans="45:57" x14ac:dyDescent="0.3">
      <c r="AV926" s="44"/>
      <c r="AW926" s="44"/>
      <c r="AX926" s="44"/>
      <c r="AY926" s="44"/>
      <c r="AZ926" s="245"/>
      <c r="BA926" s="44"/>
      <c r="BB926" s="245"/>
      <c r="BC926" s="44"/>
      <c r="BD926" s="44"/>
      <c r="BE926" s="44"/>
    </row>
    <row r="927" spans="45:57" x14ac:dyDescent="0.3">
      <c r="AT927" s="42"/>
      <c r="AV927" s="123"/>
      <c r="AW927" s="123"/>
      <c r="AX927" s="188"/>
      <c r="AY927" s="188"/>
      <c r="AZ927" s="188"/>
      <c r="BA927" s="236"/>
      <c r="BB927" s="188"/>
      <c r="BC927" s="188"/>
      <c r="BD927" s="188"/>
      <c r="BE927" s="236"/>
    </row>
    <row r="928" spans="45:57" x14ac:dyDescent="0.3">
      <c r="AV928" s="123"/>
      <c r="AW928" s="123"/>
      <c r="AX928" s="188"/>
      <c r="AY928" s="188"/>
      <c r="AZ928" s="188"/>
      <c r="BA928" s="236"/>
      <c r="BB928" s="188"/>
      <c r="BC928" s="188"/>
      <c r="BD928" s="188"/>
      <c r="BE928" s="236"/>
    </row>
    <row r="929" spans="46:57" x14ac:dyDescent="0.3">
      <c r="AV929" s="123"/>
      <c r="AW929" s="123"/>
      <c r="AX929" s="188"/>
      <c r="AY929" s="188"/>
      <c r="AZ929" s="188"/>
      <c r="BA929" s="236"/>
      <c r="BB929" s="188"/>
      <c r="BC929" s="188"/>
      <c r="BD929" s="188"/>
      <c r="BE929" s="236"/>
    </row>
    <row r="930" spans="46:57" x14ac:dyDescent="0.3">
      <c r="AV930" s="123"/>
      <c r="AW930" s="123"/>
      <c r="AX930" s="188"/>
      <c r="AY930" s="188"/>
      <c r="AZ930" s="188"/>
      <c r="BA930" s="236"/>
      <c r="BB930" s="188"/>
      <c r="BC930" s="188"/>
      <c r="BD930" s="188"/>
      <c r="BE930" s="236"/>
    </row>
    <row r="931" spans="46:57" x14ac:dyDescent="0.3">
      <c r="AV931" s="123"/>
      <c r="AW931" s="123"/>
      <c r="AX931" s="188"/>
      <c r="AY931" s="188"/>
      <c r="AZ931" s="188"/>
      <c r="BA931" s="236"/>
      <c r="BB931" s="188"/>
      <c r="BC931" s="188"/>
      <c r="BD931" s="188"/>
      <c r="BE931" s="236"/>
    </row>
    <row r="932" spans="46:57" x14ac:dyDescent="0.3">
      <c r="AV932" s="123"/>
      <c r="AW932" s="123"/>
      <c r="AX932" s="188"/>
      <c r="AY932" s="188"/>
      <c r="AZ932" s="188"/>
      <c r="BA932" s="236"/>
      <c r="BB932" s="188"/>
      <c r="BC932" s="188"/>
      <c r="BD932" s="188"/>
      <c r="BE932" s="236"/>
    </row>
    <row r="933" spans="46:57" x14ac:dyDescent="0.3">
      <c r="AV933" s="123"/>
      <c r="AW933" s="123"/>
      <c r="AX933" s="188"/>
      <c r="AY933" s="188"/>
      <c r="AZ933" s="188"/>
      <c r="BA933" s="236"/>
      <c r="BB933" s="188"/>
      <c r="BC933" s="188"/>
      <c r="BD933" s="188"/>
      <c r="BE933" s="236"/>
    </row>
    <row r="934" spans="46:57" x14ac:dyDescent="0.3">
      <c r="AV934" s="123"/>
      <c r="AW934" s="123"/>
      <c r="AX934" s="188"/>
      <c r="AY934" s="188"/>
      <c r="AZ934" s="188"/>
      <c r="BA934" s="236"/>
      <c r="BB934" s="188"/>
      <c r="BC934" s="188"/>
      <c r="BD934" s="188"/>
      <c r="BE934" s="236"/>
    </row>
    <row r="935" spans="46:57" x14ac:dyDescent="0.3">
      <c r="AV935" s="123"/>
      <c r="AW935" s="123"/>
      <c r="AX935" s="188"/>
      <c r="AY935" s="188"/>
      <c r="AZ935" s="188"/>
      <c r="BA935" s="236"/>
      <c r="BB935" s="188"/>
      <c r="BC935" s="188"/>
      <c r="BD935" s="188"/>
      <c r="BE935" s="236"/>
    </row>
    <row r="936" spans="46:57" x14ac:dyDescent="0.3">
      <c r="AV936" s="123"/>
      <c r="AW936" s="123"/>
      <c r="AX936" s="188"/>
      <c r="AY936" s="188"/>
      <c r="AZ936" s="188"/>
      <c r="BA936" s="236"/>
      <c r="BB936" s="188"/>
      <c r="BC936" s="188"/>
      <c r="BD936" s="188"/>
      <c r="BE936" s="236"/>
    </row>
    <row r="937" spans="46:57" x14ac:dyDescent="0.3">
      <c r="AV937" s="123"/>
      <c r="AW937" s="123"/>
      <c r="BB937" s="188"/>
    </row>
    <row r="938" spans="46:57" x14ac:dyDescent="0.3">
      <c r="AT938" s="42"/>
      <c r="AV938" s="123"/>
      <c r="AW938" s="123"/>
      <c r="AX938" s="188"/>
      <c r="AY938" s="188"/>
      <c r="AZ938" s="188"/>
      <c r="BA938" s="236"/>
      <c r="BB938" s="188"/>
      <c r="BC938" s="188"/>
      <c r="BD938" s="188"/>
      <c r="BE938" s="236"/>
    </row>
    <row r="939" spans="46:57" x14ac:dyDescent="0.3">
      <c r="AV939" s="123"/>
      <c r="AW939" s="123"/>
      <c r="AX939" s="188"/>
      <c r="AY939" s="188"/>
      <c r="AZ939" s="188"/>
      <c r="BA939" s="236"/>
      <c r="BB939" s="188"/>
      <c r="BC939" s="188"/>
      <c r="BD939" s="188"/>
      <c r="BE939" s="236"/>
    </row>
    <row r="940" spans="46:57" x14ac:dyDescent="0.3">
      <c r="AV940" s="123"/>
      <c r="AW940" s="123"/>
      <c r="AX940" s="188"/>
      <c r="AY940" s="188"/>
      <c r="AZ940" s="188"/>
      <c r="BA940" s="236"/>
      <c r="BB940" s="188"/>
      <c r="BC940" s="188"/>
      <c r="BD940" s="188"/>
      <c r="BE940" s="236"/>
    </row>
    <row r="941" spans="46:57" x14ac:dyDescent="0.3">
      <c r="AV941" s="123"/>
      <c r="AW941" s="123"/>
      <c r="AX941" s="188"/>
      <c r="AY941" s="188"/>
      <c r="AZ941" s="188"/>
      <c r="BA941" s="236"/>
      <c r="BB941" s="188"/>
      <c r="BC941" s="188"/>
      <c r="BD941" s="188"/>
      <c r="BE941" s="236"/>
    </row>
    <row r="942" spans="46:57" x14ac:dyDescent="0.3">
      <c r="AV942" s="123"/>
      <c r="AW942" s="123"/>
      <c r="AX942" s="188"/>
      <c r="AY942" s="188"/>
      <c r="AZ942" s="188"/>
      <c r="BA942" s="236"/>
      <c r="BB942" s="188"/>
      <c r="BC942" s="188"/>
      <c r="BD942" s="188"/>
      <c r="BE942" s="236"/>
    </row>
    <row r="943" spans="46:57" x14ac:dyDescent="0.3">
      <c r="AV943" s="123"/>
      <c r="AW943" s="123"/>
      <c r="AX943" s="188"/>
      <c r="AY943" s="188"/>
      <c r="AZ943" s="188"/>
      <c r="BA943" s="236"/>
      <c r="BB943" s="188"/>
      <c r="BC943" s="188"/>
      <c r="BD943" s="188"/>
      <c r="BE943" s="236"/>
    </row>
    <row r="944" spans="46:57" x14ac:dyDescent="0.3">
      <c r="AV944" s="123"/>
      <c r="AW944" s="123"/>
      <c r="AX944" s="188"/>
      <c r="AY944" s="188"/>
      <c r="AZ944" s="188"/>
      <c r="BA944" s="236"/>
      <c r="BB944" s="188"/>
      <c r="BC944" s="188"/>
      <c r="BD944" s="188"/>
      <c r="BE944" s="236"/>
    </row>
    <row r="945" spans="45:57" x14ac:dyDescent="0.3">
      <c r="AV945" s="123"/>
      <c r="AW945" s="123"/>
      <c r="AX945" s="188"/>
      <c r="AY945" s="188"/>
      <c r="AZ945" s="188"/>
      <c r="BA945" s="236"/>
      <c r="BB945" s="188"/>
      <c r="BC945" s="188"/>
      <c r="BD945" s="188"/>
      <c r="BE945" s="236"/>
    </row>
    <row r="946" spans="45:57" x14ac:dyDescent="0.3">
      <c r="AV946" s="123"/>
      <c r="AW946" s="123"/>
      <c r="AX946" s="188"/>
      <c r="AY946" s="188"/>
      <c r="AZ946" s="188"/>
      <c r="BA946" s="236"/>
      <c r="BB946" s="188"/>
      <c r="BC946" s="188"/>
      <c r="BD946" s="188"/>
      <c r="BE946" s="236"/>
    </row>
    <row r="947" spans="45:57" x14ac:dyDescent="0.3">
      <c r="AV947" s="123"/>
      <c r="AW947" s="123"/>
      <c r="AX947" s="188"/>
      <c r="AY947" s="188"/>
      <c r="AZ947" s="188"/>
      <c r="BA947" s="236"/>
      <c r="BB947" s="188"/>
      <c r="BC947" s="188"/>
      <c r="BD947" s="188"/>
      <c r="BE947" s="236"/>
    </row>
    <row r="949" spans="45:57" x14ac:dyDescent="0.3">
      <c r="AU949" s="42"/>
    </row>
    <row r="950" spans="45:57" x14ac:dyDescent="0.3">
      <c r="AU950" s="42"/>
    </row>
    <row r="951" spans="45:57" x14ac:dyDescent="0.3">
      <c r="AU951" s="42"/>
    </row>
    <row r="952" spans="45:57" x14ac:dyDescent="0.3">
      <c r="AS952" s="42"/>
    </row>
    <row r="973" spans="52:71" x14ac:dyDescent="0.3">
      <c r="AZ973" s="188"/>
      <c r="BB973" s="188"/>
      <c r="BC973" s="188"/>
      <c r="BD973" s="188"/>
      <c r="BG973" s="188"/>
      <c r="BH973" s="188"/>
      <c r="BI973" s="188"/>
      <c r="BJ973" s="188"/>
      <c r="BK973" s="188"/>
      <c r="BL973" s="188"/>
      <c r="BM973" s="188"/>
      <c r="BN973" s="188"/>
      <c r="BO973" s="188"/>
      <c r="BP973" s="188"/>
      <c r="BQ973" s="188"/>
      <c r="BR973" s="188"/>
      <c r="BS973" s="188"/>
    </row>
    <row r="974" spans="52:71" x14ac:dyDescent="0.3">
      <c r="AZ974" s="188"/>
      <c r="BB974" s="188"/>
      <c r="BC974" s="188"/>
      <c r="BD974" s="188"/>
      <c r="BG974" s="188"/>
      <c r="BH974" s="188"/>
      <c r="BI974" s="188"/>
      <c r="BJ974" s="188"/>
      <c r="BK974" s="188"/>
      <c r="BL974" s="188"/>
      <c r="BM974" s="188"/>
      <c r="BN974" s="188"/>
      <c r="BO974" s="188"/>
      <c r="BP974" s="188"/>
      <c r="BQ974" s="188"/>
      <c r="BR974" s="188"/>
      <c r="BS974" s="188"/>
    </row>
    <row r="975" spans="52:71" x14ac:dyDescent="0.3">
      <c r="AZ975" s="188"/>
      <c r="BB975" s="188"/>
      <c r="BC975" s="188"/>
      <c r="BD975" s="188"/>
      <c r="BG975" s="188"/>
      <c r="BH975" s="188"/>
      <c r="BI975" s="188"/>
      <c r="BJ975" s="188"/>
      <c r="BK975" s="188"/>
      <c r="BL975" s="188"/>
      <c r="BM975" s="188"/>
      <c r="BN975" s="188"/>
      <c r="BO975" s="188"/>
      <c r="BP975" s="188"/>
      <c r="BQ975" s="188"/>
      <c r="BR975" s="188"/>
      <c r="BS975" s="188"/>
    </row>
    <row r="976" spans="52:71" x14ac:dyDescent="0.3">
      <c r="AZ976" s="188"/>
      <c r="BB976" s="188"/>
      <c r="BC976" s="188"/>
      <c r="BD976" s="188"/>
      <c r="BG976" s="188"/>
      <c r="BH976" s="188"/>
      <c r="BI976" s="188"/>
      <c r="BJ976" s="188"/>
      <c r="BK976" s="188"/>
      <c r="BL976" s="188"/>
      <c r="BM976" s="188"/>
      <c r="BN976" s="188"/>
      <c r="BO976" s="188"/>
      <c r="BP976" s="188"/>
      <c r="BQ976" s="188"/>
      <c r="BR976" s="188"/>
      <c r="BS976" s="188"/>
    </row>
    <row r="977" spans="52:71" x14ac:dyDescent="0.3">
      <c r="AZ977" s="188"/>
      <c r="BB977" s="188"/>
      <c r="BC977" s="188"/>
      <c r="BD977" s="188"/>
      <c r="BG977" s="188"/>
      <c r="BH977" s="188"/>
      <c r="BI977" s="188"/>
      <c r="BJ977" s="188"/>
      <c r="BK977" s="188"/>
      <c r="BL977" s="188"/>
      <c r="BM977" s="188"/>
      <c r="BN977" s="188"/>
      <c r="BO977" s="188"/>
      <c r="BP977" s="188"/>
      <c r="BQ977" s="188"/>
      <c r="BR977" s="188"/>
      <c r="BS977" s="188"/>
    </row>
    <row r="978" spans="52:71" x14ac:dyDescent="0.3">
      <c r="AZ978" s="188"/>
      <c r="BB978" s="188"/>
      <c r="BC978" s="188"/>
      <c r="BD978" s="188"/>
      <c r="BG978" s="188"/>
      <c r="BH978" s="188"/>
      <c r="BI978" s="188"/>
      <c r="BJ978" s="188"/>
      <c r="BK978" s="188"/>
      <c r="BL978" s="188"/>
      <c r="BM978" s="188"/>
      <c r="BN978" s="188"/>
      <c r="BO978" s="188"/>
      <c r="BP978" s="188"/>
      <c r="BQ978" s="188"/>
      <c r="BR978" s="188"/>
      <c r="BS978" s="188"/>
    </row>
    <row r="979" spans="52:71" x14ac:dyDescent="0.3">
      <c r="AZ979" s="188"/>
      <c r="BB979" s="188"/>
      <c r="BC979" s="188"/>
      <c r="BD979" s="188"/>
      <c r="BG979" s="188"/>
      <c r="BH979" s="188"/>
      <c r="BI979" s="188"/>
      <c r="BJ979" s="188"/>
      <c r="BK979" s="188"/>
      <c r="BL979" s="188"/>
      <c r="BM979" s="188"/>
      <c r="BN979" s="188"/>
      <c r="BO979" s="188"/>
      <c r="BP979" s="188"/>
      <c r="BQ979" s="188"/>
      <c r="BR979" s="188"/>
      <c r="BS979" s="188"/>
    </row>
    <row r="980" spans="52:71" x14ac:dyDescent="0.3">
      <c r="AZ980" s="188"/>
      <c r="BB980" s="188"/>
      <c r="BC980" s="188"/>
      <c r="BD980" s="188"/>
      <c r="BG980" s="188"/>
      <c r="BH980" s="188"/>
      <c r="BI980" s="188"/>
      <c r="BJ980" s="188"/>
      <c r="BK980" s="188"/>
      <c r="BL980" s="188"/>
      <c r="BM980" s="188"/>
      <c r="BN980" s="188"/>
      <c r="BO980" s="188"/>
      <c r="BP980" s="188"/>
      <c r="BQ980" s="188"/>
      <c r="BR980" s="188"/>
      <c r="BS980" s="188"/>
    </row>
    <row r="981" spans="52:71" x14ac:dyDescent="0.3">
      <c r="AZ981" s="188"/>
      <c r="BB981" s="188"/>
      <c r="BC981" s="188"/>
      <c r="BD981" s="188"/>
      <c r="BG981" s="188"/>
      <c r="BH981" s="188"/>
      <c r="BI981" s="188"/>
      <c r="BJ981" s="188"/>
      <c r="BK981" s="188"/>
      <c r="BL981" s="188"/>
      <c r="BM981" s="188"/>
      <c r="BN981" s="188"/>
      <c r="BO981" s="188"/>
      <c r="BP981" s="188"/>
      <c r="BQ981" s="188"/>
      <c r="BR981" s="188"/>
      <c r="BS981" s="188"/>
    </row>
    <row r="982" spans="52:71" x14ac:dyDescent="0.3">
      <c r="AZ982" s="188"/>
      <c r="BB982" s="188"/>
      <c r="BC982" s="188"/>
      <c r="BD982" s="188"/>
      <c r="BG982" s="188"/>
      <c r="BH982" s="188"/>
      <c r="BI982" s="188"/>
      <c r="BJ982" s="188"/>
      <c r="BK982" s="188"/>
      <c r="BL982" s="188"/>
      <c r="BM982" s="188"/>
      <c r="BN982" s="188"/>
      <c r="BO982" s="188"/>
      <c r="BP982" s="188"/>
      <c r="BQ982" s="188"/>
      <c r="BR982" s="188"/>
      <c r="BS982" s="188"/>
    </row>
    <row r="983" spans="52:71" x14ac:dyDescent="0.3">
      <c r="AZ983" s="188"/>
      <c r="BB983" s="188"/>
      <c r="BC983" s="188"/>
      <c r="BD983" s="188"/>
      <c r="BG983" s="188"/>
      <c r="BH983" s="188"/>
      <c r="BI983" s="188"/>
      <c r="BJ983" s="188"/>
      <c r="BK983" s="188"/>
      <c r="BL983" s="188"/>
      <c r="BM983" s="188"/>
      <c r="BN983" s="188"/>
      <c r="BO983" s="188"/>
      <c r="BP983" s="188"/>
      <c r="BQ983" s="188"/>
      <c r="BR983" s="188"/>
      <c r="BS983" s="188"/>
    </row>
    <row r="984" spans="52:71" x14ac:dyDescent="0.3">
      <c r="AZ984" s="188"/>
      <c r="BB984" s="188"/>
      <c r="BC984" s="188"/>
      <c r="BD984" s="188"/>
      <c r="BG984" s="188"/>
      <c r="BH984" s="188"/>
      <c r="BI984" s="188"/>
      <c r="BJ984" s="188"/>
      <c r="BK984" s="188"/>
      <c r="BL984" s="188"/>
      <c r="BM984" s="188"/>
      <c r="BN984" s="188"/>
      <c r="BO984" s="188"/>
      <c r="BP984" s="188"/>
      <c r="BQ984" s="188"/>
      <c r="BR984" s="188"/>
      <c r="BS984" s="188"/>
    </row>
    <row r="985" spans="52:71" x14ac:dyDescent="0.3">
      <c r="AZ985" s="188"/>
      <c r="BG985" s="188"/>
      <c r="BH985" s="188"/>
      <c r="BI985" s="188"/>
      <c r="BJ985" s="188"/>
      <c r="BK985" s="188"/>
      <c r="BL985" s="188"/>
      <c r="BM985" s="188"/>
      <c r="BN985" s="188"/>
      <c r="BO985" s="188"/>
      <c r="BP985" s="188"/>
      <c r="BQ985" s="188"/>
      <c r="BR985" s="188"/>
      <c r="BS985" s="188"/>
    </row>
    <row r="986" spans="52:71" x14ac:dyDescent="0.3">
      <c r="AZ986" s="188"/>
      <c r="BG986" s="188"/>
      <c r="BH986" s="188"/>
      <c r="BI986" s="188"/>
      <c r="BJ986" s="188"/>
      <c r="BK986" s="188"/>
      <c r="BL986" s="188"/>
      <c r="BM986" s="188"/>
      <c r="BN986" s="188"/>
      <c r="BO986" s="188"/>
      <c r="BP986" s="188"/>
      <c r="BQ986" s="188"/>
      <c r="BR986" s="188"/>
      <c r="BS986" s="188"/>
    </row>
    <row r="987" spans="52:71" x14ac:dyDescent="0.3">
      <c r="AZ987" s="188"/>
      <c r="BG987" s="188"/>
      <c r="BH987" s="188"/>
      <c r="BI987" s="188"/>
      <c r="BJ987" s="188"/>
      <c r="BK987" s="188"/>
      <c r="BL987" s="188"/>
      <c r="BM987" s="188"/>
      <c r="BN987" s="188"/>
      <c r="BO987" s="188"/>
      <c r="BP987" s="188"/>
      <c r="BQ987" s="188"/>
      <c r="BR987" s="188"/>
      <c r="BS987" s="188"/>
    </row>
    <row r="988" spans="52:71" x14ac:dyDescent="0.3">
      <c r="AZ988" s="188"/>
      <c r="BG988" s="188"/>
      <c r="BH988" s="188"/>
      <c r="BI988" s="188"/>
      <c r="BJ988" s="188"/>
      <c r="BK988" s="188"/>
      <c r="BL988" s="188"/>
      <c r="BM988" s="188"/>
      <c r="BN988" s="188"/>
      <c r="BO988" s="188"/>
      <c r="BP988" s="188"/>
      <c r="BQ988" s="188"/>
      <c r="BR988" s="188"/>
      <c r="BS988" s="188"/>
    </row>
    <row r="989" spans="52:71" x14ac:dyDescent="0.3">
      <c r="AZ989" s="188"/>
      <c r="BG989" s="188"/>
      <c r="BH989" s="188"/>
      <c r="BI989" s="188"/>
      <c r="BJ989" s="188"/>
      <c r="BK989" s="188"/>
      <c r="BL989" s="188"/>
      <c r="BM989" s="188"/>
      <c r="BN989" s="188"/>
      <c r="BO989" s="188"/>
      <c r="BP989" s="188"/>
      <c r="BQ989" s="188"/>
      <c r="BR989" s="188"/>
      <c r="BS989" s="188"/>
    </row>
    <row r="990" spans="52:71" x14ac:dyDescent="0.3">
      <c r="AZ990" s="188"/>
      <c r="BG990" s="188"/>
      <c r="BH990" s="188"/>
      <c r="BI990" s="188"/>
      <c r="BJ990" s="188"/>
      <c r="BK990" s="188"/>
      <c r="BL990" s="188"/>
      <c r="BM990" s="188"/>
      <c r="BN990" s="188"/>
      <c r="BO990" s="188"/>
      <c r="BP990" s="188"/>
      <c r="BQ990" s="188"/>
      <c r="BR990" s="188"/>
      <c r="BS990" s="188"/>
    </row>
    <row r="991" spans="52:71" x14ac:dyDescent="0.3">
      <c r="AZ991" s="188"/>
      <c r="BG991" s="188"/>
      <c r="BH991" s="188"/>
      <c r="BI991" s="188"/>
      <c r="BJ991" s="188"/>
      <c r="BK991" s="188"/>
      <c r="BL991" s="188"/>
      <c r="BM991" s="188"/>
      <c r="BN991" s="188"/>
      <c r="BO991" s="188"/>
      <c r="BP991" s="188"/>
      <c r="BQ991" s="188"/>
      <c r="BR991" s="188"/>
      <c r="BS991" s="188"/>
    </row>
    <row r="992" spans="52:71" x14ac:dyDescent="0.3">
      <c r="AZ992" s="188"/>
    </row>
    <row r="993" spans="1:52" x14ac:dyDescent="0.3">
      <c r="AZ993" s="188"/>
    </row>
    <row r="1007" spans="1:52" x14ac:dyDescent="0.3">
      <c r="A1007" s="42"/>
    </row>
    <row r="1010" spans="1:28" x14ac:dyDescent="0.3">
      <c r="Y1010" s="42"/>
    </row>
    <row r="1011" spans="1:28" x14ac:dyDescent="0.3">
      <c r="A1011" s="42"/>
      <c r="H1011" s="42"/>
      <c r="I1011" s="42"/>
    </row>
    <row r="1012" spans="1:28" x14ac:dyDescent="0.3">
      <c r="A1012" s="42"/>
      <c r="V1012" s="44"/>
      <c r="AA1012" s="44"/>
      <c r="AB1012" s="44"/>
    </row>
    <row r="1013" spans="1:28" x14ac:dyDescent="0.3">
      <c r="A1013" s="42"/>
      <c r="V1013" s="135"/>
      <c r="AA1013" s="135"/>
      <c r="AB1013" s="135"/>
    </row>
    <row r="1014" spans="1:28" x14ac:dyDescent="0.3">
      <c r="A1014" s="42"/>
      <c r="U1014" s="42"/>
      <c r="AA1014" s="44"/>
      <c r="AB1014" s="44"/>
    </row>
    <row r="1015" spans="1:28" x14ac:dyDescent="0.3">
      <c r="A1015" s="42"/>
    </row>
    <row r="1016" spans="1:28" x14ac:dyDescent="0.3">
      <c r="A1016" s="42"/>
      <c r="U1016" s="42"/>
      <c r="AA1016" s="44"/>
      <c r="AB1016" s="44"/>
    </row>
    <row r="1017" spans="1:28" x14ac:dyDescent="0.3">
      <c r="A1017" s="42"/>
    </row>
    <row r="1018" spans="1:28" x14ac:dyDescent="0.3">
      <c r="A1018" s="42"/>
      <c r="U1018" s="42"/>
      <c r="V1018" s="247"/>
      <c r="AA1018" s="44"/>
      <c r="AB1018" s="44"/>
    </row>
    <row r="1019" spans="1:28" x14ac:dyDescent="0.3">
      <c r="A1019" s="42"/>
    </row>
    <row r="1020" spans="1:28" x14ac:dyDescent="0.3">
      <c r="A1020" s="42"/>
      <c r="U1020" s="42"/>
      <c r="AA1020" s="44"/>
      <c r="AB1020" s="44"/>
    </row>
    <row r="1021" spans="1:28" x14ac:dyDescent="0.3">
      <c r="A1021" s="42"/>
    </row>
    <row r="1022" spans="1:28" x14ac:dyDescent="0.3">
      <c r="A1022" s="42"/>
      <c r="U1022" s="42"/>
      <c r="AA1022" s="44"/>
      <c r="AB1022" s="44"/>
    </row>
    <row r="1023" spans="1:28" x14ac:dyDescent="0.3">
      <c r="A1023" s="42"/>
    </row>
    <row r="1024" spans="1:28" x14ac:dyDescent="0.3">
      <c r="A1024" s="42"/>
    </row>
    <row r="1025" spans="1:9" x14ac:dyDescent="0.3">
      <c r="A1025" s="42"/>
    </row>
    <row r="1026" spans="1:9" x14ac:dyDescent="0.3">
      <c r="A1026" s="42"/>
    </row>
    <row r="1027" spans="1:9" x14ac:dyDescent="0.3">
      <c r="A1027" s="42"/>
    </row>
    <row r="1028" spans="1:9" x14ac:dyDescent="0.3">
      <c r="A1028" s="42"/>
    </row>
    <row r="1029" spans="1:9" x14ac:dyDescent="0.3">
      <c r="A1029" s="42"/>
    </row>
    <row r="1030" spans="1:9" x14ac:dyDescent="0.3">
      <c r="A1030" s="42"/>
    </row>
    <row r="1031" spans="1:9" x14ac:dyDescent="0.3">
      <c r="A1031" s="42"/>
    </row>
    <row r="1032" spans="1:9" x14ac:dyDescent="0.3">
      <c r="A1032" s="42"/>
    </row>
    <row r="1033" spans="1:9" x14ac:dyDescent="0.3">
      <c r="A1033" s="42"/>
      <c r="H1033" s="42"/>
      <c r="I1033" s="42"/>
    </row>
    <row r="1036" spans="1:9" x14ac:dyDescent="0.3">
      <c r="A1036" s="42"/>
    </row>
    <row r="1039" spans="1:9" x14ac:dyDescent="0.3">
      <c r="A1039" s="42"/>
    </row>
    <row r="1042" spans="1:1" x14ac:dyDescent="0.3">
      <c r="A1042" s="42"/>
    </row>
    <row r="1043" spans="1:1" x14ac:dyDescent="0.3">
      <c r="A1043" s="42"/>
    </row>
    <row r="1044" spans="1:1" x14ac:dyDescent="0.3">
      <c r="A1044" s="42"/>
    </row>
    <row r="1045" spans="1:1" x14ac:dyDescent="0.3">
      <c r="A1045" s="42"/>
    </row>
    <row r="1046" spans="1:1" x14ac:dyDescent="0.3">
      <c r="A1046" s="42"/>
    </row>
    <row r="1047" spans="1:1" x14ac:dyDescent="0.3">
      <c r="A1047" s="42"/>
    </row>
    <row r="1048" spans="1:1" x14ac:dyDescent="0.3">
      <c r="A1048" s="42"/>
    </row>
    <row r="1049" spans="1:1" x14ac:dyDescent="0.3">
      <c r="A1049" s="42"/>
    </row>
    <row r="1050" spans="1:1" x14ac:dyDescent="0.3">
      <c r="A1050" s="42"/>
    </row>
    <row r="1051" spans="1:1" x14ac:dyDescent="0.3">
      <c r="A1051" s="42"/>
    </row>
    <row r="1052" spans="1:1" x14ac:dyDescent="0.3">
      <c r="A1052" s="42"/>
    </row>
    <row r="1053" spans="1:1" x14ac:dyDescent="0.3">
      <c r="A1053" s="42"/>
    </row>
    <row r="1054" spans="1:1" x14ac:dyDescent="0.3">
      <c r="A1054" s="42"/>
    </row>
    <row r="1055" spans="1:1" x14ac:dyDescent="0.3">
      <c r="A1055" s="42"/>
    </row>
    <row r="1056" spans="1:1" x14ac:dyDescent="0.3">
      <c r="A1056" s="42"/>
    </row>
    <row r="1057" spans="1:1" x14ac:dyDescent="0.3">
      <c r="A1057" s="42"/>
    </row>
    <row r="1058" spans="1:1" x14ac:dyDescent="0.3">
      <c r="A1058" s="42"/>
    </row>
    <row r="1059" spans="1:1" x14ac:dyDescent="0.3">
      <c r="A1059" s="42"/>
    </row>
    <row r="1060" spans="1:1" x14ac:dyDescent="0.3">
      <c r="A1060" s="42"/>
    </row>
    <row r="1061" spans="1:1" x14ac:dyDescent="0.3">
      <c r="A1061" s="42"/>
    </row>
    <row r="1062" spans="1:1" x14ac:dyDescent="0.3">
      <c r="A1062" s="42"/>
    </row>
    <row r="1063" spans="1:1" x14ac:dyDescent="0.3">
      <c r="A1063" s="42"/>
    </row>
    <row r="1064" spans="1:1" x14ac:dyDescent="0.3">
      <c r="A1064" s="42"/>
    </row>
    <row r="1065" spans="1:1" x14ac:dyDescent="0.3">
      <c r="A1065" s="42"/>
    </row>
    <row r="1066" spans="1:1" x14ac:dyDescent="0.3">
      <c r="A1066" s="42"/>
    </row>
    <row r="1067" spans="1:1" x14ac:dyDescent="0.3">
      <c r="A1067" s="42"/>
    </row>
    <row r="1068" spans="1:1" x14ac:dyDescent="0.3">
      <c r="A1068" s="42"/>
    </row>
    <row r="1069" spans="1:1" x14ac:dyDescent="0.3">
      <c r="A1069" s="42"/>
    </row>
    <row r="1070" spans="1:1" x14ac:dyDescent="0.3">
      <c r="A1070" s="42"/>
    </row>
    <row r="1071" spans="1:1" x14ac:dyDescent="0.3">
      <c r="A1071" s="42"/>
    </row>
    <row r="1072" spans="1:1" x14ac:dyDescent="0.3">
      <c r="A1072" s="42"/>
    </row>
    <row r="1073" spans="1:1" x14ac:dyDescent="0.3">
      <c r="A1073" s="42"/>
    </row>
    <row r="1074" spans="1:1" x14ac:dyDescent="0.3">
      <c r="A1074" s="42"/>
    </row>
    <row r="1075" spans="1:1" x14ac:dyDescent="0.3">
      <c r="A1075" s="42"/>
    </row>
    <row r="1076" spans="1:1" x14ac:dyDescent="0.3">
      <c r="A1076" s="42"/>
    </row>
    <row r="1081" spans="1:1" x14ac:dyDescent="0.3">
      <c r="A1081" s="42"/>
    </row>
    <row r="1082" spans="1:1" x14ac:dyDescent="0.3">
      <c r="A1082" s="42"/>
    </row>
    <row r="1085" spans="1:1" x14ac:dyDescent="0.3">
      <c r="A1085" s="42"/>
    </row>
    <row r="1087" spans="1:1" x14ac:dyDescent="0.3">
      <c r="A1087" s="42"/>
    </row>
    <row r="1089" spans="1:1" x14ac:dyDescent="0.3">
      <c r="A1089" s="42"/>
    </row>
    <row r="1091" spans="1:1" x14ac:dyDescent="0.3">
      <c r="A1091" s="42"/>
    </row>
    <row r="1094" spans="1:1" x14ac:dyDescent="0.3">
      <c r="A1094" s="42"/>
    </row>
    <row r="1095" spans="1:1" x14ac:dyDescent="0.3">
      <c r="A1095" s="42"/>
    </row>
    <row r="1096" spans="1:1" x14ac:dyDescent="0.3">
      <c r="A1096" s="42"/>
    </row>
    <row r="1097" spans="1:1" x14ac:dyDescent="0.3">
      <c r="A1097" s="42"/>
    </row>
    <row r="1098" spans="1:1" x14ac:dyDescent="0.3">
      <c r="A1098" s="42"/>
    </row>
    <row r="1099" spans="1:1" x14ac:dyDescent="0.3">
      <c r="A1099" s="42"/>
    </row>
    <row r="1100" spans="1:1" x14ac:dyDescent="0.3">
      <c r="A1100" s="42"/>
    </row>
    <row r="1101" spans="1:1" x14ac:dyDescent="0.3">
      <c r="A1101" s="42"/>
    </row>
  </sheetData>
  <customSheetViews>
    <customSheetView guid="{195DF303-1BBD-4236-94B5-47432850B006}" scale="75" fitToPage="1" showRuler="0">
      <pane xSplit="9.9418604651162799" topLeftCell="T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1"/>
      <headerFooter alignWithMargins="0"/>
    </customSheetView>
    <customSheetView guid="{0C49E549-011E-46F4-A82E-2CC8951A9C1E}" scale="75" fitToPage="1" showRuler="0">
      <pane xSplit="11.181818181818182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2"/>
      <headerFooter alignWithMargins="0"/>
    </customSheetView>
    <customSheetView guid="{4BC93440-BA85-4935-A8C9-66DC6AE5DE5E}" scale="75" fitToPage="1" showRuler="0" topLeftCell="Z90">
      <selection activeCell="AM99" sqref="AM99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8" orientation="landscape" r:id="rId3"/>
      <headerFooter alignWithMargins="0"/>
    </customSheetView>
    <customSheetView guid="{2431C9E5-7CC2-4B8D-99C3-962247B1DBF5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8" orientation="landscape" r:id="rId4"/>
      <headerFooter alignWithMargins="0"/>
    </customSheetView>
    <customSheetView guid="{2EA35095-1ADC-4CC7-8C3C-B487D65FA247}" scale="75" fitToPage="1" showRuler="0">
      <pane xSplit="17.961290322580645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5"/>
      <headerFooter alignWithMargins="0"/>
    </customSheetView>
    <customSheetView guid="{8FC77C99-DBF7-40B8-99B8-01B75826CDCB}" scale="75" fitToPage="1" showRuler="0">
      <pane xSplit="19.114285714285714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6"/>
      <headerFooter alignWithMargins="0"/>
    </customSheetView>
    <customSheetView guid="{8FB94551-8874-4095-B8FB-5316E0D2FD2C}" scale="75" fitToPage="1" showRuler="0">
      <pane xSplit="19.114285714285714" topLeftCell="T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7"/>
      <headerFooter alignWithMargins="0"/>
    </customSheetView>
    <customSheetView guid="{6B3D5C27-2FDE-4561-9575-1E98BFB869D0}" scale="75" fitToPage="1" showRuler="0" topLeftCell="B30">
      <pane xSplit="19.75" topLeftCell="T1"/>
      <selection activeCell="L38" sqref="L3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1" orientation="landscape" r:id="rId8"/>
      <headerFooter alignWithMargins="0"/>
    </customSheetView>
    <customSheetView guid="{0BC1F393-8A13-47D5-BC6C-0C99615B5AB9}" scale="75" fitToPage="1" showRuler="0" topLeftCell="B20">
      <pane xSplit="19.75" topLeftCell="T1"/>
      <selection activeCell="L38" sqref="L3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9"/>
      <headerFooter alignWithMargins="0"/>
    </customSheetView>
    <customSheetView guid="{18BDED73-BFA0-442E-87EC-CED86EE4CF94}" scale="75" fitToPage="1" showRuler="0" topLeftCell="K87">
      <selection activeCell="AA100" sqref="AA10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10"/>
      <headerFooter alignWithMargins="0"/>
    </customSheetView>
    <customSheetView guid="{35F19056-2E6F-4935-B863-78836FE990BF}" scale="75" fitToPage="1" showRuler="0" topLeftCell="A7">
      <selection activeCell="J35" sqref="J35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6" orientation="landscape" r:id="rId11"/>
      <headerFooter alignWithMargins="0"/>
    </customSheetView>
    <customSheetView guid="{F562D92E-120C-4AE9-9663-89E64D41DC53}" scale="75" fitToPage="1" topLeftCell="W85">
      <selection activeCell="P58" sqref="P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6" orientation="landscape" r:id="rId12"/>
      <headerFooter alignWithMargins="0"/>
    </customSheetView>
  </customSheetViews>
  <phoneticPr fontId="11" type="noConversion"/>
  <printOptions horizontalCentered="1"/>
  <pageMargins left="0.5" right="0.5" top="0.5" bottom="0" header="0" footer="0"/>
  <pageSetup scale="47" orientation="landscape" r:id="rId13"/>
  <headerFooter alignWithMargins="0"/>
  <rowBreaks count="16" manualBreakCount="16">
    <brk id="128" min="19" max="42" man="1"/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syncVertical="1" syncRef="A1" transitionEvaluation="1" transitionEntry="1" codeName="Sheet22">
    <pageSetUpPr fitToPage="1"/>
  </sheetPr>
  <dimension ref="A1:BW1097"/>
  <sheetViews>
    <sheetView zoomScale="75" workbookViewId="0"/>
  </sheetViews>
  <sheetFormatPr defaultColWidth="9.75" defaultRowHeight="15.6" x14ac:dyDescent="0.3"/>
  <cols>
    <col min="1" max="1" width="5" style="41" customWidth="1"/>
    <col min="2" max="2" width="0.6640625" style="41" customWidth="1"/>
    <col min="3" max="3" width="9.08203125" style="41" customWidth="1"/>
    <col min="4" max="4" width="37.6640625" style="41" customWidth="1"/>
    <col min="5" max="5" width="0.7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2.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2.75" style="41" customWidth="1"/>
    <col min="17" max="17" width="0.58203125" style="41" customWidth="1"/>
    <col min="18" max="18" width="17.25" style="41" customWidth="1"/>
    <col min="19" max="19" width="6.6640625" style="41" customWidth="1"/>
    <col min="20" max="20" width="5.08203125" style="41" customWidth="1"/>
    <col min="21" max="21" width="0.58203125" style="41" customWidth="1"/>
    <col min="22" max="22" width="8.58203125" style="41" customWidth="1"/>
    <col min="23" max="23" width="38.58203125" style="41" customWidth="1"/>
    <col min="24" max="24" width="0.7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4140625" style="41" customWidth="1"/>
    <col min="29" max="29" width="11.75" style="41" customWidth="1"/>
    <col min="30" max="30" width="0.33203125" style="41" customWidth="1"/>
    <col min="31" max="31" width="12.9140625" style="41" customWidth="1"/>
    <col min="32" max="32" width="0.75" style="41" customWidth="1"/>
    <col min="33" max="33" width="13.6640625" style="165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165" customWidth="1"/>
    <col min="38" max="38" width="0.66406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165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REHEARING ORDER CALCULATED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157</v>
      </c>
      <c r="AK6" s="206"/>
      <c r="AL6" s="42"/>
    </row>
    <row r="7" spans="1:40" x14ac:dyDescent="0.3">
      <c r="A7" s="41" t="str">
        <f>TYPE</f>
        <v>TYPE OF FILING: _X_ ORIGINAL   ___UPDATED  ___ REVISED</v>
      </c>
      <c r="R7" s="45" t="str">
        <f>"PAGE 5 OF "&amp;TEXT(Page_Num_2.3,"00")</f>
        <v>PAGE 5 OF 24</v>
      </c>
      <c r="AK7" s="206"/>
      <c r="AL7" s="42"/>
    </row>
    <row r="8" spans="1:40" x14ac:dyDescent="0.3">
      <c r="A8" s="42" t="s">
        <v>171</v>
      </c>
      <c r="R8" s="42" t="s">
        <v>3</v>
      </c>
      <c r="AK8" s="206"/>
      <c r="AL8" s="42"/>
    </row>
    <row r="9" spans="1:40" x14ac:dyDescent="0.3">
      <c r="A9" s="132" t="str">
        <f>TIME</f>
        <v>12 Months Projected with Riders</v>
      </c>
      <c r="R9" s="41" t="str">
        <f>WIT</f>
        <v>B. L. Sailers</v>
      </c>
      <c r="AK9" s="206"/>
      <c r="AL9" s="42"/>
    </row>
    <row r="10" spans="1:40" x14ac:dyDescent="0.3">
      <c r="A10" s="132" t="str">
        <f>INPUT!B5</f>
        <v xml:space="preserve"> </v>
      </c>
      <c r="AK10" s="206"/>
      <c r="AL10" s="42"/>
    </row>
    <row r="11" spans="1:40" x14ac:dyDescent="0.3">
      <c r="A11" s="40" t="s">
        <v>130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207"/>
      <c r="AH12" s="135"/>
      <c r="AI12" s="135"/>
      <c r="AJ12" s="135"/>
      <c r="AK12" s="207"/>
      <c r="AL12" s="135"/>
      <c r="AM12" s="135"/>
      <c r="AN12" s="135"/>
    </row>
    <row r="13" spans="1:40" ht="18" customHeight="1" x14ac:dyDescent="0.3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68"/>
      <c r="AH13" s="44"/>
      <c r="AK13" s="168"/>
      <c r="AL13" s="44"/>
      <c r="AM13" s="44"/>
      <c r="AN13" s="44"/>
    </row>
    <row r="14" spans="1:40" x14ac:dyDescent="0.3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68"/>
      <c r="AH14" s="44"/>
      <c r="AK14" s="168"/>
      <c r="AL14" s="44"/>
      <c r="AM14" s="44"/>
      <c r="AN14" s="44"/>
    </row>
    <row r="15" spans="1:4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842</v>
      </c>
      <c r="M15" s="44"/>
      <c r="N15" s="44" t="s">
        <v>842</v>
      </c>
      <c r="O15" s="44"/>
      <c r="P15" s="44" t="s">
        <v>842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68"/>
      <c r="AH15" s="44"/>
      <c r="AI15" s="44"/>
      <c r="AJ15" s="44"/>
      <c r="AK15" s="168"/>
      <c r="AL15" s="44"/>
      <c r="AM15" s="44"/>
      <c r="AN15" s="44"/>
    </row>
    <row r="16" spans="1:40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324</v>
      </c>
      <c r="Q16" s="44"/>
      <c r="R16" s="141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68"/>
      <c r="AH16" s="44"/>
      <c r="AI16" s="44"/>
      <c r="AJ16" s="44"/>
      <c r="AK16" s="168"/>
      <c r="AL16" s="44"/>
      <c r="AM16" s="44"/>
      <c r="AN16" s="44"/>
    </row>
    <row r="17" spans="1:40" x14ac:dyDescent="0.3">
      <c r="C17" s="141" t="s">
        <v>33</v>
      </c>
      <c r="D17" s="141" t="s">
        <v>34</v>
      </c>
      <c r="E17" s="141"/>
      <c r="F17" s="141" t="s">
        <v>35</v>
      </c>
      <c r="G17" s="153"/>
      <c r="H17" s="141" t="s">
        <v>36</v>
      </c>
      <c r="I17" s="141"/>
      <c r="J17" s="141" t="s">
        <v>37</v>
      </c>
      <c r="K17" s="141"/>
      <c r="L17" s="141" t="s">
        <v>38</v>
      </c>
      <c r="M17" s="141"/>
      <c r="N17" s="141" t="s">
        <v>39</v>
      </c>
      <c r="O17" s="141"/>
      <c r="P17" s="141" t="s">
        <v>40</v>
      </c>
      <c r="Q17" s="141"/>
      <c r="R17" s="141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68"/>
      <c r="AH17" s="44"/>
      <c r="AI17" s="44"/>
      <c r="AJ17" s="44"/>
      <c r="AK17" s="168"/>
      <c r="AL17" s="44"/>
      <c r="AM17" s="44"/>
      <c r="AN17" s="44"/>
    </row>
    <row r="18" spans="1:40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207"/>
      <c r="AH18" s="135"/>
      <c r="AI18" s="135"/>
      <c r="AJ18" s="135"/>
      <c r="AK18" s="207"/>
      <c r="AL18" s="135"/>
      <c r="AM18" s="135"/>
      <c r="AN18" s="135"/>
    </row>
    <row r="19" spans="1:40" ht="17.100000000000001" customHeight="1" x14ac:dyDescent="0.3">
      <c r="H19" s="172" t="s">
        <v>197</v>
      </c>
      <c r="I19" s="171"/>
      <c r="J19" s="172" t="s">
        <v>332</v>
      </c>
      <c r="K19" s="171"/>
      <c r="L19" s="171" t="s">
        <v>50</v>
      </c>
      <c r="M19" s="171"/>
      <c r="N19" s="171" t="s">
        <v>51</v>
      </c>
      <c r="O19" s="171"/>
      <c r="P19" s="171" t="s">
        <v>50</v>
      </c>
      <c r="Q19" s="171"/>
      <c r="R19" s="171" t="s">
        <v>50</v>
      </c>
      <c r="Y19" s="44"/>
      <c r="Z19" s="44"/>
      <c r="AA19" s="44"/>
      <c r="AB19" s="44"/>
      <c r="AC19" s="44"/>
      <c r="AD19" s="44"/>
      <c r="AE19" s="44"/>
      <c r="AF19" s="44"/>
      <c r="AG19" s="168"/>
      <c r="AH19" s="44"/>
      <c r="AI19" s="44"/>
      <c r="AJ19" s="44"/>
      <c r="AK19" s="168"/>
      <c r="AL19" s="44"/>
      <c r="AM19" s="44"/>
      <c r="AN19" s="44"/>
    </row>
    <row r="20" spans="1:40" x14ac:dyDescent="0.3">
      <c r="A20" s="41">
        <v>1</v>
      </c>
      <c r="C20" s="132" t="s">
        <v>379</v>
      </c>
      <c r="D20" s="132" t="s">
        <v>380</v>
      </c>
      <c r="E20" s="42"/>
      <c r="F20" s="1"/>
      <c r="G20" s="1"/>
      <c r="H20" s="208"/>
      <c r="I20" s="208"/>
      <c r="J20" s="172" t="s">
        <v>329</v>
      </c>
      <c r="K20" s="208"/>
      <c r="L20" s="208"/>
      <c r="M20" s="208"/>
      <c r="N20" s="208"/>
      <c r="O20" s="208"/>
      <c r="P20" s="208"/>
      <c r="Q20" s="208"/>
      <c r="R20" s="208"/>
      <c r="T20" s="42"/>
      <c r="U20" s="42"/>
    </row>
    <row r="21" spans="1:40" x14ac:dyDescent="0.3">
      <c r="A21" s="41">
        <v>2</v>
      </c>
      <c r="C21" s="132" t="s">
        <v>54</v>
      </c>
      <c r="D21" s="15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 x14ac:dyDescent="0.3">
      <c r="A22" s="41">
        <v>3</v>
      </c>
      <c r="C22" s="132" t="s">
        <v>134</v>
      </c>
      <c r="D22" s="153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23"/>
      <c r="T22" s="42"/>
      <c r="V22" s="123"/>
      <c r="Y22" s="123"/>
      <c r="Z22" s="193"/>
      <c r="AA22" s="123"/>
      <c r="AB22" s="123"/>
      <c r="AC22" s="160"/>
      <c r="AD22" s="160"/>
      <c r="AE22" s="123"/>
      <c r="AF22" s="123"/>
      <c r="AH22" s="160"/>
      <c r="AI22" s="123"/>
      <c r="AJ22" s="123"/>
      <c r="AL22" s="123"/>
      <c r="AM22" s="160"/>
      <c r="AN22" s="160"/>
    </row>
    <row r="23" spans="1:40" x14ac:dyDescent="0.3">
      <c r="A23" s="41">
        <v>4</v>
      </c>
      <c r="C23" s="42" t="s">
        <v>135</v>
      </c>
      <c r="F23" s="184">
        <v>0</v>
      </c>
      <c r="G23" s="1"/>
      <c r="H23" s="159"/>
      <c r="I23" s="1"/>
      <c r="J23" s="193">
        <f>INPUT!D68</f>
        <v>63.5</v>
      </c>
      <c r="K23" s="1"/>
      <c r="L23" s="3">
        <f>ROUND(+F23*J23,0)</f>
        <v>0</v>
      </c>
      <c r="M23" s="1"/>
      <c r="N23" s="175">
        <f>ROUND((+L23/$L$63)*100,1)</f>
        <v>0</v>
      </c>
      <c r="O23" s="1"/>
      <c r="P23" s="3"/>
      <c r="Q23" s="1"/>
      <c r="R23" s="3">
        <f>L23+P23</f>
        <v>0</v>
      </c>
      <c r="S23" s="123"/>
      <c r="V23" s="210"/>
      <c r="Y23" s="123"/>
      <c r="Z23" s="184"/>
      <c r="AA23" s="123"/>
      <c r="AB23" s="123"/>
      <c r="AC23" s="160"/>
      <c r="AD23" s="160"/>
      <c r="AE23" s="123"/>
      <c r="AF23" s="123"/>
      <c r="AI23" s="123"/>
      <c r="AJ23" s="123"/>
      <c r="AL23" s="123"/>
    </row>
    <row r="24" spans="1:40" x14ac:dyDescent="0.3">
      <c r="A24" s="41">
        <v>5</v>
      </c>
      <c r="C24" s="42" t="s">
        <v>136</v>
      </c>
      <c r="F24" s="184">
        <v>458</v>
      </c>
      <c r="G24" s="1"/>
      <c r="H24" s="159"/>
      <c r="I24" s="1"/>
      <c r="J24" s="193">
        <f>INPUT!D69</f>
        <v>127</v>
      </c>
      <c r="K24" s="1"/>
      <c r="L24" s="3">
        <f>ROUND(+F24*J24,0)</f>
        <v>58166</v>
      </c>
      <c r="M24" s="1"/>
      <c r="N24" s="175">
        <f>ROUND((+L24/$L$63)*100,1)</f>
        <v>0.1</v>
      </c>
      <c r="O24" s="1"/>
      <c r="P24" s="3"/>
      <c r="Q24" s="1"/>
      <c r="R24" s="3">
        <f>L24+P24</f>
        <v>58166</v>
      </c>
      <c r="S24" s="123"/>
      <c r="V24" s="123"/>
      <c r="Y24" s="123"/>
      <c r="Z24" s="184"/>
      <c r="AA24" s="123"/>
      <c r="AB24" s="123"/>
      <c r="AC24" s="160"/>
      <c r="AD24" s="160"/>
      <c r="AE24" s="123"/>
      <c r="AF24" s="123"/>
      <c r="AI24" s="123"/>
      <c r="AJ24" s="123"/>
      <c r="AL24" s="123"/>
    </row>
    <row r="25" spans="1:40" ht="20.100000000000001" customHeight="1" x14ac:dyDescent="0.3">
      <c r="A25" s="41">
        <v>6</v>
      </c>
      <c r="C25" s="132" t="s">
        <v>137</v>
      </c>
      <c r="F25" s="145">
        <f>SUM(F23:F24)</f>
        <v>458</v>
      </c>
      <c r="G25" s="1"/>
      <c r="H25" s="3"/>
      <c r="I25" s="1"/>
      <c r="J25" s="183"/>
      <c r="K25" s="1"/>
      <c r="L25" s="145">
        <f>SUM(L23:L24)</f>
        <v>58166</v>
      </c>
      <c r="M25" s="1"/>
      <c r="N25" s="180">
        <f>ROUND((+L25/$L$63)*100,1)</f>
        <v>0.1</v>
      </c>
      <c r="O25" s="1"/>
      <c r="P25" s="145"/>
      <c r="Q25" s="3"/>
      <c r="R25" s="145">
        <f>SUM(R23:R24)</f>
        <v>58166</v>
      </c>
      <c r="S25" s="123"/>
      <c r="V25" s="210"/>
      <c r="Y25" s="210"/>
      <c r="Z25" s="213"/>
      <c r="AA25" s="210"/>
      <c r="AB25" s="210"/>
      <c r="AC25" s="210"/>
      <c r="AD25" s="210"/>
      <c r="AE25" s="210"/>
      <c r="AF25" s="210"/>
      <c r="AI25" s="210"/>
      <c r="AJ25" s="210"/>
      <c r="AK25" s="214"/>
      <c r="AL25" s="210"/>
      <c r="AM25" s="160"/>
      <c r="AN25" s="160"/>
    </row>
    <row r="26" spans="1:40" x14ac:dyDescent="0.3">
      <c r="C26" s="42"/>
      <c r="F26" s="3"/>
      <c r="G26" s="1"/>
      <c r="H26" s="3"/>
      <c r="I26" s="1"/>
      <c r="J26" s="183"/>
      <c r="K26" s="1"/>
      <c r="L26" s="3"/>
      <c r="M26" s="1"/>
      <c r="N26" s="4"/>
      <c r="O26" s="1"/>
      <c r="P26" s="3"/>
      <c r="Q26" s="3"/>
      <c r="R26" s="3"/>
      <c r="S26" s="123"/>
      <c r="V26" s="210"/>
      <c r="Y26" s="210"/>
      <c r="Z26" s="213"/>
      <c r="AA26" s="210"/>
      <c r="AB26" s="210"/>
      <c r="AC26" s="210"/>
      <c r="AD26" s="210"/>
      <c r="AE26" s="210"/>
      <c r="AF26" s="210"/>
      <c r="AI26" s="210"/>
      <c r="AJ26" s="210"/>
      <c r="AK26" s="214"/>
      <c r="AL26" s="210"/>
      <c r="AM26" s="160"/>
      <c r="AN26" s="160"/>
    </row>
    <row r="27" spans="1:40" x14ac:dyDescent="0.3">
      <c r="A27" s="41">
        <v>7</v>
      </c>
      <c r="C27" s="132" t="s">
        <v>63</v>
      </c>
      <c r="F27" s="159"/>
      <c r="G27" s="1"/>
      <c r="H27" s="159"/>
      <c r="I27" s="1"/>
      <c r="J27" s="248"/>
      <c r="K27" s="1"/>
      <c r="L27" s="3"/>
      <c r="M27" s="1"/>
      <c r="N27" s="4"/>
      <c r="O27" s="1"/>
      <c r="P27" s="3"/>
      <c r="Q27" s="3"/>
      <c r="R27" s="3"/>
      <c r="S27" s="123"/>
      <c r="V27" s="184"/>
      <c r="Y27" s="184"/>
      <c r="Z27" s="213"/>
      <c r="AA27" s="123"/>
      <c r="AB27" s="123"/>
      <c r="AC27" s="160"/>
      <c r="AD27" s="160"/>
      <c r="AE27" s="123"/>
      <c r="AF27" s="123"/>
      <c r="AI27" s="123"/>
      <c r="AJ27" s="123"/>
      <c r="AL27" s="123"/>
      <c r="AM27" s="160"/>
      <c r="AN27" s="160"/>
    </row>
    <row r="28" spans="1:40" x14ac:dyDescent="0.3">
      <c r="A28" s="41">
        <v>8</v>
      </c>
      <c r="C28" s="42" t="s">
        <v>64</v>
      </c>
      <c r="F28" s="159"/>
      <c r="G28" s="1"/>
      <c r="H28" s="184">
        <v>429404</v>
      </c>
      <c r="I28" s="1"/>
      <c r="J28" s="194">
        <f>PRO_DT_SUM_PEAK</f>
        <v>15.72</v>
      </c>
      <c r="K28" s="1"/>
      <c r="L28" s="3">
        <f>ROUND(+H28*J28,0)</f>
        <v>6750231</v>
      </c>
      <c r="M28" s="1"/>
      <c r="N28" s="175">
        <f>ROUND((+L28/$L$63)*100,1)</f>
        <v>10.5</v>
      </c>
      <c r="O28" s="1"/>
      <c r="P28" s="3"/>
      <c r="Q28" s="3"/>
      <c r="R28" s="3">
        <f>L28+P28</f>
        <v>6750231</v>
      </c>
      <c r="S28" s="123"/>
      <c r="V28" s="210"/>
      <c r="Y28" s="184"/>
      <c r="Z28" s="213"/>
      <c r="AA28" s="123"/>
      <c r="AB28" s="123"/>
      <c r="AC28" s="160"/>
      <c r="AD28" s="160"/>
      <c r="AE28" s="123"/>
      <c r="AF28" s="123"/>
      <c r="AH28" s="160"/>
      <c r="AI28" s="123"/>
      <c r="AJ28" s="123"/>
      <c r="AL28" s="123"/>
      <c r="AM28" s="160"/>
      <c r="AN28" s="160"/>
    </row>
    <row r="29" spans="1:40" x14ac:dyDescent="0.3">
      <c r="A29" s="41">
        <v>9</v>
      </c>
      <c r="C29" s="42" t="s">
        <v>65</v>
      </c>
      <c r="F29" s="159"/>
      <c r="G29" s="1"/>
      <c r="H29" s="184">
        <v>5222</v>
      </c>
      <c r="I29" s="1"/>
      <c r="J29" s="194">
        <f>PRO_DT_SUM_PK_OFF</f>
        <v>1.41</v>
      </c>
      <c r="K29" s="1"/>
      <c r="L29" s="3">
        <f>ROUND(+H29*J29,0)</f>
        <v>7363</v>
      </c>
      <c r="M29" s="1"/>
      <c r="N29" s="175">
        <f>ROUND((+L29/$L$63)*100,1)</f>
        <v>0</v>
      </c>
      <c r="O29" s="1"/>
      <c r="P29" s="3"/>
      <c r="Q29" s="3"/>
      <c r="R29" s="3">
        <f>L29+P29</f>
        <v>7363</v>
      </c>
      <c r="S29" s="123"/>
      <c r="T29" s="42"/>
      <c r="V29" s="184"/>
      <c r="Y29" s="123"/>
      <c r="Z29" s="212"/>
      <c r="AA29" s="123"/>
      <c r="AB29" s="123"/>
      <c r="AC29" s="160"/>
      <c r="AD29" s="160"/>
      <c r="AE29" s="123"/>
      <c r="AF29" s="123"/>
      <c r="AH29" s="160"/>
      <c r="AI29" s="123"/>
      <c r="AJ29" s="123"/>
      <c r="AL29" s="123"/>
      <c r="AM29" s="160"/>
      <c r="AN29" s="160"/>
    </row>
    <row r="30" spans="1:40" x14ac:dyDescent="0.3">
      <c r="A30" s="41">
        <v>10</v>
      </c>
      <c r="C30" s="42" t="s">
        <v>976</v>
      </c>
      <c r="F30" s="159"/>
      <c r="G30" s="1"/>
      <c r="H30" s="184">
        <f>H28+H29</f>
        <v>434626</v>
      </c>
      <c r="I30" s="1"/>
      <c r="J30" s="193">
        <f>INPUT!$D$82</f>
        <v>6.77</v>
      </c>
      <c r="K30" s="1"/>
      <c r="L30" s="3">
        <f>ROUND(+H30*J30,0)</f>
        <v>2942418</v>
      </c>
      <c r="M30" s="1"/>
      <c r="N30" s="175">
        <f>ROUND((+L30/$L$63)*100,1)</f>
        <v>4.5999999999999996</v>
      </c>
      <c r="O30" s="1"/>
      <c r="P30" s="3"/>
      <c r="Q30" s="3"/>
      <c r="R30" s="3">
        <f>L30+P30</f>
        <v>2942418</v>
      </c>
      <c r="S30" s="123"/>
      <c r="T30" s="42"/>
      <c r="V30" s="184"/>
      <c r="Y30" s="123"/>
      <c r="Z30" s="212"/>
      <c r="AA30" s="123"/>
      <c r="AB30" s="123"/>
      <c r="AC30" s="160"/>
      <c r="AD30" s="160"/>
      <c r="AE30" s="123"/>
      <c r="AF30" s="123"/>
      <c r="AH30" s="160"/>
      <c r="AI30" s="123"/>
      <c r="AJ30" s="123"/>
      <c r="AL30" s="123"/>
      <c r="AM30" s="160"/>
      <c r="AN30" s="160"/>
    </row>
    <row r="31" spans="1:40" ht="20.100000000000001" customHeight="1" x14ac:dyDescent="0.3">
      <c r="A31" s="41">
        <v>11</v>
      </c>
      <c r="C31" s="132" t="s">
        <v>66</v>
      </c>
      <c r="F31" s="3"/>
      <c r="G31" s="1"/>
      <c r="H31" s="145">
        <f>SUM(H28:H29)</f>
        <v>434626</v>
      </c>
      <c r="I31" s="1"/>
      <c r="J31" s="183"/>
      <c r="K31" s="1"/>
      <c r="L31" s="145">
        <f>SUM(L28:L30)</f>
        <v>9700012</v>
      </c>
      <c r="M31" s="1"/>
      <c r="N31" s="180">
        <f>ROUND((+L31/$L$63)*100,1)</f>
        <v>15.1</v>
      </c>
      <c r="O31" s="1"/>
      <c r="P31" s="145"/>
      <c r="Q31" s="159"/>
      <c r="R31" s="145">
        <f>SUM(R28:R30)</f>
        <v>9700012</v>
      </c>
      <c r="S31" s="123"/>
      <c r="V31" s="210"/>
      <c r="Y31" s="210"/>
      <c r="Z31" s="213"/>
      <c r="AA31" s="210"/>
      <c r="AB31" s="210"/>
      <c r="AC31" s="210"/>
      <c r="AD31" s="210"/>
      <c r="AE31" s="210"/>
      <c r="AF31" s="210"/>
      <c r="AI31" s="210"/>
      <c r="AJ31" s="210"/>
      <c r="AK31" s="214"/>
      <c r="AL31" s="210"/>
      <c r="AM31" s="160"/>
      <c r="AN31" s="160"/>
    </row>
    <row r="32" spans="1:40" x14ac:dyDescent="0.3">
      <c r="C32" s="42"/>
      <c r="F32" s="3"/>
      <c r="G32" s="1"/>
      <c r="H32" s="3"/>
      <c r="I32" s="1"/>
      <c r="J32" s="183"/>
      <c r="K32" s="1"/>
      <c r="L32" s="3"/>
      <c r="M32" s="1"/>
      <c r="N32" s="4"/>
      <c r="O32" s="1"/>
      <c r="P32" s="3"/>
      <c r="Q32" s="159"/>
      <c r="R32" s="3"/>
      <c r="S32" s="123"/>
      <c r="V32" s="210"/>
      <c r="Y32" s="210"/>
      <c r="Z32" s="213"/>
      <c r="AA32" s="210"/>
      <c r="AB32" s="210"/>
      <c r="AC32" s="210"/>
      <c r="AD32" s="210"/>
      <c r="AE32" s="210"/>
      <c r="AF32" s="210"/>
      <c r="AI32" s="210"/>
      <c r="AJ32" s="210"/>
      <c r="AK32" s="214"/>
      <c r="AL32" s="210"/>
      <c r="AM32" s="160"/>
      <c r="AN32" s="160"/>
    </row>
    <row r="33" spans="1:38" x14ac:dyDescent="0.3">
      <c r="A33" s="41">
        <v>12</v>
      </c>
      <c r="C33" s="178" t="s">
        <v>374</v>
      </c>
      <c r="F33" s="3"/>
      <c r="G33" s="1"/>
      <c r="H33" s="3"/>
      <c r="I33" s="1"/>
      <c r="J33" s="7"/>
      <c r="K33" s="1"/>
      <c r="L33" s="3"/>
      <c r="M33" s="1"/>
      <c r="N33" s="4"/>
      <c r="O33" s="1"/>
      <c r="P33" s="3"/>
      <c r="Q33" s="3"/>
      <c r="R33" s="3"/>
      <c r="Y33" s="42"/>
    </row>
    <row r="34" spans="1:38" x14ac:dyDescent="0.3">
      <c r="A34" s="41">
        <v>13</v>
      </c>
      <c r="C34" s="42" t="s">
        <v>386</v>
      </c>
      <c r="F34" s="3"/>
      <c r="G34" s="1"/>
      <c r="H34" s="123">
        <v>63597049</v>
      </c>
      <c r="I34" s="1"/>
      <c r="J34" s="260">
        <f>PRO_DT_SUM_E_ON</f>
        <v>6.2944E-2</v>
      </c>
      <c r="K34" s="1"/>
      <c r="L34" s="3">
        <f>ROUND((+H34*J34),0)-P34</f>
        <v>4003053</v>
      </c>
      <c r="M34" s="1"/>
      <c r="N34" s="175">
        <f>ROUND((+L34/$L$63)*100,1)</f>
        <v>6.2</v>
      </c>
      <c r="O34" s="1"/>
      <c r="P34" s="3"/>
      <c r="Q34" s="3"/>
      <c r="R34" s="3">
        <f>L34+P34</f>
        <v>4003053</v>
      </c>
      <c r="Y34" s="42"/>
    </row>
    <row r="35" spans="1:38" x14ac:dyDescent="0.3">
      <c r="A35" s="41">
        <v>14</v>
      </c>
      <c r="C35" s="42" t="s">
        <v>387</v>
      </c>
      <c r="F35" s="49"/>
      <c r="G35" s="1"/>
      <c r="H35" s="197">
        <v>152583920</v>
      </c>
      <c r="I35" s="1"/>
      <c r="J35" s="260">
        <f>PRO_DT_SUM_E_OFF</f>
        <v>5.3392000000000002E-2</v>
      </c>
      <c r="K35" s="1"/>
      <c r="L35" s="49">
        <f>ROUND((+H35*J35),0)-P35</f>
        <v>8146761</v>
      </c>
      <c r="M35" s="1"/>
      <c r="N35" s="175">
        <f>ROUND((+L35/$L$63)*100,1)</f>
        <v>12.7</v>
      </c>
      <c r="O35" s="1"/>
      <c r="P35" s="49"/>
      <c r="Q35" s="3"/>
      <c r="R35" s="49">
        <f>L35+P35</f>
        <v>8146761</v>
      </c>
    </row>
    <row r="36" spans="1:38" ht="19.5" customHeight="1" x14ac:dyDescent="0.3">
      <c r="A36" s="41">
        <v>15</v>
      </c>
      <c r="C36" s="132" t="s">
        <v>56</v>
      </c>
      <c r="F36" s="145">
        <f>F25</f>
        <v>458</v>
      </c>
      <c r="G36" s="1"/>
      <c r="H36" s="145">
        <f>H34+H35</f>
        <v>216180969</v>
      </c>
      <c r="I36" s="1"/>
      <c r="J36" s="183"/>
      <c r="K36" s="1"/>
      <c r="L36" s="145">
        <f>L25+L31+L34+L35</f>
        <v>21907992</v>
      </c>
      <c r="M36" s="1"/>
      <c r="N36" s="180">
        <f>ROUND((+L36/$L$63)*100,1)</f>
        <v>34.200000000000003</v>
      </c>
      <c r="O36" s="1"/>
      <c r="P36" s="145"/>
      <c r="Q36" s="1"/>
      <c r="R36" s="145">
        <f>R25+R31+R34+R35</f>
        <v>21907992</v>
      </c>
      <c r="AK36" s="206"/>
      <c r="AL36" s="42"/>
    </row>
    <row r="37" spans="1:38" x14ac:dyDescent="0.3">
      <c r="C37" s="42"/>
      <c r="F37" s="3"/>
      <c r="G37" s="1"/>
      <c r="H37" s="3"/>
      <c r="I37" s="1"/>
      <c r="J37" s="183"/>
      <c r="K37" s="1"/>
      <c r="L37" s="3"/>
      <c r="M37" s="1"/>
      <c r="N37" s="4"/>
      <c r="O37" s="1"/>
      <c r="P37" s="3"/>
      <c r="Q37" s="1"/>
      <c r="R37" s="3"/>
      <c r="AK37" s="206"/>
      <c r="AL37" s="42"/>
    </row>
    <row r="38" spans="1:38" x14ac:dyDescent="0.3">
      <c r="A38" s="41">
        <v>16</v>
      </c>
      <c r="C38" s="132" t="s">
        <v>57</v>
      </c>
      <c r="F38" s="159"/>
      <c r="G38" s="1"/>
      <c r="H38" s="254">
        <f>185857814-185857934</f>
        <v>-120</v>
      </c>
      <c r="I38" s="1"/>
      <c r="J38" s="183"/>
      <c r="K38" s="1"/>
      <c r="L38" s="3"/>
      <c r="M38" s="1"/>
      <c r="N38" s="4"/>
      <c r="O38" s="1"/>
      <c r="P38" s="3"/>
      <c r="Q38" s="1"/>
      <c r="R38" s="3"/>
    </row>
    <row r="39" spans="1:38" x14ac:dyDescent="0.3">
      <c r="A39" s="41">
        <v>17</v>
      </c>
      <c r="C39" s="132" t="s">
        <v>134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255"/>
      <c r="R39" s="1"/>
    </row>
    <row r="40" spans="1:38" x14ac:dyDescent="0.3">
      <c r="A40" s="41">
        <v>18</v>
      </c>
      <c r="C40" s="42" t="s">
        <v>135</v>
      </c>
      <c r="F40" s="184">
        <f>F23</f>
        <v>0</v>
      </c>
      <c r="G40" s="1"/>
      <c r="H40" s="159"/>
      <c r="I40" s="1"/>
      <c r="J40" s="194">
        <f>J23</f>
        <v>63.5</v>
      </c>
      <c r="K40" s="1"/>
      <c r="L40" s="3">
        <f>ROUND(+F40*J40,0)</f>
        <v>0</v>
      </c>
      <c r="M40" s="1"/>
      <c r="N40" s="175">
        <f>ROUND((+L40/$L$63)*100,1)</f>
        <v>0</v>
      </c>
      <c r="O40" s="1"/>
      <c r="P40" s="3"/>
      <c r="Q40" s="1"/>
      <c r="R40" s="3">
        <f>L40+P40</f>
        <v>0</v>
      </c>
    </row>
    <row r="41" spans="1:38" x14ac:dyDescent="0.3">
      <c r="A41" s="41">
        <v>19</v>
      </c>
      <c r="C41" s="42" t="s">
        <v>136</v>
      </c>
      <c r="F41" s="184">
        <v>905</v>
      </c>
      <c r="G41" s="1"/>
      <c r="H41" s="159"/>
      <c r="I41" s="1"/>
      <c r="J41" s="194">
        <f>J24</f>
        <v>127</v>
      </c>
      <c r="K41" s="1"/>
      <c r="L41" s="3">
        <f>ROUND(+F41*J41,0)</f>
        <v>114935</v>
      </c>
      <c r="M41" s="1"/>
      <c r="N41" s="175">
        <f>ROUND((+L41/$L$63)*100,1)</f>
        <v>0.2</v>
      </c>
      <c r="O41" s="1"/>
      <c r="P41" s="3"/>
      <c r="Q41" s="1"/>
      <c r="R41" s="3">
        <f>L41+P41</f>
        <v>114935</v>
      </c>
    </row>
    <row r="42" spans="1:38" ht="20.100000000000001" customHeight="1" x14ac:dyDescent="0.3">
      <c r="A42" s="41">
        <v>20</v>
      </c>
      <c r="C42" s="132" t="s">
        <v>137</v>
      </c>
      <c r="F42" s="145">
        <f>SUM(F40:F41)</f>
        <v>905</v>
      </c>
      <c r="G42" s="1"/>
      <c r="H42" s="3"/>
      <c r="I42" s="1"/>
      <c r="J42" s="183"/>
      <c r="K42" s="1"/>
      <c r="L42" s="145">
        <f>SUM(L40:L41)</f>
        <v>114935</v>
      </c>
      <c r="M42" s="1"/>
      <c r="N42" s="180">
        <f>ROUND((+L42/$L$63)*100,1)</f>
        <v>0.2</v>
      </c>
      <c r="O42" s="1"/>
      <c r="P42" s="145"/>
      <c r="Q42" s="2"/>
      <c r="R42" s="145">
        <f>SUM(R40:R41)</f>
        <v>114935</v>
      </c>
    </row>
    <row r="43" spans="1:38" x14ac:dyDescent="0.3">
      <c r="C43" s="42"/>
      <c r="F43" s="3"/>
      <c r="G43" s="1"/>
      <c r="H43" s="3"/>
      <c r="I43" s="1"/>
      <c r="J43" s="183"/>
      <c r="K43" s="1"/>
      <c r="L43" s="3"/>
      <c r="M43" s="1"/>
      <c r="N43" s="4"/>
      <c r="O43" s="1"/>
      <c r="P43" s="3"/>
      <c r="Q43" s="2"/>
      <c r="R43" s="3"/>
    </row>
    <row r="44" spans="1:38" x14ac:dyDescent="0.3">
      <c r="A44" s="41">
        <v>21</v>
      </c>
      <c r="C44" s="132" t="s">
        <v>63</v>
      </c>
      <c r="F44" s="159"/>
      <c r="G44" s="1"/>
      <c r="H44" s="159"/>
      <c r="I44" s="1"/>
      <c r="J44" s="248"/>
      <c r="K44" s="1"/>
      <c r="L44" s="3"/>
      <c r="M44" s="1"/>
      <c r="N44" s="4"/>
      <c r="O44" s="1"/>
      <c r="P44" s="3"/>
      <c r="Q44" s="255"/>
      <c r="R44" s="3"/>
    </row>
    <row r="45" spans="1:38" x14ac:dyDescent="0.3">
      <c r="A45" s="41">
        <v>22</v>
      </c>
      <c r="C45" s="42" t="s">
        <v>64</v>
      </c>
      <c r="F45" s="159"/>
      <c r="G45" s="1"/>
      <c r="H45" s="184">
        <v>778656</v>
      </c>
      <c r="I45" s="1"/>
      <c r="J45" s="193">
        <f>PRO_DT_WIN_PEAK</f>
        <v>14.88</v>
      </c>
      <c r="K45" s="1"/>
      <c r="L45" s="3">
        <f>ROUND(+H45*J45,0)</f>
        <v>11586401</v>
      </c>
      <c r="M45" s="1"/>
      <c r="N45" s="175">
        <f>ROUND((+L45/$L$63)*100,1)-0.1</f>
        <v>18</v>
      </c>
      <c r="O45" s="1"/>
      <c r="P45" s="3"/>
      <c r="Q45" s="2"/>
      <c r="R45" s="3">
        <f>L45+P45</f>
        <v>11586401</v>
      </c>
    </row>
    <row r="46" spans="1:38" x14ac:dyDescent="0.3">
      <c r="A46" s="41">
        <v>23</v>
      </c>
      <c r="C46" s="42" t="s">
        <v>65</v>
      </c>
      <c r="F46" s="159"/>
      <c r="G46" s="1"/>
      <c r="H46" s="184">
        <v>15182</v>
      </c>
      <c r="I46" s="1"/>
      <c r="J46" s="193">
        <f>PRO_DT_WIN_PK_OFF</f>
        <v>1.41</v>
      </c>
      <c r="K46" s="1"/>
      <c r="L46" s="3">
        <f>ROUND(+H46*J46,0)</f>
        <v>21407</v>
      </c>
      <c r="M46" s="1"/>
      <c r="N46" s="175">
        <f>ROUND((+L46/$L$63)*100,1)</f>
        <v>0</v>
      </c>
      <c r="O46" s="1"/>
      <c r="P46" s="3"/>
      <c r="Q46" s="1"/>
      <c r="R46" s="3">
        <f>L46+P46</f>
        <v>21407</v>
      </c>
    </row>
    <row r="47" spans="1:38" x14ac:dyDescent="0.3">
      <c r="A47" s="41">
        <v>24</v>
      </c>
      <c r="C47" s="42" t="s">
        <v>976</v>
      </c>
      <c r="F47" s="159"/>
      <c r="G47" s="1"/>
      <c r="H47" s="184">
        <f>H45+H46</f>
        <v>793838</v>
      </c>
      <c r="I47" s="1"/>
      <c r="J47" s="193">
        <f>INPUT!$D$82</f>
        <v>6.77</v>
      </c>
      <c r="K47" s="1"/>
      <c r="L47" s="3">
        <f>ROUND(+H47*J47,0)</f>
        <v>5374283</v>
      </c>
      <c r="M47" s="1"/>
      <c r="N47" s="175">
        <f>ROUND((+L47/$L$63)*100,1)</f>
        <v>8.4</v>
      </c>
      <c r="O47" s="1"/>
      <c r="P47" s="3"/>
      <c r="Q47" s="1"/>
      <c r="R47" s="3">
        <f>L47+P47</f>
        <v>5374283</v>
      </c>
    </row>
    <row r="48" spans="1:38" ht="20.100000000000001" customHeight="1" x14ac:dyDescent="0.3">
      <c r="A48" s="41">
        <v>25</v>
      </c>
      <c r="C48" s="132" t="s">
        <v>66</v>
      </c>
      <c r="F48" s="3"/>
      <c r="G48" s="1"/>
      <c r="H48" s="145">
        <f>SUM(H45:H46)</f>
        <v>793838</v>
      </c>
      <c r="I48" s="1"/>
      <c r="J48" s="183"/>
      <c r="K48" s="1"/>
      <c r="L48" s="145">
        <f>SUM(L45:L47)</f>
        <v>16982091</v>
      </c>
      <c r="M48" s="1"/>
      <c r="N48" s="180">
        <f>ROUND((+L48/$L$63)*100,1)</f>
        <v>26.5</v>
      </c>
      <c r="O48" s="1"/>
      <c r="P48" s="145"/>
      <c r="Q48" s="1"/>
      <c r="R48" s="145">
        <f>SUM(R45:R47)</f>
        <v>16982091</v>
      </c>
    </row>
    <row r="49" spans="1:18" x14ac:dyDescent="0.3">
      <c r="C49" s="42"/>
      <c r="F49" s="3"/>
      <c r="G49" s="1"/>
      <c r="H49" s="3"/>
      <c r="I49" s="1"/>
      <c r="J49" s="183"/>
      <c r="K49" s="1"/>
      <c r="L49" s="3"/>
      <c r="M49" s="1"/>
      <c r="N49" s="4"/>
      <c r="O49" s="1"/>
      <c r="P49" s="3"/>
      <c r="Q49" s="1"/>
      <c r="R49" s="3"/>
    </row>
    <row r="50" spans="1:18" x14ac:dyDescent="0.3">
      <c r="A50" s="41">
        <v>26</v>
      </c>
      <c r="C50" s="178" t="s">
        <v>374</v>
      </c>
      <c r="F50" s="3"/>
      <c r="G50" s="1"/>
      <c r="H50" s="3"/>
      <c r="I50" s="1"/>
      <c r="J50" s="7"/>
      <c r="K50" s="1"/>
      <c r="L50" s="3"/>
      <c r="M50" s="1"/>
      <c r="N50" s="4"/>
      <c r="O50" s="1"/>
      <c r="P50" s="3"/>
      <c r="Q50" s="3"/>
      <c r="R50" s="3"/>
    </row>
    <row r="51" spans="1:18" x14ac:dyDescent="0.3">
      <c r="A51" s="41">
        <v>27</v>
      </c>
      <c r="C51" s="42" t="s">
        <v>386</v>
      </c>
      <c r="F51" s="3"/>
      <c r="G51" s="1"/>
      <c r="H51" s="123">
        <v>109435196</v>
      </c>
      <c r="I51" s="1"/>
      <c r="J51" s="257">
        <f>PRO_DT_WIN_E_ON</f>
        <v>6.0547999999999998E-2</v>
      </c>
      <c r="K51" s="1"/>
      <c r="L51" s="3">
        <f>ROUND((+H51*J51),0)-P51</f>
        <v>6626082</v>
      </c>
      <c r="M51" s="1"/>
      <c r="N51" s="175">
        <f>ROUND((+L51/$L$63)*100,1)</f>
        <v>10.3</v>
      </c>
      <c r="O51" s="1"/>
      <c r="P51" s="3"/>
      <c r="Q51" s="3"/>
      <c r="R51" s="3">
        <f>L51+P51</f>
        <v>6626082</v>
      </c>
    </row>
    <row r="52" spans="1:18" x14ac:dyDescent="0.3">
      <c r="A52" s="41">
        <v>28</v>
      </c>
      <c r="C52" s="42" t="s">
        <v>387</v>
      </c>
      <c r="F52" s="196"/>
      <c r="G52" s="1"/>
      <c r="H52" s="197">
        <v>274429684</v>
      </c>
      <c r="I52" s="1"/>
      <c r="J52" s="257">
        <f>PRO_DT_WIN_E_OFF</f>
        <v>5.3392000000000002E-2</v>
      </c>
      <c r="K52" s="1"/>
      <c r="L52" s="49">
        <f>ROUND((+H52*J52),0)-P52</f>
        <v>14652350</v>
      </c>
      <c r="M52" s="1"/>
      <c r="N52" s="175">
        <f>ROUND((+L52/$L$63)*100,1)</f>
        <v>22.9</v>
      </c>
      <c r="O52" s="1"/>
      <c r="P52" s="49"/>
      <c r="Q52" s="3"/>
      <c r="R52" s="49">
        <f>L52+P52</f>
        <v>14652350</v>
      </c>
    </row>
    <row r="53" spans="1:18" ht="21.75" customHeight="1" x14ac:dyDescent="0.3">
      <c r="A53" s="41">
        <v>29</v>
      </c>
      <c r="C53" s="132" t="s">
        <v>58</v>
      </c>
      <c r="F53" s="145">
        <f>F42</f>
        <v>905</v>
      </c>
      <c r="G53" s="1"/>
      <c r="H53" s="145">
        <f>H51+H52</f>
        <v>383864880</v>
      </c>
      <c r="I53" s="1"/>
      <c r="J53" s="257"/>
      <c r="K53" s="1"/>
      <c r="L53" s="145">
        <f>L42+L48+L51+L52</f>
        <v>38375458</v>
      </c>
      <c r="M53" s="1"/>
      <c r="N53" s="180">
        <f>ROUND((+L53/$L$63)*100,1)</f>
        <v>59.8</v>
      </c>
      <c r="O53" s="1"/>
      <c r="P53" s="145"/>
      <c r="Q53" s="1"/>
      <c r="R53" s="145">
        <f>R42+R48+R51+R52</f>
        <v>38375458</v>
      </c>
    </row>
    <row r="54" spans="1:18" ht="21.75" customHeight="1" x14ac:dyDescent="0.3">
      <c r="A54" s="41">
        <v>30</v>
      </c>
      <c r="C54" s="178" t="s">
        <v>444</v>
      </c>
      <c r="F54" s="145">
        <f>F36+F53</f>
        <v>1363</v>
      </c>
      <c r="G54" s="1"/>
      <c r="H54" s="145">
        <f>H53+H36</f>
        <v>600045849</v>
      </c>
      <c r="I54" s="1"/>
      <c r="J54" s="257"/>
      <c r="K54" s="1"/>
      <c r="L54" s="145">
        <f>L36+L53</f>
        <v>60283450</v>
      </c>
      <c r="M54" s="1"/>
      <c r="N54" s="180">
        <f>ROUND((+L54/$L$63)*100,1)</f>
        <v>94</v>
      </c>
      <c r="O54" s="1"/>
      <c r="P54" s="145"/>
      <c r="Q54" s="1"/>
      <c r="R54" s="145">
        <f>R36+R53</f>
        <v>60283450</v>
      </c>
    </row>
    <row r="55" spans="1:18" ht="15.75" customHeight="1" x14ac:dyDescent="0.3">
      <c r="C55" s="42"/>
      <c r="F55" s="3"/>
      <c r="G55" s="1"/>
      <c r="H55" s="3"/>
      <c r="I55" s="1"/>
      <c r="J55" s="257"/>
      <c r="K55" s="1"/>
      <c r="L55" s="3"/>
      <c r="M55" s="1"/>
      <c r="N55" s="4"/>
      <c r="O55" s="1"/>
      <c r="P55" s="3"/>
      <c r="Q55" s="1"/>
      <c r="R55" s="3"/>
    </row>
    <row r="56" spans="1:18" ht="15.75" customHeight="1" x14ac:dyDescent="0.3">
      <c r="A56" s="41">
        <v>31</v>
      </c>
      <c r="C56" s="132" t="s">
        <v>432</v>
      </c>
      <c r="F56" s="3"/>
      <c r="G56" s="1"/>
      <c r="H56" s="3"/>
      <c r="I56" s="1"/>
      <c r="J56" s="257"/>
      <c r="K56" s="1"/>
      <c r="L56" s="3"/>
      <c r="M56" s="1"/>
      <c r="N56" s="4"/>
      <c r="O56" s="1"/>
      <c r="P56" s="3"/>
      <c r="Q56" s="1"/>
      <c r="R56" s="3"/>
    </row>
    <row r="57" spans="1:18" ht="15.75" customHeight="1" x14ac:dyDescent="0.3">
      <c r="A57" s="41">
        <v>32</v>
      </c>
      <c r="C57" s="192" t="str">
        <f>DSMR_Name</f>
        <v>DEMAND SIDE MANAGEMENT RIDER (DSMR)</v>
      </c>
      <c r="F57" s="3"/>
      <c r="G57" s="1"/>
      <c r="H57" s="3"/>
      <c r="I57" s="1"/>
      <c r="J57" s="217">
        <f>PRO_DSM_DIST</f>
        <v>3.503E-3</v>
      </c>
      <c r="K57" s="1"/>
      <c r="L57" s="3">
        <f>ROUND($H$54*J57,0)</f>
        <v>2101961</v>
      </c>
      <c r="M57" s="1"/>
      <c r="N57" s="175">
        <f>ROUND((+L57/$L$63)*100,1)</f>
        <v>3.3</v>
      </c>
      <c r="O57" s="1"/>
      <c r="P57" s="3"/>
      <c r="Q57" s="1"/>
      <c r="R57" s="3">
        <f>L57+P57</f>
        <v>2101961</v>
      </c>
    </row>
    <row r="58" spans="1:18" ht="15.75" customHeight="1" x14ac:dyDescent="0.3">
      <c r="A58" s="41">
        <v>33</v>
      </c>
      <c r="C58" s="192" t="str">
        <f>ESM_Name</f>
        <v>ENVIRONMENTAL SURCHARGE MECHANISM RIDER (ESM)</v>
      </c>
      <c r="F58" s="3"/>
      <c r="G58" s="1"/>
      <c r="H58" s="3"/>
      <c r="I58" s="1"/>
      <c r="J58" s="201">
        <f>PRO_ESM_NONRES</f>
        <v>5.7995821086186533E-3</v>
      </c>
      <c r="K58" s="1"/>
      <c r="L58" s="3">
        <f>ROUND((R54-(PRO_BASE_FUEL*H54)+R57+R60)*J58,0)</f>
        <v>252867</v>
      </c>
      <c r="M58" s="1"/>
      <c r="N58" s="175">
        <f>ROUND((+L58/$L$63)*100,1)</f>
        <v>0.4</v>
      </c>
      <c r="O58" s="1"/>
      <c r="P58" s="3"/>
      <c r="Q58" s="1"/>
      <c r="R58" s="3">
        <f>L58+P58</f>
        <v>252867</v>
      </c>
    </row>
    <row r="59" spans="1:18" ht="15.75" customHeight="1" x14ac:dyDescent="0.3">
      <c r="A59" s="41">
        <v>34</v>
      </c>
      <c r="C59" s="192" t="str">
        <f>FAC_Name</f>
        <v>FUEL ADJUSTMENT CLAUSE (FAC)</v>
      </c>
      <c r="F59" s="3"/>
      <c r="G59" s="1"/>
      <c r="H59" s="3"/>
      <c r="I59" s="1"/>
      <c r="J59" s="217">
        <f>PRO_FAC</f>
        <v>3.4872127999999998E-3</v>
      </c>
      <c r="K59" s="1"/>
      <c r="L59" s="3"/>
      <c r="M59" s="1"/>
      <c r="N59" s="175"/>
      <c r="O59" s="1"/>
      <c r="P59" s="3">
        <f>ROUND(H54*PRO_FAC,0)</f>
        <v>2092488</v>
      </c>
      <c r="Q59" s="1"/>
      <c r="R59" s="3">
        <f>L59+P59</f>
        <v>2092488</v>
      </c>
    </row>
    <row r="60" spans="1:18" ht="15.75" customHeight="1" x14ac:dyDescent="0.3">
      <c r="A60" s="41">
        <v>35</v>
      </c>
      <c r="C60" s="192" t="str">
        <f>PSM_Name</f>
        <v>PROFIT SHARING MECHANISM (PSM)</v>
      </c>
      <c r="F60" s="3"/>
      <c r="G60" s="1"/>
      <c r="H60" s="3"/>
      <c r="I60" s="1"/>
      <c r="J60" s="217">
        <f>PRO_PSM</f>
        <v>2.4750000000000002E-3</v>
      </c>
      <c r="K60" s="1"/>
      <c r="L60" s="49">
        <f>ROUND(H54*PRO_PSM,0)</f>
        <v>1485113</v>
      </c>
      <c r="M60" s="1"/>
      <c r="N60" s="177">
        <f>ROUND((+L60/$L$63)*100,1)</f>
        <v>2.2999999999999998</v>
      </c>
      <c r="O60" s="1"/>
      <c r="P60" s="49"/>
      <c r="Q60" s="1"/>
      <c r="R60" s="49">
        <f>L60+P60</f>
        <v>1485113</v>
      </c>
    </row>
    <row r="61" spans="1:18" ht="20.100000000000001" customHeight="1" x14ac:dyDescent="0.3">
      <c r="A61" s="41">
        <v>36</v>
      </c>
      <c r="C61" s="132" t="s">
        <v>437</v>
      </c>
      <c r="F61" s="49"/>
      <c r="G61" s="1"/>
      <c r="H61" s="49"/>
      <c r="I61" s="1"/>
      <c r="J61" s="183"/>
      <c r="K61" s="1"/>
      <c r="L61" s="49">
        <f>SUM(L57:L60)</f>
        <v>3839941</v>
      </c>
      <c r="M61" s="1"/>
      <c r="N61" s="180">
        <f>ROUND((+L61/$L$63)*100,1)</f>
        <v>6</v>
      </c>
      <c r="O61" s="1"/>
      <c r="P61" s="49">
        <f>SUM(P57:P60)</f>
        <v>2092488</v>
      </c>
      <c r="Q61" s="1"/>
      <c r="R61" s="49">
        <f>SUM(R57:R60)</f>
        <v>5932429</v>
      </c>
    </row>
    <row r="62" spans="1:18" ht="15.75" customHeight="1" x14ac:dyDescent="0.3">
      <c r="C62" s="42"/>
      <c r="F62" s="3"/>
      <c r="G62" s="1"/>
      <c r="H62" s="3"/>
      <c r="I62" s="1"/>
      <c r="J62" s="183"/>
      <c r="K62" s="1"/>
      <c r="L62" s="3"/>
      <c r="M62" s="1"/>
      <c r="N62" s="4"/>
      <c r="O62" s="1"/>
      <c r="P62" s="3"/>
      <c r="Q62" s="256"/>
      <c r="R62" s="3"/>
    </row>
    <row r="63" spans="1:18" ht="20.100000000000001" customHeight="1" thickBot="1" x14ac:dyDescent="0.35">
      <c r="A63" s="41">
        <v>37</v>
      </c>
      <c r="C63" s="178" t="s">
        <v>443</v>
      </c>
      <c r="F63" s="151">
        <f>F36+F53</f>
        <v>1363</v>
      </c>
      <c r="G63" s="1"/>
      <c r="H63" s="151">
        <f>H36+H53</f>
        <v>600045849</v>
      </c>
      <c r="I63" s="1"/>
      <c r="J63" s="1"/>
      <c r="K63" s="1"/>
      <c r="L63" s="151">
        <f>L61+L54</f>
        <v>64123391</v>
      </c>
      <c r="M63" s="1"/>
      <c r="N63" s="218">
        <v>100</v>
      </c>
      <c r="O63" s="1"/>
      <c r="P63" s="151">
        <f>P61+P54</f>
        <v>2092488</v>
      </c>
      <c r="Q63" s="159"/>
      <c r="R63" s="151">
        <f>R61+R54</f>
        <v>66215879</v>
      </c>
    </row>
    <row r="64" spans="1:18" ht="16.2" thickTop="1" x14ac:dyDescent="0.3"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256"/>
      <c r="R64" s="1"/>
    </row>
    <row r="65" spans="1:43" x14ac:dyDescent="0.3">
      <c r="C65" s="202" t="s">
        <v>59</v>
      </c>
      <c r="L65" s="123"/>
      <c r="N65" s="123"/>
      <c r="P65" s="123"/>
      <c r="Q65" s="123"/>
      <c r="R65" s="123"/>
    </row>
    <row r="66" spans="1:43" x14ac:dyDescent="0.3">
      <c r="C66" s="202" t="str">
        <f>"(2) REFLECTS FUEL COMPONENT OF "&amp;TEXT(PRO_FAC,"$0.000000;($0.000000)")&amp;"  PER KWH."</f>
        <v>(2) REFLECTS FUEL COMPONENT OF $0.003487  PER KWH.</v>
      </c>
      <c r="L66" s="123"/>
      <c r="N66" s="123"/>
      <c r="P66" s="123"/>
      <c r="Q66" s="123"/>
      <c r="R66" s="123"/>
    </row>
    <row r="67" spans="1:43" x14ac:dyDescent="0.3">
      <c r="C67" s="202" t="str">
        <f>"(3) REFLECTS FUEL COST RECOVERY INCLUDED IN BASE RATES OF "&amp;TEXT(PRO_BASE_FUEL,"$0.000000;($0.000000)")&amp;"  PER KWH."</f>
        <v>(3) REFLECTS FUEL COST RECOVERY INCLUDED IN BASE RATES OF $0.033780  PER KWH.</v>
      </c>
      <c r="F67" s="210"/>
      <c r="H67" s="210"/>
      <c r="J67" s="210"/>
      <c r="L67" s="213"/>
      <c r="N67" s="213"/>
      <c r="P67" s="210"/>
      <c r="Q67" s="210"/>
      <c r="R67" s="210"/>
    </row>
    <row r="68" spans="1:43" x14ac:dyDescent="0.3">
      <c r="F68" s="123"/>
      <c r="H68" s="123"/>
      <c r="J68" s="123"/>
      <c r="L68" s="219"/>
      <c r="N68" s="219"/>
      <c r="P68" s="123"/>
      <c r="Q68" s="123"/>
      <c r="R68" s="123"/>
    </row>
    <row r="69" spans="1:43" x14ac:dyDescent="0.3">
      <c r="C69" s="42"/>
      <c r="F69" s="123"/>
      <c r="H69" s="123"/>
      <c r="J69" s="123"/>
      <c r="L69" s="219"/>
      <c r="N69" s="219"/>
      <c r="P69" s="123"/>
      <c r="Q69" s="123"/>
      <c r="R69" s="123"/>
    </row>
    <row r="70" spans="1:43" x14ac:dyDescent="0.3">
      <c r="F70" s="123"/>
      <c r="H70" s="123"/>
      <c r="J70" s="123"/>
      <c r="L70" s="219"/>
      <c r="N70" s="3"/>
      <c r="P70" s="123"/>
      <c r="Q70" s="123"/>
      <c r="R70" s="123"/>
    </row>
    <row r="71" spans="1:43" x14ac:dyDescent="0.3">
      <c r="A71" s="42"/>
      <c r="F71" s="123"/>
      <c r="H71" s="123"/>
      <c r="L71" s="219"/>
      <c r="N71" s="3"/>
      <c r="P71" s="123"/>
      <c r="Q71" s="123"/>
      <c r="R71" s="123"/>
      <c r="T71" s="40" t="str">
        <f>NAME</f>
        <v>DUKE ENERGY KENTUCKY, INC.</v>
      </c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166"/>
      <c r="AH71" s="40"/>
      <c r="AI71" s="40"/>
      <c r="AJ71" s="40"/>
      <c r="AK71" s="166"/>
      <c r="AL71" s="40"/>
      <c r="AM71" s="40"/>
      <c r="AN71" s="40"/>
      <c r="AO71" s="40"/>
      <c r="AP71" s="40"/>
      <c r="AQ71" s="166"/>
    </row>
    <row r="72" spans="1:43" x14ac:dyDescent="0.3">
      <c r="A72" s="42"/>
      <c r="F72" s="123"/>
      <c r="H72" s="123"/>
      <c r="J72" s="123"/>
      <c r="L72" s="219"/>
      <c r="N72" s="3"/>
      <c r="P72" s="123"/>
      <c r="Q72" s="123"/>
      <c r="R72" s="123"/>
      <c r="T72" s="40" t="str">
        <f>CASE_NO</f>
        <v>CASE NO.   2024-00354</v>
      </c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166"/>
      <c r="AH72" s="40"/>
      <c r="AI72" s="40"/>
      <c r="AJ72" s="40"/>
      <c r="AK72" s="166"/>
      <c r="AL72" s="40"/>
      <c r="AM72" s="40"/>
      <c r="AN72" s="40"/>
      <c r="AO72" s="40"/>
      <c r="AP72" s="40"/>
      <c r="AQ72" s="166"/>
    </row>
    <row r="73" spans="1:43" x14ac:dyDescent="0.3">
      <c r="F73" s="203"/>
      <c r="T73" s="40" t="str">
        <f>TITLE</f>
        <v>ANNUALIZED TEST YEAR REVENUES AT REHEARING ORDER CALCULATED VS. MOST CURRENT RATES</v>
      </c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166"/>
      <c r="AH73" s="40"/>
      <c r="AI73" s="40"/>
      <c r="AJ73" s="40"/>
      <c r="AK73" s="166"/>
      <c r="AL73" s="40"/>
      <c r="AM73" s="40"/>
      <c r="AN73" s="40"/>
      <c r="AO73" s="40"/>
      <c r="AP73" s="40"/>
      <c r="AQ73" s="166"/>
    </row>
    <row r="74" spans="1:43" x14ac:dyDescent="0.3">
      <c r="T74" s="40" t="str">
        <f>DATE</f>
        <v>FOR THE TWELVE MONTHS ENDED June 30, 2026</v>
      </c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166"/>
      <c r="AH74" s="40"/>
      <c r="AI74" s="40"/>
      <c r="AJ74" s="40"/>
      <c r="AK74" s="166"/>
      <c r="AL74" s="40"/>
      <c r="AM74" s="40"/>
      <c r="AN74" s="40"/>
      <c r="AO74" s="40"/>
      <c r="AP74" s="40"/>
      <c r="AQ74" s="166"/>
    </row>
    <row r="75" spans="1:43" x14ac:dyDescent="0.3">
      <c r="N75" s="123"/>
      <c r="P75" s="123"/>
      <c r="Q75" s="123"/>
      <c r="R75" s="123"/>
      <c r="T75" s="40" t="str">
        <f>SERVICE</f>
        <v>(ELECTRIC SERVICE)</v>
      </c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166"/>
      <c r="AH75" s="40"/>
      <c r="AI75" s="40"/>
      <c r="AJ75" s="40"/>
      <c r="AK75" s="166"/>
      <c r="AL75" s="40"/>
      <c r="AM75" s="40"/>
      <c r="AN75" s="40"/>
      <c r="AO75" s="40"/>
      <c r="AP75" s="40"/>
      <c r="AQ75" s="166"/>
    </row>
    <row r="76" spans="1:43" x14ac:dyDescent="0.3">
      <c r="N76" s="123"/>
      <c r="T76" s="41" t="str">
        <f>DATA_PERIOD</f>
        <v>DATA: ____ BASE PERIOD   __X__FORECASTED PERIOD</v>
      </c>
      <c r="AO76" s="42" t="s">
        <v>158</v>
      </c>
      <c r="AP76" s="42"/>
    </row>
    <row r="77" spans="1:43" x14ac:dyDescent="0.3">
      <c r="N77" s="123"/>
      <c r="T77" s="41" t="str">
        <f>TYPE</f>
        <v>TYPE OF FILING: _X_ ORIGINAL   ___UPDATED  ___ REVISED</v>
      </c>
      <c r="AO77" s="45" t="str">
        <f>"PAGE 5 OF "&amp;TEXT(Page_Num_2.2,"00")</f>
        <v>PAGE 5 OF 24</v>
      </c>
      <c r="AP77" s="42"/>
    </row>
    <row r="78" spans="1:43" x14ac:dyDescent="0.3">
      <c r="H78" s="42"/>
      <c r="J78" s="42"/>
      <c r="T78" s="42" t="s">
        <v>171</v>
      </c>
      <c r="AO78" s="42" t="s">
        <v>3</v>
      </c>
      <c r="AP78" s="42"/>
    </row>
    <row r="79" spans="1:43" x14ac:dyDescent="0.3">
      <c r="T79" s="132" t="str">
        <f>TIME</f>
        <v>12 Months Projected with Riders</v>
      </c>
      <c r="AO79" s="41" t="str">
        <f>WIT</f>
        <v>B. L. Sailers</v>
      </c>
    </row>
    <row r="80" spans="1:43" x14ac:dyDescent="0.3">
      <c r="T80" s="132" t="str">
        <f>INPUT!B5</f>
        <v xml:space="preserve"> </v>
      </c>
    </row>
    <row r="81" spans="1:43" x14ac:dyDescent="0.3">
      <c r="P81" s="42"/>
      <c r="T81" s="40" t="s">
        <v>131</v>
      </c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166"/>
      <c r="AH81" s="40"/>
      <c r="AI81" s="40"/>
      <c r="AJ81" s="40"/>
      <c r="AK81" s="166"/>
      <c r="AL81" s="40"/>
      <c r="AM81" s="40"/>
      <c r="AN81" s="40"/>
      <c r="AO81" s="40"/>
      <c r="AP81" s="40"/>
      <c r="AQ81" s="166"/>
    </row>
    <row r="82" spans="1:43" x14ac:dyDescent="0.3">
      <c r="R82" s="42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167"/>
      <c r="AH82" s="43"/>
      <c r="AI82" s="43"/>
      <c r="AJ82" s="43"/>
      <c r="AK82" s="167"/>
      <c r="AL82" s="43"/>
      <c r="AM82" s="43"/>
      <c r="AN82" s="43"/>
      <c r="AO82" s="43"/>
      <c r="AP82" s="43"/>
      <c r="AQ82" s="167"/>
    </row>
    <row r="83" spans="1:43" ht="18" customHeight="1" x14ac:dyDescent="0.3">
      <c r="R83" s="42"/>
      <c r="AE83" s="44" t="s">
        <v>8</v>
      </c>
      <c r="AF83" s="44"/>
      <c r="AG83" s="168" t="s">
        <v>7</v>
      </c>
      <c r="AH83" s="44"/>
      <c r="AI83" s="44" t="s">
        <v>9</v>
      </c>
      <c r="AJ83" s="44"/>
      <c r="AK83" s="168" t="s">
        <v>10</v>
      </c>
      <c r="AL83" s="44"/>
      <c r="AO83" s="44" t="s">
        <v>8</v>
      </c>
      <c r="AP83" s="44"/>
      <c r="AQ83" s="168" t="s">
        <v>11</v>
      </c>
    </row>
    <row r="84" spans="1:43" x14ac:dyDescent="0.3">
      <c r="A84" s="42"/>
      <c r="R84" s="42"/>
      <c r="AC84" s="44" t="s">
        <v>14</v>
      </c>
      <c r="AD84" s="44"/>
      <c r="AE84" s="44" t="s">
        <v>12</v>
      </c>
      <c r="AF84" s="44"/>
      <c r="AG84" s="168" t="s">
        <v>13</v>
      </c>
      <c r="AH84" s="44"/>
      <c r="AI84" s="44" t="s">
        <v>15</v>
      </c>
      <c r="AJ84" s="44"/>
      <c r="AK84" s="168" t="s">
        <v>16</v>
      </c>
      <c r="AL84" s="44"/>
      <c r="AO84" s="44" t="s">
        <v>11</v>
      </c>
      <c r="AP84" s="44"/>
      <c r="AQ84" s="168" t="s">
        <v>9</v>
      </c>
    </row>
    <row r="85" spans="1:43" x14ac:dyDescent="0.3">
      <c r="O85" s="42"/>
      <c r="T85" s="44" t="s">
        <v>17</v>
      </c>
      <c r="V85" s="44" t="s">
        <v>18</v>
      </c>
      <c r="W85" s="44" t="s">
        <v>19</v>
      </c>
      <c r="X85" s="44"/>
      <c r="Y85" s="44" t="s">
        <v>20</v>
      </c>
      <c r="AC85" s="44" t="s">
        <v>8</v>
      </c>
      <c r="AD85" s="44"/>
      <c r="AE85" s="44" t="s">
        <v>842</v>
      </c>
      <c r="AF85" s="44"/>
      <c r="AG85" s="168" t="s">
        <v>842</v>
      </c>
      <c r="AH85" s="44"/>
      <c r="AI85" s="46" t="s">
        <v>965</v>
      </c>
      <c r="AJ85" s="44"/>
      <c r="AK85" s="169" t="s">
        <v>965</v>
      </c>
      <c r="AL85" s="44"/>
      <c r="AM85" s="44" t="s">
        <v>842</v>
      </c>
      <c r="AN85" s="44"/>
      <c r="AO85" s="44" t="s">
        <v>9</v>
      </c>
      <c r="AP85" s="44"/>
      <c r="AQ85" s="168" t="s">
        <v>21</v>
      </c>
    </row>
    <row r="86" spans="1:43" x14ac:dyDescent="0.3">
      <c r="A86" s="135"/>
      <c r="B86" s="135"/>
      <c r="C86" s="135"/>
      <c r="D86" s="135"/>
      <c r="E86" s="135"/>
      <c r="F86" s="135"/>
      <c r="G86" s="135"/>
      <c r="H86" s="135"/>
      <c r="J86" s="135"/>
      <c r="L86" s="135"/>
      <c r="N86" s="135"/>
      <c r="O86" s="135"/>
      <c r="P86" s="135"/>
      <c r="Q86" s="135"/>
      <c r="R86" s="135"/>
      <c r="T86" s="44" t="s">
        <v>22</v>
      </c>
      <c r="V86" s="44" t="s">
        <v>23</v>
      </c>
      <c r="W86" s="44" t="s">
        <v>24</v>
      </c>
      <c r="X86" s="44"/>
      <c r="Y86" s="44" t="s">
        <v>25</v>
      </c>
      <c r="AA86" s="44" t="s">
        <v>26</v>
      </c>
      <c r="AB86" s="44"/>
      <c r="AC86" s="44" t="s">
        <v>27</v>
      </c>
      <c r="AD86" s="44"/>
      <c r="AE86" s="44" t="s">
        <v>9</v>
      </c>
      <c r="AF86" s="44"/>
      <c r="AG86" s="168" t="s">
        <v>9</v>
      </c>
      <c r="AH86" s="44"/>
      <c r="AI86" s="141" t="s">
        <v>29</v>
      </c>
      <c r="AJ86" s="141"/>
      <c r="AK86" s="170" t="s">
        <v>30</v>
      </c>
      <c r="AL86" s="44"/>
      <c r="AM86" s="44" t="s">
        <v>324</v>
      </c>
      <c r="AN86" s="44"/>
      <c r="AO86" s="141" t="s">
        <v>31</v>
      </c>
      <c r="AP86" s="141"/>
      <c r="AQ86" s="170" t="s">
        <v>32</v>
      </c>
    </row>
    <row r="87" spans="1:43" x14ac:dyDescent="0.3">
      <c r="O87" s="44"/>
      <c r="P87" s="44"/>
      <c r="R87" s="44"/>
      <c r="V87" s="141" t="s">
        <v>33</v>
      </c>
      <c r="W87" s="141" t="s">
        <v>34</v>
      </c>
      <c r="X87" s="141"/>
      <c r="Y87" s="141" t="s">
        <v>35</v>
      </c>
      <c r="Z87" s="153"/>
      <c r="AA87" s="141" t="s">
        <v>36</v>
      </c>
      <c r="AB87" s="141"/>
      <c r="AC87" s="141" t="s">
        <v>42</v>
      </c>
      <c r="AD87" s="141"/>
      <c r="AE87" s="141" t="s">
        <v>43</v>
      </c>
      <c r="AF87" s="141"/>
      <c r="AG87" s="170" t="s">
        <v>44</v>
      </c>
      <c r="AH87" s="141"/>
      <c r="AI87" s="141" t="s">
        <v>45</v>
      </c>
      <c r="AJ87" s="141"/>
      <c r="AK87" s="170" t="s">
        <v>46</v>
      </c>
      <c r="AL87" s="141"/>
      <c r="AM87" s="141" t="s">
        <v>40</v>
      </c>
      <c r="AN87" s="141"/>
      <c r="AO87" s="141" t="s">
        <v>47</v>
      </c>
      <c r="AP87" s="141"/>
      <c r="AQ87" s="170" t="s">
        <v>48</v>
      </c>
    </row>
    <row r="88" spans="1:43" x14ac:dyDescent="0.3">
      <c r="O88" s="44"/>
      <c r="P88" s="44"/>
      <c r="R88" s="44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167"/>
      <c r="AH88" s="43"/>
      <c r="AI88" s="43"/>
      <c r="AJ88" s="43"/>
      <c r="AK88" s="167"/>
      <c r="AL88" s="43"/>
      <c r="AM88" s="43"/>
      <c r="AN88" s="43"/>
      <c r="AO88" s="43"/>
      <c r="AP88" s="43"/>
      <c r="AQ88" s="167"/>
    </row>
    <row r="89" spans="1:43" ht="17.100000000000001" customHeight="1" x14ac:dyDescent="0.3">
      <c r="A89" s="44"/>
      <c r="C89" s="44"/>
      <c r="D89" s="44"/>
      <c r="E89" s="44"/>
      <c r="F89" s="44"/>
      <c r="L89" s="44"/>
      <c r="N89" s="44"/>
      <c r="O89" s="44"/>
      <c r="P89" s="44"/>
      <c r="Q89" s="44"/>
      <c r="R89" s="44"/>
      <c r="AA89" s="172" t="s">
        <v>197</v>
      </c>
      <c r="AB89" s="171"/>
      <c r="AC89" s="172" t="s">
        <v>332</v>
      </c>
      <c r="AD89" s="171"/>
      <c r="AE89" s="171" t="s">
        <v>50</v>
      </c>
      <c r="AF89" s="171"/>
      <c r="AG89" s="173" t="s">
        <v>51</v>
      </c>
      <c r="AH89" s="171"/>
      <c r="AI89" s="171" t="s">
        <v>50</v>
      </c>
      <c r="AJ89" s="171"/>
      <c r="AK89" s="173" t="s">
        <v>51</v>
      </c>
      <c r="AL89" s="171"/>
      <c r="AM89" s="171" t="s">
        <v>50</v>
      </c>
      <c r="AN89" s="171"/>
      <c r="AO89" s="171" t="s">
        <v>50</v>
      </c>
      <c r="AP89" s="171"/>
      <c r="AQ89" s="173" t="s">
        <v>51</v>
      </c>
    </row>
    <row r="90" spans="1:43" x14ac:dyDescent="0.3">
      <c r="A90" s="44"/>
      <c r="C90" s="44"/>
      <c r="D90" s="44"/>
      <c r="E90" s="44"/>
      <c r="F90" s="44"/>
      <c r="H90" s="44"/>
      <c r="J90" s="44"/>
      <c r="L90" s="44"/>
      <c r="N90" s="44"/>
      <c r="O90" s="44"/>
      <c r="P90" s="44"/>
      <c r="Q90" s="44"/>
      <c r="R90" s="44"/>
      <c r="T90" s="41">
        <f t="shared" ref="T90:T95" si="0">A20</f>
        <v>1</v>
      </c>
      <c r="V90" s="132" t="s">
        <v>379</v>
      </c>
      <c r="W90" s="132" t="s">
        <v>380</v>
      </c>
      <c r="X90" s="42"/>
      <c r="Y90" s="1"/>
      <c r="Z90" s="1"/>
      <c r="AA90" s="208"/>
      <c r="AB90" s="208"/>
      <c r="AC90" s="172" t="s">
        <v>329</v>
      </c>
      <c r="AD90" s="208"/>
      <c r="AE90" s="208"/>
      <c r="AF90" s="208"/>
      <c r="AG90" s="221"/>
      <c r="AH90" s="208"/>
      <c r="AI90" s="208"/>
      <c r="AJ90" s="208"/>
      <c r="AK90" s="221"/>
      <c r="AL90" s="208"/>
      <c r="AM90" s="208"/>
      <c r="AN90" s="208"/>
      <c r="AO90" s="208"/>
      <c r="AP90" s="208"/>
      <c r="AQ90" s="221"/>
    </row>
    <row r="91" spans="1:43" x14ac:dyDescent="0.3">
      <c r="C91" s="44"/>
      <c r="D91" s="44"/>
      <c r="E91" s="44"/>
      <c r="F91" s="44"/>
      <c r="H91" s="44"/>
      <c r="J91" s="44"/>
      <c r="L91" s="44"/>
      <c r="N91" s="44"/>
      <c r="O91" s="44"/>
      <c r="P91" s="44"/>
      <c r="Q91" s="44"/>
      <c r="R91" s="44"/>
      <c r="T91" s="41">
        <f t="shared" si="0"/>
        <v>2</v>
      </c>
      <c r="V91" s="132" t="s">
        <v>54</v>
      </c>
      <c r="Y91" s="1"/>
      <c r="Z91" s="1"/>
      <c r="AA91" s="1"/>
      <c r="AB91" s="1"/>
      <c r="AC91" s="1"/>
      <c r="AD91" s="1"/>
      <c r="AE91" s="1"/>
      <c r="AF91" s="1"/>
      <c r="AG91" s="175"/>
      <c r="AH91" s="1"/>
      <c r="AI91" s="1"/>
      <c r="AJ91" s="1"/>
      <c r="AK91" s="175"/>
      <c r="AL91" s="1"/>
      <c r="AM91" s="1"/>
      <c r="AN91" s="1"/>
      <c r="AO91" s="1"/>
      <c r="AP91" s="1"/>
      <c r="AQ91" s="175"/>
    </row>
    <row r="92" spans="1:43" x14ac:dyDescent="0.3">
      <c r="H92" s="44"/>
      <c r="J92" s="44"/>
      <c r="L92" s="44"/>
      <c r="N92" s="44"/>
      <c r="O92" s="44"/>
      <c r="P92" s="44"/>
      <c r="Q92" s="44"/>
      <c r="R92" s="44"/>
      <c r="T92" s="41">
        <f t="shared" si="0"/>
        <v>3</v>
      </c>
      <c r="V92" s="132" t="s">
        <v>134</v>
      </c>
      <c r="Y92" s="1"/>
      <c r="Z92" s="1"/>
      <c r="AA92" s="1"/>
      <c r="AB92" s="1"/>
      <c r="AC92" s="1"/>
      <c r="AD92" s="1"/>
      <c r="AE92" s="1"/>
      <c r="AF92" s="1"/>
      <c r="AG92" s="175"/>
      <c r="AH92" s="1"/>
      <c r="AI92" s="1"/>
      <c r="AJ92" s="1"/>
      <c r="AK92" s="175"/>
      <c r="AL92" s="1"/>
      <c r="AM92" s="1"/>
      <c r="AN92" s="1"/>
      <c r="AO92" s="1"/>
      <c r="AP92" s="1"/>
      <c r="AQ92" s="175"/>
    </row>
    <row r="93" spans="1:43" x14ac:dyDescent="0.3">
      <c r="C93" s="42"/>
      <c r="D93" s="42"/>
      <c r="E93" s="42"/>
      <c r="T93" s="41">
        <f t="shared" si="0"/>
        <v>4</v>
      </c>
      <c r="V93" s="42" t="s">
        <v>135</v>
      </c>
      <c r="Y93" s="3">
        <f>F23</f>
        <v>0</v>
      </c>
      <c r="Z93" s="1"/>
      <c r="AA93" s="159"/>
      <c r="AB93" s="159"/>
      <c r="AC93" s="193">
        <f>INPUT!C68</f>
        <v>63.5</v>
      </c>
      <c r="AD93" s="194"/>
      <c r="AE93" s="3">
        <f>ROUND(+Y93*AC93,0)</f>
        <v>0</v>
      </c>
      <c r="AF93" s="1"/>
      <c r="AG93" s="175">
        <f>ROUND((+AE93/$AE$133)*100,1)</f>
        <v>0</v>
      </c>
      <c r="AH93" s="1"/>
      <c r="AI93" s="3">
        <f>L23-AE93</f>
        <v>0</v>
      </c>
      <c r="AJ93" s="3"/>
      <c r="AK93" s="175">
        <f>IF(AE93=0,0,ROUND((AI93/AE93)*100,1))</f>
        <v>0</v>
      </c>
      <c r="AL93" s="6"/>
      <c r="AM93" s="3"/>
      <c r="AN93" s="1"/>
      <c r="AO93" s="3">
        <f>AE93+AM93</f>
        <v>0</v>
      </c>
      <c r="AP93" s="1"/>
      <c r="AQ93" s="225">
        <v>0</v>
      </c>
    </row>
    <row r="94" spans="1:43" x14ac:dyDescent="0.3">
      <c r="C94" s="42"/>
      <c r="T94" s="41">
        <f t="shared" si="0"/>
        <v>5</v>
      </c>
      <c r="V94" s="42" t="s">
        <v>136</v>
      </c>
      <c r="Y94" s="3">
        <f>F24</f>
        <v>458</v>
      </c>
      <c r="Z94" s="1"/>
      <c r="AA94" s="159"/>
      <c r="AB94" s="159"/>
      <c r="AC94" s="193">
        <f>INPUT!C69</f>
        <v>127</v>
      </c>
      <c r="AD94" s="194"/>
      <c r="AE94" s="3">
        <f>ROUND(+Y94*AC94,0)</f>
        <v>58166</v>
      </c>
      <c r="AF94" s="1"/>
      <c r="AG94" s="175">
        <f>ROUND((+AE94/$AE$133)*100,1)</f>
        <v>0.1</v>
      </c>
      <c r="AH94" s="1"/>
      <c r="AI94" s="3">
        <f>L24-AE94</f>
        <v>0</v>
      </c>
      <c r="AJ94" s="3"/>
      <c r="AK94" s="175">
        <f>IF(AE94=0,0,ROUND((AI94/AE94)*100,1))</f>
        <v>0</v>
      </c>
      <c r="AL94" s="6"/>
      <c r="AM94" s="3"/>
      <c r="AN94" s="1"/>
      <c r="AO94" s="3">
        <f>AE94+AM94</f>
        <v>58166</v>
      </c>
      <c r="AP94" s="1"/>
      <c r="AQ94" s="177">
        <f>ROUND((+AI94/AO94)*100,1)</f>
        <v>0</v>
      </c>
    </row>
    <row r="95" spans="1:43" ht="20.100000000000001" customHeight="1" x14ac:dyDescent="0.3">
      <c r="C95" s="42"/>
      <c r="F95" s="184"/>
      <c r="H95" s="184"/>
      <c r="J95" s="184"/>
      <c r="L95" s="193"/>
      <c r="N95" s="193"/>
      <c r="O95" s="123"/>
      <c r="P95" s="160"/>
      <c r="R95" s="123"/>
      <c r="T95" s="41">
        <f t="shared" si="0"/>
        <v>6</v>
      </c>
      <c r="V95" s="132" t="s">
        <v>137</v>
      </c>
      <c r="Y95" s="145">
        <f>F25</f>
        <v>458</v>
      </c>
      <c r="Z95" s="1"/>
      <c r="AA95" s="3"/>
      <c r="AB95" s="3"/>
      <c r="AC95" s="7"/>
      <c r="AD95" s="7"/>
      <c r="AE95" s="145">
        <f>SUM(AE93:AE94)</f>
        <v>58166</v>
      </c>
      <c r="AF95" s="1"/>
      <c r="AG95" s="180">
        <f>ROUND((+AE95/$AE$133)*100,1)</f>
        <v>0.1</v>
      </c>
      <c r="AH95" s="1"/>
      <c r="AI95" s="145">
        <f>SUM(AI93:AI94)</f>
        <v>0</v>
      </c>
      <c r="AJ95" s="3"/>
      <c r="AK95" s="180">
        <f>IF(AE95=0,0,ROUND((AI95/AE95)*100,1))</f>
        <v>0</v>
      </c>
      <c r="AL95" s="6"/>
      <c r="AM95" s="145"/>
      <c r="AN95" s="1"/>
      <c r="AO95" s="145">
        <f>SUM(AO93:AO94)</f>
        <v>58166</v>
      </c>
      <c r="AP95" s="1"/>
      <c r="AQ95" s="177">
        <f>ROUND((+AI95/AO95)*100,1)</f>
        <v>0</v>
      </c>
    </row>
    <row r="96" spans="1:43" x14ac:dyDescent="0.3">
      <c r="C96" s="42"/>
      <c r="F96" s="184"/>
      <c r="H96" s="184"/>
      <c r="J96" s="184"/>
      <c r="L96" s="193"/>
      <c r="N96" s="193"/>
      <c r="O96" s="123"/>
      <c r="P96" s="160"/>
      <c r="R96" s="123"/>
      <c r="V96" s="42"/>
      <c r="Y96" s="3"/>
      <c r="Z96" s="1"/>
      <c r="AA96" s="3"/>
      <c r="AB96" s="3"/>
      <c r="AC96" s="7"/>
      <c r="AD96" s="7"/>
      <c r="AE96" s="3"/>
      <c r="AF96" s="1"/>
      <c r="AG96" s="175"/>
      <c r="AH96" s="1"/>
      <c r="AI96" s="3"/>
      <c r="AJ96" s="3"/>
      <c r="AK96" s="175"/>
      <c r="AL96" s="6"/>
      <c r="AM96" s="3"/>
      <c r="AN96" s="1"/>
      <c r="AO96" s="3"/>
      <c r="AP96" s="1"/>
      <c r="AQ96" s="175"/>
    </row>
    <row r="97" spans="3:43" x14ac:dyDescent="0.3">
      <c r="C97" s="42"/>
      <c r="F97" s="184"/>
      <c r="H97" s="184"/>
      <c r="J97" s="184"/>
      <c r="L97" s="193"/>
      <c r="N97" s="193"/>
      <c r="O97" s="123"/>
      <c r="P97" s="160"/>
      <c r="R97" s="123"/>
      <c r="T97" s="41">
        <f>A27</f>
        <v>7</v>
      </c>
      <c r="V97" s="132" t="s">
        <v>63</v>
      </c>
      <c r="Y97" s="159"/>
      <c r="Z97" s="1"/>
      <c r="AA97" s="159"/>
      <c r="AB97" s="159"/>
      <c r="AC97" s="248"/>
      <c r="AD97" s="248"/>
      <c r="AE97" s="3"/>
      <c r="AF97" s="1"/>
      <c r="AG97" s="175"/>
      <c r="AH97" s="1"/>
      <c r="AI97" s="3"/>
      <c r="AJ97" s="3"/>
      <c r="AK97" s="175"/>
      <c r="AL97" s="4"/>
      <c r="AM97" s="3"/>
      <c r="AN97" s="1"/>
      <c r="AO97" s="3"/>
      <c r="AP97" s="1"/>
      <c r="AQ97" s="175"/>
    </row>
    <row r="98" spans="3:43" x14ac:dyDescent="0.3">
      <c r="F98" s="210"/>
      <c r="H98" s="123"/>
      <c r="J98" s="123"/>
      <c r="L98" s="213"/>
      <c r="N98" s="213"/>
      <c r="O98" s="210"/>
      <c r="P98" s="210"/>
      <c r="Q98" s="210"/>
      <c r="R98" s="210"/>
      <c r="T98" s="41">
        <f>A28</f>
        <v>8</v>
      </c>
      <c r="V98" s="42" t="s">
        <v>64</v>
      </c>
      <c r="Y98" s="159"/>
      <c r="Z98" s="1"/>
      <c r="AA98" s="3">
        <f>H28</f>
        <v>429404</v>
      </c>
      <c r="AB98" s="3"/>
      <c r="AC98" s="194">
        <f>CUR_DT_SUM_PEAK_ON</f>
        <v>14.71</v>
      </c>
      <c r="AD98" s="194"/>
      <c r="AE98" s="3">
        <f>ROUND(+AA98*AC98,0)</f>
        <v>6316533</v>
      </c>
      <c r="AF98" s="1"/>
      <c r="AG98" s="175">
        <f>ROUND((+AE98/$AE$133)*100,1)</f>
        <v>10.7</v>
      </c>
      <c r="AH98" s="1"/>
      <c r="AI98" s="3">
        <f>L28-AE98</f>
        <v>433698</v>
      </c>
      <c r="AJ98" s="3"/>
      <c r="AK98" s="175">
        <f>IF(AE98=0,0,ROUND((AI98/AE98)*100,1))</f>
        <v>6.9</v>
      </c>
      <c r="AL98" s="6"/>
      <c r="AM98" s="3"/>
      <c r="AN98" s="1"/>
      <c r="AO98" s="3">
        <f>AE98+AM98</f>
        <v>6316533</v>
      </c>
      <c r="AP98" s="1"/>
      <c r="AQ98" s="175">
        <f>ROUND((+AI98/AO98)*100,1)</f>
        <v>6.9</v>
      </c>
    </row>
    <row r="99" spans="3:43" x14ac:dyDescent="0.3">
      <c r="C99" s="42"/>
      <c r="F99" s="123"/>
      <c r="H99" s="123"/>
      <c r="J99" s="123"/>
      <c r="L99" s="213"/>
      <c r="N99" s="213"/>
      <c r="O99" s="123"/>
      <c r="P99" s="160"/>
      <c r="Q99" s="123"/>
      <c r="R99" s="123"/>
      <c r="T99" s="41">
        <f>A29</f>
        <v>9</v>
      </c>
      <c r="V99" s="42" t="s">
        <v>65</v>
      </c>
      <c r="Y99" s="159"/>
      <c r="Z99" s="1"/>
      <c r="AA99" s="3">
        <f>H29</f>
        <v>5222</v>
      </c>
      <c r="AB99" s="3"/>
      <c r="AC99" s="194">
        <f>CUR_DT_SUM_PK_OFF</f>
        <v>1.32</v>
      </c>
      <c r="AD99" s="194"/>
      <c r="AE99" s="3">
        <f>ROUND(+AA99*AC99,0)</f>
        <v>6893</v>
      </c>
      <c r="AF99" s="1"/>
      <c r="AG99" s="175">
        <f>ROUND((+AE99/$AE$133)*100,1)</f>
        <v>0</v>
      </c>
      <c r="AH99" s="1"/>
      <c r="AI99" s="3">
        <f>L29-AE99</f>
        <v>470</v>
      </c>
      <c r="AJ99" s="3"/>
      <c r="AK99" s="175">
        <f>IF(AE99=0,0,ROUND((AI99/AE99)*100,1))</f>
        <v>6.8</v>
      </c>
      <c r="AL99" s="6"/>
      <c r="AM99" s="3"/>
      <c r="AN99" s="1"/>
      <c r="AO99" s="3">
        <f>AE99+AM99</f>
        <v>6893</v>
      </c>
      <c r="AP99" s="1"/>
      <c r="AQ99" s="175">
        <f>ROUND((+AI99/AO99)*100,1)</f>
        <v>6.8</v>
      </c>
    </row>
    <row r="100" spans="3:43" x14ac:dyDescent="0.3">
      <c r="C100" s="42"/>
      <c r="F100" s="123"/>
      <c r="H100" s="123"/>
      <c r="J100" s="123"/>
      <c r="L100" s="213"/>
      <c r="N100" s="213"/>
      <c r="O100" s="123"/>
      <c r="P100" s="160"/>
      <c r="Q100" s="123"/>
      <c r="R100" s="123"/>
      <c r="T100" s="41">
        <f>A30</f>
        <v>10</v>
      </c>
      <c r="V100" s="42" t="s">
        <v>976</v>
      </c>
      <c r="Y100" s="159"/>
      <c r="Z100" s="1"/>
      <c r="AA100" s="49">
        <f>AA98+AA99</f>
        <v>434626</v>
      </c>
      <c r="AB100" s="3"/>
      <c r="AC100" s="194">
        <f>INPUT!$C$82</f>
        <v>6.07</v>
      </c>
      <c r="AD100" s="194"/>
      <c r="AE100" s="3">
        <f>ROUND(+AA100*AC100,0)</f>
        <v>2638180</v>
      </c>
      <c r="AF100" s="1"/>
      <c r="AG100" s="175">
        <f>ROUND((+AE100/$AE$133)*100,1)</f>
        <v>4.5</v>
      </c>
      <c r="AH100" s="1"/>
      <c r="AI100" s="3">
        <f>L30-AE100</f>
        <v>304238</v>
      </c>
      <c r="AJ100" s="3"/>
      <c r="AK100" s="177">
        <f>IF(AE100=0,0,ROUND((AI100/AE100)*100,1))</f>
        <v>11.5</v>
      </c>
      <c r="AL100" s="6"/>
      <c r="AM100" s="3"/>
      <c r="AN100" s="1"/>
      <c r="AO100" s="3">
        <f>AE100+AM100</f>
        <v>2638180</v>
      </c>
      <c r="AP100" s="1"/>
      <c r="AQ100" s="177">
        <f>ROUND((+AI100/AO100)*100,1)</f>
        <v>11.5</v>
      </c>
    </row>
    <row r="101" spans="3:43" ht="20.100000000000001" customHeight="1" x14ac:dyDescent="0.3">
      <c r="C101" s="42"/>
      <c r="F101" s="184"/>
      <c r="H101" s="184"/>
      <c r="J101" s="184"/>
      <c r="L101" s="237"/>
      <c r="N101" s="237"/>
      <c r="O101" s="123"/>
      <c r="P101" s="160"/>
      <c r="Q101" s="123"/>
      <c r="R101" s="123"/>
      <c r="S101" s="123"/>
      <c r="T101" s="41">
        <f>A31</f>
        <v>11</v>
      </c>
      <c r="V101" s="132" t="s">
        <v>66</v>
      </c>
      <c r="Y101" s="3"/>
      <c r="Z101" s="1"/>
      <c r="AA101" s="145">
        <f>H31</f>
        <v>434626</v>
      </c>
      <c r="AB101" s="3"/>
      <c r="AC101" s="183"/>
      <c r="AD101" s="183"/>
      <c r="AE101" s="145">
        <f>SUM(AE98:AE100)</f>
        <v>8961606</v>
      </c>
      <c r="AF101" s="1"/>
      <c r="AG101" s="180">
        <f>ROUND((+AE101/$AE$133)*100,1)</f>
        <v>15.2</v>
      </c>
      <c r="AH101" s="1"/>
      <c r="AI101" s="145">
        <f>SUM(AI98:AI100)</f>
        <v>738406</v>
      </c>
      <c r="AJ101" s="3"/>
      <c r="AK101" s="180">
        <f>IF(AE101=0,0,ROUND((AI101/AE101)*100,1))</f>
        <v>8.1999999999999993</v>
      </c>
      <c r="AL101" s="6"/>
      <c r="AM101" s="145"/>
      <c r="AN101" s="1"/>
      <c r="AO101" s="145">
        <f>SUM(AO98:AO100)</f>
        <v>8961606</v>
      </c>
      <c r="AP101" s="1"/>
      <c r="AQ101" s="177">
        <f>ROUND((+AI101/AO101)*100,1)</f>
        <v>8.1999999999999993</v>
      </c>
    </row>
    <row r="102" spans="3:43" x14ac:dyDescent="0.3">
      <c r="C102" s="42"/>
      <c r="F102" s="184"/>
      <c r="H102" s="184"/>
      <c r="J102" s="184"/>
      <c r="L102" s="237"/>
      <c r="N102" s="237"/>
      <c r="O102" s="123"/>
      <c r="P102" s="160"/>
      <c r="Q102" s="123"/>
      <c r="R102" s="123"/>
      <c r="S102" s="123"/>
      <c r="V102" s="42"/>
      <c r="Y102" s="3"/>
      <c r="Z102" s="1"/>
      <c r="AA102" s="3"/>
      <c r="AB102" s="3"/>
      <c r="AC102" s="183"/>
      <c r="AD102" s="183"/>
      <c r="AE102" s="3"/>
      <c r="AF102" s="1"/>
      <c r="AG102" s="175"/>
      <c r="AH102" s="1"/>
      <c r="AI102" s="3"/>
      <c r="AJ102" s="3"/>
      <c r="AK102" s="175"/>
      <c r="AL102" s="6"/>
      <c r="AM102" s="3"/>
      <c r="AN102" s="1"/>
      <c r="AO102" s="3"/>
      <c r="AP102" s="1"/>
      <c r="AQ102" s="175"/>
    </row>
    <row r="103" spans="3:43" x14ac:dyDescent="0.3">
      <c r="C103" s="42"/>
      <c r="H103" s="184"/>
      <c r="J103" s="184"/>
      <c r="L103" s="238"/>
      <c r="N103" s="238"/>
      <c r="O103" s="123"/>
      <c r="P103" s="160"/>
      <c r="Q103" s="123"/>
      <c r="R103" s="123"/>
      <c r="T103" s="41">
        <f>A33</f>
        <v>12</v>
      </c>
      <c r="V103" s="178" t="s">
        <v>374</v>
      </c>
      <c r="Y103" s="3"/>
      <c r="Z103" s="1"/>
      <c r="AA103" s="3"/>
      <c r="AB103" s="3"/>
      <c r="AC103" s="7"/>
      <c r="AD103" s="7"/>
      <c r="AE103" s="3"/>
      <c r="AF103" s="1"/>
      <c r="AG103" s="175"/>
      <c r="AH103" s="1"/>
      <c r="AI103" s="3"/>
      <c r="AJ103" s="3"/>
      <c r="AK103" s="175"/>
      <c r="AL103" s="6"/>
      <c r="AM103" s="3"/>
      <c r="AN103" s="1"/>
      <c r="AO103" s="3"/>
      <c r="AP103" s="1"/>
      <c r="AQ103" s="175"/>
    </row>
    <row r="104" spans="3:43" x14ac:dyDescent="0.3">
      <c r="C104" s="42"/>
      <c r="H104" s="184"/>
      <c r="J104" s="184"/>
      <c r="L104" s="238"/>
      <c r="N104" s="238"/>
      <c r="O104" s="123"/>
      <c r="P104" s="160"/>
      <c r="Q104" s="123"/>
      <c r="R104" s="123"/>
      <c r="T104" s="41">
        <f>A34</f>
        <v>13</v>
      </c>
      <c r="V104" s="42" t="s">
        <v>386</v>
      </c>
      <c r="Y104" s="3"/>
      <c r="Z104" s="1"/>
      <c r="AA104" s="3">
        <f>H34</f>
        <v>63597049</v>
      </c>
      <c r="AB104" s="3"/>
      <c r="AC104" s="260">
        <f>CUR_DT_SUM_E_ON</f>
        <v>5.6746999999999999E-2</v>
      </c>
      <c r="AD104" s="199"/>
      <c r="AE104" s="3">
        <f>ROUND((+AA104*AC104),0)-AM104</f>
        <v>3608942</v>
      </c>
      <c r="AF104" s="1"/>
      <c r="AG104" s="175">
        <f>ROUND((+AE104/$AE$133)*100,1)</f>
        <v>6.1</v>
      </c>
      <c r="AH104" s="1"/>
      <c r="AI104" s="3">
        <f>L34-AE104</f>
        <v>394111</v>
      </c>
      <c r="AJ104" s="3"/>
      <c r="AK104" s="175">
        <f>IF(AE104=0,0,ROUND((AI104/AE104)*100,1))</f>
        <v>10.9</v>
      </c>
      <c r="AL104" s="6"/>
      <c r="AM104" s="3"/>
      <c r="AN104" s="1"/>
      <c r="AO104" s="3">
        <f>AE104+AM104</f>
        <v>3608942</v>
      </c>
      <c r="AP104" s="1"/>
      <c r="AQ104" s="175">
        <f>ROUND((+AI104/AO104)*100,1)</f>
        <v>10.9</v>
      </c>
    </row>
    <row r="105" spans="3:43" x14ac:dyDescent="0.3">
      <c r="F105" s="123"/>
      <c r="H105" s="123"/>
      <c r="J105" s="123"/>
      <c r="L105" s="213"/>
      <c r="N105" s="213"/>
      <c r="O105" s="210"/>
      <c r="P105" s="210"/>
      <c r="Q105" s="210"/>
      <c r="R105" s="210"/>
      <c r="T105" s="41">
        <f>A35</f>
        <v>14</v>
      </c>
      <c r="V105" s="42" t="s">
        <v>387</v>
      </c>
      <c r="Y105" s="196"/>
      <c r="Z105" s="1"/>
      <c r="AA105" s="49">
        <f>H35</f>
        <v>152583920</v>
      </c>
      <c r="AB105" s="3"/>
      <c r="AC105" s="260">
        <f>CUR_DT_SUM_E_OFF</f>
        <v>4.8348000000000002E-2</v>
      </c>
      <c r="AD105" s="199"/>
      <c r="AE105" s="49">
        <f>ROUND((+AA105*AC105),0)-AM105</f>
        <v>7377127</v>
      </c>
      <c r="AF105" s="1"/>
      <c r="AG105" s="175">
        <f>ROUND((+AE105/$AE$133)*100,1)</f>
        <v>12.5</v>
      </c>
      <c r="AH105" s="1"/>
      <c r="AI105" s="49">
        <f>L35-AE105</f>
        <v>769634</v>
      </c>
      <c r="AJ105" s="3"/>
      <c r="AK105" s="177">
        <f>IF(AE105=0,0,ROUND((AI105/AE105)*100,1))</f>
        <v>10.4</v>
      </c>
      <c r="AL105" s="6"/>
      <c r="AM105" s="49"/>
      <c r="AN105" s="1"/>
      <c r="AO105" s="49">
        <f>AE105+AM105</f>
        <v>7377127</v>
      </c>
      <c r="AP105" s="1"/>
      <c r="AQ105" s="177">
        <f>ROUND((+AI105/AO105)*100,1)</f>
        <v>10.4</v>
      </c>
    </row>
    <row r="106" spans="3:43" ht="22.5" customHeight="1" x14ac:dyDescent="0.3">
      <c r="F106" s="123"/>
      <c r="H106" s="123"/>
      <c r="J106" s="123"/>
      <c r="L106" s="213"/>
      <c r="N106" s="213"/>
      <c r="O106" s="210"/>
      <c r="P106" s="210"/>
      <c r="Q106" s="210"/>
      <c r="R106" s="210"/>
      <c r="T106" s="41">
        <f>A36</f>
        <v>15</v>
      </c>
      <c r="V106" s="132" t="s">
        <v>56</v>
      </c>
      <c r="Y106" s="145">
        <f>F36</f>
        <v>458</v>
      </c>
      <c r="Z106" s="1"/>
      <c r="AA106" s="145">
        <f>H36</f>
        <v>216180969</v>
      </c>
      <c r="AB106" s="3"/>
      <c r="AC106" s="183"/>
      <c r="AD106" s="183"/>
      <c r="AE106" s="145">
        <f>AE95+AE101+AE104+AE105</f>
        <v>20005841</v>
      </c>
      <c r="AF106" s="1"/>
      <c r="AG106" s="180">
        <f>ROUND((+AE106/$AE$133)*100,1)</f>
        <v>34</v>
      </c>
      <c r="AH106" s="1"/>
      <c r="AI106" s="145">
        <f>AI95+AI101+AI104+AI105</f>
        <v>1902151</v>
      </c>
      <c r="AJ106" s="3"/>
      <c r="AK106" s="180">
        <f>IF(AE106=0,0,ROUND((AI106/AE106)*100,1))</f>
        <v>9.5</v>
      </c>
      <c r="AL106" s="6"/>
      <c r="AM106" s="145"/>
      <c r="AN106" s="1"/>
      <c r="AO106" s="145">
        <f>AO95+AO101+AO104+AO105</f>
        <v>20005841</v>
      </c>
      <c r="AP106" s="1"/>
      <c r="AQ106" s="177">
        <f>ROUND((+AI106/AO106)*100,1)</f>
        <v>9.5</v>
      </c>
    </row>
    <row r="107" spans="3:43" x14ac:dyDescent="0.3">
      <c r="F107" s="123"/>
      <c r="H107" s="123"/>
      <c r="J107" s="123"/>
      <c r="L107" s="213"/>
      <c r="N107" s="213"/>
      <c r="O107" s="210"/>
      <c r="P107" s="210"/>
      <c r="Q107" s="210"/>
      <c r="R107" s="210"/>
      <c r="V107" s="42"/>
      <c r="Y107" s="3"/>
      <c r="Z107" s="1"/>
      <c r="AA107" s="3"/>
      <c r="AB107" s="3"/>
      <c r="AC107" s="183"/>
      <c r="AD107" s="183"/>
      <c r="AE107" s="3"/>
      <c r="AF107" s="1"/>
      <c r="AG107" s="175"/>
      <c r="AH107" s="1"/>
      <c r="AI107" s="3"/>
      <c r="AJ107" s="3"/>
      <c r="AK107" s="175"/>
      <c r="AL107" s="6"/>
      <c r="AM107" s="3"/>
      <c r="AN107" s="1"/>
      <c r="AO107" s="3"/>
      <c r="AP107" s="1"/>
      <c r="AQ107" s="175"/>
    </row>
    <row r="108" spans="3:43" x14ac:dyDescent="0.3">
      <c r="C108" s="42"/>
      <c r="F108" s="123"/>
      <c r="H108" s="184"/>
      <c r="J108" s="184"/>
      <c r="L108" s="227"/>
      <c r="N108" s="227"/>
      <c r="O108" s="123"/>
      <c r="P108" s="160"/>
      <c r="Q108" s="123"/>
      <c r="R108" s="123"/>
      <c r="T108" s="41">
        <f>A38</f>
        <v>16</v>
      </c>
      <c r="V108" s="132" t="s">
        <v>57</v>
      </c>
      <c r="Y108" s="159"/>
      <c r="Z108" s="1"/>
      <c r="AA108" s="159"/>
      <c r="AB108" s="159"/>
      <c r="AC108" s="183"/>
      <c r="AD108" s="183"/>
      <c r="AE108" s="3"/>
      <c r="AF108" s="1"/>
      <c r="AG108" s="175"/>
      <c r="AH108" s="1"/>
      <c r="AI108" s="3"/>
      <c r="AJ108" s="3"/>
      <c r="AK108" s="175"/>
      <c r="AL108" s="1"/>
      <c r="AM108" s="3"/>
      <c r="AN108" s="1"/>
      <c r="AO108" s="3"/>
      <c r="AP108" s="1"/>
      <c r="AQ108" s="175"/>
    </row>
    <row r="109" spans="3:43" x14ac:dyDescent="0.3">
      <c r="C109" s="42"/>
      <c r="F109" s="123"/>
      <c r="H109" s="123"/>
      <c r="J109" s="123"/>
      <c r="L109" s="213"/>
      <c r="N109" s="213"/>
      <c r="O109" s="123"/>
      <c r="P109" s="160"/>
      <c r="Q109" s="123"/>
      <c r="R109" s="123"/>
      <c r="S109" s="123"/>
      <c r="T109" s="41">
        <f>A39</f>
        <v>17</v>
      </c>
      <c r="V109" s="132" t="s">
        <v>134</v>
      </c>
      <c r="Y109" s="1"/>
      <c r="Z109" s="1"/>
      <c r="AA109" s="1"/>
      <c r="AB109" s="1"/>
      <c r="AC109" s="1"/>
      <c r="AD109" s="1"/>
      <c r="AE109" s="1"/>
      <c r="AF109" s="1"/>
      <c r="AG109" s="175"/>
      <c r="AH109" s="1"/>
      <c r="AI109" s="1"/>
      <c r="AJ109" s="1"/>
      <c r="AK109" s="175"/>
      <c r="AL109" s="1"/>
      <c r="AM109" s="1"/>
      <c r="AN109" s="1"/>
      <c r="AO109" s="1"/>
      <c r="AP109" s="1"/>
      <c r="AQ109" s="175"/>
    </row>
    <row r="110" spans="3:43" x14ac:dyDescent="0.3">
      <c r="F110" s="210"/>
      <c r="H110" s="210"/>
      <c r="J110" s="210"/>
      <c r="L110" s="213"/>
      <c r="N110" s="213"/>
      <c r="O110" s="210"/>
      <c r="P110" s="210"/>
      <c r="Q110" s="210"/>
      <c r="R110" s="210"/>
      <c r="S110" s="123"/>
      <c r="T110" s="41">
        <f>A40</f>
        <v>18</v>
      </c>
      <c r="V110" s="42" t="s">
        <v>135</v>
      </c>
      <c r="Y110" s="3">
        <f>F40</f>
        <v>0</v>
      </c>
      <c r="Z110" s="1"/>
      <c r="AA110" s="159"/>
      <c r="AB110" s="159"/>
      <c r="AC110" s="194">
        <f>AC93</f>
        <v>63.5</v>
      </c>
      <c r="AD110" s="194"/>
      <c r="AE110" s="3">
        <f>ROUND(+Y110*AC110,0)</f>
        <v>0</v>
      </c>
      <c r="AF110" s="1"/>
      <c r="AG110" s="175">
        <f>ROUND((+AE110/$AE$133)*100,1)</f>
        <v>0</v>
      </c>
      <c r="AH110" s="1"/>
      <c r="AI110" s="3">
        <f>L40-AE110</f>
        <v>0</v>
      </c>
      <c r="AJ110" s="3"/>
      <c r="AK110" s="175">
        <f>IF(AE110=0,0,ROUND((AI110/AE110)*100,1))</f>
        <v>0</v>
      </c>
      <c r="AL110" s="6"/>
      <c r="AM110" s="3"/>
      <c r="AN110" s="1"/>
      <c r="AO110" s="3">
        <f>AE110+AM110</f>
        <v>0</v>
      </c>
      <c r="AP110" s="1"/>
      <c r="AQ110" s="225">
        <v>0</v>
      </c>
    </row>
    <row r="111" spans="3:43" x14ac:dyDescent="0.3">
      <c r="C111" s="42"/>
      <c r="F111" s="184"/>
      <c r="H111" s="239"/>
      <c r="J111" s="239"/>
      <c r="L111" s="213"/>
      <c r="N111" s="213"/>
      <c r="O111" s="123"/>
      <c r="P111" s="160"/>
      <c r="Q111" s="123"/>
      <c r="R111" s="123"/>
      <c r="S111" s="123"/>
      <c r="T111" s="41">
        <f>A41</f>
        <v>19</v>
      </c>
      <c r="V111" s="42" t="s">
        <v>136</v>
      </c>
      <c r="Y111" s="3">
        <f>F41</f>
        <v>905</v>
      </c>
      <c r="Z111" s="1"/>
      <c r="AA111" s="159"/>
      <c r="AB111" s="159"/>
      <c r="AC111" s="194">
        <f>AC94</f>
        <v>127</v>
      </c>
      <c r="AD111" s="194"/>
      <c r="AE111" s="3">
        <f>ROUND(+Y111*AC111,0)</f>
        <v>114935</v>
      </c>
      <c r="AF111" s="1"/>
      <c r="AG111" s="175">
        <f>ROUND((+AE111/$AE$133)*100,1)</f>
        <v>0.2</v>
      </c>
      <c r="AH111" s="1"/>
      <c r="AI111" s="3">
        <f>L41-AE111</f>
        <v>0</v>
      </c>
      <c r="AJ111" s="3"/>
      <c r="AK111" s="175">
        <f>IF(AE111=0,0,ROUND((AI111/AE111)*100,1))</f>
        <v>0</v>
      </c>
      <c r="AL111" s="6"/>
      <c r="AM111" s="3"/>
      <c r="AN111" s="1"/>
      <c r="AO111" s="3">
        <f>AE111+AM111</f>
        <v>114935</v>
      </c>
      <c r="AP111" s="1"/>
      <c r="AQ111" s="177">
        <f>ROUND((+AI111/AO111)*100,1)</f>
        <v>0</v>
      </c>
    </row>
    <row r="112" spans="3:43" ht="20.100000000000001" customHeight="1" x14ac:dyDescent="0.3">
      <c r="C112" s="42"/>
      <c r="F112" s="184"/>
      <c r="H112" s="184"/>
      <c r="J112" s="184"/>
      <c r="L112" s="193"/>
      <c r="N112" s="193"/>
      <c r="O112" s="123"/>
      <c r="P112" s="160"/>
      <c r="R112" s="123"/>
      <c r="T112" s="41">
        <f>A42</f>
        <v>20</v>
      </c>
      <c r="V112" s="132" t="s">
        <v>137</v>
      </c>
      <c r="Y112" s="145">
        <f>F42</f>
        <v>905</v>
      </c>
      <c r="Z112" s="1"/>
      <c r="AA112" s="3"/>
      <c r="AB112" s="3"/>
      <c r="AC112" s="183"/>
      <c r="AD112" s="183"/>
      <c r="AE112" s="145">
        <f>SUM(AE110:AE111)</f>
        <v>114935</v>
      </c>
      <c r="AF112" s="1"/>
      <c r="AG112" s="180">
        <f>ROUND((+AE112/$AE$133)*100,1)</f>
        <v>0.2</v>
      </c>
      <c r="AH112" s="1"/>
      <c r="AI112" s="145">
        <f>SUM(AI110:AI111)</f>
        <v>0</v>
      </c>
      <c r="AJ112" s="3"/>
      <c r="AK112" s="180">
        <f>IF(AE112=0,0,ROUND((AI112/AE112)*100,1))</f>
        <v>0</v>
      </c>
      <c r="AL112" s="6"/>
      <c r="AM112" s="145"/>
      <c r="AN112" s="1"/>
      <c r="AO112" s="145">
        <f>SUM(AO110:AO111)</f>
        <v>114935</v>
      </c>
      <c r="AP112" s="1"/>
      <c r="AQ112" s="177">
        <f>ROUND((+AI112/AO112)*100,1)</f>
        <v>0</v>
      </c>
    </row>
    <row r="113" spans="3:43" x14ac:dyDescent="0.3">
      <c r="C113" s="42"/>
      <c r="F113" s="184"/>
      <c r="H113" s="184"/>
      <c r="J113" s="184"/>
      <c r="L113" s="193"/>
      <c r="N113" s="193"/>
      <c r="O113" s="123"/>
      <c r="P113" s="160"/>
      <c r="R113" s="123"/>
      <c r="V113" s="42"/>
      <c r="Y113" s="3"/>
      <c r="Z113" s="1"/>
      <c r="AA113" s="3"/>
      <c r="AB113" s="3"/>
      <c r="AC113" s="183"/>
      <c r="AD113" s="183"/>
      <c r="AE113" s="3"/>
      <c r="AF113" s="1"/>
      <c r="AG113" s="175"/>
      <c r="AH113" s="1"/>
      <c r="AI113" s="3"/>
      <c r="AJ113" s="3"/>
      <c r="AK113" s="175"/>
      <c r="AL113" s="6"/>
      <c r="AM113" s="3"/>
      <c r="AN113" s="1"/>
      <c r="AO113" s="3"/>
      <c r="AP113" s="1"/>
      <c r="AQ113" s="175"/>
    </row>
    <row r="114" spans="3:43" x14ac:dyDescent="0.3">
      <c r="C114" s="42"/>
      <c r="F114" s="184"/>
      <c r="H114" s="184"/>
      <c r="J114" s="184"/>
      <c r="L114" s="193"/>
      <c r="N114" s="193"/>
      <c r="O114" s="123"/>
      <c r="P114" s="160"/>
      <c r="R114" s="123"/>
      <c r="T114" s="41">
        <f>A44</f>
        <v>21</v>
      </c>
      <c r="V114" s="132" t="s">
        <v>63</v>
      </c>
      <c r="Y114" s="159"/>
      <c r="Z114" s="1"/>
      <c r="AA114" s="159"/>
      <c r="AB114" s="159"/>
      <c r="AC114" s="248"/>
      <c r="AD114" s="248"/>
      <c r="AE114" s="3"/>
      <c r="AF114" s="1"/>
      <c r="AG114" s="175"/>
      <c r="AH114" s="1"/>
      <c r="AI114" s="3"/>
      <c r="AJ114" s="3"/>
      <c r="AK114" s="175"/>
      <c r="AL114" s="4"/>
      <c r="AM114" s="3"/>
      <c r="AN114" s="1"/>
      <c r="AO114" s="3"/>
      <c r="AP114" s="1"/>
      <c r="AQ114" s="175"/>
    </row>
    <row r="115" spans="3:43" x14ac:dyDescent="0.3">
      <c r="F115" s="210"/>
      <c r="H115" s="123"/>
      <c r="J115" s="123"/>
      <c r="L115" s="213"/>
      <c r="N115" s="213"/>
      <c r="O115" s="210"/>
      <c r="P115" s="210"/>
      <c r="Q115" s="210"/>
      <c r="R115" s="210"/>
      <c r="T115" s="41">
        <f>A45</f>
        <v>22</v>
      </c>
      <c r="V115" s="42" t="s">
        <v>64</v>
      </c>
      <c r="Y115" s="159"/>
      <c r="Z115" s="1"/>
      <c r="AA115" s="3">
        <f>H45</f>
        <v>778656</v>
      </c>
      <c r="AB115" s="3"/>
      <c r="AC115" s="194">
        <f>CUR_DT_WIN_PEAK_ON</f>
        <v>13.92</v>
      </c>
      <c r="AD115" s="194"/>
      <c r="AE115" s="3">
        <f>ROUND(+AA115*AC115,0)</f>
        <v>10838892</v>
      </c>
      <c r="AF115" s="1"/>
      <c r="AG115" s="175">
        <f>ROUND((+AE115/$AE$133)*100,1)</f>
        <v>18.399999999999999</v>
      </c>
      <c r="AH115" s="1"/>
      <c r="AI115" s="3">
        <f>L45-AE115</f>
        <v>747509</v>
      </c>
      <c r="AJ115" s="3"/>
      <c r="AK115" s="175">
        <f>IF(AE115=0,0,ROUND((AI115/AE115)*100,1))</f>
        <v>6.9</v>
      </c>
      <c r="AL115" s="6"/>
      <c r="AM115" s="3"/>
      <c r="AN115" s="1"/>
      <c r="AO115" s="3">
        <f>AE115+AM115</f>
        <v>10838892</v>
      </c>
      <c r="AP115" s="1"/>
      <c r="AQ115" s="175">
        <f>ROUND((+AI115/AO115)*100,1)</f>
        <v>6.9</v>
      </c>
    </row>
    <row r="116" spans="3:43" x14ac:dyDescent="0.3">
      <c r="C116" s="42"/>
      <c r="F116" s="123"/>
      <c r="H116" s="123"/>
      <c r="J116" s="123"/>
      <c r="L116" s="213"/>
      <c r="N116" s="213"/>
      <c r="O116" s="123"/>
      <c r="P116" s="160"/>
      <c r="Q116" s="123"/>
      <c r="R116" s="123"/>
      <c r="T116" s="41">
        <f>A46</f>
        <v>23</v>
      </c>
      <c r="V116" s="42" t="s">
        <v>65</v>
      </c>
      <c r="Y116" s="159"/>
      <c r="Z116" s="1"/>
      <c r="AA116" s="3">
        <f>H46</f>
        <v>15182</v>
      </c>
      <c r="AB116" s="3"/>
      <c r="AC116" s="194">
        <f>CUR_DT_WIN_PK_OFF</f>
        <v>1.32</v>
      </c>
      <c r="AD116" s="194"/>
      <c r="AE116" s="3">
        <f>ROUND(+AA116*AC116,0)</f>
        <v>20040</v>
      </c>
      <c r="AF116" s="1"/>
      <c r="AG116" s="175">
        <f>ROUND((+AE116/$AE$133)*100,1)</f>
        <v>0</v>
      </c>
      <c r="AH116" s="1"/>
      <c r="AI116" s="3">
        <f>L46-AE116</f>
        <v>1367</v>
      </c>
      <c r="AJ116" s="3"/>
      <c r="AK116" s="175">
        <f>IF(AE116=0,0,ROUND((AI116/AE116)*100,1))</f>
        <v>6.8</v>
      </c>
      <c r="AL116" s="6"/>
      <c r="AM116" s="3"/>
      <c r="AN116" s="1"/>
      <c r="AO116" s="3">
        <f>AE116+AM116</f>
        <v>20040</v>
      </c>
      <c r="AP116" s="1"/>
      <c r="AQ116" s="175">
        <f>ROUND((+AI116/AO116)*100,1)</f>
        <v>6.8</v>
      </c>
    </row>
    <row r="117" spans="3:43" x14ac:dyDescent="0.3">
      <c r="C117" s="42"/>
      <c r="F117" s="123"/>
      <c r="H117" s="123"/>
      <c r="J117" s="123"/>
      <c r="L117" s="213"/>
      <c r="N117" s="213"/>
      <c r="O117" s="123"/>
      <c r="P117" s="160"/>
      <c r="Q117" s="123"/>
      <c r="R117" s="123"/>
      <c r="T117" s="41">
        <f>A47</f>
        <v>24</v>
      </c>
      <c r="V117" s="42" t="s">
        <v>976</v>
      </c>
      <c r="Y117" s="159"/>
      <c r="Z117" s="1"/>
      <c r="AA117" s="3">
        <f>AA115+AA116</f>
        <v>793838</v>
      </c>
      <c r="AB117" s="3"/>
      <c r="AC117" s="194">
        <f>AC100</f>
        <v>6.07</v>
      </c>
      <c r="AD117" s="194"/>
      <c r="AE117" s="3">
        <f>ROUND(+AA117*AC117,0)</f>
        <v>4818597</v>
      </c>
      <c r="AF117" s="1"/>
      <c r="AG117" s="175">
        <f>ROUND((+AE117/$AE$133)*100,1)</f>
        <v>8.1999999999999993</v>
      </c>
      <c r="AH117" s="1"/>
      <c r="AI117" s="3">
        <f>L47-AE117</f>
        <v>555686</v>
      </c>
      <c r="AJ117" s="3"/>
      <c r="AK117" s="177">
        <f>IF(AE117=0,0,ROUND((AI117/AE117)*100,1))</f>
        <v>11.5</v>
      </c>
      <c r="AL117" s="6"/>
      <c r="AM117" s="3"/>
      <c r="AN117" s="1"/>
      <c r="AO117" s="3">
        <f>AE117+AM117</f>
        <v>4818597</v>
      </c>
      <c r="AP117" s="1"/>
      <c r="AQ117" s="177">
        <f>ROUND((+AI117/AO117)*100,1)</f>
        <v>11.5</v>
      </c>
    </row>
    <row r="118" spans="3:43" ht="20.100000000000001" customHeight="1" x14ac:dyDescent="0.3">
      <c r="C118" s="42"/>
      <c r="F118" s="184"/>
      <c r="H118" s="184"/>
      <c r="J118" s="184"/>
      <c r="L118" s="237"/>
      <c r="N118" s="237"/>
      <c r="O118" s="123"/>
      <c r="P118" s="160"/>
      <c r="Q118" s="123"/>
      <c r="R118" s="123"/>
      <c r="S118" s="123"/>
      <c r="T118" s="41">
        <f>A48</f>
        <v>25</v>
      </c>
      <c r="V118" s="132" t="s">
        <v>66</v>
      </c>
      <c r="Y118" s="3"/>
      <c r="Z118" s="1"/>
      <c r="AA118" s="145">
        <f>H48</f>
        <v>793838</v>
      </c>
      <c r="AB118" s="3"/>
      <c r="AC118" s="183"/>
      <c r="AD118" s="183"/>
      <c r="AE118" s="145">
        <f>SUM(AE115:AE117)</f>
        <v>15677529</v>
      </c>
      <c r="AF118" s="1"/>
      <c r="AG118" s="180">
        <f>ROUND((+AE118/$AE$133)*100,1)</f>
        <v>26.6</v>
      </c>
      <c r="AH118" s="1"/>
      <c r="AI118" s="145">
        <f>SUM(AI115:AI117)</f>
        <v>1304562</v>
      </c>
      <c r="AJ118" s="3"/>
      <c r="AK118" s="180">
        <f>IF(AE118=0,0,ROUND((AI118/AE118)*100,1))</f>
        <v>8.3000000000000007</v>
      </c>
      <c r="AL118" s="6"/>
      <c r="AM118" s="145"/>
      <c r="AN118" s="1"/>
      <c r="AO118" s="145">
        <f>SUM(AO115:AO117)</f>
        <v>15677529</v>
      </c>
      <c r="AP118" s="1"/>
      <c r="AQ118" s="177">
        <f>ROUND((+AI118/AO118)*100,1)</f>
        <v>8.3000000000000007</v>
      </c>
    </row>
    <row r="119" spans="3:43" x14ac:dyDescent="0.3">
      <c r="C119" s="42"/>
      <c r="F119" s="184"/>
      <c r="H119" s="184"/>
      <c r="J119" s="184"/>
      <c r="L119" s="237"/>
      <c r="N119" s="237"/>
      <c r="O119" s="123"/>
      <c r="P119" s="160"/>
      <c r="Q119" s="123"/>
      <c r="R119" s="123"/>
      <c r="S119" s="123"/>
      <c r="V119" s="42"/>
      <c r="Y119" s="3"/>
      <c r="Z119" s="1"/>
      <c r="AA119" s="3"/>
      <c r="AB119" s="3"/>
      <c r="AC119" s="183"/>
      <c r="AD119" s="183"/>
      <c r="AE119" s="3"/>
      <c r="AF119" s="1"/>
      <c r="AG119" s="175"/>
      <c r="AH119" s="1"/>
      <c r="AI119" s="3"/>
      <c r="AJ119" s="3"/>
      <c r="AK119" s="175"/>
      <c r="AL119" s="6"/>
      <c r="AM119" s="3"/>
      <c r="AN119" s="1"/>
      <c r="AO119" s="3"/>
      <c r="AP119" s="1"/>
      <c r="AQ119" s="175"/>
    </row>
    <row r="120" spans="3:43" x14ac:dyDescent="0.3">
      <c r="C120" s="42"/>
      <c r="H120" s="184"/>
      <c r="J120" s="184"/>
      <c r="L120" s="238"/>
      <c r="N120" s="238"/>
      <c r="O120" s="123"/>
      <c r="P120" s="160"/>
      <c r="Q120" s="123"/>
      <c r="R120" s="123"/>
      <c r="T120" s="41">
        <f>A50</f>
        <v>26</v>
      </c>
      <c r="V120" s="178" t="s">
        <v>374</v>
      </c>
      <c r="Y120" s="3"/>
      <c r="Z120" s="1"/>
      <c r="AA120" s="3"/>
      <c r="AB120" s="3"/>
      <c r="AC120" s="7"/>
      <c r="AD120" s="7"/>
      <c r="AE120" s="3"/>
      <c r="AF120" s="1"/>
      <c r="AG120" s="175"/>
      <c r="AH120" s="1"/>
      <c r="AI120" s="3"/>
      <c r="AJ120" s="3"/>
      <c r="AK120" s="175"/>
      <c r="AL120" s="6"/>
      <c r="AM120" s="3"/>
      <c r="AN120" s="1"/>
      <c r="AO120" s="3"/>
      <c r="AP120" s="1"/>
      <c r="AQ120" s="175"/>
    </row>
    <row r="121" spans="3:43" x14ac:dyDescent="0.3">
      <c r="C121" s="42"/>
      <c r="H121" s="184"/>
      <c r="J121" s="184"/>
      <c r="L121" s="238"/>
      <c r="N121" s="238"/>
      <c r="O121" s="123"/>
      <c r="P121" s="160"/>
      <c r="Q121" s="123"/>
      <c r="R121" s="123"/>
      <c r="T121" s="41">
        <f>A51</f>
        <v>27</v>
      </c>
      <c r="V121" s="42" t="s">
        <v>386</v>
      </c>
      <c r="Y121" s="159"/>
      <c r="Z121" s="1"/>
      <c r="AA121" s="3">
        <f>H51</f>
        <v>109435196</v>
      </c>
      <c r="AB121" s="3"/>
      <c r="AC121" s="257">
        <f>CUR_DT_WIN_E_ON</f>
        <v>5.4640000000000001E-2</v>
      </c>
      <c r="AD121" s="199"/>
      <c r="AE121" s="3">
        <f>ROUND((+AA121*AC121),0)-AM121</f>
        <v>5979539</v>
      </c>
      <c r="AF121" s="1"/>
      <c r="AG121" s="175">
        <f>ROUND((+AE121/$AE$133)*100,1)</f>
        <v>10.199999999999999</v>
      </c>
      <c r="AH121" s="1"/>
      <c r="AI121" s="3">
        <f>L51-AE121</f>
        <v>646543</v>
      </c>
      <c r="AJ121" s="3"/>
      <c r="AK121" s="175">
        <f>IF(AE121=0,0,ROUND((AI121/AE121)*100,1))</f>
        <v>10.8</v>
      </c>
      <c r="AL121" s="6"/>
      <c r="AM121" s="3"/>
      <c r="AN121" s="1"/>
      <c r="AO121" s="3">
        <f>AE121+AM121</f>
        <v>5979539</v>
      </c>
      <c r="AP121" s="1"/>
      <c r="AQ121" s="175">
        <f>ROUND((+AI121/AO121)*100,1)</f>
        <v>10.8</v>
      </c>
    </row>
    <row r="122" spans="3:43" x14ac:dyDescent="0.3">
      <c r="F122" s="123"/>
      <c r="H122" s="123"/>
      <c r="J122" s="123"/>
      <c r="L122" s="213"/>
      <c r="N122" s="213"/>
      <c r="O122" s="210"/>
      <c r="P122" s="210"/>
      <c r="Q122" s="210"/>
      <c r="R122" s="210"/>
      <c r="T122" s="41">
        <f>A52</f>
        <v>28</v>
      </c>
      <c r="V122" s="42" t="s">
        <v>387</v>
      </c>
      <c r="Y122" s="196"/>
      <c r="Z122" s="1"/>
      <c r="AA122" s="49">
        <f>H52</f>
        <v>274429684</v>
      </c>
      <c r="AB122" s="3"/>
      <c r="AC122" s="257">
        <f>'Rate DT-Pri'!AC126</f>
        <v>4.8348000000000002E-2</v>
      </c>
      <c r="AD122" s="199"/>
      <c r="AE122" s="49">
        <f>ROUND((+AA122*AC122),0)-AM122</f>
        <v>13268126</v>
      </c>
      <c r="AF122" s="1"/>
      <c r="AG122" s="175">
        <f>ROUND((+AE122/$AE$133)*100,1)</f>
        <v>22.5</v>
      </c>
      <c r="AH122" s="1"/>
      <c r="AI122" s="49">
        <f>L52-AE122</f>
        <v>1384224</v>
      </c>
      <c r="AJ122" s="3"/>
      <c r="AK122" s="177">
        <f>IF(AE122=0,0,ROUND((AI122/AE122)*100,1))</f>
        <v>10.4</v>
      </c>
      <c r="AL122" s="6"/>
      <c r="AM122" s="49"/>
      <c r="AN122" s="1"/>
      <c r="AO122" s="49">
        <f>AE122+AM122</f>
        <v>13268126</v>
      </c>
      <c r="AP122" s="1"/>
      <c r="AQ122" s="177">
        <f>ROUND((+AI122/AO122)*100,1)</f>
        <v>10.4</v>
      </c>
    </row>
    <row r="123" spans="3:43" ht="22.5" customHeight="1" x14ac:dyDescent="0.3">
      <c r="F123" s="123"/>
      <c r="H123" s="123"/>
      <c r="J123" s="123"/>
      <c r="L123" s="213"/>
      <c r="N123" s="213"/>
      <c r="O123" s="210"/>
      <c r="P123" s="210"/>
      <c r="Q123" s="210"/>
      <c r="R123" s="210"/>
      <c r="T123" s="41">
        <f>A53</f>
        <v>29</v>
      </c>
      <c r="V123" s="132" t="s">
        <v>58</v>
      </c>
      <c r="Y123" s="145">
        <f>F53</f>
        <v>905</v>
      </c>
      <c r="Z123" s="1"/>
      <c r="AA123" s="145">
        <f>H53</f>
        <v>383864880</v>
      </c>
      <c r="AB123" s="3"/>
      <c r="AC123" s="257"/>
      <c r="AD123" s="183"/>
      <c r="AE123" s="145">
        <f>AE112+AE118+AE121+AE122</f>
        <v>35040129</v>
      </c>
      <c r="AF123" s="1"/>
      <c r="AG123" s="180">
        <f>ROUND((+AE123/$AE$133)*100,1)</f>
        <v>59.5</v>
      </c>
      <c r="AH123" s="1"/>
      <c r="AI123" s="145">
        <f>AI112+AI118+AI121+AI122</f>
        <v>3335329</v>
      </c>
      <c r="AJ123" s="3"/>
      <c r="AK123" s="180">
        <f>IF(AE123=0,0,ROUND((AI123/AE123)*100,1))</f>
        <v>9.5</v>
      </c>
      <c r="AL123" s="6"/>
      <c r="AM123" s="145"/>
      <c r="AN123" s="1"/>
      <c r="AO123" s="145">
        <f>AO112+AO118+AO121+AO122</f>
        <v>35040129</v>
      </c>
      <c r="AP123" s="1"/>
      <c r="AQ123" s="177">
        <f>ROUND((+AI123/AO123)*100,1)</f>
        <v>9.5</v>
      </c>
    </row>
    <row r="124" spans="3:43" ht="20.100000000000001" customHeight="1" x14ac:dyDescent="0.3">
      <c r="F124" s="123"/>
      <c r="H124" s="123"/>
      <c r="J124" s="123"/>
      <c r="L124" s="213"/>
      <c r="N124" s="213"/>
      <c r="O124" s="210"/>
      <c r="P124" s="210"/>
      <c r="Q124" s="210"/>
      <c r="R124" s="210"/>
      <c r="T124" s="41">
        <f>A54</f>
        <v>30</v>
      </c>
      <c r="V124" s="178" t="s">
        <v>444</v>
      </c>
      <c r="Y124" s="145">
        <f>Y106+Y123</f>
        <v>1363</v>
      </c>
      <c r="Z124" s="1"/>
      <c r="AA124" s="145">
        <f>AA123+AA106</f>
        <v>600045849</v>
      </c>
      <c r="AB124" s="3"/>
      <c r="AC124" s="257"/>
      <c r="AD124" s="183"/>
      <c r="AE124" s="145">
        <f>AE123+AE106</f>
        <v>55045970</v>
      </c>
      <c r="AF124" s="1"/>
      <c r="AG124" s="180">
        <f>ROUND((+AE124/$AE$133)*100,1)</f>
        <v>93.5</v>
      </c>
      <c r="AH124" s="1"/>
      <c r="AI124" s="145">
        <f>AI123+AI106</f>
        <v>5237480</v>
      </c>
      <c r="AJ124" s="3"/>
      <c r="AK124" s="180">
        <f>IF(AE124=0,0,ROUND((AI124/AE124)*100,1))</f>
        <v>9.5</v>
      </c>
      <c r="AL124" s="6"/>
      <c r="AM124" s="145"/>
      <c r="AN124" s="1"/>
      <c r="AO124" s="145">
        <f>AO123+AO106</f>
        <v>55045970</v>
      </c>
      <c r="AP124" s="1"/>
      <c r="AQ124" s="177">
        <f>ROUND((+AI124/AO124)*100,1)</f>
        <v>9.5</v>
      </c>
    </row>
    <row r="125" spans="3:43" ht="15.75" customHeight="1" x14ac:dyDescent="0.3">
      <c r="F125" s="123"/>
      <c r="H125" s="123"/>
      <c r="J125" s="123"/>
      <c r="L125" s="213"/>
      <c r="N125" s="213"/>
      <c r="O125" s="210"/>
      <c r="P125" s="210"/>
      <c r="Q125" s="210"/>
      <c r="R125" s="210"/>
      <c r="V125" s="42"/>
      <c r="Y125" s="3"/>
      <c r="Z125" s="1"/>
      <c r="AA125" s="3"/>
      <c r="AB125" s="3"/>
      <c r="AC125" s="257"/>
      <c r="AD125" s="183"/>
      <c r="AE125" s="3"/>
      <c r="AF125" s="1"/>
      <c r="AG125" s="175"/>
      <c r="AH125" s="1"/>
      <c r="AI125" s="3"/>
      <c r="AJ125" s="3"/>
      <c r="AK125" s="175"/>
      <c r="AL125" s="6"/>
      <c r="AM125" s="123"/>
      <c r="AN125" s="1"/>
      <c r="AO125" s="3"/>
      <c r="AP125" s="1"/>
      <c r="AQ125" s="175"/>
    </row>
    <row r="126" spans="3:43" ht="15.75" customHeight="1" x14ac:dyDescent="0.3">
      <c r="F126" s="123"/>
      <c r="H126" s="123"/>
      <c r="J126" s="123"/>
      <c r="L126" s="213"/>
      <c r="N126" s="213"/>
      <c r="O126" s="210"/>
      <c r="P126" s="210"/>
      <c r="Q126" s="210"/>
      <c r="R126" s="210"/>
      <c r="T126" s="41">
        <f t="shared" ref="T126:T131" si="1">A56</f>
        <v>31</v>
      </c>
      <c r="V126" s="132" t="s">
        <v>432</v>
      </c>
      <c r="Y126" s="3"/>
      <c r="Z126" s="1"/>
      <c r="AA126" s="3"/>
      <c r="AB126" s="3"/>
      <c r="AC126" s="257"/>
      <c r="AD126" s="183"/>
      <c r="AE126" s="3"/>
      <c r="AF126" s="1"/>
      <c r="AG126" s="175"/>
      <c r="AH126" s="1"/>
      <c r="AI126" s="3"/>
      <c r="AJ126" s="3"/>
      <c r="AK126" s="175"/>
      <c r="AL126" s="6"/>
      <c r="AM126" s="123"/>
      <c r="AN126" s="1"/>
      <c r="AO126" s="3"/>
      <c r="AP126" s="1"/>
      <c r="AQ126" s="175"/>
    </row>
    <row r="127" spans="3:43" ht="15.75" customHeight="1" x14ac:dyDescent="0.3">
      <c r="F127" s="123"/>
      <c r="H127" s="123"/>
      <c r="J127" s="123"/>
      <c r="L127" s="213"/>
      <c r="N127" s="213"/>
      <c r="O127" s="210"/>
      <c r="P127" s="210"/>
      <c r="Q127" s="210"/>
      <c r="R127" s="210"/>
      <c r="T127" s="41">
        <f t="shared" si="1"/>
        <v>32</v>
      </c>
      <c r="V127" s="192" t="str">
        <f>C57</f>
        <v>DEMAND SIDE MANAGEMENT RIDER (DSMR)</v>
      </c>
      <c r="Y127" s="3"/>
      <c r="Z127" s="1"/>
      <c r="AA127" s="3"/>
      <c r="AB127" s="3"/>
      <c r="AC127" s="217">
        <f>DSM_DIST</f>
        <v>3.503E-3</v>
      </c>
      <c r="AD127" s="183"/>
      <c r="AE127" s="3">
        <f>ROUND($AA$124*AC127,0)</f>
        <v>2101961</v>
      </c>
      <c r="AF127" s="1"/>
      <c r="AG127" s="175">
        <f>ROUND((+AE127/$AE$133)*100,1)+0.1</f>
        <v>3.7</v>
      </c>
      <c r="AH127" s="1"/>
      <c r="AI127" s="3">
        <f>L57-AE127</f>
        <v>0</v>
      </c>
      <c r="AJ127" s="3"/>
      <c r="AK127" s="175">
        <f>IF(AE127=0,0,ROUND((AI127/AE127)*100,1))</f>
        <v>0</v>
      </c>
      <c r="AL127" s="6"/>
      <c r="AM127" s="123"/>
      <c r="AN127" s="1"/>
      <c r="AO127" s="3">
        <f>AE127+AM127</f>
        <v>2101961</v>
      </c>
      <c r="AP127" s="1"/>
      <c r="AQ127" s="175">
        <f>IF(AO127=0,0,ROUND((+AI127/AO127)*100,1))</f>
        <v>0</v>
      </c>
    </row>
    <row r="128" spans="3:43" ht="15.75" customHeight="1" x14ac:dyDescent="0.3">
      <c r="F128" s="123"/>
      <c r="H128" s="123"/>
      <c r="J128" s="123"/>
      <c r="L128" s="213"/>
      <c r="N128" s="213"/>
      <c r="O128" s="210"/>
      <c r="P128" s="210"/>
      <c r="Q128" s="210"/>
      <c r="R128" s="210"/>
      <c r="T128" s="41">
        <f t="shared" si="1"/>
        <v>33</v>
      </c>
      <c r="V128" s="192" t="str">
        <f>C58</f>
        <v>ENVIRONMENTAL SURCHARGE MECHANISM RIDER (ESM)</v>
      </c>
      <c r="Y128" s="3"/>
      <c r="Z128" s="1"/>
      <c r="AA128" s="3"/>
      <c r="AB128" s="3"/>
      <c r="AC128" s="231">
        <f>CUR_ESM_NonRes</f>
        <v>6.4941608437496566E-3</v>
      </c>
      <c r="AD128" s="183"/>
      <c r="AE128" s="3">
        <f>ROUND((AO124-(CUR_BASE_FUEL*AA124)+AO127+AO130)*AC128,0)</f>
        <v>249139</v>
      </c>
      <c r="AF128" s="1"/>
      <c r="AG128" s="175">
        <f>ROUND((+AE128/$AE$133)*100,1)</f>
        <v>0.4</v>
      </c>
      <c r="AH128" s="1"/>
      <c r="AI128" s="3">
        <f>L58-AE128</f>
        <v>3728</v>
      </c>
      <c r="AJ128" s="3"/>
      <c r="AK128" s="175">
        <f>IF(AE128=0,0,ROUND((AI128/AE128)*100,1))</f>
        <v>1.5</v>
      </c>
      <c r="AL128" s="6"/>
      <c r="AM128" s="123"/>
      <c r="AN128" s="1"/>
      <c r="AO128" s="3">
        <f>AE128+AM128</f>
        <v>249139</v>
      </c>
      <c r="AP128" s="1"/>
      <c r="AQ128" s="175">
        <f>IF(AO128=0,0,ROUND((+AI128/AO128)*100,1))</f>
        <v>1.5</v>
      </c>
    </row>
    <row r="129" spans="1:43" ht="15.75" customHeight="1" x14ac:dyDescent="0.3">
      <c r="F129" s="123"/>
      <c r="H129" s="123"/>
      <c r="J129" s="123"/>
      <c r="L129" s="213"/>
      <c r="N129" s="213"/>
      <c r="O129" s="210"/>
      <c r="P129" s="210"/>
      <c r="Q129" s="210"/>
      <c r="R129" s="210"/>
      <c r="T129" s="41">
        <f t="shared" si="1"/>
        <v>34</v>
      </c>
      <c r="V129" s="192" t="str">
        <f>C59</f>
        <v>FUEL ADJUSTMENT CLAUSE (FAC)</v>
      </c>
      <c r="Y129" s="3"/>
      <c r="Z129" s="1"/>
      <c r="AA129" s="3"/>
      <c r="AB129" s="3"/>
      <c r="AC129" s="217">
        <f>CUR_FAC</f>
        <v>3.4872127999999998E-3</v>
      </c>
      <c r="AD129" s="183"/>
      <c r="AE129" s="3"/>
      <c r="AF129" s="1"/>
      <c r="AG129" s="175"/>
      <c r="AH129" s="1"/>
      <c r="AI129" s="3"/>
      <c r="AJ129" s="3"/>
      <c r="AK129" s="175"/>
      <c r="AL129" s="6"/>
      <c r="AM129" s="3">
        <f>ROUND(AA124*CUR_FAC,0)</f>
        <v>2092488</v>
      </c>
      <c r="AN129" s="1"/>
      <c r="AO129" s="3">
        <f>AE129+AM129</f>
        <v>2092488</v>
      </c>
      <c r="AP129" s="1"/>
      <c r="AQ129" s="175">
        <f>IF(AO129=0,0,ROUND(((R59-AO129)/AO129)*100,1))</f>
        <v>0</v>
      </c>
    </row>
    <row r="130" spans="1:43" ht="15.75" customHeight="1" x14ac:dyDescent="0.3">
      <c r="F130" s="123"/>
      <c r="H130" s="123"/>
      <c r="J130" s="123"/>
      <c r="L130" s="213"/>
      <c r="N130" s="213"/>
      <c r="O130" s="210"/>
      <c r="P130" s="210"/>
      <c r="Q130" s="210"/>
      <c r="R130" s="210"/>
      <c r="T130" s="41">
        <f t="shared" si="1"/>
        <v>35</v>
      </c>
      <c r="V130" s="192" t="str">
        <f>C60</f>
        <v>PROFIT SHARING MECHANISM (PSM)</v>
      </c>
      <c r="Y130" s="3"/>
      <c r="Z130" s="1"/>
      <c r="AA130" s="3"/>
      <c r="AB130" s="3"/>
      <c r="AC130" s="217">
        <f>RS_PSM</f>
        <v>2.4750000000000002E-3</v>
      </c>
      <c r="AD130" s="183"/>
      <c r="AE130" s="49">
        <f>ROUND(AA124*RS_PSM,0)</f>
        <v>1485113</v>
      </c>
      <c r="AF130" s="1"/>
      <c r="AG130" s="177">
        <f>ROUND((+AE130/$AE$133)*100,1)</f>
        <v>2.5</v>
      </c>
      <c r="AH130" s="1"/>
      <c r="AI130" s="49">
        <f>L60-AE130</f>
        <v>0</v>
      </c>
      <c r="AJ130" s="3"/>
      <c r="AK130" s="177">
        <f>IF(AE130=0,0,ROUND((AI130/AE130)*100,1))</f>
        <v>0</v>
      </c>
      <c r="AL130" s="6"/>
      <c r="AM130" s="259"/>
      <c r="AN130" s="1"/>
      <c r="AO130" s="49">
        <f>AE130+AM130</f>
        <v>1485113</v>
      </c>
      <c r="AP130" s="1"/>
      <c r="AQ130" s="177">
        <f>IF(AO130=0,0,ROUND((+AI130/AO130)*100,1))</f>
        <v>0</v>
      </c>
    </row>
    <row r="131" spans="1:43" ht="20.100000000000001" customHeight="1" x14ac:dyDescent="0.3">
      <c r="F131" s="123"/>
      <c r="H131" s="123"/>
      <c r="J131" s="123"/>
      <c r="L131" s="213"/>
      <c r="N131" s="213"/>
      <c r="O131" s="210"/>
      <c r="P131" s="210"/>
      <c r="Q131" s="210"/>
      <c r="R131" s="210"/>
      <c r="T131" s="41">
        <f t="shared" si="1"/>
        <v>36</v>
      </c>
      <c r="V131" s="132" t="s">
        <v>437</v>
      </c>
      <c r="Y131" s="49"/>
      <c r="Z131" s="1"/>
      <c r="AA131" s="49"/>
      <c r="AB131" s="3"/>
      <c r="AC131" s="183"/>
      <c r="AD131" s="183"/>
      <c r="AE131" s="145">
        <f>SUM(AE127:AE130)</f>
        <v>3836213</v>
      </c>
      <c r="AF131" s="1"/>
      <c r="AG131" s="180">
        <f>ROUND((+AE131/$AE$133)*100,1)</f>
        <v>6.5</v>
      </c>
      <c r="AH131" s="1"/>
      <c r="AI131" s="145">
        <f>SUM(AI127:AI130)</f>
        <v>3728</v>
      </c>
      <c r="AJ131" s="3"/>
      <c r="AK131" s="180">
        <f>IF(AE131=0,0,ROUND((AI131/AE131)*100,1))</f>
        <v>0.1</v>
      </c>
      <c r="AL131" s="6"/>
      <c r="AM131" s="145">
        <f>SUM(AM127:AM130)</f>
        <v>2092488</v>
      </c>
      <c r="AN131" s="1"/>
      <c r="AO131" s="145">
        <f>SUM(AO127:AO130)</f>
        <v>5928701</v>
      </c>
      <c r="AP131" s="1"/>
      <c r="AQ131" s="177">
        <f>ROUND((+AI131/AO131)*100,1)</f>
        <v>0.1</v>
      </c>
    </row>
    <row r="132" spans="1:43" x14ac:dyDescent="0.3">
      <c r="F132" s="123"/>
      <c r="H132" s="123"/>
      <c r="J132" s="123"/>
      <c r="L132" s="213"/>
      <c r="N132" s="213"/>
      <c r="O132" s="210"/>
      <c r="P132" s="210"/>
      <c r="Q132" s="210"/>
      <c r="R132" s="210"/>
      <c r="V132" s="42"/>
      <c r="Y132" s="3"/>
      <c r="Z132" s="1"/>
      <c r="AA132" s="3"/>
      <c r="AB132" s="3"/>
      <c r="AC132" s="183"/>
      <c r="AD132" s="183"/>
      <c r="AE132" s="3"/>
      <c r="AF132" s="1"/>
      <c r="AG132" s="175"/>
      <c r="AH132" s="1"/>
      <c r="AI132" s="3"/>
      <c r="AJ132" s="3"/>
      <c r="AK132" s="175"/>
      <c r="AL132" s="6"/>
      <c r="AM132" s="3"/>
      <c r="AN132" s="1"/>
      <c r="AO132" s="3"/>
      <c r="AP132" s="1"/>
      <c r="AQ132" s="175"/>
    </row>
    <row r="133" spans="1:43" ht="22.5" customHeight="1" thickBot="1" x14ac:dyDescent="0.35">
      <c r="F133" s="210"/>
      <c r="H133" s="210"/>
      <c r="J133" s="210"/>
      <c r="L133" s="213"/>
      <c r="N133" s="213"/>
      <c r="O133" s="210"/>
      <c r="P133" s="210"/>
      <c r="Q133" s="210"/>
      <c r="R133" s="210"/>
      <c r="T133" s="41">
        <f>A63</f>
        <v>37</v>
      </c>
      <c r="V133" s="178" t="s">
        <v>443</v>
      </c>
      <c r="Y133" s="151">
        <f>Y124</f>
        <v>1363</v>
      </c>
      <c r="Z133" s="1"/>
      <c r="AA133" s="151">
        <f>AA124</f>
        <v>600045849</v>
      </c>
      <c r="AB133" s="3"/>
      <c r="AC133" s="1"/>
      <c r="AD133" s="1"/>
      <c r="AE133" s="151">
        <f>AE131+AE124</f>
        <v>58882183</v>
      </c>
      <c r="AF133" s="1"/>
      <c r="AG133" s="187">
        <v>100</v>
      </c>
      <c r="AH133" s="1"/>
      <c r="AI133" s="151">
        <f>AI131+AI124</f>
        <v>5241208</v>
      </c>
      <c r="AJ133" s="3"/>
      <c r="AK133" s="187">
        <f>IF(AE133=0,0,ROUND((AI133/AE133)*100,1))</f>
        <v>8.9</v>
      </c>
      <c r="AL133" s="6"/>
      <c r="AM133" s="151">
        <f>AM131+AM124</f>
        <v>2092488</v>
      </c>
      <c r="AN133" s="1"/>
      <c r="AO133" s="151">
        <f>AO131+AO124</f>
        <v>60974671</v>
      </c>
      <c r="AP133" s="1"/>
      <c r="AQ133" s="187">
        <f>ROUND((+AI133/AO133)*100,1)</f>
        <v>8.6</v>
      </c>
    </row>
    <row r="134" spans="1:43" ht="16.2" thickTop="1" x14ac:dyDescent="0.3">
      <c r="F134" s="210"/>
      <c r="H134" s="210"/>
      <c r="J134" s="210"/>
      <c r="K134" s="213"/>
      <c r="L134" s="213"/>
      <c r="N134" s="210"/>
      <c r="O134" s="210"/>
      <c r="P134" s="210"/>
      <c r="Q134" s="210"/>
      <c r="R134" s="210"/>
      <c r="S134" s="123"/>
      <c r="Y134" s="1"/>
      <c r="Z134" s="1"/>
      <c r="AA134" s="1"/>
      <c r="AB134" s="1"/>
      <c r="AC134" s="1"/>
      <c r="AD134" s="1"/>
      <c r="AE134" s="1"/>
      <c r="AF134" s="1"/>
      <c r="AG134" s="175"/>
      <c r="AH134" s="1"/>
      <c r="AI134" s="1"/>
      <c r="AJ134" s="1"/>
      <c r="AK134" s="175"/>
      <c r="AL134" s="1"/>
      <c r="AM134" s="1"/>
      <c r="AN134" s="1"/>
      <c r="AO134" s="1"/>
      <c r="AP134" s="1"/>
      <c r="AQ134" s="175"/>
    </row>
    <row r="135" spans="1:43" x14ac:dyDescent="0.3">
      <c r="C135" s="42"/>
      <c r="V135" s="202" t="s">
        <v>59</v>
      </c>
      <c r="AE135" s="123"/>
      <c r="AF135" s="123"/>
      <c r="AM135" s="123"/>
      <c r="AO135" s="123"/>
    </row>
    <row r="136" spans="1:43" x14ac:dyDescent="0.3">
      <c r="C136" s="42"/>
      <c r="V136" s="202" t="str">
        <f>"(2) REFLECTS FUEL COMPONENT OF "&amp;TEXT(CUR_FAC,"$0.000000;($0.000000)")&amp;"  PER KWH."</f>
        <v>(2) REFLECTS FUEL COMPONENT OF $0.003487  PER KWH.</v>
      </c>
      <c r="AE136" s="123"/>
      <c r="AF136" s="123"/>
      <c r="AM136" s="123"/>
      <c r="AO136" s="123"/>
    </row>
    <row r="137" spans="1:43" x14ac:dyDescent="0.3">
      <c r="C137" s="42"/>
      <c r="F137" s="123"/>
      <c r="H137" s="123"/>
      <c r="J137" s="123"/>
      <c r="N137" s="123"/>
      <c r="O137" s="123"/>
      <c r="P137" s="160"/>
      <c r="Q137" s="184"/>
      <c r="R137" s="123"/>
      <c r="T137" s="42"/>
      <c r="V137" s="202" t="str">
        <f>"(3) REFLECTS FUEL COST RECOVERY INCLUDED IN BASE RATES OF "&amp;TEXT(CUR_BASE_FUEL,"$0.000000;($0.000000)")&amp;"  PER KWH."</f>
        <v>(3) REFLECTS FUEL COST RECOVERY INCLUDED IN BASE RATES OF $0.033780  PER KWH.</v>
      </c>
      <c r="Y137" s="123"/>
      <c r="Z137" s="238"/>
      <c r="AA137" s="123"/>
      <c r="AB137" s="123"/>
      <c r="AC137" s="160"/>
      <c r="AD137" s="160"/>
      <c r="AE137" s="123"/>
      <c r="AF137" s="123"/>
      <c r="AI137" s="236"/>
      <c r="AJ137" s="236"/>
      <c r="AL137" s="123"/>
      <c r="AO137" s="160"/>
    </row>
    <row r="138" spans="1:43" x14ac:dyDescent="0.3">
      <c r="F138" s="210"/>
      <c r="H138" s="210"/>
      <c r="J138" s="210"/>
      <c r="K138" s="213"/>
      <c r="L138" s="213"/>
      <c r="N138" s="210"/>
      <c r="O138" s="210"/>
      <c r="P138" s="210"/>
      <c r="Q138" s="210"/>
      <c r="R138" s="210"/>
      <c r="Y138" s="123"/>
      <c r="Z138" s="213"/>
      <c r="AA138" s="210"/>
      <c r="AB138" s="210"/>
      <c r="AC138" s="210"/>
      <c r="AD138" s="210"/>
      <c r="AE138" s="210"/>
      <c r="AF138" s="210"/>
      <c r="AK138" s="214"/>
      <c r="AL138" s="210"/>
      <c r="AO138" s="160"/>
      <c r="AQ138" s="214"/>
    </row>
    <row r="139" spans="1:43" x14ac:dyDescent="0.3">
      <c r="T139" s="42"/>
      <c r="V139" s="123"/>
      <c r="Y139" s="123"/>
      <c r="Z139" s="219"/>
      <c r="AA139" s="123"/>
      <c r="AB139" s="123"/>
      <c r="AC139" s="160"/>
      <c r="AD139" s="160"/>
      <c r="AE139" s="123"/>
      <c r="AF139" s="123"/>
      <c r="AI139" s="236"/>
      <c r="AJ139" s="236"/>
      <c r="AL139" s="123"/>
      <c r="AO139" s="160"/>
    </row>
    <row r="140" spans="1:43" x14ac:dyDescent="0.3">
      <c r="C140" s="42"/>
      <c r="N140" s="123"/>
      <c r="O140" s="123"/>
      <c r="P140" s="123"/>
      <c r="Q140" s="123"/>
      <c r="R140" s="123"/>
      <c r="S140" s="123"/>
      <c r="V140" s="123"/>
      <c r="Y140" s="123"/>
      <c r="Z140" s="213"/>
      <c r="AA140" s="210"/>
      <c r="AB140" s="210"/>
      <c r="AC140" s="210"/>
      <c r="AD140" s="210"/>
      <c r="AE140" s="210"/>
      <c r="AF140" s="210"/>
      <c r="AK140" s="214"/>
      <c r="AL140" s="210"/>
      <c r="AO140" s="160"/>
      <c r="AQ140" s="214"/>
    </row>
    <row r="141" spans="1:43" x14ac:dyDescent="0.3">
      <c r="A141" s="42"/>
      <c r="T141" s="42"/>
      <c r="V141" s="123"/>
      <c r="Y141" s="123"/>
      <c r="Z141" s="219"/>
      <c r="AA141" s="123"/>
      <c r="AB141" s="123"/>
      <c r="AC141" s="160"/>
      <c r="AD141" s="160"/>
      <c r="AE141" s="123"/>
      <c r="AF141" s="123"/>
      <c r="AI141" s="236"/>
      <c r="AJ141" s="236"/>
      <c r="AL141" s="123"/>
      <c r="AO141" s="160"/>
    </row>
    <row r="142" spans="1:43" x14ac:dyDescent="0.3">
      <c r="T142" s="42"/>
      <c r="V142" s="184"/>
      <c r="Y142" s="123"/>
      <c r="Z142" s="227"/>
      <c r="AA142" s="123"/>
      <c r="AB142" s="123"/>
      <c r="AC142" s="160"/>
      <c r="AD142" s="160"/>
      <c r="AE142" s="123"/>
      <c r="AF142" s="123"/>
      <c r="AI142" s="236"/>
      <c r="AJ142" s="236"/>
      <c r="AL142" s="123"/>
      <c r="AO142" s="160"/>
    </row>
    <row r="143" spans="1:43" x14ac:dyDescent="0.3">
      <c r="H143" s="42"/>
      <c r="J143" s="42"/>
      <c r="V143" s="210"/>
      <c r="Y143" s="210"/>
      <c r="Z143" s="213"/>
      <c r="AA143" s="210"/>
      <c r="AB143" s="210"/>
      <c r="AC143" s="210"/>
      <c r="AD143" s="210"/>
      <c r="AE143" s="210"/>
      <c r="AF143" s="210"/>
      <c r="AK143" s="214"/>
      <c r="AL143" s="210"/>
      <c r="AO143" s="160"/>
      <c r="AQ143" s="214"/>
    </row>
    <row r="144" spans="1:43" x14ac:dyDescent="0.3">
      <c r="T144" s="42"/>
      <c r="V144" s="123"/>
      <c r="Y144" s="123"/>
      <c r="Z144" s="213"/>
      <c r="AA144" s="123"/>
      <c r="AB144" s="123"/>
      <c r="AC144" s="160"/>
      <c r="AD144" s="160"/>
      <c r="AE144" s="123"/>
      <c r="AF144" s="123"/>
      <c r="AI144" s="160"/>
      <c r="AJ144" s="160"/>
      <c r="AL144" s="123"/>
      <c r="AO144" s="160"/>
    </row>
    <row r="145" spans="1:43" x14ac:dyDescent="0.3">
      <c r="M145" s="42"/>
      <c r="N145" s="42"/>
      <c r="V145" s="210"/>
      <c r="Y145" s="210"/>
      <c r="Z145" s="213"/>
      <c r="AA145" s="210"/>
      <c r="AB145" s="210"/>
      <c r="AC145" s="210"/>
      <c r="AD145" s="210"/>
      <c r="AE145" s="210"/>
      <c r="AF145" s="210"/>
      <c r="AK145" s="214"/>
      <c r="AL145" s="210"/>
      <c r="AO145" s="160"/>
      <c r="AQ145" s="214"/>
    </row>
    <row r="146" spans="1:43" x14ac:dyDescent="0.3">
      <c r="R146" s="42"/>
      <c r="T146" s="42"/>
      <c r="V146" s="184"/>
      <c r="Y146" s="184"/>
      <c r="Z146" s="213"/>
      <c r="AA146" s="123"/>
      <c r="AB146" s="123"/>
      <c r="AC146" s="160"/>
      <c r="AD146" s="160"/>
      <c r="AE146" s="123"/>
      <c r="AF146" s="123"/>
      <c r="AL146" s="123"/>
      <c r="AO146" s="160"/>
    </row>
    <row r="147" spans="1:43" x14ac:dyDescent="0.3">
      <c r="R147" s="42"/>
    </row>
    <row r="148" spans="1:43" x14ac:dyDescent="0.3">
      <c r="A148" s="42"/>
      <c r="R148" s="42"/>
      <c r="T148" s="42"/>
    </row>
    <row r="149" spans="1:43" x14ac:dyDescent="0.3">
      <c r="M149" s="42"/>
      <c r="N149" s="42"/>
      <c r="T149" s="42"/>
      <c r="V149" s="123"/>
      <c r="Y149" s="184"/>
      <c r="Z149" s="193"/>
      <c r="AA149" s="123"/>
      <c r="AB149" s="123"/>
      <c r="AC149" s="160"/>
      <c r="AD149" s="160"/>
      <c r="AE149" s="123"/>
      <c r="AF149" s="123"/>
      <c r="AG149" s="233"/>
      <c r="AI149" s="234"/>
      <c r="AJ149" s="234"/>
      <c r="AO149" s="235"/>
    </row>
    <row r="150" spans="1:43" x14ac:dyDescent="0.3">
      <c r="A150" s="135"/>
      <c r="B150" s="135"/>
      <c r="C150" s="135"/>
      <c r="D150" s="135"/>
      <c r="E150" s="135"/>
      <c r="F150" s="135"/>
      <c r="G150" s="135"/>
      <c r="H150" s="135"/>
      <c r="J150" s="135"/>
      <c r="K150" s="135"/>
      <c r="L150" s="135"/>
      <c r="M150" s="135"/>
      <c r="N150" s="135"/>
      <c r="O150" s="135"/>
      <c r="P150" s="135"/>
      <c r="Q150" s="135"/>
      <c r="R150" s="135"/>
      <c r="T150" s="42"/>
      <c r="V150" s="123"/>
      <c r="Y150" s="184"/>
      <c r="Z150" s="193"/>
      <c r="AA150" s="123"/>
      <c r="AB150" s="123"/>
      <c r="AC150" s="160"/>
      <c r="AD150" s="160"/>
      <c r="AE150" s="123"/>
      <c r="AF150" s="123"/>
      <c r="AI150" s="236"/>
      <c r="AJ150" s="236"/>
      <c r="AO150" s="160"/>
    </row>
    <row r="151" spans="1:43" x14ac:dyDescent="0.3">
      <c r="M151" s="44"/>
      <c r="N151" s="44"/>
      <c r="O151" s="44"/>
      <c r="P151" s="44"/>
      <c r="R151" s="44"/>
      <c r="T151" s="42"/>
      <c r="V151" s="123"/>
      <c r="Y151" s="184"/>
      <c r="Z151" s="193"/>
      <c r="AA151" s="123"/>
      <c r="AB151" s="123"/>
      <c r="AC151" s="160"/>
      <c r="AD151" s="160"/>
      <c r="AE151" s="123"/>
      <c r="AF151" s="123"/>
      <c r="AI151" s="236"/>
      <c r="AJ151" s="236"/>
      <c r="AO151" s="160"/>
    </row>
    <row r="152" spans="1:43" x14ac:dyDescent="0.3">
      <c r="M152" s="44"/>
      <c r="N152" s="44"/>
      <c r="O152" s="44"/>
      <c r="P152" s="44"/>
      <c r="R152" s="44"/>
      <c r="V152" s="210"/>
      <c r="Y152" s="123"/>
      <c r="Z152" s="213"/>
      <c r="AA152" s="210"/>
      <c r="AB152" s="210"/>
      <c r="AC152" s="210"/>
      <c r="AD152" s="210"/>
      <c r="AE152" s="210"/>
      <c r="AF152" s="210"/>
      <c r="AK152" s="214"/>
      <c r="AL152" s="210"/>
      <c r="AO152" s="160"/>
      <c r="AQ152" s="214"/>
    </row>
    <row r="153" spans="1:43" x14ac:dyDescent="0.3">
      <c r="A153" s="44"/>
      <c r="C153" s="44"/>
      <c r="D153" s="44"/>
      <c r="E153" s="44"/>
      <c r="F153" s="44"/>
      <c r="K153" s="44"/>
      <c r="L153" s="44"/>
      <c r="M153" s="44"/>
      <c r="N153" s="44"/>
      <c r="O153" s="44"/>
      <c r="P153" s="44"/>
      <c r="Q153" s="44"/>
      <c r="R153" s="44"/>
      <c r="T153" s="42"/>
      <c r="V153" s="123"/>
      <c r="Y153" s="123"/>
      <c r="Z153" s="213"/>
      <c r="AA153" s="123"/>
      <c r="AB153" s="123"/>
      <c r="AC153" s="160"/>
      <c r="AD153" s="160"/>
      <c r="AE153" s="123"/>
      <c r="AF153" s="123"/>
      <c r="AI153" s="236"/>
      <c r="AJ153" s="236"/>
      <c r="AL153" s="123"/>
      <c r="AO153" s="160"/>
    </row>
    <row r="154" spans="1:43" x14ac:dyDescent="0.3">
      <c r="A154" s="44"/>
      <c r="C154" s="44"/>
      <c r="D154" s="44"/>
      <c r="E154" s="44"/>
      <c r="F154" s="44"/>
      <c r="H154" s="44"/>
      <c r="J154" s="44"/>
      <c r="K154" s="44"/>
      <c r="L154" s="44"/>
      <c r="M154" s="44"/>
      <c r="N154" s="44"/>
      <c r="O154" s="44"/>
      <c r="P154" s="44"/>
      <c r="Q154" s="44"/>
      <c r="R154" s="44"/>
      <c r="V154" s="210"/>
      <c r="Y154" s="123"/>
      <c r="Z154" s="213"/>
      <c r="AA154" s="210"/>
      <c r="AB154" s="210"/>
      <c r="AC154" s="210"/>
      <c r="AD154" s="210"/>
      <c r="AE154" s="210"/>
      <c r="AF154" s="210"/>
      <c r="AK154" s="214"/>
      <c r="AL154" s="210"/>
      <c r="AO154" s="160"/>
      <c r="AQ154" s="214"/>
    </row>
    <row r="155" spans="1:43" x14ac:dyDescent="0.3">
      <c r="C155" s="44"/>
      <c r="D155" s="44"/>
      <c r="E155" s="44"/>
      <c r="F155" s="44"/>
      <c r="H155" s="44"/>
      <c r="J155" s="44"/>
      <c r="K155" s="44"/>
      <c r="L155" s="44"/>
      <c r="M155" s="44"/>
      <c r="N155" s="44"/>
      <c r="O155" s="44"/>
      <c r="P155" s="44"/>
      <c r="Q155" s="44"/>
      <c r="R155" s="44"/>
      <c r="T155" s="42"/>
      <c r="V155" s="184"/>
      <c r="Y155" s="184"/>
      <c r="Z155" s="237"/>
      <c r="AA155" s="123"/>
      <c r="AB155" s="123"/>
      <c r="AC155" s="160"/>
      <c r="AD155" s="160"/>
      <c r="AE155" s="123"/>
      <c r="AF155" s="123"/>
      <c r="AI155" s="160"/>
      <c r="AJ155" s="160"/>
      <c r="AL155" s="123"/>
      <c r="AO155" s="160"/>
    </row>
    <row r="156" spans="1:43" x14ac:dyDescent="0.3">
      <c r="A156" s="135"/>
      <c r="B156" s="135"/>
      <c r="C156" s="135"/>
      <c r="D156" s="135"/>
      <c r="E156" s="135"/>
      <c r="F156" s="135"/>
      <c r="G156" s="135"/>
      <c r="H156" s="135"/>
      <c r="J156" s="135"/>
      <c r="K156" s="135"/>
      <c r="L156" s="135"/>
      <c r="M156" s="135"/>
      <c r="N156" s="135"/>
      <c r="O156" s="135"/>
      <c r="P156" s="135"/>
      <c r="Q156" s="135"/>
      <c r="R156" s="135"/>
      <c r="T156" s="42"/>
      <c r="V156" s="184"/>
      <c r="Y156" s="123"/>
      <c r="Z156" s="193"/>
      <c r="AA156" s="123"/>
      <c r="AB156" s="123"/>
      <c r="AC156" s="160"/>
      <c r="AD156" s="160"/>
      <c r="AE156" s="123"/>
      <c r="AF156" s="123"/>
      <c r="AI156" s="236"/>
      <c r="AJ156" s="236"/>
      <c r="AL156" s="123"/>
      <c r="AO156" s="160"/>
    </row>
    <row r="157" spans="1:43" x14ac:dyDescent="0.3">
      <c r="H157" s="44"/>
      <c r="J157" s="44"/>
      <c r="K157" s="44"/>
      <c r="L157" s="44"/>
      <c r="M157" s="44"/>
      <c r="N157" s="44"/>
      <c r="O157" s="44"/>
      <c r="P157" s="44"/>
      <c r="Q157" s="44"/>
      <c r="R157" s="44"/>
      <c r="T157" s="42"/>
      <c r="V157" s="184"/>
      <c r="Y157" s="123"/>
      <c r="Z157" s="193"/>
      <c r="AA157" s="123"/>
      <c r="AB157" s="123"/>
      <c r="AC157" s="160"/>
      <c r="AD157" s="160"/>
      <c r="AE157" s="123"/>
      <c r="AF157" s="123"/>
      <c r="AI157" s="236"/>
      <c r="AJ157" s="236"/>
      <c r="AL157" s="123"/>
      <c r="AO157" s="160"/>
    </row>
    <row r="158" spans="1:43" x14ac:dyDescent="0.3">
      <c r="C158" s="42"/>
      <c r="D158" s="42"/>
      <c r="E158" s="42"/>
      <c r="V158" s="123"/>
      <c r="Y158" s="210"/>
      <c r="Z158" s="213"/>
      <c r="AA158" s="210"/>
      <c r="AB158" s="210"/>
      <c r="AC158" s="210"/>
      <c r="AD158" s="210"/>
      <c r="AE158" s="210"/>
      <c r="AF158" s="210"/>
      <c r="AK158" s="214"/>
      <c r="AL158" s="210"/>
      <c r="AO158" s="160"/>
      <c r="AQ158" s="214"/>
    </row>
    <row r="159" spans="1:43" x14ac:dyDescent="0.3">
      <c r="D159" s="42"/>
      <c r="E159" s="42"/>
      <c r="T159" s="42"/>
      <c r="V159" s="123"/>
      <c r="Y159" s="123"/>
      <c r="Z159" s="213"/>
      <c r="AA159" s="123"/>
      <c r="AB159" s="123"/>
      <c r="AC159" s="160"/>
      <c r="AD159" s="160"/>
      <c r="AE159" s="123"/>
      <c r="AF159" s="123"/>
      <c r="AI159" s="236"/>
      <c r="AJ159" s="236"/>
      <c r="AL159" s="123"/>
      <c r="AO159" s="160"/>
    </row>
    <row r="160" spans="1:43" x14ac:dyDescent="0.3">
      <c r="V160" s="123"/>
      <c r="Y160" s="210"/>
      <c r="Z160" s="213"/>
      <c r="AA160" s="210"/>
      <c r="AB160" s="210"/>
      <c r="AC160" s="210"/>
      <c r="AD160" s="210"/>
      <c r="AE160" s="210"/>
      <c r="AF160" s="210"/>
      <c r="AK160" s="214"/>
      <c r="AL160" s="210"/>
      <c r="AO160" s="160"/>
      <c r="AQ160" s="214"/>
    </row>
    <row r="161" spans="3:43" x14ac:dyDescent="0.3">
      <c r="C161" s="42"/>
      <c r="F161" s="184"/>
      <c r="H161" s="184"/>
      <c r="J161" s="184"/>
      <c r="K161" s="193"/>
      <c r="L161" s="193"/>
      <c r="M161" s="123"/>
      <c r="N161" s="123"/>
      <c r="O161" s="160"/>
      <c r="P161" s="160"/>
      <c r="R161" s="123"/>
      <c r="T161" s="42"/>
      <c r="V161" s="123"/>
      <c r="Y161" s="123"/>
      <c r="Z161" s="213"/>
      <c r="AA161" s="123"/>
      <c r="AB161" s="123"/>
      <c r="AC161" s="123"/>
      <c r="AD161" s="123"/>
      <c r="AE161" s="123"/>
      <c r="AF161" s="123"/>
      <c r="AI161" s="236"/>
      <c r="AJ161" s="236"/>
      <c r="AL161" s="123"/>
      <c r="AO161" s="160"/>
    </row>
    <row r="162" spans="3:43" x14ac:dyDescent="0.3">
      <c r="C162" s="42"/>
      <c r="F162" s="184"/>
      <c r="H162" s="184"/>
      <c r="J162" s="184"/>
      <c r="K162" s="193"/>
      <c r="L162" s="193"/>
      <c r="M162" s="123"/>
      <c r="N162" s="123"/>
      <c r="O162" s="160"/>
      <c r="P162" s="160"/>
      <c r="R162" s="123"/>
      <c r="T162" s="42"/>
      <c r="V162" s="123"/>
      <c r="Y162" s="123"/>
      <c r="Z162" s="238"/>
      <c r="AA162" s="123"/>
      <c r="AB162" s="123"/>
      <c r="AC162" s="160"/>
      <c r="AD162" s="160"/>
      <c r="AE162" s="123"/>
      <c r="AF162" s="123"/>
      <c r="AI162" s="236"/>
      <c r="AJ162" s="236"/>
      <c r="AL162" s="123"/>
      <c r="AO162" s="160"/>
    </row>
    <row r="163" spans="3:43" x14ac:dyDescent="0.3">
      <c r="F163" s="210"/>
      <c r="H163" s="123"/>
      <c r="J163" s="123"/>
      <c r="K163" s="213"/>
      <c r="L163" s="213"/>
      <c r="M163" s="210"/>
      <c r="N163" s="210"/>
      <c r="O163" s="210"/>
      <c r="P163" s="210"/>
      <c r="Q163" s="210"/>
      <c r="R163" s="210"/>
      <c r="T163" s="42"/>
      <c r="Y163" s="123"/>
      <c r="Z163" s="238"/>
      <c r="AA163" s="123"/>
      <c r="AB163" s="123"/>
      <c r="AC163" s="160"/>
      <c r="AD163" s="160"/>
      <c r="AE163" s="123"/>
      <c r="AF163" s="123"/>
      <c r="AI163" s="236"/>
      <c r="AJ163" s="236"/>
      <c r="AL163" s="123"/>
      <c r="AO163" s="160"/>
    </row>
    <row r="164" spans="3:43" x14ac:dyDescent="0.3">
      <c r="C164" s="42"/>
      <c r="F164" s="123"/>
      <c r="H164" s="123"/>
      <c r="J164" s="123"/>
      <c r="K164" s="213"/>
      <c r="L164" s="213"/>
      <c r="M164" s="123"/>
      <c r="N164" s="123"/>
      <c r="O164" s="160"/>
      <c r="P164" s="160"/>
      <c r="Q164" s="123"/>
      <c r="R164" s="123"/>
      <c r="V164" s="123"/>
      <c r="Y164" s="123"/>
      <c r="Z164" s="213"/>
      <c r="AA164" s="210"/>
      <c r="AB164" s="210"/>
      <c r="AC164" s="210"/>
      <c r="AD164" s="210"/>
      <c r="AE164" s="210"/>
      <c r="AF164" s="210"/>
      <c r="AK164" s="214"/>
      <c r="AL164" s="210"/>
      <c r="AO164" s="160"/>
      <c r="AQ164" s="214"/>
    </row>
    <row r="165" spans="3:43" x14ac:dyDescent="0.3">
      <c r="F165" s="210"/>
      <c r="H165" s="123"/>
      <c r="J165" s="123"/>
      <c r="K165" s="213"/>
      <c r="L165" s="213"/>
      <c r="M165" s="210"/>
      <c r="N165" s="210"/>
      <c r="O165" s="210"/>
      <c r="P165" s="210"/>
      <c r="Q165" s="210"/>
      <c r="R165" s="210"/>
      <c r="T165" s="42"/>
      <c r="V165" s="123"/>
      <c r="Y165" s="123"/>
      <c r="Z165" s="219"/>
      <c r="AA165" s="123"/>
      <c r="AB165" s="123"/>
      <c r="AC165" s="160"/>
      <c r="AD165" s="160"/>
      <c r="AE165" s="123"/>
      <c r="AF165" s="123"/>
      <c r="AI165" s="236"/>
      <c r="AJ165" s="236"/>
      <c r="AL165" s="123"/>
      <c r="AO165" s="160"/>
    </row>
    <row r="166" spans="3:43" x14ac:dyDescent="0.3">
      <c r="F166" s="123"/>
      <c r="H166" s="123"/>
      <c r="J166" s="123"/>
      <c r="K166" s="213"/>
      <c r="L166" s="213"/>
      <c r="M166" s="123"/>
      <c r="N166" s="123"/>
      <c r="O166" s="160"/>
      <c r="P166" s="160"/>
      <c r="Q166" s="123"/>
      <c r="R166" s="123"/>
      <c r="V166" s="123"/>
      <c r="Y166" s="123"/>
      <c r="Z166" s="213"/>
      <c r="AA166" s="210"/>
      <c r="AB166" s="210"/>
      <c r="AC166" s="210"/>
      <c r="AD166" s="210"/>
      <c r="AE166" s="210"/>
      <c r="AF166" s="210"/>
      <c r="AK166" s="214"/>
      <c r="AL166" s="210"/>
      <c r="AO166" s="160"/>
      <c r="AQ166" s="214"/>
    </row>
    <row r="167" spans="3:43" x14ac:dyDescent="0.3">
      <c r="C167" s="42"/>
      <c r="F167" s="184"/>
      <c r="H167" s="184"/>
      <c r="J167" s="184"/>
      <c r="K167" s="193"/>
      <c r="L167" s="193"/>
      <c r="M167" s="123"/>
      <c r="N167" s="123"/>
      <c r="O167" s="160"/>
      <c r="P167" s="160"/>
      <c r="Q167" s="123"/>
      <c r="R167" s="123"/>
      <c r="T167" s="42"/>
      <c r="V167" s="123"/>
      <c r="Y167" s="123"/>
      <c r="Z167" s="219"/>
      <c r="AA167" s="123"/>
      <c r="AB167" s="123"/>
      <c r="AC167" s="160"/>
      <c r="AD167" s="160"/>
      <c r="AE167" s="123"/>
      <c r="AF167" s="123"/>
      <c r="AI167" s="236"/>
      <c r="AJ167" s="236"/>
      <c r="AL167" s="123"/>
      <c r="AO167" s="160"/>
    </row>
    <row r="168" spans="3:43" x14ac:dyDescent="0.3">
      <c r="C168" s="42"/>
      <c r="F168" s="184"/>
      <c r="H168" s="184"/>
      <c r="J168" s="184"/>
      <c r="K168" s="193"/>
      <c r="L168" s="193"/>
      <c r="M168" s="123"/>
      <c r="N168" s="123"/>
      <c r="O168" s="160"/>
      <c r="P168" s="160"/>
      <c r="Q168" s="123"/>
      <c r="R168" s="123"/>
      <c r="T168" s="42"/>
      <c r="V168" s="184"/>
      <c r="Y168" s="123"/>
      <c r="Z168" s="227"/>
      <c r="AA168" s="123"/>
      <c r="AB168" s="123"/>
      <c r="AC168" s="160"/>
      <c r="AD168" s="160"/>
      <c r="AE168" s="123"/>
      <c r="AF168" s="123"/>
      <c r="AI168" s="236"/>
      <c r="AJ168" s="236"/>
      <c r="AL168" s="123"/>
      <c r="AO168" s="160"/>
    </row>
    <row r="169" spans="3:43" x14ac:dyDescent="0.3">
      <c r="F169" s="123"/>
      <c r="H169" s="210"/>
      <c r="J169" s="210"/>
      <c r="K169" s="213"/>
      <c r="L169" s="213"/>
      <c r="M169" s="210"/>
      <c r="N169" s="210"/>
      <c r="O169" s="210"/>
      <c r="P169" s="210"/>
      <c r="Q169" s="210"/>
      <c r="R169" s="210"/>
      <c r="V169" s="210"/>
      <c r="Y169" s="210"/>
      <c r="Z169" s="213"/>
      <c r="AA169" s="210"/>
      <c r="AB169" s="210"/>
      <c r="AC169" s="210"/>
      <c r="AD169" s="210"/>
      <c r="AE169" s="210"/>
      <c r="AF169" s="210"/>
      <c r="AK169" s="214"/>
      <c r="AL169" s="210"/>
      <c r="AO169" s="160"/>
      <c r="AQ169" s="214"/>
    </row>
    <row r="170" spans="3:43" x14ac:dyDescent="0.3">
      <c r="C170" s="42"/>
      <c r="F170" s="123"/>
      <c r="H170" s="123"/>
      <c r="J170" s="123"/>
      <c r="K170" s="213"/>
      <c r="L170" s="213"/>
      <c r="M170" s="123"/>
      <c r="N170" s="123"/>
      <c r="O170" s="160"/>
      <c r="P170" s="160"/>
      <c r="Q170" s="123"/>
      <c r="R170" s="123"/>
      <c r="T170" s="42"/>
      <c r="V170" s="123"/>
      <c r="Y170" s="123"/>
      <c r="Z170" s="213"/>
      <c r="AA170" s="123"/>
      <c r="AB170" s="123"/>
      <c r="AC170" s="160"/>
      <c r="AD170" s="160"/>
      <c r="AE170" s="123"/>
      <c r="AF170" s="123"/>
      <c r="AI170" s="160"/>
      <c r="AJ170" s="160"/>
      <c r="AL170" s="123"/>
      <c r="AO170" s="160"/>
    </row>
    <row r="171" spans="3:43" x14ac:dyDescent="0.3">
      <c r="F171" s="123"/>
      <c r="H171" s="210"/>
      <c r="J171" s="210"/>
      <c r="K171" s="213"/>
      <c r="L171" s="213"/>
      <c r="M171" s="210"/>
      <c r="N171" s="210"/>
      <c r="O171" s="210"/>
      <c r="P171" s="210"/>
      <c r="Q171" s="210"/>
      <c r="R171" s="210"/>
      <c r="V171" s="210"/>
      <c r="Y171" s="210"/>
      <c r="Z171" s="213"/>
      <c r="AA171" s="210"/>
      <c r="AB171" s="210"/>
      <c r="AC171" s="210"/>
      <c r="AD171" s="210"/>
      <c r="AE171" s="210"/>
      <c r="AF171" s="210"/>
      <c r="AK171" s="214"/>
      <c r="AL171" s="210"/>
      <c r="AO171" s="160"/>
      <c r="AQ171" s="214"/>
    </row>
    <row r="172" spans="3:43" x14ac:dyDescent="0.3">
      <c r="F172" s="123"/>
      <c r="H172" s="123"/>
      <c r="J172" s="123"/>
      <c r="K172" s="213"/>
      <c r="L172" s="213"/>
      <c r="M172" s="123"/>
      <c r="N172" s="123"/>
      <c r="O172" s="123"/>
      <c r="P172" s="123"/>
      <c r="Q172" s="123"/>
      <c r="R172" s="123"/>
      <c r="T172" s="42"/>
    </row>
    <row r="173" spans="3:43" x14ac:dyDescent="0.3">
      <c r="C173" s="42"/>
      <c r="F173" s="184"/>
      <c r="H173" s="184"/>
      <c r="J173" s="184"/>
      <c r="K173" s="227"/>
      <c r="L173" s="227"/>
      <c r="M173" s="123"/>
      <c r="N173" s="123"/>
      <c r="O173" s="160"/>
      <c r="P173" s="160"/>
      <c r="Q173" s="184"/>
      <c r="R173" s="123"/>
      <c r="T173" s="42"/>
      <c r="V173" s="123"/>
      <c r="Y173" s="123"/>
      <c r="AA173" s="123"/>
      <c r="AB173" s="123"/>
      <c r="AC173" s="160"/>
      <c r="AD173" s="160"/>
      <c r="AE173" s="123"/>
      <c r="AF173" s="123"/>
      <c r="AI173" s="160"/>
      <c r="AJ173" s="160"/>
      <c r="AK173" s="233"/>
      <c r="AL173" s="184"/>
      <c r="AO173" s="160"/>
    </row>
    <row r="174" spans="3:43" x14ac:dyDescent="0.3">
      <c r="C174" s="42"/>
      <c r="F174" s="184"/>
      <c r="H174" s="184"/>
      <c r="J174" s="184"/>
      <c r="K174" s="227"/>
      <c r="L174" s="227"/>
      <c r="M174" s="123"/>
      <c r="N174" s="123"/>
      <c r="O174" s="160"/>
      <c r="P174" s="160"/>
      <c r="Q174" s="184"/>
      <c r="R174" s="123"/>
      <c r="V174" s="210"/>
      <c r="Y174" s="210"/>
      <c r="Z174" s="213"/>
      <c r="AA174" s="210"/>
      <c r="AB174" s="210"/>
      <c r="AC174" s="210"/>
      <c r="AD174" s="210"/>
      <c r="AE174" s="210"/>
      <c r="AF174" s="210"/>
      <c r="AK174" s="214"/>
      <c r="AL174" s="210"/>
      <c r="AQ174" s="214"/>
    </row>
    <row r="175" spans="3:43" x14ac:dyDescent="0.3">
      <c r="C175" s="42"/>
      <c r="F175" s="184"/>
      <c r="H175" s="184"/>
      <c r="J175" s="184"/>
      <c r="K175" s="227"/>
      <c r="L175" s="227"/>
      <c r="M175" s="123"/>
      <c r="N175" s="123"/>
      <c r="O175" s="160"/>
      <c r="P175" s="160"/>
      <c r="Q175" s="184"/>
      <c r="R175" s="123"/>
    </row>
    <row r="176" spans="3:43" x14ac:dyDescent="0.3">
      <c r="F176" s="210"/>
      <c r="H176" s="210"/>
      <c r="J176" s="210"/>
      <c r="K176" s="213"/>
      <c r="L176" s="213"/>
      <c r="M176" s="210"/>
      <c r="N176" s="210"/>
      <c r="O176" s="210"/>
      <c r="P176" s="210"/>
      <c r="Q176" s="210"/>
      <c r="R176" s="210"/>
      <c r="T176" s="42"/>
      <c r="AA176" s="123"/>
      <c r="AB176" s="123"/>
      <c r="AC176" s="123"/>
      <c r="AD176" s="123"/>
      <c r="AI176" s="123"/>
      <c r="AJ176" s="123"/>
      <c r="AL176" s="123"/>
    </row>
    <row r="177" spans="1:38" x14ac:dyDescent="0.3">
      <c r="C177" s="42"/>
      <c r="F177" s="123"/>
      <c r="H177" s="123"/>
      <c r="J177" s="123"/>
      <c r="K177" s="219"/>
      <c r="L177" s="219"/>
      <c r="M177" s="123"/>
      <c r="N177" s="123"/>
      <c r="O177" s="160"/>
      <c r="P177" s="160"/>
      <c r="Q177" s="123"/>
      <c r="R177" s="123"/>
    </row>
    <row r="178" spans="1:38" x14ac:dyDescent="0.3">
      <c r="F178" s="210"/>
      <c r="H178" s="210"/>
      <c r="J178" s="210"/>
      <c r="K178" s="213"/>
      <c r="L178" s="213"/>
      <c r="M178" s="210"/>
      <c r="N178" s="210"/>
      <c r="O178" s="210"/>
      <c r="P178" s="210"/>
      <c r="Q178" s="210"/>
      <c r="R178" s="210"/>
    </row>
    <row r="179" spans="1:38" x14ac:dyDescent="0.3">
      <c r="C179" s="42"/>
      <c r="F179" s="123"/>
      <c r="H179" s="123"/>
      <c r="J179" s="123"/>
      <c r="K179" s="219"/>
      <c r="L179" s="219"/>
      <c r="M179" s="123"/>
      <c r="N179" s="123"/>
      <c r="O179" s="160"/>
      <c r="P179" s="160"/>
      <c r="Q179" s="123"/>
      <c r="R179" s="123"/>
      <c r="Y179" s="42"/>
    </row>
    <row r="180" spans="1:38" x14ac:dyDescent="0.3">
      <c r="C180" s="42"/>
      <c r="F180" s="123"/>
      <c r="H180" s="123"/>
      <c r="I180" s="123"/>
      <c r="J180" s="219"/>
      <c r="K180" s="219"/>
      <c r="L180" s="123"/>
      <c r="M180" s="123"/>
      <c r="N180" s="160"/>
      <c r="O180" s="160"/>
      <c r="P180" s="123"/>
      <c r="Q180" s="123"/>
      <c r="R180" s="123"/>
    </row>
    <row r="181" spans="1:38" x14ac:dyDescent="0.3">
      <c r="F181" s="210"/>
      <c r="H181" s="210"/>
      <c r="I181" s="210"/>
      <c r="J181" s="213"/>
      <c r="K181" s="213"/>
      <c r="L181" s="210"/>
      <c r="M181" s="210"/>
      <c r="N181" s="210"/>
      <c r="O181" s="210"/>
      <c r="P181" s="210"/>
      <c r="Q181" s="210"/>
      <c r="R181" s="210"/>
      <c r="AA181" s="42"/>
      <c r="AB181" s="42"/>
    </row>
    <row r="182" spans="1:38" x14ac:dyDescent="0.3">
      <c r="F182" s="123"/>
      <c r="H182" s="123"/>
      <c r="I182" s="123"/>
      <c r="J182" s="219"/>
      <c r="K182" s="219"/>
      <c r="L182" s="123"/>
      <c r="M182" s="123"/>
      <c r="N182" s="123"/>
      <c r="O182" s="123"/>
      <c r="P182" s="123"/>
      <c r="Q182" s="123"/>
      <c r="R182" s="123"/>
      <c r="AK182" s="206"/>
      <c r="AL182" s="42"/>
    </row>
    <row r="183" spans="1:38" x14ac:dyDescent="0.3">
      <c r="C183" s="42"/>
      <c r="F183" s="123"/>
      <c r="H183" s="123"/>
      <c r="I183" s="123"/>
      <c r="J183" s="219"/>
      <c r="K183" s="219"/>
      <c r="L183" s="123"/>
      <c r="M183" s="123"/>
      <c r="N183" s="123"/>
      <c r="O183" s="123"/>
      <c r="P183" s="123"/>
      <c r="Q183" s="123"/>
      <c r="R183" s="123"/>
      <c r="AK183" s="206"/>
      <c r="AL183" s="42"/>
    </row>
    <row r="184" spans="1:38" x14ac:dyDescent="0.3">
      <c r="A184" s="42"/>
      <c r="AK184" s="206"/>
      <c r="AL184" s="42"/>
    </row>
    <row r="186" spans="1:38" x14ac:dyDescent="0.3">
      <c r="H186" s="42"/>
      <c r="I186" s="42"/>
      <c r="Y186" s="42"/>
    </row>
    <row r="188" spans="1:38" x14ac:dyDescent="0.3">
      <c r="L188" s="42"/>
      <c r="M188" s="42"/>
      <c r="AA188" s="42"/>
      <c r="AB188" s="42"/>
    </row>
    <row r="189" spans="1:38" x14ac:dyDescent="0.3">
      <c r="R189" s="42"/>
      <c r="AK189" s="206"/>
      <c r="AL189" s="42"/>
    </row>
    <row r="190" spans="1:38" x14ac:dyDescent="0.3">
      <c r="R190" s="42"/>
      <c r="AK190" s="206"/>
      <c r="AL190" s="42"/>
    </row>
    <row r="191" spans="1:38" x14ac:dyDescent="0.3">
      <c r="A191" s="42"/>
      <c r="R191" s="42"/>
      <c r="AK191" s="206"/>
      <c r="AL191" s="42"/>
    </row>
    <row r="192" spans="1:38" x14ac:dyDescent="0.3">
      <c r="L192" s="42"/>
      <c r="M192" s="42"/>
      <c r="AA192" s="42"/>
      <c r="AB192" s="42"/>
    </row>
    <row r="193" spans="1:40" x14ac:dyDescent="0.3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207"/>
      <c r="AH193" s="135"/>
      <c r="AI193" s="135"/>
      <c r="AJ193" s="135"/>
      <c r="AK193" s="207"/>
      <c r="AL193" s="135"/>
      <c r="AM193" s="135"/>
      <c r="AN193" s="135"/>
    </row>
    <row r="194" spans="1:40" x14ac:dyDescent="0.3">
      <c r="L194" s="44"/>
      <c r="M194" s="44"/>
      <c r="N194" s="44"/>
      <c r="O194" s="44"/>
      <c r="R194" s="44"/>
      <c r="AA194" s="44"/>
      <c r="AB194" s="44"/>
      <c r="AC194" s="44"/>
      <c r="AD194" s="44"/>
      <c r="AE194" s="44"/>
      <c r="AF194" s="44"/>
      <c r="AG194" s="168"/>
      <c r="AH194" s="44"/>
      <c r="AK194" s="168"/>
      <c r="AL194" s="44"/>
      <c r="AM194" s="44"/>
      <c r="AN194" s="44"/>
    </row>
    <row r="195" spans="1:40" x14ac:dyDescent="0.3">
      <c r="L195" s="44"/>
      <c r="M195" s="44"/>
      <c r="N195" s="44"/>
      <c r="O195" s="44"/>
      <c r="R195" s="44"/>
      <c r="Z195" s="44"/>
      <c r="AA195" s="44"/>
      <c r="AB195" s="44"/>
      <c r="AC195" s="44"/>
      <c r="AD195" s="44"/>
      <c r="AE195" s="44"/>
      <c r="AF195" s="44"/>
      <c r="AG195" s="168"/>
      <c r="AH195" s="44"/>
      <c r="AK195" s="168"/>
      <c r="AL195" s="44"/>
      <c r="AM195" s="44"/>
      <c r="AN195" s="44"/>
    </row>
    <row r="196" spans="1:40" x14ac:dyDescent="0.3">
      <c r="A196" s="44"/>
      <c r="C196" s="44"/>
      <c r="D196" s="44"/>
      <c r="E196" s="44"/>
      <c r="F196" s="44"/>
      <c r="J196" s="44"/>
      <c r="K196" s="44"/>
      <c r="L196" s="44"/>
      <c r="M196" s="44"/>
      <c r="N196" s="44"/>
      <c r="O196" s="44"/>
      <c r="P196" s="44"/>
      <c r="Q196" s="44"/>
      <c r="R196" s="44"/>
      <c r="T196" s="44"/>
      <c r="U196" s="44"/>
      <c r="V196" s="44"/>
      <c r="Z196" s="44"/>
      <c r="AA196" s="44"/>
      <c r="AB196" s="44"/>
      <c r="AC196" s="44"/>
      <c r="AD196" s="44"/>
      <c r="AE196" s="44"/>
      <c r="AF196" s="44"/>
      <c r="AG196" s="168"/>
      <c r="AH196" s="44"/>
      <c r="AI196" s="44"/>
      <c r="AJ196" s="44"/>
      <c r="AK196" s="168"/>
      <c r="AL196" s="44"/>
      <c r="AM196" s="44"/>
      <c r="AN196" s="44"/>
    </row>
    <row r="197" spans="1:40" x14ac:dyDescent="0.3">
      <c r="A197" s="44"/>
      <c r="C197" s="44"/>
      <c r="D197" s="44"/>
      <c r="E197" s="44"/>
      <c r="F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T197" s="44"/>
      <c r="U197" s="44"/>
      <c r="V197" s="44"/>
      <c r="Y197" s="44"/>
      <c r="Z197" s="44"/>
      <c r="AA197" s="44"/>
      <c r="AB197" s="44"/>
      <c r="AC197" s="44"/>
      <c r="AD197" s="44"/>
      <c r="AE197" s="44"/>
      <c r="AF197" s="44"/>
      <c r="AG197" s="168"/>
      <c r="AH197" s="44"/>
      <c r="AI197" s="44"/>
      <c r="AJ197" s="44"/>
      <c r="AK197" s="168"/>
      <c r="AL197" s="44"/>
      <c r="AM197" s="44"/>
      <c r="AN197" s="44"/>
    </row>
    <row r="198" spans="1:40" x14ac:dyDescent="0.3">
      <c r="C198" s="44"/>
      <c r="D198" s="44"/>
      <c r="E198" s="44"/>
      <c r="F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T198" s="44"/>
      <c r="U198" s="44"/>
      <c r="V198" s="44"/>
      <c r="Y198" s="44"/>
      <c r="Z198" s="44"/>
      <c r="AA198" s="44"/>
      <c r="AB198" s="44"/>
      <c r="AC198" s="44"/>
      <c r="AD198" s="44"/>
      <c r="AE198" s="44"/>
      <c r="AF198" s="44"/>
      <c r="AG198" s="168"/>
      <c r="AH198" s="44"/>
      <c r="AI198" s="44"/>
      <c r="AJ198" s="44"/>
      <c r="AK198" s="168"/>
      <c r="AL198" s="44"/>
      <c r="AM198" s="44"/>
      <c r="AN198" s="44"/>
    </row>
    <row r="199" spans="1:40" x14ac:dyDescent="0.3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207"/>
      <c r="AH199" s="135"/>
      <c r="AI199" s="135"/>
      <c r="AJ199" s="135"/>
      <c r="AK199" s="207"/>
      <c r="AL199" s="135"/>
      <c r="AM199" s="135"/>
      <c r="AN199" s="135"/>
    </row>
    <row r="200" spans="1:40" x14ac:dyDescent="0.3"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Y200" s="44"/>
      <c r="Z200" s="44"/>
      <c r="AA200" s="44"/>
      <c r="AB200" s="44"/>
      <c r="AC200" s="44"/>
      <c r="AD200" s="44"/>
      <c r="AE200" s="44"/>
      <c r="AF200" s="44"/>
      <c r="AG200" s="168"/>
      <c r="AH200" s="44"/>
      <c r="AI200" s="44"/>
      <c r="AJ200" s="44"/>
      <c r="AK200" s="168"/>
      <c r="AL200" s="44"/>
      <c r="AM200" s="44"/>
      <c r="AN200" s="44"/>
    </row>
    <row r="201" spans="1:40" x14ac:dyDescent="0.3">
      <c r="C201" s="42"/>
      <c r="D201" s="42"/>
      <c r="E201" s="42"/>
      <c r="T201" s="42"/>
      <c r="U201" s="42"/>
    </row>
    <row r="203" spans="1:40" x14ac:dyDescent="0.3">
      <c r="C203" s="42"/>
      <c r="F203" s="184"/>
      <c r="H203" s="222"/>
      <c r="I203" s="222"/>
      <c r="J203" s="193"/>
      <c r="K203" s="193"/>
      <c r="L203" s="123"/>
      <c r="M203" s="123"/>
      <c r="R203" s="123"/>
      <c r="T203" s="42"/>
      <c r="V203" s="123"/>
      <c r="Z203" s="193"/>
      <c r="AA203" s="123"/>
      <c r="AB203" s="123"/>
      <c r="AE203" s="123"/>
      <c r="AF203" s="123"/>
      <c r="AG203" s="233"/>
      <c r="AH203" s="234"/>
      <c r="AI203" s="123"/>
      <c r="AJ203" s="123"/>
      <c r="AL203" s="123"/>
      <c r="AM203" s="235"/>
      <c r="AN203" s="235"/>
    </row>
    <row r="204" spans="1:40" x14ac:dyDescent="0.3">
      <c r="F204" s="184"/>
      <c r="H204" s="222"/>
      <c r="I204" s="222"/>
      <c r="J204" s="222"/>
      <c r="K204" s="222"/>
      <c r="R204" s="123"/>
      <c r="V204" s="123"/>
      <c r="Z204" s="222"/>
    </row>
    <row r="205" spans="1:40" x14ac:dyDescent="0.3">
      <c r="C205" s="42"/>
      <c r="F205" s="184"/>
      <c r="H205" s="184"/>
      <c r="I205" s="184"/>
      <c r="J205" s="227"/>
      <c r="K205" s="227"/>
      <c r="L205" s="123"/>
      <c r="M205" s="123"/>
      <c r="N205" s="160"/>
      <c r="O205" s="160"/>
      <c r="P205" s="184"/>
      <c r="Q205" s="184"/>
      <c r="R205" s="123"/>
      <c r="T205" s="42"/>
      <c r="V205" s="123"/>
      <c r="Y205" s="123"/>
      <c r="Z205" s="212"/>
      <c r="AA205" s="123"/>
      <c r="AB205" s="123"/>
      <c r="AC205" s="160"/>
      <c r="AD205" s="160"/>
      <c r="AE205" s="123"/>
      <c r="AF205" s="123"/>
      <c r="AH205" s="236"/>
      <c r="AI205" s="184"/>
      <c r="AJ205" s="184"/>
      <c r="AL205" s="123"/>
      <c r="AM205" s="160"/>
      <c r="AN205" s="160"/>
    </row>
    <row r="206" spans="1:40" x14ac:dyDescent="0.3">
      <c r="F206" s="210"/>
      <c r="H206" s="210"/>
      <c r="I206" s="210"/>
      <c r="J206" s="213"/>
      <c r="K206" s="213"/>
      <c r="L206" s="210"/>
      <c r="M206" s="210"/>
      <c r="N206" s="210"/>
      <c r="O206" s="210"/>
      <c r="P206" s="210"/>
      <c r="Q206" s="210"/>
      <c r="R206" s="210"/>
      <c r="V206" s="210"/>
      <c r="Y206" s="210"/>
      <c r="Z206" s="213"/>
      <c r="AA206" s="210"/>
      <c r="AB206" s="210"/>
      <c r="AC206" s="210"/>
      <c r="AD206" s="210"/>
      <c r="AE206" s="210"/>
      <c r="AF206" s="210"/>
      <c r="AI206" s="210"/>
      <c r="AJ206" s="210"/>
      <c r="AK206" s="214"/>
      <c r="AL206" s="210"/>
    </row>
    <row r="207" spans="1:40" x14ac:dyDescent="0.3">
      <c r="D207" s="42"/>
      <c r="E207" s="42"/>
      <c r="F207" s="123"/>
      <c r="H207" s="123"/>
      <c r="I207" s="123"/>
      <c r="J207" s="219"/>
      <c r="K207" s="219"/>
      <c r="L207" s="123"/>
      <c r="M207" s="123"/>
      <c r="N207" s="160"/>
      <c r="O207" s="160"/>
      <c r="P207" s="123"/>
      <c r="Q207" s="123"/>
      <c r="R207" s="123"/>
      <c r="U207" s="42"/>
      <c r="V207" s="123"/>
      <c r="Y207" s="123"/>
      <c r="Z207" s="219"/>
      <c r="AA207" s="123"/>
      <c r="AB207" s="123"/>
      <c r="AC207" s="160"/>
      <c r="AD207" s="160"/>
      <c r="AE207" s="123"/>
      <c r="AF207" s="123"/>
      <c r="AH207" s="236"/>
      <c r="AI207" s="123"/>
      <c r="AJ207" s="123"/>
      <c r="AL207" s="123"/>
      <c r="AM207" s="160"/>
      <c r="AN207" s="160"/>
    </row>
    <row r="208" spans="1:40" x14ac:dyDescent="0.3">
      <c r="F208" s="210"/>
      <c r="H208" s="210"/>
      <c r="I208" s="210"/>
      <c r="J208" s="213"/>
      <c r="K208" s="213"/>
      <c r="L208" s="210"/>
      <c r="M208" s="210"/>
      <c r="N208" s="210"/>
      <c r="O208" s="210"/>
      <c r="P208" s="210"/>
      <c r="Q208" s="210"/>
      <c r="R208" s="210"/>
      <c r="V208" s="210"/>
      <c r="Y208" s="210"/>
      <c r="Z208" s="213"/>
      <c r="AA208" s="210"/>
      <c r="AB208" s="210"/>
      <c r="AC208" s="210"/>
      <c r="AD208" s="210"/>
      <c r="AE208" s="210"/>
      <c r="AF208" s="210"/>
      <c r="AI208" s="210"/>
      <c r="AJ208" s="210"/>
      <c r="AK208" s="214"/>
      <c r="AL208" s="210"/>
    </row>
    <row r="209" spans="3:40" x14ac:dyDescent="0.3">
      <c r="R209" s="123"/>
    </row>
    <row r="210" spans="3:40" x14ac:dyDescent="0.3">
      <c r="R210" s="123"/>
    </row>
    <row r="211" spans="3:40" x14ac:dyDescent="0.3">
      <c r="R211" s="123"/>
    </row>
    <row r="212" spans="3:40" x14ac:dyDescent="0.3">
      <c r="C212" s="42"/>
      <c r="D212" s="42"/>
      <c r="E212" s="42"/>
      <c r="H212" s="123"/>
      <c r="I212" s="123"/>
      <c r="J212" s="219"/>
      <c r="K212" s="219"/>
      <c r="L212" s="123"/>
      <c r="M212" s="123"/>
      <c r="N212" s="160"/>
      <c r="O212" s="160"/>
      <c r="P212" s="123"/>
      <c r="Q212" s="123"/>
      <c r="R212" s="123"/>
      <c r="T212" s="42"/>
      <c r="U212" s="42"/>
      <c r="Y212" s="123"/>
      <c r="Z212" s="219"/>
      <c r="AA212" s="123"/>
      <c r="AB212" s="123"/>
      <c r="AC212" s="160"/>
      <c r="AD212" s="160"/>
    </row>
    <row r="213" spans="3:40" x14ac:dyDescent="0.3">
      <c r="H213" s="123"/>
      <c r="I213" s="123"/>
      <c r="J213" s="219"/>
      <c r="K213" s="219"/>
      <c r="L213" s="123"/>
      <c r="M213" s="123"/>
      <c r="N213" s="160"/>
      <c r="O213" s="160"/>
      <c r="P213" s="123"/>
      <c r="Q213" s="123"/>
      <c r="R213" s="123"/>
      <c r="Y213" s="123"/>
      <c r="Z213" s="219"/>
      <c r="AA213" s="123"/>
      <c r="AB213" s="123"/>
      <c r="AC213" s="160"/>
      <c r="AD213" s="160"/>
    </row>
    <row r="214" spans="3:40" x14ac:dyDescent="0.3">
      <c r="C214" s="42"/>
      <c r="F214" s="184"/>
      <c r="H214" s="184"/>
      <c r="I214" s="184"/>
      <c r="J214" s="240"/>
      <c r="K214" s="240"/>
      <c r="L214" s="184"/>
      <c r="M214" s="184"/>
      <c r="N214" s="160"/>
      <c r="O214" s="160"/>
      <c r="P214" s="123"/>
      <c r="Q214" s="123"/>
      <c r="R214" s="123"/>
      <c r="T214" s="42"/>
      <c r="V214" s="123"/>
      <c r="Y214" s="123"/>
      <c r="Z214" s="240"/>
      <c r="AA214" s="123"/>
      <c r="AB214" s="123"/>
      <c r="AC214" s="160"/>
      <c r="AD214" s="160"/>
      <c r="AE214" s="123"/>
      <c r="AF214" s="123"/>
      <c r="AH214" s="236"/>
      <c r="AI214" s="123"/>
      <c r="AJ214" s="123"/>
      <c r="AL214" s="123"/>
      <c r="AM214" s="160"/>
      <c r="AN214" s="160"/>
    </row>
    <row r="215" spans="3:40" x14ac:dyDescent="0.3">
      <c r="F215" s="184"/>
      <c r="H215" s="222"/>
      <c r="I215" s="222"/>
      <c r="J215" s="222"/>
      <c r="K215" s="222"/>
      <c r="R215" s="123"/>
      <c r="V215" s="123"/>
      <c r="Z215" s="222"/>
    </row>
    <row r="216" spans="3:40" x14ac:dyDescent="0.3">
      <c r="C216" s="42"/>
      <c r="F216" s="184"/>
      <c r="H216" s="184"/>
      <c r="I216" s="184"/>
      <c r="J216" s="193"/>
      <c r="K216" s="193"/>
      <c r="L216" s="123"/>
      <c r="M216" s="123"/>
      <c r="N216" s="160"/>
      <c r="O216" s="160"/>
      <c r="P216" s="123"/>
      <c r="Q216" s="123"/>
      <c r="R216" s="123"/>
      <c r="T216" s="42"/>
      <c r="V216" s="123"/>
      <c r="Y216" s="123"/>
      <c r="Z216" s="193"/>
      <c r="AA216" s="123"/>
      <c r="AB216" s="123"/>
      <c r="AC216" s="160"/>
      <c r="AD216" s="160"/>
      <c r="AE216" s="123"/>
      <c r="AF216" s="123"/>
      <c r="AH216" s="236"/>
      <c r="AI216" s="123"/>
      <c r="AJ216" s="123"/>
      <c r="AL216" s="123"/>
      <c r="AM216" s="160"/>
      <c r="AN216" s="160"/>
    </row>
    <row r="217" spans="3:40" x14ac:dyDescent="0.3">
      <c r="F217" s="184"/>
      <c r="H217" s="222"/>
      <c r="I217" s="222"/>
      <c r="J217" s="222"/>
      <c r="K217" s="222"/>
      <c r="R217" s="123"/>
      <c r="V217" s="123"/>
      <c r="Z217" s="222"/>
    </row>
    <row r="218" spans="3:40" x14ac:dyDescent="0.3">
      <c r="C218" s="42"/>
      <c r="F218" s="184"/>
      <c r="H218" s="184"/>
      <c r="I218" s="184"/>
      <c r="J218" s="227"/>
      <c r="K218" s="227"/>
      <c r="L218" s="123"/>
      <c r="M218" s="123"/>
      <c r="N218" s="160"/>
      <c r="O218" s="160"/>
      <c r="P218" s="123"/>
      <c r="Q218" s="123"/>
      <c r="R218" s="123"/>
      <c r="T218" s="42"/>
      <c r="V218" s="123"/>
      <c r="Y218" s="123"/>
      <c r="Z218" s="212"/>
      <c r="AA218" s="123"/>
      <c r="AB218" s="123"/>
      <c r="AC218" s="160"/>
      <c r="AD218" s="160"/>
      <c r="AE218" s="123"/>
      <c r="AF218" s="123"/>
      <c r="AH218" s="236"/>
      <c r="AI218" s="123"/>
      <c r="AJ218" s="123"/>
      <c r="AL218" s="123"/>
      <c r="AM218" s="160"/>
      <c r="AN218" s="160"/>
    </row>
    <row r="219" spans="3:40" x14ac:dyDescent="0.3">
      <c r="F219" s="210"/>
      <c r="H219" s="210"/>
      <c r="I219" s="210"/>
      <c r="J219" s="213"/>
      <c r="K219" s="213"/>
      <c r="L219" s="210"/>
      <c r="M219" s="210"/>
      <c r="N219" s="210"/>
      <c r="O219" s="210"/>
      <c r="P219" s="210"/>
      <c r="Q219" s="210"/>
      <c r="R219" s="210"/>
      <c r="S219" s="123"/>
      <c r="V219" s="210"/>
      <c r="Y219" s="210"/>
      <c r="Z219" s="213"/>
      <c r="AA219" s="210"/>
      <c r="AB219" s="210"/>
      <c r="AC219" s="210"/>
      <c r="AD219" s="210"/>
      <c r="AE219" s="210"/>
      <c r="AF219" s="210"/>
      <c r="AI219" s="210"/>
      <c r="AJ219" s="210"/>
      <c r="AK219" s="214"/>
      <c r="AL219" s="210"/>
    </row>
    <row r="220" spans="3:40" x14ac:dyDescent="0.3">
      <c r="D220" s="42"/>
      <c r="E220" s="42"/>
      <c r="F220" s="123"/>
      <c r="H220" s="123"/>
      <c r="I220" s="123"/>
      <c r="J220" s="219"/>
      <c r="K220" s="219"/>
      <c r="L220" s="123"/>
      <c r="M220" s="123"/>
      <c r="N220" s="160"/>
      <c r="O220" s="160"/>
      <c r="P220" s="184"/>
      <c r="Q220" s="184"/>
      <c r="R220" s="123"/>
      <c r="S220" s="123"/>
      <c r="U220" s="42"/>
      <c r="V220" s="123"/>
      <c r="Y220" s="123"/>
      <c r="Z220" s="219"/>
      <c r="AA220" s="123"/>
      <c r="AB220" s="123"/>
      <c r="AC220" s="160"/>
      <c r="AD220" s="160"/>
      <c r="AE220" s="123"/>
      <c r="AF220" s="123"/>
      <c r="AH220" s="236"/>
      <c r="AI220" s="184"/>
      <c r="AJ220" s="184"/>
      <c r="AL220" s="123"/>
      <c r="AM220" s="160"/>
      <c r="AN220" s="160"/>
    </row>
    <row r="221" spans="3:40" x14ac:dyDescent="0.3">
      <c r="F221" s="210"/>
      <c r="H221" s="210"/>
      <c r="I221" s="210"/>
      <c r="J221" s="213"/>
      <c r="K221" s="213"/>
      <c r="L221" s="210"/>
      <c r="M221" s="210"/>
      <c r="N221" s="210"/>
      <c r="O221" s="210"/>
      <c r="P221" s="210"/>
      <c r="Q221" s="210"/>
      <c r="R221" s="210"/>
      <c r="S221" s="123"/>
      <c r="V221" s="210"/>
      <c r="Y221" s="210"/>
      <c r="Z221" s="213"/>
      <c r="AA221" s="210"/>
      <c r="AB221" s="210"/>
      <c r="AC221" s="210"/>
      <c r="AD221" s="210"/>
      <c r="AE221" s="210"/>
      <c r="AF221" s="210"/>
      <c r="AI221" s="210"/>
      <c r="AJ221" s="210"/>
      <c r="AK221" s="214"/>
      <c r="AL221" s="210"/>
    </row>
    <row r="222" spans="3:40" x14ac:dyDescent="0.3">
      <c r="R222" s="123"/>
    </row>
    <row r="223" spans="3:40" x14ac:dyDescent="0.3">
      <c r="F223" s="123"/>
      <c r="H223" s="123"/>
      <c r="I223" s="123"/>
      <c r="J223" s="219"/>
      <c r="K223" s="219"/>
      <c r="L223" s="123"/>
      <c r="M223" s="123"/>
      <c r="N223" s="123"/>
      <c r="O223" s="123"/>
      <c r="P223" s="123"/>
      <c r="Q223" s="123"/>
      <c r="R223" s="123"/>
      <c r="V223" s="123"/>
      <c r="Y223" s="123"/>
      <c r="Z223" s="219"/>
      <c r="AA223" s="123"/>
      <c r="AB223" s="123"/>
      <c r="AC223" s="123"/>
      <c r="AD223" s="123"/>
    </row>
    <row r="224" spans="3:40" x14ac:dyDescent="0.3">
      <c r="C224" s="42"/>
      <c r="F224" s="123"/>
      <c r="H224" s="123"/>
      <c r="I224" s="123"/>
      <c r="J224" s="219"/>
      <c r="K224" s="219"/>
      <c r="L224" s="123"/>
      <c r="M224" s="123"/>
      <c r="N224" s="123"/>
      <c r="O224" s="123"/>
      <c r="P224" s="123"/>
      <c r="Q224" s="123"/>
      <c r="R224" s="123"/>
      <c r="T224" s="42"/>
      <c r="V224" s="123"/>
      <c r="Y224" s="123"/>
      <c r="Z224" s="219"/>
      <c r="AA224" s="123"/>
      <c r="AB224" s="123"/>
      <c r="AC224" s="123"/>
      <c r="AD224" s="123"/>
    </row>
    <row r="225" spans="1:40" x14ac:dyDescent="0.3">
      <c r="C225" s="42"/>
      <c r="T225" s="42"/>
    </row>
    <row r="226" spans="1:40" x14ac:dyDescent="0.3">
      <c r="A226" s="42"/>
    </row>
    <row r="229" spans="1:40" x14ac:dyDescent="0.3">
      <c r="H229" s="42"/>
      <c r="I229" s="42"/>
      <c r="Y229" s="42"/>
    </row>
    <row r="231" spans="1:40" x14ac:dyDescent="0.3">
      <c r="L231" s="42"/>
      <c r="M231" s="42"/>
      <c r="AA231" s="42"/>
      <c r="AB231" s="42"/>
    </row>
    <row r="232" spans="1:40" x14ac:dyDescent="0.3">
      <c r="R232" s="42"/>
      <c r="AK232" s="206"/>
      <c r="AL232" s="42"/>
    </row>
    <row r="233" spans="1:40" x14ac:dyDescent="0.3">
      <c r="R233" s="42"/>
      <c r="AK233" s="206"/>
      <c r="AL233" s="42"/>
    </row>
    <row r="234" spans="1:40" x14ac:dyDescent="0.3">
      <c r="A234" s="42"/>
      <c r="R234" s="42"/>
      <c r="AK234" s="206"/>
      <c r="AL234" s="42"/>
    </row>
    <row r="235" spans="1:40" x14ac:dyDescent="0.3">
      <c r="L235" s="42"/>
      <c r="M235" s="42"/>
      <c r="AA235" s="42"/>
      <c r="AB235" s="42"/>
    </row>
    <row r="236" spans="1:40" x14ac:dyDescent="0.3">
      <c r="A236" s="135"/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207"/>
      <c r="AH236" s="135"/>
      <c r="AI236" s="135"/>
      <c r="AJ236" s="135"/>
      <c r="AK236" s="207"/>
      <c r="AL236" s="135"/>
      <c r="AM236" s="135"/>
      <c r="AN236" s="135"/>
    </row>
    <row r="237" spans="1:40" x14ac:dyDescent="0.3">
      <c r="L237" s="44"/>
      <c r="M237" s="44"/>
      <c r="N237" s="44"/>
      <c r="O237" s="44"/>
      <c r="R237" s="44"/>
      <c r="AA237" s="44"/>
      <c r="AB237" s="44"/>
      <c r="AC237" s="44"/>
      <c r="AD237" s="44"/>
      <c r="AE237" s="44"/>
      <c r="AF237" s="44"/>
      <c r="AG237" s="168"/>
      <c r="AH237" s="44"/>
      <c r="AK237" s="168"/>
      <c r="AL237" s="44"/>
      <c r="AM237" s="44"/>
      <c r="AN237" s="44"/>
    </row>
    <row r="238" spans="1:40" x14ac:dyDescent="0.3">
      <c r="L238" s="44"/>
      <c r="M238" s="44"/>
      <c r="N238" s="44"/>
      <c r="O238" s="44"/>
      <c r="R238" s="44"/>
      <c r="Z238" s="44"/>
      <c r="AA238" s="44"/>
      <c r="AB238" s="44"/>
      <c r="AC238" s="44"/>
      <c r="AD238" s="44"/>
      <c r="AE238" s="44"/>
      <c r="AF238" s="44"/>
      <c r="AG238" s="168"/>
      <c r="AH238" s="44"/>
      <c r="AK238" s="168"/>
      <c r="AL238" s="44"/>
      <c r="AM238" s="44"/>
      <c r="AN238" s="44"/>
    </row>
    <row r="239" spans="1:40" x14ac:dyDescent="0.3">
      <c r="A239" s="44"/>
      <c r="C239" s="44"/>
      <c r="D239" s="44"/>
      <c r="E239" s="44"/>
      <c r="F239" s="44"/>
      <c r="J239" s="44"/>
      <c r="K239" s="44"/>
      <c r="L239" s="44"/>
      <c r="M239" s="44"/>
      <c r="N239" s="44"/>
      <c r="O239" s="44"/>
      <c r="P239" s="44"/>
      <c r="Q239" s="44"/>
      <c r="R239" s="44"/>
      <c r="T239" s="44"/>
      <c r="U239" s="44"/>
      <c r="V239" s="44"/>
      <c r="Z239" s="44"/>
      <c r="AA239" s="44"/>
      <c r="AB239" s="44"/>
      <c r="AC239" s="44"/>
      <c r="AD239" s="44"/>
      <c r="AE239" s="44"/>
      <c r="AF239" s="44"/>
      <c r="AG239" s="168"/>
      <c r="AH239" s="44"/>
      <c r="AI239" s="44"/>
      <c r="AJ239" s="44"/>
      <c r="AK239" s="168"/>
      <c r="AL239" s="44"/>
      <c r="AM239" s="44"/>
      <c r="AN239" s="44"/>
    </row>
    <row r="240" spans="1:40" x14ac:dyDescent="0.3">
      <c r="A240" s="44"/>
      <c r="C240" s="44"/>
      <c r="D240" s="44"/>
      <c r="E240" s="44"/>
      <c r="F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T240" s="44"/>
      <c r="U240" s="44"/>
      <c r="V240" s="44"/>
      <c r="Y240" s="44"/>
      <c r="Z240" s="44"/>
      <c r="AA240" s="44"/>
      <c r="AB240" s="44"/>
      <c r="AC240" s="44"/>
      <c r="AD240" s="44"/>
      <c r="AE240" s="44"/>
      <c r="AF240" s="44"/>
      <c r="AG240" s="168"/>
      <c r="AH240" s="44"/>
      <c r="AI240" s="44"/>
      <c r="AJ240" s="44"/>
      <c r="AK240" s="168"/>
      <c r="AL240" s="44"/>
      <c r="AM240" s="44"/>
      <c r="AN240" s="44"/>
    </row>
    <row r="241" spans="1:40" x14ac:dyDescent="0.3"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T241" s="44"/>
      <c r="U241" s="44"/>
      <c r="V241" s="44"/>
      <c r="Y241" s="44"/>
      <c r="Z241" s="44"/>
      <c r="AA241" s="44"/>
      <c r="AB241" s="44"/>
      <c r="AC241" s="44"/>
      <c r="AD241" s="44"/>
      <c r="AE241" s="44"/>
      <c r="AF241" s="44"/>
      <c r="AG241" s="168"/>
      <c r="AH241" s="44"/>
      <c r="AI241" s="44"/>
      <c r="AJ241" s="44"/>
      <c r="AK241" s="168"/>
      <c r="AL241" s="44"/>
      <c r="AM241" s="44"/>
      <c r="AN241" s="44"/>
    </row>
    <row r="242" spans="1:40" x14ac:dyDescent="0.3">
      <c r="A242" s="135"/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207"/>
      <c r="AH242" s="135"/>
      <c r="AI242" s="135"/>
      <c r="AJ242" s="135"/>
      <c r="AK242" s="207"/>
      <c r="AL242" s="135"/>
      <c r="AM242" s="135"/>
      <c r="AN242" s="135"/>
    </row>
    <row r="243" spans="1:40" x14ac:dyDescent="0.3"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Y243" s="44"/>
      <c r="Z243" s="44"/>
      <c r="AA243" s="44"/>
      <c r="AB243" s="44"/>
      <c r="AC243" s="44"/>
      <c r="AD243" s="44"/>
      <c r="AE243" s="44"/>
      <c r="AF243" s="44"/>
      <c r="AG243" s="168"/>
      <c r="AH243" s="44"/>
      <c r="AI243" s="44"/>
      <c r="AJ243" s="44"/>
      <c r="AK243" s="168"/>
      <c r="AL243" s="44"/>
      <c r="AM243" s="44"/>
      <c r="AN243" s="44"/>
    </row>
    <row r="244" spans="1:40" x14ac:dyDescent="0.3">
      <c r="C244" s="42"/>
      <c r="D244" s="42"/>
      <c r="E244" s="42"/>
      <c r="T244" s="42"/>
      <c r="U244" s="42"/>
    </row>
    <row r="245" spans="1:40" x14ac:dyDescent="0.3">
      <c r="D245" s="42"/>
      <c r="E245" s="42"/>
      <c r="U245" s="42"/>
    </row>
    <row r="247" spans="1:40" x14ac:dyDescent="0.3">
      <c r="C247" s="42"/>
      <c r="F247" s="123"/>
      <c r="J247" s="209"/>
      <c r="K247" s="209"/>
      <c r="L247" s="123"/>
      <c r="M247" s="123"/>
      <c r="R247" s="123"/>
      <c r="T247" s="42"/>
      <c r="V247" s="123"/>
      <c r="Z247" s="209"/>
      <c r="AA247" s="123"/>
      <c r="AB247" s="123"/>
      <c r="AL247" s="123"/>
    </row>
    <row r="248" spans="1:40" x14ac:dyDescent="0.3">
      <c r="F248" s="123"/>
      <c r="R248" s="123"/>
      <c r="V248" s="123"/>
      <c r="AL248" s="123"/>
    </row>
    <row r="249" spans="1:40" x14ac:dyDescent="0.3">
      <c r="C249" s="42"/>
      <c r="F249" s="184"/>
      <c r="H249" s="184"/>
      <c r="I249" s="184"/>
      <c r="J249" s="193"/>
      <c r="K249" s="193"/>
      <c r="L249" s="123"/>
      <c r="M249" s="123"/>
      <c r="N249" s="160"/>
      <c r="O249" s="160"/>
      <c r="P249" s="123"/>
      <c r="Q249" s="123"/>
      <c r="R249" s="123"/>
      <c r="T249" s="42"/>
      <c r="V249" s="123"/>
      <c r="Y249" s="123"/>
      <c r="Z249" s="193"/>
      <c r="AA249" s="123"/>
      <c r="AB249" s="123"/>
      <c r="AC249" s="160"/>
      <c r="AD249" s="160"/>
      <c r="AE249" s="123"/>
      <c r="AF249" s="123"/>
      <c r="AH249" s="236"/>
      <c r="AI249" s="123"/>
      <c r="AJ249" s="123"/>
      <c r="AL249" s="123"/>
      <c r="AM249" s="160"/>
      <c r="AN249" s="160"/>
    </row>
    <row r="250" spans="1:40" x14ac:dyDescent="0.3">
      <c r="C250" s="42"/>
      <c r="F250" s="184"/>
      <c r="H250" s="222"/>
      <c r="I250" s="222"/>
      <c r="J250" s="193"/>
      <c r="K250" s="193"/>
      <c r="L250" s="123"/>
      <c r="M250" s="123"/>
      <c r="N250" s="160"/>
      <c r="O250" s="160"/>
      <c r="P250" s="123"/>
      <c r="Q250" s="123"/>
      <c r="R250" s="123"/>
      <c r="T250" s="42"/>
      <c r="V250" s="123"/>
      <c r="Y250" s="123"/>
      <c r="Z250" s="193"/>
      <c r="AA250" s="123"/>
      <c r="AB250" s="123"/>
      <c r="AC250" s="160"/>
      <c r="AD250" s="160"/>
      <c r="AE250" s="123"/>
      <c r="AF250" s="123"/>
      <c r="AH250" s="236"/>
      <c r="AI250" s="123"/>
      <c r="AJ250" s="123"/>
      <c r="AL250" s="123"/>
      <c r="AM250" s="160"/>
      <c r="AN250" s="160"/>
    </row>
    <row r="251" spans="1:40" x14ac:dyDescent="0.3">
      <c r="F251" s="210"/>
      <c r="H251" s="123"/>
      <c r="I251" s="123"/>
      <c r="J251" s="213"/>
      <c r="K251" s="213"/>
      <c r="L251" s="210"/>
      <c r="M251" s="210"/>
      <c r="N251" s="210"/>
      <c r="O251" s="210"/>
      <c r="P251" s="210"/>
      <c r="Q251" s="210"/>
      <c r="R251" s="210"/>
      <c r="V251" s="210"/>
      <c r="Y251" s="123"/>
      <c r="Z251" s="213"/>
      <c r="AA251" s="210"/>
      <c r="AB251" s="210"/>
      <c r="AC251" s="210"/>
      <c r="AD251" s="210"/>
      <c r="AE251" s="210"/>
      <c r="AF251" s="210"/>
      <c r="AI251" s="210"/>
      <c r="AJ251" s="210"/>
      <c r="AK251" s="214"/>
      <c r="AL251" s="210"/>
    </row>
    <row r="252" spans="1:40" x14ac:dyDescent="0.3">
      <c r="C252" s="42"/>
      <c r="F252" s="123"/>
      <c r="H252" s="123"/>
      <c r="I252" s="123"/>
      <c r="J252" s="219"/>
      <c r="K252" s="219"/>
      <c r="L252" s="123"/>
      <c r="M252" s="123"/>
      <c r="N252" s="160"/>
      <c r="O252" s="160"/>
      <c r="P252" s="123"/>
      <c r="Q252" s="123"/>
      <c r="R252" s="123"/>
      <c r="T252" s="42"/>
      <c r="V252" s="123"/>
      <c r="Y252" s="123"/>
      <c r="Z252" s="219"/>
      <c r="AA252" s="123"/>
      <c r="AB252" s="123"/>
      <c r="AC252" s="160"/>
      <c r="AD252" s="160"/>
      <c r="AE252" s="123"/>
      <c r="AF252" s="123"/>
      <c r="AH252" s="236"/>
      <c r="AI252" s="123"/>
      <c r="AJ252" s="123"/>
      <c r="AL252" s="123"/>
      <c r="AM252" s="160"/>
      <c r="AN252" s="160"/>
    </row>
    <row r="253" spans="1:40" x14ac:dyDescent="0.3">
      <c r="F253" s="210"/>
      <c r="H253" s="123"/>
      <c r="I253" s="123"/>
      <c r="J253" s="213"/>
      <c r="K253" s="213"/>
      <c r="L253" s="210"/>
      <c r="M253" s="210"/>
      <c r="N253" s="210"/>
      <c r="O253" s="210"/>
      <c r="P253" s="210"/>
      <c r="Q253" s="210"/>
      <c r="R253" s="210"/>
      <c r="V253" s="210"/>
      <c r="Y253" s="123"/>
      <c r="Z253" s="213"/>
      <c r="AA253" s="210"/>
      <c r="AB253" s="210"/>
      <c r="AC253" s="210"/>
      <c r="AD253" s="210"/>
      <c r="AE253" s="210"/>
      <c r="AF253" s="210"/>
      <c r="AI253" s="210"/>
      <c r="AJ253" s="210"/>
      <c r="AK253" s="214"/>
      <c r="AL253" s="210"/>
    </row>
    <row r="254" spans="1:40" x14ac:dyDescent="0.3">
      <c r="F254" s="123"/>
      <c r="R254" s="123"/>
      <c r="V254" s="123"/>
      <c r="AL254" s="123"/>
    </row>
    <row r="255" spans="1:40" x14ac:dyDescent="0.3">
      <c r="C255" s="42"/>
      <c r="F255" s="123"/>
      <c r="R255" s="123"/>
      <c r="T255" s="42"/>
      <c r="V255" s="123"/>
      <c r="AL255" s="123"/>
    </row>
    <row r="256" spans="1:40" x14ac:dyDescent="0.3">
      <c r="F256" s="123"/>
      <c r="R256" s="123"/>
      <c r="V256" s="123"/>
      <c r="AL256" s="123"/>
    </row>
    <row r="257" spans="1:40" x14ac:dyDescent="0.3">
      <c r="C257" s="42"/>
      <c r="F257" s="123"/>
      <c r="H257" s="184"/>
      <c r="I257" s="184"/>
      <c r="J257" s="227"/>
      <c r="K257" s="227"/>
      <c r="L257" s="123"/>
      <c r="M257" s="123"/>
      <c r="N257" s="160"/>
      <c r="O257" s="160"/>
      <c r="P257" s="184"/>
      <c r="Q257" s="184"/>
      <c r="R257" s="123"/>
      <c r="T257" s="42"/>
      <c r="V257" s="123"/>
      <c r="Y257" s="123"/>
      <c r="Z257" s="212"/>
      <c r="AA257" s="123"/>
      <c r="AB257" s="123"/>
      <c r="AC257" s="160"/>
      <c r="AD257" s="160"/>
      <c r="AE257" s="123"/>
      <c r="AF257" s="123"/>
      <c r="AH257" s="236"/>
      <c r="AI257" s="184"/>
      <c r="AJ257" s="184"/>
      <c r="AL257" s="123"/>
      <c r="AM257" s="160"/>
      <c r="AN257" s="160"/>
    </row>
    <row r="258" spans="1:40" x14ac:dyDescent="0.3">
      <c r="F258" s="210"/>
      <c r="H258" s="210"/>
      <c r="I258" s="210"/>
      <c r="J258" s="213"/>
      <c r="K258" s="213"/>
      <c r="L258" s="210"/>
      <c r="M258" s="210"/>
      <c r="N258" s="210"/>
      <c r="O258" s="210"/>
      <c r="P258" s="210"/>
      <c r="Q258" s="210"/>
      <c r="R258" s="210"/>
      <c r="V258" s="210"/>
      <c r="Y258" s="210"/>
      <c r="Z258" s="213"/>
      <c r="AA258" s="210"/>
      <c r="AB258" s="210"/>
      <c r="AC258" s="210"/>
      <c r="AD258" s="210"/>
      <c r="AE258" s="210"/>
      <c r="AF258" s="210"/>
      <c r="AI258" s="210"/>
      <c r="AJ258" s="210"/>
      <c r="AK258" s="214"/>
      <c r="AL258" s="210"/>
    </row>
    <row r="260" spans="1:40" x14ac:dyDescent="0.3">
      <c r="C260" s="42"/>
      <c r="F260" s="123"/>
      <c r="H260" s="123"/>
      <c r="I260" s="123"/>
      <c r="J260" s="209"/>
      <c r="K260" s="209"/>
      <c r="L260" s="123"/>
      <c r="M260" s="123"/>
      <c r="N260" s="160"/>
      <c r="O260" s="160"/>
      <c r="P260" s="123"/>
      <c r="Q260" s="123"/>
      <c r="R260" s="123"/>
      <c r="T260" s="42"/>
      <c r="V260" s="123"/>
      <c r="Y260" s="123"/>
      <c r="Z260" s="209"/>
      <c r="AA260" s="123"/>
      <c r="AB260" s="123"/>
      <c r="AC260" s="160"/>
      <c r="AD260" s="160"/>
      <c r="AE260" s="123"/>
      <c r="AF260" s="123"/>
      <c r="AH260" s="236"/>
      <c r="AI260" s="123"/>
      <c r="AJ260" s="123"/>
      <c r="AL260" s="123"/>
      <c r="AM260" s="160"/>
      <c r="AN260" s="160"/>
    </row>
    <row r="261" spans="1:40" x14ac:dyDescent="0.3">
      <c r="F261" s="210"/>
      <c r="H261" s="210"/>
      <c r="I261" s="210"/>
      <c r="J261" s="213"/>
      <c r="K261" s="213"/>
      <c r="L261" s="210"/>
      <c r="M261" s="210"/>
      <c r="N261" s="210"/>
      <c r="O261" s="210"/>
      <c r="P261" s="210"/>
      <c r="Q261" s="210"/>
      <c r="R261" s="210"/>
      <c r="V261" s="210"/>
      <c r="Y261" s="210"/>
      <c r="Z261" s="213"/>
      <c r="AA261" s="210"/>
      <c r="AB261" s="210"/>
      <c r="AC261" s="210"/>
      <c r="AD261" s="210"/>
      <c r="AE261" s="210"/>
      <c r="AF261" s="210"/>
      <c r="AI261" s="210"/>
      <c r="AJ261" s="210"/>
      <c r="AK261" s="214"/>
      <c r="AL261" s="210"/>
    </row>
    <row r="262" spans="1:40" x14ac:dyDescent="0.3">
      <c r="R262" s="123"/>
      <c r="AH262" s="123"/>
    </row>
    <row r="263" spans="1:40" x14ac:dyDescent="0.3">
      <c r="F263" s="123"/>
      <c r="H263" s="123"/>
      <c r="I263" s="123"/>
      <c r="J263" s="219"/>
      <c r="K263" s="219"/>
      <c r="L263" s="123"/>
      <c r="M263" s="123"/>
      <c r="N263" s="123"/>
      <c r="O263" s="123"/>
      <c r="P263" s="123"/>
      <c r="Q263" s="123"/>
      <c r="R263" s="123"/>
      <c r="V263" s="123"/>
      <c r="Y263" s="123"/>
      <c r="Z263" s="219"/>
      <c r="AA263" s="123"/>
      <c r="AB263" s="123"/>
      <c r="AC263" s="123"/>
      <c r="AD263" s="123"/>
      <c r="AE263" s="123"/>
      <c r="AF263" s="123"/>
      <c r="AH263" s="123"/>
    </row>
    <row r="264" spans="1:40" x14ac:dyDescent="0.3">
      <c r="C264" s="42"/>
      <c r="F264" s="123"/>
      <c r="H264" s="123"/>
      <c r="I264" s="123"/>
      <c r="J264" s="219"/>
      <c r="K264" s="219"/>
      <c r="L264" s="123"/>
      <c r="M264" s="123"/>
      <c r="N264" s="123"/>
      <c r="O264" s="123"/>
      <c r="P264" s="123"/>
      <c r="Q264" s="123"/>
      <c r="R264" s="123"/>
      <c r="T264" s="42"/>
      <c r="V264" s="123"/>
      <c r="Y264" s="123"/>
      <c r="Z264" s="219"/>
      <c r="AA264" s="123"/>
      <c r="AB264" s="123"/>
      <c r="AC264" s="123"/>
      <c r="AD264" s="123"/>
      <c r="AE264" s="123"/>
      <c r="AF264" s="123"/>
      <c r="AH264" s="123"/>
    </row>
    <row r="265" spans="1:40" x14ac:dyDescent="0.3">
      <c r="A265" s="42"/>
    </row>
    <row r="268" spans="1:40" x14ac:dyDescent="0.3">
      <c r="H268" s="42"/>
      <c r="I268" s="42"/>
      <c r="Y268" s="42"/>
    </row>
    <row r="270" spans="1:40" x14ac:dyDescent="0.3">
      <c r="L270" s="42"/>
      <c r="M270" s="42"/>
      <c r="AA270" s="42"/>
      <c r="AB270" s="42"/>
    </row>
    <row r="271" spans="1:40" x14ac:dyDescent="0.3">
      <c r="R271" s="42"/>
      <c r="AK271" s="206"/>
      <c r="AL271" s="42"/>
    </row>
    <row r="272" spans="1:40" x14ac:dyDescent="0.3">
      <c r="R272" s="42"/>
      <c r="AK272" s="206"/>
      <c r="AL272" s="42"/>
    </row>
    <row r="273" spans="1:40" x14ac:dyDescent="0.3">
      <c r="A273" s="42"/>
      <c r="R273" s="42"/>
      <c r="AK273" s="206"/>
      <c r="AL273" s="42"/>
    </row>
    <row r="274" spans="1:40" x14ac:dyDescent="0.3">
      <c r="L274" s="42"/>
      <c r="M274" s="42"/>
      <c r="AA274" s="42"/>
      <c r="AB274" s="42"/>
    </row>
    <row r="275" spans="1:40" x14ac:dyDescent="0.3">
      <c r="A275" s="135"/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207"/>
      <c r="AH275" s="135"/>
      <c r="AI275" s="135"/>
      <c r="AJ275" s="135"/>
      <c r="AK275" s="207"/>
      <c r="AL275" s="135"/>
      <c r="AM275" s="135"/>
      <c r="AN275" s="135"/>
    </row>
    <row r="276" spans="1:40" x14ac:dyDescent="0.3">
      <c r="L276" s="44"/>
      <c r="M276" s="44"/>
      <c r="N276" s="44"/>
      <c r="O276" s="44"/>
      <c r="R276" s="44"/>
      <c r="AA276" s="44"/>
      <c r="AB276" s="44"/>
      <c r="AC276" s="44"/>
      <c r="AD276" s="44"/>
      <c r="AE276" s="44"/>
      <c r="AF276" s="44"/>
      <c r="AG276" s="168"/>
      <c r="AH276" s="44"/>
      <c r="AK276" s="168"/>
      <c r="AL276" s="44"/>
      <c r="AM276" s="44"/>
      <c r="AN276" s="44"/>
    </row>
    <row r="277" spans="1:40" x14ac:dyDescent="0.3">
      <c r="L277" s="44"/>
      <c r="M277" s="44"/>
      <c r="N277" s="44"/>
      <c r="O277" s="44"/>
      <c r="R277" s="44"/>
      <c r="Z277" s="44"/>
      <c r="AA277" s="44"/>
      <c r="AB277" s="44"/>
      <c r="AC277" s="44"/>
      <c r="AD277" s="44"/>
      <c r="AE277" s="44"/>
      <c r="AF277" s="44"/>
      <c r="AG277" s="168"/>
      <c r="AH277" s="44"/>
      <c r="AK277" s="168"/>
      <c r="AL277" s="44"/>
      <c r="AM277" s="44"/>
      <c r="AN277" s="44"/>
    </row>
    <row r="278" spans="1:40" x14ac:dyDescent="0.3">
      <c r="A278" s="44"/>
      <c r="C278" s="44"/>
      <c r="D278" s="44"/>
      <c r="E278" s="44"/>
      <c r="F278" s="44"/>
      <c r="J278" s="44"/>
      <c r="K278" s="44"/>
      <c r="L278" s="44"/>
      <c r="M278" s="44"/>
      <c r="N278" s="44"/>
      <c r="O278" s="44"/>
      <c r="P278" s="44"/>
      <c r="Q278" s="44"/>
      <c r="R278" s="44"/>
      <c r="T278" s="44"/>
      <c r="U278" s="44"/>
      <c r="V278" s="44"/>
      <c r="Z278" s="44"/>
      <c r="AA278" s="44"/>
      <c r="AB278" s="44"/>
      <c r="AC278" s="44"/>
      <c r="AD278" s="44"/>
      <c r="AE278" s="44"/>
      <c r="AF278" s="44"/>
      <c r="AG278" s="168"/>
      <c r="AH278" s="44"/>
      <c r="AI278" s="44"/>
      <c r="AJ278" s="44"/>
      <c r="AK278" s="168"/>
      <c r="AL278" s="44"/>
      <c r="AM278" s="44"/>
      <c r="AN278" s="44"/>
    </row>
    <row r="279" spans="1:40" x14ac:dyDescent="0.3">
      <c r="A279" s="44"/>
      <c r="C279" s="44"/>
      <c r="D279" s="44"/>
      <c r="E279" s="44"/>
      <c r="F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T279" s="44"/>
      <c r="U279" s="44"/>
      <c r="V279" s="44"/>
      <c r="Y279" s="44"/>
      <c r="Z279" s="44"/>
      <c r="AA279" s="44"/>
      <c r="AB279" s="44"/>
      <c r="AC279" s="44"/>
      <c r="AD279" s="44"/>
      <c r="AE279" s="44"/>
      <c r="AF279" s="44"/>
      <c r="AG279" s="168"/>
      <c r="AH279" s="44"/>
      <c r="AI279" s="44"/>
      <c r="AJ279" s="44"/>
      <c r="AK279" s="168"/>
      <c r="AL279" s="44"/>
      <c r="AM279" s="44"/>
      <c r="AN279" s="44"/>
    </row>
    <row r="280" spans="1:40" x14ac:dyDescent="0.3">
      <c r="C280" s="44"/>
      <c r="D280" s="44"/>
      <c r="E280" s="44"/>
      <c r="F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T280" s="44"/>
      <c r="U280" s="44"/>
      <c r="V280" s="44"/>
      <c r="Y280" s="44"/>
      <c r="Z280" s="44"/>
      <c r="AA280" s="44"/>
      <c r="AB280" s="44"/>
      <c r="AC280" s="44"/>
      <c r="AD280" s="44"/>
      <c r="AE280" s="44"/>
      <c r="AF280" s="44"/>
      <c r="AG280" s="168"/>
      <c r="AH280" s="44"/>
      <c r="AI280" s="44"/>
      <c r="AJ280" s="44"/>
      <c r="AK280" s="168"/>
      <c r="AL280" s="44"/>
      <c r="AM280" s="44"/>
      <c r="AN280" s="44"/>
    </row>
    <row r="281" spans="1:40" x14ac:dyDescent="0.3">
      <c r="A281" s="135"/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207"/>
      <c r="AH281" s="135"/>
      <c r="AI281" s="135"/>
      <c r="AJ281" s="135"/>
      <c r="AK281" s="207"/>
      <c r="AL281" s="135"/>
      <c r="AM281" s="135"/>
      <c r="AN281" s="135"/>
    </row>
    <row r="282" spans="1:40" x14ac:dyDescent="0.3"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Y282" s="44"/>
      <c r="Z282" s="44"/>
      <c r="AA282" s="44"/>
      <c r="AB282" s="44"/>
      <c r="AC282" s="44"/>
      <c r="AD282" s="44"/>
      <c r="AE282" s="44"/>
      <c r="AF282" s="44"/>
      <c r="AG282" s="168"/>
      <c r="AH282" s="44"/>
      <c r="AI282" s="44"/>
      <c r="AJ282" s="44"/>
      <c r="AK282" s="168"/>
      <c r="AL282" s="44"/>
      <c r="AM282" s="44"/>
      <c r="AN282" s="44"/>
    </row>
    <row r="283" spans="1:40" x14ac:dyDescent="0.3">
      <c r="C283" s="42"/>
      <c r="D283" s="42"/>
      <c r="E283" s="42"/>
      <c r="T283" s="42"/>
      <c r="U283" s="42"/>
    </row>
    <row r="284" spans="1:40" x14ac:dyDescent="0.3">
      <c r="C284" s="42"/>
      <c r="T284" s="42"/>
    </row>
    <row r="286" spans="1:40" x14ac:dyDescent="0.3">
      <c r="C286" s="42"/>
      <c r="F286" s="184"/>
      <c r="H286" s="184"/>
      <c r="I286" s="184"/>
      <c r="J286" s="193"/>
      <c r="K286" s="193"/>
      <c r="L286" s="123"/>
      <c r="M286" s="123"/>
      <c r="N286" s="160"/>
      <c r="O286" s="160"/>
      <c r="R286" s="123"/>
      <c r="T286" s="42"/>
      <c r="V286" s="123"/>
      <c r="Y286" s="184"/>
      <c r="Z286" s="193"/>
      <c r="AA286" s="123"/>
      <c r="AB286" s="123"/>
      <c r="AC286" s="160"/>
      <c r="AD286" s="160"/>
      <c r="AE286" s="123"/>
      <c r="AF286" s="123"/>
      <c r="AH286" s="236"/>
      <c r="AL286" s="123"/>
      <c r="AM286" s="160"/>
      <c r="AN286" s="160"/>
    </row>
    <row r="287" spans="1:40" x14ac:dyDescent="0.3">
      <c r="F287" s="210"/>
      <c r="H287" s="123"/>
      <c r="I287" s="123"/>
      <c r="J287" s="213"/>
      <c r="K287" s="213"/>
      <c r="L287" s="210"/>
      <c r="M287" s="210"/>
      <c r="N287" s="210"/>
      <c r="O287" s="210"/>
      <c r="P287" s="210"/>
      <c r="Q287" s="210"/>
      <c r="R287" s="210"/>
      <c r="V287" s="210"/>
      <c r="Y287" s="123"/>
      <c r="Z287" s="213"/>
      <c r="AA287" s="210"/>
      <c r="AB287" s="210"/>
      <c r="AC287" s="210"/>
      <c r="AD287" s="210"/>
      <c r="AE287" s="210"/>
      <c r="AF287" s="210"/>
      <c r="AI287" s="210"/>
      <c r="AJ287" s="210"/>
      <c r="AK287" s="214"/>
      <c r="AL287" s="210"/>
      <c r="AM287" s="160"/>
      <c r="AN287" s="160"/>
    </row>
    <row r="288" spans="1:40" x14ac:dyDescent="0.3">
      <c r="C288" s="42"/>
      <c r="F288" s="184"/>
      <c r="H288" s="184"/>
      <c r="I288" s="184"/>
      <c r="J288" s="237"/>
      <c r="K288" s="237"/>
      <c r="L288" s="123"/>
      <c r="M288" s="123"/>
      <c r="N288" s="160"/>
      <c r="O288" s="160"/>
      <c r="P288" s="123"/>
      <c r="Q288" s="123"/>
      <c r="R288" s="123"/>
      <c r="S288" s="123"/>
      <c r="T288" s="42"/>
      <c r="V288" s="184"/>
      <c r="Y288" s="184"/>
      <c r="Z288" s="237"/>
      <c r="AA288" s="123"/>
      <c r="AB288" s="123"/>
      <c r="AC288" s="160"/>
      <c r="AD288" s="160"/>
      <c r="AE288" s="123"/>
      <c r="AF288" s="123"/>
      <c r="AH288" s="160"/>
      <c r="AI288" s="123"/>
      <c r="AJ288" s="123"/>
      <c r="AL288" s="123"/>
      <c r="AM288" s="160"/>
      <c r="AN288" s="160"/>
    </row>
    <row r="289" spans="3:40" x14ac:dyDescent="0.3">
      <c r="C289" s="42"/>
      <c r="F289" s="184"/>
      <c r="H289" s="184"/>
      <c r="I289" s="184"/>
      <c r="J289" s="193"/>
      <c r="K289" s="193"/>
      <c r="L289" s="123"/>
      <c r="M289" s="123"/>
      <c r="N289" s="160"/>
      <c r="O289" s="160"/>
      <c r="P289" s="123"/>
      <c r="Q289" s="123"/>
      <c r="R289" s="123"/>
      <c r="T289" s="42"/>
      <c r="V289" s="184"/>
      <c r="Y289" s="123"/>
      <c r="Z289" s="193"/>
      <c r="AA289" s="123"/>
      <c r="AB289" s="123"/>
      <c r="AC289" s="160"/>
      <c r="AD289" s="160"/>
      <c r="AE289" s="123"/>
      <c r="AF289" s="123"/>
      <c r="AH289" s="236"/>
      <c r="AI289" s="123"/>
      <c r="AJ289" s="123"/>
      <c r="AL289" s="123"/>
      <c r="AM289" s="160"/>
      <c r="AN289" s="160"/>
    </row>
    <row r="290" spans="3:40" x14ac:dyDescent="0.3">
      <c r="C290" s="42"/>
      <c r="F290" s="184"/>
      <c r="H290" s="184"/>
      <c r="I290" s="184"/>
      <c r="J290" s="193"/>
      <c r="K290" s="193"/>
      <c r="L290" s="123"/>
      <c r="M290" s="123"/>
      <c r="N290" s="160"/>
      <c r="O290" s="160"/>
      <c r="P290" s="123"/>
      <c r="Q290" s="123"/>
      <c r="R290" s="123"/>
      <c r="T290" s="42"/>
      <c r="V290" s="184"/>
      <c r="Y290" s="123"/>
      <c r="Z290" s="193"/>
      <c r="AA290" s="123"/>
      <c r="AB290" s="123"/>
      <c r="AC290" s="160"/>
      <c r="AD290" s="160"/>
      <c r="AE290" s="123"/>
      <c r="AF290" s="123"/>
      <c r="AH290" s="236"/>
      <c r="AI290" s="123"/>
      <c r="AJ290" s="123"/>
      <c r="AL290" s="123"/>
      <c r="AM290" s="160"/>
      <c r="AN290" s="160"/>
    </row>
    <row r="291" spans="3:40" x14ac:dyDescent="0.3">
      <c r="F291" s="210"/>
      <c r="H291" s="210"/>
      <c r="I291" s="210"/>
      <c r="J291" s="213"/>
      <c r="K291" s="213"/>
      <c r="L291" s="210"/>
      <c r="M291" s="210"/>
      <c r="N291" s="210"/>
      <c r="O291" s="210"/>
      <c r="P291" s="210"/>
      <c r="Q291" s="210"/>
      <c r="R291" s="210"/>
      <c r="V291" s="210"/>
      <c r="Y291" s="210"/>
      <c r="Z291" s="213"/>
      <c r="AA291" s="210"/>
      <c r="AB291" s="210"/>
      <c r="AC291" s="210"/>
      <c r="AD291" s="210"/>
      <c r="AE291" s="210"/>
      <c r="AF291" s="210"/>
      <c r="AI291" s="210"/>
      <c r="AJ291" s="210"/>
      <c r="AK291" s="214"/>
      <c r="AL291" s="210"/>
      <c r="AM291" s="160"/>
      <c r="AN291" s="160"/>
    </row>
    <row r="292" spans="3:40" x14ac:dyDescent="0.3">
      <c r="C292" s="42"/>
      <c r="F292" s="123"/>
      <c r="H292" s="123"/>
      <c r="I292" s="123"/>
      <c r="J292" s="219"/>
      <c r="K292" s="219"/>
      <c r="L292" s="123"/>
      <c r="M292" s="123"/>
      <c r="N292" s="160"/>
      <c r="O292" s="160"/>
      <c r="P292" s="123"/>
      <c r="Q292" s="123"/>
      <c r="R292" s="123"/>
      <c r="T292" s="42"/>
      <c r="V292" s="123"/>
      <c r="Y292" s="123"/>
      <c r="Z292" s="219"/>
      <c r="AA292" s="123"/>
      <c r="AB292" s="123"/>
      <c r="AC292" s="160"/>
      <c r="AD292" s="160"/>
      <c r="AE292" s="123"/>
      <c r="AF292" s="123"/>
      <c r="AH292" s="236"/>
      <c r="AI292" s="123"/>
      <c r="AJ292" s="123"/>
      <c r="AL292" s="123"/>
      <c r="AM292" s="160"/>
      <c r="AN292" s="160"/>
    </row>
    <row r="293" spans="3:40" x14ac:dyDescent="0.3">
      <c r="F293" s="210"/>
      <c r="H293" s="210"/>
      <c r="I293" s="210"/>
      <c r="J293" s="213"/>
      <c r="K293" s="213"/>
      <c r="L293" s="210"/>
      <c r="M293" s="210"/>
      <c r="N293" s="210"/>
      <c r="O293" s="210"/>
      <c r="P293" s="210"/>
      <c r="Q293" s="210"/>
      <c r="R293" s="210"/>
      <c r="V293" s="210"/>
      <c r="Y293" s="210"/>
      <c r="Z293" s="213"/>
      <c r="AA293" s="210"/>
      <c r="AB293" s="210"/>
      <c r="AC293" s="210"/>
      <c r="AD293" s="210"/>
      <c r="AE293" s="210"/>
      <c r="AF293" s="210"/>
      <c r="AI293" s="210"/>
      <c r="AJ293" s="210"/>
      <c r="AK293" s="214"/>
      <c r="AL293" s="210"/>
      <c r="AM293" s="160"/>
      <c r="AN293" s="160"/>
    </row>
    <row r="294" spans="3:40" x14ac:dyDescent="0.3">
      <c r="C294" s="42"/>
      <c r="F294" s="123"/>
      <c r="H294" s="123"/>
      <c r="I294" s="123"/>
      <c r="J294" s="219"/>
      <c r="K294" s="219"/>
      <c r="L294" s="123"/>
      <c r="M294" s="123"/>
      <c r="N294" s="160"/>
      <c r="O294" s="160"/>
      <c r="P294" s="123"/>
      <c r="Q294" s="123"/>
      <c r="R294" s="123"/>
      <c r="T294" s="42"/>
      <c r="V294" s="123"/>
      <c r="Y294" s="123"/>
      <c r="Z294" s="219"/>
      <c r="AA294" s="123"/>
      <c r="AB294" s="123"/>
      <c r="AC294" s="160"/>
      <c r="AD294" s="160"/>
      <c r="AE294" s="123"/>
      <c r="AF294" s="123"/>
      <c r="AH294" s="236"/>
      <c r="AI294" s="123"/>
      <c r="AJ294" s="123"/>
      <c r="AL294" s="123"/>
      <c r="AM294" s="160"/>
      <c r="AN294" s="160"/>
    </row>
    <row r="295" spans="3:40" x14ac:dyDescent="0.3">
      <c r="C295" s="42"/>
      <c r="F295" s="123"/>
      <c r="H295" s="184"/>
      <c r="I295" s="184"/>
      <c r="J295" s="227"/>
      <c r="K295" s="227"/>
      <c r="L295" s="123"/>
      <c r="M295" s="123"/>
      <c r="N295" s="160"/>
      <c r="O295" s="160"/>
      <c r="P295" s="123"/>
      <c r="Q295" s="123"/>
      <c r="R295" s="123"/>
      <c r="T295" s="42"/>
      <c r="V295" s="123"/>
      <c r="Y295" s="123"/>
      <c r="Z295" s="212"/>
      <c r="AA295" s="123"/>
      <c r="AB295" s="123"/>
      <c r="AC295" s="160"/>
      <c r="AD295" s="160"/>
      <c r="AE295" s="123"/>
      <c r="AF295" s="123"/>
      <c r="AH295" s="236"/>
      <c r="AI295" s="123"/>
      <c r="AJ295" s="123"/>
      <c r="AL295" s="123"/>
      <c r="AM295" s="160"/>
      <c r="AN295" s="160"/>
    </row>
    <row r="296" spans="3:40" x14ac:dyDescent="0.3">
      <c r="F296" s="210"/>
      <c r="H296" s="210"/>
      <c r="I296" s="210"/>
      <c r="J296" s="213"/>
      <c r="K296" s="213"/>
      <c r="L296" s="210"/>
      <c r="M296" s="210"/>
      <c r="N296" s="210"/>
      <c r="O296" s="210"/>
      <c r="P296" s="210"/>
      <c r="Q296" s="210"/>
      <c r="R296" s="210"/>
      <c r="V296" s="210"/>
      <c r="Y296" s="210"/>
      <c r="Z296" s="213"/>
      <c r="AA296" s="210"/>
      <c r="AB296" s="210"/>
      <c r="AC296" s="210"/>
      <c r="AD296" s="210"/>
      <c r="AE296" s="210"/>
      <c r="AF296" s="210"/>
      <c r="AI296" s="210"/>
      <c r="AJ296" s="210"/>
      <c r="AK296" s="214"/>
      <c r="AL296" s="210"/>
      <c r="AM296" s="160"/>
      <c r="AN296" s="160"/>
    </row>
    <row r="298" spans="3:40" x14ac:dyDescent="0.3">
      <c r="C298" s="42"/>
      <c r="F298" s="123"/>
      <c r="H298" s="123"/>
      <c r="I298" s="123"/>
      <c r="J298" s="213"/>
      <c r="K298" s="213"/>
      <c r="L298" s="123"/>
      <c r="M298" s="123"/>
      <c r="N298" s="160"/>
      <c r="O298" s="160"/>
      <c r="P298" s="123"/>
      <c r="Q298" s="123"/>
      <c r="R298" s="123"/>
      <c r="S298" s="123"/>
      <c r="T298" s="42"/>
      <c r="V298" s="123"/>
      <c r="Y298" s="123"/>
      <c r="Z298" s="213"/>
      <c r="AA298" s="123"/>
      <c r="AB298" s="123"/>
      <c r="AC298" s="160"/>
      <c r="AD298" s="160"/>
      <c r="AE298" s="123"/>
      <c r="AF298" s="123"/>
      <c r="AH298" s="160"/>
      <c r="AI298" s="123"/>
      <c r="AJ298" s="123"/>
      <c r="AL298" s="123"/>
      <c r="AM298" s="160"/>
      <c r="AN298" s="160"/>
    </row>
    <row r="299" spans="3:40" x14ac:dyDescent="0.3">
      <c r="F299" s="210"/>
      <c r="H299" s="210"/>
      <c r="I299" s="210"/>
      <c r="J299" s="213"/>
      <c r="K299" s="213"/>
      <c r="L299" s="210"/>
      <c r="M299" s="210"/>
      <c r="N299" s="210"/>
      <c r="O299" s="210"/>
      <c r="P299" s="210"/>
      <c r="Q299" s="210"/>
      <c r="R299" s="210"/>
      <c r="S299" s="123"/>
      <c r="V299" s="210"/>
      <c r="Y299" s="210"/>
      <c r="Z299" s="213"/>
      <c r="AA299" s="210"/>
      <c r="AB299" s="210"/>
      <c r="AC299" s="210"/>
      <c r="AD299" s="210"/>
      <c r="AE299" s="210"/>
      <c r="AF299" s="210"/>
      <c r="AI299" s="210"/>
      <c r="AJ299" s="210"/>
      <c r="AK299" s="214"/>
      <c r="AL299" s="210"/>
      <c r="AM299" s="160"/>
      <c r="AN299" s="160"/>
    </row>
    <row r="300" spans="3:40" x14ac:dyDescent="0.3">
      <c r="C300" s="42"/>
      <c r="F300" s="184"/>
      <c r="H300" s="184"/>
      <c r="I300" s="184"/>
      <c r="J300" s="213"/>
      <c r="K300" s="213"/>
      <c r="L300" s="123"/>
      <c r="M300" s="123"/>
      <c r="N300" s="160"/>
      <c r="O300" s="160"/>
      <c r="P300" s="123"/>
      <c r="Q300" s="123"/>
      <c r="R300" s="123"/>
      <c r="S300" s="123"/>
      <c r="T300" s="42"/>
      <c r="V300" s="184"/>
      <c r="Y300" s="184"/>
      <c r="Z300" s="213"/>
      <c r="AA300" s="123"/>
      <c r="AB300" s="123"/>
      <c r="AC300" s="160"/>
      <c r="AD300" s="160"/>
      <c r="AE300" s="123"/>
      <c r="AF300" s="123"/>
      <c r="AI300" s="123"/>
      <c r="AJ300" s="123"/>
      <c r="AL300" s="123"/>
      <c r="AM300" s="160"/>
      <c r="AN300" s="160"/>
    </row>
    <row r="302" spans="3:40" x14ac:dyDescent="0.3">
      <c r="C302" s="42"/>
      <c r="F302" s="184"/>
      <c r="H302" s="184"/>
      <c r="I302" s="184"/>
      <c r="J302" s="193"/>
      <c r="K302" s="193"/>
      <c r="L302" s="123"/>
      <c r="M302" s="123"/>
      <c r="N302" s="160"/>
      <c r="O302" s="160"/>
      <c r="R302" s="123"/>
      <c r="T302" s="42"/>
      <c r="V302" s="123"/>
      <c r="Y302" s="184"/>
      <c r="Z302" s="193"/>
      <c r="AA302" s="123"/>
      <c r="AB302" s="123"/>
      <c r="AC302" s="160"/>
      <c r="AD302" s="160"/>
      <c r="AE302" s="123"/>
      <c r="AF302" s="123"/>
      <c r="AH302" s="236"/>
      <c r="AL302" s="123"/>
      <c r="AM302" s="160"/>
      <c r="AN302" s="160"/>
    </row>
    <row r="303" spans="3:40" x14ac:dyDescent="0.3">
      <c r="F303" s="210"/>
      <c r="H303" s="123"/>
      <c r="I303" s="123"/>
      <c r="J303" s="213"/>
      <c r="K303" s="213"/>
      <c r="L303" s="210"/>
      <c r="M303" s="210"/>
      <c r="N303" s="210"/>
      <c r="O303" s="210"/>
      <c r="P303" s="210"/>
      <c r="Q303" s="210"/>
      <c r="R303" s="210"/>
      <c r="V303" s="210"/>
      <c r="Y303" s="123"/>
      <c r="Z303" s="213"/>
      <c r="AA303" s="210"/>
      <c r="AB303" s="210"/>
      <c r="AC303" s="210"/>
      <c r="AD303" s="210"/>
      <c r="AE303" s="210"/>
      <c r="AF303" s="210"/>
      <c r="AI303" s="210"/>
      <c r="AJ303" s="210"/>
      <c r="AK303" s="214"/>
      <c r="AL303" s="210"/>
      <c r="AM303" s="160"/>
      <c r="AN303" s="160"/>
    </row>
    <row r="304" spans="3:40" x14ac:dyDescent="0.3">
      <c r="C304" s="42"/>
      <c r="F304" s="184"/>
      <c r="H304" s="184"/>
      <c r="I304" s="184"/>
      <c r="J304" s="237"/>
      <c r="K304" s="237"/>
      <c r="L304" s="123"/>
      <c r="M304" s="123"/>
      <c r="N304" s="160"/>
      <c r="O304" s="160"/>
      <c r="P304" s="123"/>
      <c r="Q304" s="123"/>
      <c r="R304" s="123"/>
      <c r="S304" s="123"/>
      <c r="T304" s="42"/>
      <c r="V304" s="184"/>
      <c r="Y304" s="184"/>
      <c r="Z304" s="237"/>
      <c r="AA304" s="123"/>
      <c r="AB304" s="123"/>
      <c r="AC304" s="160"/>
      <c r="AD304" s="160"/>
      <c r="AE304" s="123"/>
      <c r="AF304" s="123"/>
      <c r="AH304" s="160"/>
      <c r="AI304" s="123"/>
      <c r="AJ304" s="123"/>
      <c r="AL304" s="123"/>
      <c r="AM304" s="160"/>
      <c r="AN304" s="160"/>
    </row>
    <row r="305" spans="3:40" x14ac:dyDescent="0.3">
      <c r="C305" s="42"/>
      <c r="F305" s="184"/>
      <c r="H305" s="184"/>
      <c r="I305" s="184"/>
      <c r="J305" s="193"/>
      <c r="K305" s="193"/>
      <c r="L305" s="123"/>
      <c r="M305" s="123"/>
      <c r="N305" s="160"/>
      <c r="O305" s="160"/>
      <c r="P305" s="123"/>
      <c r="Q305" s="123"/>
      <c r="R305" s="123"/>
      <c r="T305" s="42"/>
      <c r="V305" s="184"/>
      <c r="Y305" s="123"/>
      <c r="Z305" s="193"/>
      <c r="AA305" s="123"/>
      <c r="AB305" s="123"/>
      <c r="AC305" s="160"/>
      <c r="AD305" s="160"/>
      <c r="AE305" s="123"/>
      <c r="AF305" s="123"/>
      <c r="AH305" s="236"/>
      <c r="AI305" s="123"/>
      <c r="AJ305" s="123"/>
      <c r="AL305" s="123"/>
      <c r="AM305" s="160"/>
      <c r="AN305" s="160"/>
    </row>
    <row r="306" spans="3:40" x14ac:dyDescent="0.3">
      <c r="C306" s="42"/>
      <c r="F306" s="184"/>
      <c r="H306" s="184"/>
      <c r="I306" s="184"/>
      <c r="J306" s="193"/>
      <c r="K306" s="193"/>
      <c r="L306" s="123"/>
      <c r="M306" s="123"/>
      <c r="N306" s="160"/>
      <c r="O306" s="160"/>
      <c r="P306" s="123"/>
      <c r="Q306" s="123"/>
      <c r="R306" s="123"/>
      <c r="T306" s="42"/>
      <c r="V306" s="184"/>
      <c r="Y306" s="123"/>
      <c r="Z306" s="193"/>
      <c r="AA306" s="123"/>
      <c r="AB306" s="123"/>
      <c r="AC306" s="160"/>
      <c r="AD306" s="160"/>
      <c r="AE306" s="123"/>
      <c r="AF306" s="123"/>
      <c r="AH306" s="236"/>
      <c r="AI306" s="123"/>
      <c r="AJ306" s="123"/>
      <c r="AL306" s="123"/>
      <c r="AM306" s="160"/>
      <c r="AN306" s="160"/>
    </row>
    <row r="307" spans="3:40" x14ac:dyDescent="0.3">
      <c r="F307" s="210"/>
      <c r="H307" s="210"/>
      <c r="I307" s="210"/>
      <c r="J307" s="213"/>
      <c r="K307" s="213"/>
      <c r="L307" s="210"/>
      <c r="M307" s="210"/>
      <c r="N307" s="210"/>
      <c r="O307" s="210"/>
      <c r="P307" s="210"/>
      <c r="Q307" s="210"/>
      <c r="R307" s="210"/>
      <c r="V307" s="210"/>
      <c r="Y307" s="210"/>
      <c r="Z307" s="213"/>
      <c r="AA307" s="210"/>
      <c r="AB307" s="210"/>
      <c r="AC307" s="210"/>
      <c r="AD307" s="210"/>
      <c r="AE307" s="210"/>
      <c r="AF307" s="210"/>
      <c r="AI307" s="210"/>
      <c r="AJ307" s="210"/>
      <c r="AK307" s="214"/>
      <c r="AL307" s="210"/>
      <c r="AM307" s="160"/>
      <c r="AN307" s="160"/>
    </row>
    <row r="308" spans="3:40" x14ac:dyDescent="0.3">
      <c r="C308" s="42"/>
      <c r="F308" s="123"/>
      <c r="H308" s="123"/>
      <c r="I308" s="123"/>
      <c r="J308" s="219"/>
      <c r="K308" s="219"/>
      <c r="L308" s="123"/>
      <c r="M308" s="123"/>
      <c r="N308" s="160"/>
      <c r="O308" s="160"/>
      <c r="P308" s="123"/>
      <c r="Q308" s="123"/>
      <c r="R308" s="123"/>
      <c r="T308" s="42"/>
      <c r="V308" s="123"/>
      <c r="Y308" s="123"/>
      <c r="Z308" s="219"/>
      <c r="AA308" s="123"/>
      <c r="AB308" s="123"/>
      <c r="AC308" s="160"/>
      <c r="AD308" s="160"/>
      <c r="AE308" s="123"/>
      <c r="AF308" s="123"/>
      <c r="AH308" s="236"/>
      <c r="AI308" s="123"/>
      <c r="AJ308" s="123"/>
      <c r="AL308" s="123"/>
      <c r="AM308" s="160"/>
      <c r="AN308" s="160"/>
    </row>
    <row r="309" spans="3:40" x14ac:dyDescent="0.3">
      <c r="F309" s="210"/>
      <c r="H309" s="210"/>
      <c r="I309" s="210"/>
      <c r="J309" s="213"/>
      <c r="K309" s="213"/>
      <c r="L309" s="210"/>
      <c r="M309" s="210"/>
      <c r="N309" s="210"/>
      <c r="O309" s="210"/>
      <c r="P309" s="210"/>
      <c r="Q309" s="210"/>
      <c r="R309" s="210"/>
      <c r="V309" s="210"/>
      <c r="Y309" s="210"/>
      <c r="Z309" s="213"/>
      <c r="AA309" s="210"/>
      <c r="AB309" s="210"/>
      <c r="AC309" s="210"/>
      <c r="AD309" s="210"/>
      <c r="AE309" s="210"/>
      <c r="AF309" s="210"/>
      <c r="AI309" s="210"/>
      <c r="AJ309" s="210"/>
      <c r="AK309" s="214"/>
      <c r="AL309" s="210"/>
      <c r="AM309" s="160"/>
      <c r="AN309" s="160"/>
    </row>
    <row r="310" spans="3:40" x14ac:dyDescent="0.3">
      <c r="C310" s="42"/>
      <c r="F310" s="123"/>
      <c r="H310" s="123"/>
      <c r="I310" s="123"/>
      <c r="J310" s="219"/>
      <c r="K310" s="219"/>
      <c r="L310" s="123"/>
      <c r="M310" s="123"/>
      <c r="N310" s="160"/>
      <c r="O310" s="160"/>
      <c r="P310" s="123"/>
      <c r="Q310" s="123"/>
      <c r="R310" s="123"/>
      <c r="T310" s="42"/>
      <c r="V310" s="123"/>
      <c r="Y310" s="123"/>
      <c r="Z310" s="219"/>
      <c r="AA310" s="123"/>
      <c r="AB310" s="123"/>
      <c r="AC310" s="160"/>
      <c r="AD310" s="160"/>
      <c r="AE310" s="123"/>
      <c r="AF310" s="123"/>
      <c r="AH310" s="236"/>
      <c r="AI310" s="123"/>
      <c r="AJ310" s="123"/>
      <c r="AL310" s="123"/>
      <c r="AM310" s="160"/>
      <c r="AN310" s="160"/>
    </row>
    <row r="311" spans="3:40" x14ac:dyDescent="0.3">
      <c r="C311" s="42"/>
      <c r="F311" s="123"/>
      <c r="H311" s="184"/>
      <c r="I311" s="184"/>
      <c r="J311" s="227"/>
      <c r="K311" s="227"/>
      <c r="L311" s="123"/>
      <c r="M311" s="123"/>
      <c r="N311" s="160"/>
      <c r="O311" s="160"/>
      <c r="P311" s="123"/>
      <c r="Q311" s="123"/>
      <c r="R311" s="123"/>
      <c r="T311" s="42"/>
      <c r="V311" s="123"/>
      <c r="Y311" s="123"/>
      <c r="Z311" s="212"/>
      <c r="AA311" s="123"/>
      <c r="AB311" s="123"/>
      <c r="AC311" s="160"/>
      <c r="AD311" s="160"/>
      <c r="AE311" s="123"/>
      <c r="AF311" s="123"/>
      <c r="AH311" s="236"/>
      <c r="AI311" s="123"/>
      <c r="AJ311" s="123"/>
      <c r="AL311" s="123"/>
      <c r="AM311" s="160"/>
      <c r="AN311" s="160"/>
    </row>
    <row r="312" spans="3:40" x14ac:dyDescent="0.3">
      <c r="F312" s="210"/>
      <c r="H312" s="210"/>
      <c r="I312" s="210"/>
      <c r="J312" s="213"/>
      <c r="K312" s="213"/>
      <c r="L312" s="210"/>
      <c r="M312" s="210"/>
      <c r="N312" s="210"/>
      <c r="O312" s="210"/>
      <c r="P312" s="210"/>
      <c r="Q312" s="210"/>
      <c r="R312" s="210"/>
      <c r="V312" s="210"/>
      <c r="Y312" s="210"/>
      <c r="Z312" s="213"/>
      <c r="AA312" s="210"/>
      <c r="AB312" s="210"/>
      <c r="AC312" s="210"/>
      <c r="AD312" s="210"/>
      <c r="AE312" s="210"/>
      <c r="AF312" s="210"/>
      <c r="AI312" s="210"/>
      <c r="AJ312" s="210"/>
      <c r="AK312" s="214"/>
      <c r="AL312" s="210"/>
      <c r="AM312" s="160"/>
      <c r="AN312" s="160"/>
    </row>
    <row r="314" spans="3:40" x14ac:dyDescent="0.3">
      <c r="C314" s="42"/>
      <c r="F314" s="123"/>
      <c r="H314" s="123"/>
      <c r="I314" s="123"/>
      <c r="J314" s="213"/>
      <c r="K314" s="213"/>
      <c r="L314" s="123"/>
      <c r="M314" s="123"/>
      <c r="N314" s="160"/>
      <c r="O314" s="160"/>
      <c r="P314" s="123"/>
      <c r="Q314" s="123"/>
      <c r="R314" s="123"/>
      <c r="S314" s="123"/>
      <c r="T314" s="42"/>
      <c r="V314" s="123"/>
      <c r="Y314" s="123"/>
      <c r="Z314" s="213"/>
      <c r="AA314" s="123"/>
      <c r="AB314" s="123"/>
      <c r="AC314" s="160"/>
      <c r="AD314" s="160"/>
      <c r="AE314" s="123"/>
      <c r="AF314" s="123"/>
      <c r="AH314" s="160"/>
      <c r="AI314" s="123"/>
      <c r="AJ314" s="123"/>
      <c r="AL314" s="123"/>
      <c r="AM314" s="160"/>
      <c r="AN314" s="160"/>
    </row>
    <row r="315" spans="3:40" x14ac:dyDescent="0.3">
      <c r="F315" s="210"/>
      <c r="H315" s="210"/>
      <c r="I315" s="210"/>
      <c r="J315" s="213"/>
      <c r="K315" s="213"/>
      <c r="L315" s="210"/>
      <c r="M315" s="210"/>
      <c r="N315" s="210"/>
      <c r="O315" s="210"/>
      <c r="P315" s="210"/>
      <c r="Q315" s="210"/>
      <c r="R315" s="210"/>
      <c r="S315" s="123"/>
      <c r="V315" s="210"/>
      <c r="Y315" s="210"/>
      <c r="Z315" s="213"/>
      <c r="AA315" s="210"/>
      <c r="AB315" s="210"/>
      <c r="AC315" s="210"/>
      <c r="AD315" s="210"/>
      <c r="AE315" s="210"/>
      <c r="AF315" s="210"/>
      <c r="AI315" s="210"/>
      <c r="AJ315" s="210"/>
      <c r="AK315" s="214"/>
      <c r="AL315" s="210"/>
      <c r="AM315" s="160"/>
      <c r="AN315" s="160"/>
    </row>
    <row r="316" spans="3:40" x14ac:dyDescent="0.3">
      <c r="C316" s="42"/>
      <c r="T316" s="42"/>
    </row>
    <row r="317" spans="3:40" x14ac:dyDescent="0.3">
      <c r="C317" s="42"/>
      <c r="F317" s="123"/>
      <c r="H317" s="123"/>
      <c r="I317" s="123"/>
      <c r="L317" s="123"/>
      <c r="M317" s="123"/>
      <c r="N317" s="160"/>
      <c r="O317" s="160"/>
      <c r="P317" s="184"/>
      <c r="Q317" s="184"/>
      <c r="R317" s="123"/>
      <c r="T317" s="42"/>
      <c r="V317" s="123"/>
      <c r="Y317" s="123"/>
      <c r="AA317" s="123"/>
      <c r="AB317" s="123"/>
      <c r="AC317" s="160"/>
      <c r="AD317" s="160"/>
      <c r="AE317" s="123"/>
      <c r="AF317" s="123"/>
      <c r="AH317" s="160"/>
      <c r="AI317" s="184"/>
      <c r="AJ317" s="184"/>
      <c r="AL317" s="123"/>
      <c r="AM317" s="160"/>
      <c r="AN317" s="160"/>
    </row>
    <row r="318" spans="3:40" x14ac:dyDescent="0.3">
      <c r="F318" s="210"/>
      <c r="H318" s="210"/>
      <c r="I318" s="210"/>
      <c r="J318" s="213"/>
      <c r="K318" s="213"/>
      <c r="L318" s="210"/>
      <c r="M318" s="210"/>
      <c r="N318" s="210"/>
      <c r="O318" s="210"/>
      <c r="P318" s="210"/>
      <c r="Q318" s="210"/>
      <c r="R318" s="210"/>
      <c r="V318" s="210"/>
      <c r="Y318" s="210"/>
      <c r="Z318" s="213"/>
      <c r="AA318" s="210"/>
      <c r="AB318" s="210"/>
      <c r="AC318" s="210"/>
      <c r="AD318" s="210"/>
      <c r="AE318" s="210"/>
      <c r="AF318" s="210"/>
      <c r="AI318" s="210"/>
      <c r="AJ318" s="210"/>
      <c r="AK318" s="214"/>
      <c r="AL318" s="210"/>
    </row>
    <row r="320" spans="3:40" x14ac:dyDescent="0.3">
      <c r="C320" s="42"/>
      <c r="L320" s="123"/>
      <c r="M320" s="123"/>
      <c r="N320" s="123"/>
      <c r="O320" s="123"/>
      <c r="P320" s="123"/>
      <c r="Q320" s="123"/>
      <c r="R320" s="123"/>
      <c r="S320" s="123"/>
      <c r="T320" s="42"/>
      <c r="AA320" s="123"/>
      <c r="AB320" s="123"/>
      <c r="AC320" s="123"/>
      <c r="AD320" s="123"/>
      <c r="AI320" s="123"/>
      <c r="AJ320" s="123"/>
      <c r="AL320" s="123"/>
    </row>
    <row r="321" spans="1:40" x14ac:dyDescent="0.3">
      <c r="A321" s="42"/>
    </row>
    <row r="323" spans="1:40" x14ac:dyDescent="0.3">
      <c r="H323" s="42"/>
      <c r="I323" s="42"/>
      <c r="Y323" s="42"/>
    </row>
    <row r="325" spans="1:40" x14ac:dyDescent="0.3">
      <c r="L325" s="42"/>
      <c r="M325" s="42"/>
      <c r="AA325" s="42"/>
      <c r="AB325" s="42"/>
    </row>
    <row r="326" spans="1:40" x14ac:dyDescent="0.3">
      <c r="R326" s="42"/>
      <c r="AK326" s="206"/>
      <c r="AL326" s="42"/>
    </row>
    <row r="327" spans="1:40" x14ac:dyDescent="0.3">
      <c r="R327" s="42"/>
      <c r="AK327" s="206"/>
      <c r="AL327" s="42"/>
    </row>
    <row r="328" spans="1:40" x14ac:dyDescent="0.3">
      <c r="A328" s="42"/>
      <c r="R328" s="42"/>
      <c r="AK328" s="206"/>
      <c r="AL328" s="42"/>
    </row>
    <row r="329" spans="1:40" x14ac:dyDescent="0.3">
      <c r="L329" s="42"/>
      <c r="M329" s="42"/>
      <c r="AA329" s="42"/>
      <c r="AB329" s="42"/>
    </row>
    <row r="330" spans="1:40" x14ac:dyDescent="0.3">
      <c r="A330" s="135"/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207"/>
      <c r="AH330" s="135"/>
      <c r="AI330" s="135"/>
      <c r="AJ330" s="135"/>
      <c r="AK330" s="207"/>
      <c r="AL330" s="135"/>
      <c r="AM330" s="135"/>
      <c r="AN330" s="135"/>
    </row>
    <row r="331" spans="1:40" x14ac:dyDescent="0.3">
      <c r="L331" s="44"/>
      <c r="M331" s="44"/>
      <c r="N331" s="44"/>
      <c r="O331" s="44"/>
      <c r="R331" s="44"/>
      <c r="AA331" s="44"/>
      <c r="AB331" s="44"/>
      <c r="AC331" s="44"/>
      <c r="AD331" s="44"/>
      <c r="AE331" s="44"/>
      <c r="AF331" s="44"/>
      <c r="AG331" s="168"/>
      <c r="AH331" s="44"/>
      <c r="AK331" s="168"/>
      <c r="AL331" s="44"/>
      <c r="AM331" s="44"/>
      <c r="AN331" s="44"/>
    </row>
    <row r="332" spans="1:40" x14ac:dyDescent="0.3">
      <c r="L332" s="44"/>
      <c r="M332" s="44"/>
      <c r="N332" s="44"/>
      <c r="O332" s="44"/>
      <c r="R332" s="44"/>
      <c r="Z332" s="44"/>
      <c r="AA332" s="44"/>
      <c r="AB332" s="44"/>
      <c r="AC332" s="44"/>
      <c r="AD332" s="44"/>
      <c r="AE332" s="44"/>
      <c r="AF332" s="44"/>
      <c r="AG332" s="168"/>
      <c r="AH332" s="44"/>
      <c r="AK332" s="168"/>
      <c r="AL332" s="44"/>
      <c r="AM332" s="44"/>
      <c r="AN332" s="44"/>
    </row>
    <row r="333" spans="1:40" x14ac:dyDescent="0.3">
      <c r="A333" s="44"/>
      <c r="C333" s="44"/>
      <c r="D333" s="44"/>
      <c r="E333" s="44"/>
      <c r="F333" s="44"/>
      <c r="J333" s="44"/>
      <c r="K333" s="44"/>
      <c r="L333" s="44"/>
      <c r="M333" s="44"/>
      <c r="N333" s="44"/>
      <c r="O333" s="44"/>
      <c r="P333" s="44"/>
      <c r="Q333" s="44"/>
      <c r="R333" s="44"/>
      <c r="T333" s="44"/>
      <c r="U333" s="44"/>
      <c r="V333" s="44"/>
      <c r="Z333" s="44"/>
      <c r="AA333" s="44"/>
      <c r="AB333" s="44"/>
      <c r="AC333" s="44"/>
      <c r="AD333" s="44"/>
      <c r="AE333" s="44"/>
      <c r="AF333" s="44"/>
      <c r="AG333" s="168"/>
      <c r="AH333" s="44"/>
      <c r="AI333" s="44"/>
      <c r="AJ333" s="44"/>
      <c r="AK333" s="168"/>
      <c r="AL333" s="44"/>
      <c r="AM333" s="44"/>
      <c r="AN333" s="44"/>
    </row>
    <row r="334" spans="1:40" x14ac:dyDescent="0.3">
      <c r="A334" s="44"/>
      <c r="C334" s="44"/>
      <c r="D334" s="44"/>
      <c r="E334" s="44"/>
      <c r="F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T334" s="44"/>
      <c r="U334" s="44"/>
      <c r="V334" s="44"/>
      <c r="Y334" s="44"/>
      <c r="Z334" s="44"/>
      <c r="AA334" s="44"/>
      <c r="AB334" s="44"/>
      <c r="AC334" s="44"/>
      <c r="AD334" s="44"/>
      <c r="AE334" s="44"/>
      <c r="AF334" s="44"/>
      <c r="AG334" s="168"/>
      <c r="AH334" s="44"/>
      <c r="AI334" s="44"/>
      <c r="AJ334" s="44"/>
      <c r="AK334" s="168"/>
      <c r="AL334" s="44"/>
      <c r="AM334" s="44"/>
      <c r="AN334" s="44"/>
    </row>
    <row r="335" spans="1:40" x14ac:dyDescent="0.3">
      <c r="C335" s="44"/>
      <c r="D335" s="44"/>
      <c r="E335" s="44"/>
      <c r="F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T335" s="44"/>
      <c r="U335" s="44"/>
      <c r="V335" s="44"/>
      <c r="Y335" s="44"/>
      <c r="Z335" s="44"/>
      <c r="AA335" s="44"/>
      <c r="AB335" s="44"/>
      <c r="AC335" s="44"/>
      <c r="AD335" s="44"/>
      <c r="AE335" s="44"/>
      <c r="AF335" s="44"/>
      <c r="AG335" s="168"/>
      <c r="AH335" s="44"/>
      <c r="AI335" s="44"/>
      <c r="AJ335" s="44"/>
      <c r="AK335" s="168"/>
      <c r="AL335" s="44"/>
      <c r="AM335" s="44"/>
      <c r="AN335" s="44"/>
    </row>
    <row r="336" spans="1:40" x14ac:dyDescent="0.3">
      <c r="A336" s="135"/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207"/>
      <c r="AH336" s="135"/>
      <c r="AI336" s="135"/>
      <c r="AJ336" s="135"/>
      <c r="AK336" s="207"/>
      <c r="AL336" s="135"/>
      <c r="AM336" s="135"/>
      <c r="AN336" s="135"/>
    </row>
    <row r="337" spans="3:40" x14ac:dyDescent="0.3"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Y337" s="44"/>
      <c r="Z337" s="44"/>
      <c r="AA337" s="44"/>
      <c r="AB337" s="44"/>
      <c r="AC337" s="44"/>
      <c r="AD337" s="44"/>
      <c r="AE337" s="44"/>
      <c r="AF337" s="44"/>
      <c r="AG337" s="168"/>
      <c r="AH337" s="44"/>
      <c r="AI337" s="44"/>
      <c r="AJ337" s="44"/>
      <c r="AK337" s="168"/>
      <c r="AL337" s="44"/>
      <c r="AM337" s="44"/>
      <c r="AN337" s="44"/>
    </row>
    <row r="338" spans="3:40" x14ac:dyDescent="0.3">
      <c r="C338" s="42"/>
      <c r="D338" s="42"/>
      <c r="E338" s="42"/>
      <c r="T338" s="42"/>
      <c r="U338" s="42"/>
    </row>
    <row r="339" spans="3:40" x14ac:dyDescent="0.3">
      <c r="D339" s="42"/>
      <c r="E339" s="42"/>
      <c r="U339" s="42"/>
    </row>
    <row r="341" spans="3:40" x14ac:dyDescent="0.3">
      <c r="C341" s="42"/>
      <c r="T341" s="42"/>
    </row>
    <row r="342" spans="3:40" x14ac:dyDescent="0.3">
      <c r="C342" s="42"/>
      <c r="F342" s="184"/>
      <c r="H342" s="184"/>
      <c r="I342" s="184"/>
      <c r="J342" s="238"/>
      <c r="K342" s="238"/>
      <c r="L342" s="123"/>
      <c r="M342" s="123"/>
      <c r="N342" s="160"/>
      <c r="O342" s="160"/>
      <c r="P342" s="123"/>
      <c r="Q342" s="123"/>
      <c r="R342" s="123"/>
      <c r="T342" s="42"/>
      <c r="V342" s="184"/>
      <c r="W342" s="123"/>
      <c r="X342" s="123"/>
      <c r="Y342" s="184"/>
      <c r="Z342" s="238"/>
      <c r="AA342" s="123"/>
      <c r="AB342" s="123"/>
      <c r="AC342" s="160"/>
      <c r="AD342" s="160"/>
      <c r="AE342" s="123"/>
      <c r="AF342" s="123"/>
      <c r="AH342" s="236"/>
      <c r="AI342" s="123"/>
      <c r="AJ342" s="123"/>
      <c r="AL342" s="123"/>
      <c r="AM342" s="160"/>
      <c r="AN342" s="160"/>
    </row>
    <row r="343" spans="3:40" x14ac:dyDescent="0.3">
      <c r="C343" s="42"/>
      <c r="F343" s="123"/>
      <c r="H343" s="123"/>
      <c r="I343" s="123"/>
      <c r="J343" s="213"/>
      <c r="K343" s="213"/>
      <c r="L343" s="123"/>
      <c r="M343" s="123"/>
      <c r="N343" s="160"/>
      <c r="O343" s="160"/>
      <c r="P343" s="123"/>
      <c r="Q343" s="123"/>
      <c r="R343" s="123"/>
      <c r="T343" s="42"/>
      <c r="V343" s="184"/>
      <c r="W343" s="123"/>
      <c r="X343" s="123"/>
      <c r="Y343" s="184"/>
      <c r="Z343" s="213"/>
      <c r="AA343" s="123"/>
      <c r="AB343" s="123"/>
      <c r="AC343" s="160"/>
      <c r="AD343" s="160"/>
      <c r="AE343" s="123"/>
      <c r="AF343" s="123"/>
      <c r="AH343" s="236"/>
      <c r="AI343" s="123"/>
      <c r="AJ343" s="123"/>
      <c r="AL343" s="123"/>
      <c r="AM343" s="160"/>
      <c r="AN343" s="160"/>
    </row>
    <row r="344" spans="3:40" x14ac:dyDescent="0.3">
      <c r="C344" s="42"/>
      <c r="F344" s="184"/>
      <c r="H344" s="184"/>
      <c r="I344" s="184"/>
      <c r="J344" s="238"/>
      <c r="K344" s="238"/>
      <c r="L344" s="123"/>
      <c r="M344" s="123"/>
      <c r="N344" s="160"/>
      <c r="O344" s="160"/>
      <c r="P344" s="123"/>
      <c r="Q344" s="123"/>
      <c r="R344" s="123"/>
      <c r="T344" s="42"/>
      <c r="V344" s="184"/>
      <c r="W344" s="123"/>
      <c r="X344" s="123"/>
      <c r="Y344" s="184"/>
      <c r="Z344" s="238"/>
      <c r="AA344" s="123"/>
      <c r="AB344" s="123"/>
      <c r="AC344" s="160"/>
      <c r="AD344" s="160"/>
      <c r="AE344" s="123"/>
      <c r="AF344" s="123"/>
      <c r="AH344" s="236"/>
      <c r="AI344" s="123"/>
      <c r="AJ344" s="123"/>
      <c r="AL344" s="123"/>
      <c r="AM344" s="160"/>
      <c r="AN344" s="160"/>
    </row>
    <row r="345" spans="3:40" x14ac:dyDescent="0.3">
      <c r="C345" s="42"/>
      <c r="F345" s="184"/>
      <c r="H345" s="184"/>
      <c r="I345" s="184"/>
      <c r="J345" s="238"/>
      <c r="K345" s="238"/>
      <c r="L345" s="123"/>
      <c r="M345" s="123"/>
      <c r="N345" s="160"/>
      <c r="O345" s="160"/>
      <c r="P345" s="123"/>
      <c r="Q345" s="123"/>
      <c r="R345" s="123"/>
      <c r="T345" s="42"/>
      <c r="V345" s="184"/>
      <c r="W345" s="123"/>
      <c r="X345" s="123"/>
      <c r="Y345" s="184"/>
      <c r="Z345" s="238"/>
      <c r="AA345" s="123"/>
      <c r="AB345" s="123"/>
      <c r="AC345" s="160"/>
      <c r="AD345" s="160"/>
      <c r="AE345" s="123"/>
      <c r="AF345" s="123"/>
      <c r="AH345" s="236"/>
      <c r="AI345" s="123"/>
      <c r="AJ345" s="123"/>
      <c r="AL345" s="123"/>
      <c r="AM345" s="160"/>
      <c r="AN345" s="160"/>
    </row>
    <row r="346" spans="3:40" x14ac:dyDescent="0.3">
      <c r="C346" s="42"/>
      <c r="F346" s="184"/>
      <c r="H346" s="184"/>
      <c r="I346" s="184"/>
      <c r="J346" s="238"/>
      <c r="K346" s="238"/>
      <c r="L346" s="123"/>
      <c r="M346" s="123"/>
      <c r="N346" s="160"/>
      <c r="O346" s="160"/>
      <c r="P346" s="123"/>
      <c r="Q346" s="123"/>
      <c r="R346" s="123"/>
      <c r="T346" s="42"/>
      <c r="V346" s="184"/>
      <c r="W346" s="123"/>
      <c r="X346" s="123"/>
      <c r="Y346" s="184"/>
      <c r="Z346" s="238"/>
      <c r="AA346" s="123"/>
      <c r="AB346" s="123"/>
      <c r="AC346" s="160"/>
      <c r="AD346" s="160"/>
      <c r="AE346" s="123"/>
      <c r="AF346" s="123"/>
      <c r="AH346" s="236"/>
      <c r="AI346" s="123"/>
      <c r="AJ346" s="123"/>
      <c r="AL346" s="123"/>
      <c r="AM346" s="160"/>
      <c r="AN346" s="160"/>
    </row>
    <row r="347" spans="3:40" x14ac:dyDescent="0.3">
      <c r="C347" s="42"/>
      <c r="F347" s="123"/>
      <c r="H347" s="123"/>
      <c r="I347" s="123"/>
      <c r="J347" s="238"/>
      <c r="K347" s="238"/>
      <c r="L347" s="123"/>
      <c r="M347" s="123"/>
      <c r="N347" s="160"/>
      <c r="O347" s="160"/>
      <c r="P347" s="123"/>
      <c r="Q347" s="123"/>
      <c r="R347" s="123"/>
      <c r="T347" s="42"/>
      <c r="V347" s="184"/>
      <c r="W347" s="123"/>
      <c r="X347" s="123"/>
      <c r="Y347" s="184"/>
      <c r="Z347" s="238"/>
      <c r="AA347" s="123"/>
      <c r="AB347" s="123"/>
      <c r="AC347" s="160"/>
      <c r="AD347" s="160"/>
      <c r="AE347" s="123"/>
      <c r="AF347" s="123"/>
      <c r="AH347" s="236"/>
      <c r="AI347" s="123"/>
      <c r="AJ347" s="123"/>
      <c r="AL347" s="123"/>
      <c r="AM347" s="160"/>
      <c r="AN347" s="160"/>
    </row>
    <row r="348" spans="3:40" x14ac:dyDescent="0.3">
      <c r="C348" s="42"/>
      <c r="F348" s="123"/>
      <c r="H348" s="123"/>
      <c r="I348" s="123"/>
      <c r="J348" s="238"/>
      <c r="K348" s="238"/>
      <c r="L348" s="123"/>
      <c r="M348" s="123"/>
      <c r="N348" s="160"/>
      <c r="O348" s="160"/>
      <c r="P348" s="123"/>
      <c r="Q348" s="123"/>
      <c r="R348" s="123"/>
      <c r="T348" s="42"/>
      <c r="V348" s="184"/>
      <c r="W348" s="123"/>
      <c r="X348" s="123"/>
      <c r="Y348" s="184"/>
      <c r="Z348" s="238"/>
      <c r="AA348" s="123"/>
      <c r="AB348" s="123"/>
      <c r="AC348" s="160"/>
      <c r="AD348" s="160"/>
      <c r="AE348" s="123"/>
      <c r="AF348" s="123"/>
      <c r="AH348" s="236"/>
      <c r="AI348" s="123"/>
      <c r="AJ348" s="123"/>
      <c r="AL348" s="123"/>
      <c r="AM348" s="160"/>
      <c r="AN348" s="160"/>
    </row>
    <row r="349" spans="3:40" x14ac:dyDescent="0.3">
      <c r="F349" s="241"/>
      <c r="H349" s="242"/>
      <c r="I349" s="242"/>
      <c r="J349" s="238"/>
      <c r="K349" s="238"/>
      <c r="L349" s="241"/>
      <c r="M349" s="241"/>
      <c r="N349" s="210"/>
      <c r="O349" s="210"/>
      <c r="P349" s="241"/>
      <c r="Q349" s="241"/>
      <c r="R349" s="241"/>
      <c r="V349" s="241"/>
      <c r="W349" s="123"/>
      <c r="X349" s="123"/>
      <c r="Y349" s="241"/>
      <c r="Z349" s="238"/>
      <c r="AA349" s="241"/>
      <c r="AB349" s="241"/>
      <c r="AC349" s="243"/>
      <c r="AD349" s="243"/>
      <c r="AE349" s="241"/>
      <c r="AF349" s="241"/>
      <c r="AH349" s="236"/>
      <c r="AI349" s="241"/>
      <c r="AJ349" s="241"/>
      <c r="AK349" s="207"/>
      <c r="AL349" s="241"/>
      <c r="AM349" s="160"/>
      <c r="AN349" s="160"/>
    </row>
    <row r="350" spans="3:40" x14ac:dyDescent="0.3">
      <c r="C350" s="42"/>
      <c r="F350" s="123"/>
      <c r="H350" s="123"/>
      <c r="I350" s="123"/>
      <c r="J350" s="238"/>
      <c r="K350" s="238"/>
      <c r="L350" s="123"/>
      <c r="M350" s="123"/>
      <c r="N350" s="236"/>
      <c r="O350" s="236"/>
      <c r="P350" s="123"/>
      <c r="Q350" s="123"/>
      <c r="R350" s="123"/>
      <c r="T350" s="44"/>
      <c r="V350" s="123"/>
      <c r="W350" s="123"/>
      <c r="X350" s="123"/>
      <c r="Y350" s="123"/>
      <c r="Z350" s="238"/>
      <c r="AA350" s="123"/>
      <c r="AB350" s="123"/>
      <c r="AC350" s="236"/>
      <c r="AD350" s="236"/>
      <c r="AE350" s="123"/>
      <c r="AF350" s="123"/>
      <c r="AH350" s="236"/>
      <c r="AI350" s="123"/>
      <c r="AJ350" s="123"/>
      <c r="AL350" s="123"/>
      <c r="AM350" s="160"/>
      <c r="AN350" s="160"/>
    </row>
    <row r="351" spans="3:40" x14ac:dyDescent="0.3">
      <c r="F351" s="135"/>
      <c r="H351" s="135"/>
      <c r="I351" s="135"/>
      <c r="L351" s="135"/>
      <c r="M351" s="135"/>
      <c r="N351" s="243"/>
      <c r="O351" s="243"/>
      <c r="P351" s="241"/>
      <c r="Q351" s="241"/>
      <c r="R351" s="241"/>
      <c r="V351" s="241"/>
      <c r="Y351" s="241"/>
      <c r="Z351" s="213"/>
      <c r="AA351" s="241"/>
      <c r="AB351" s="241"/>
      <c r="AC351" s="241"/>
      <c r="AD351" s="241"/>
      <c r="AE351" s="241"/>
      <c r="AF351" s="241"/>
      <c r="AI351" s="241"/>
      <c r="AJ351" s="241"/>
      <c r="AK351" s="207"/>
      <c r="AL351" s="241"/>
      <c r="AM351" s="243"/>
      <c r="AN351" s="243"/>
    </row>
    <row r="356" spans="1:40" x14ac:dyDescent="0.3">
      <c r="N356" s="123"/>
      <c r="O356" s="123"/>
      <c r="P356" s="123"/>
      <c r="Q356" s="123"/>
      <c r="R356" s="123"/>
      <c r="V356" s="123"/>
      <c r="Y356" s="123"/>
      <c r="Z356" s="219"/>
      <c r="AA356" s="123"/>
      <c r="AB356" s="123"/>
      <c r="AC356" s="160"/>
      <c r="AD356" s="160"/>
      <c r="AE356" s="123"/>
      <c r="AF356" s="123"/>
      <c r="AH356" s="236"/>
      <c r="AI356" s="123"/>
      <c r="AJ356" s="123"/>
      <c r="AL356" s="123"/>
      <c r="AM356" s="160"/>
      <c r="AN356" s="160"/>
    </row>
    <row r="357" spans="1:40" x14ac:dyDescent="0.3">
      <c r="C357" s="42"/>
      <c r="D357" s="42"/>
      <c r="E357" s="42"/>
      <c r="J357" s="188"/>
      <c r="K357" s="188"/>
      <c r="T357" s="42"/>
      <c r="U357" s="42"/>
      <c r="Z357" s="188"/>
      <c r="AE357" s="123"/>
      <c r="AF357" s="123"/>
      <c r="AI357" s="123"/>
      <c r="AJ357" s="123"/>
      <c r="AL357" s="123"/>
      <c r="AM357" s="160"/>
      <c r="AN357" s="160"/>
    </row>
    <row r="358" spans="1:40" x14ac:dyDescent="0.3">
      <c r="D358" s="42"/>
      <c r="E358" s="42"/>
      <c r="F358" s="123"/>
      <c r="H358" s="123"/>
      <c r="I358" s="123"/>
      <c r="J358" s="238"/>
      <c r="K358" s="238"/>
      <c r="L358" s="123"/>
      <c r="M358" s="123"/>
      <c r="N358" s="160"/>
      <c r="O358" s="160"/>
      <c r="P358" s="123"/>
      <c r="Q358" s="123"/>
      <c r="R358" s="123"/>
      <c r="U358" s="42"/>
      <c r="V358" s="123"/>
      <c r="Y358" s="123"/>
      <c r="Z358" s="238"/>
      <c r="AA358" s="123"/>
      <c r="AB358" s="123"/>
      <c r="AC358" s="160"/>
      <c r="AD358" s="160"/>
      <c r="AE358" s="123"/>
      <c r="AF358" s="123"/>
      <c r="AH358" s="236"/>
      <c r="AI358" s="123"/>
      <c r="AJ358" s="123"/>
      <c r="AL358" s="123"/>
      <c r="AM358" s="160"/>
      <c r="AN358" s="160"/>
    </row>
    <row r="359" spans="1:40" x14ac:dyDescent="0.3">
      <c r="F359" s="123"/>
      <c r="H359" s="123"/>
      <c r="I359" s="123"/>
      <c r="J359" s="213"/>
      <c r="K359" s="213"/>
      <c r="L359" s="123"/>
      <c r="M359" s="123"/>
      <c r="N359" s="123"/>
      <c r="O359" s="123"/>
      <c r="P359" s="123"/>
      <c r="Q359" s="123"/>
      <c r="R359" s="123"/>
      <c r="V359" s="123"/>
      <c r="Y359" s="123"/>
      <c r="Z359" s="213"/>
      <c r="AA359" s="123"/>
      <c r="AB359" s="123"/>
      <c r="AC359" s="123"/>
      <c r="AD359" s="123"/>
      <c r="AE359" s="123"/>
      <c r="AF359" s="123"/>
      <c r="AH359" s="236"/>
      <c r="AI359" s="184"/>
      <c r="AJ359" s="184"/>
      <c r="AL359" s="123"/>
      <c r="AM359" s="160"/>
      <c r="AN359" s="160"/>
    </row>
    <row r="360" spans="1:40" x14ac:dyDescent="0.3">
      <c r="C360" s="42"/>
      <c r="F360" s="184"/>
      <c r="H360" s="184"/>
      <c r="I360" s="184"/>
      <c r="J360" s="212"/>
      <c r="K360" s="212"/>
      <c r="L360" s="123"/>
      <c r="M360" s="123"/>
      <c r="N360" s="160"/>
      <c r="O360" s="160"/>
      <c r="P360" s="123"/>
      <c r="Q360" s="123"/>
      <c r="R360" s="123"/>
      <c r="T360" s="42"/>
      <c r="V360" s="184"/>
      <c r="Y360" s="184"/>
      <c r="Z360" s="212"/>
      <c r="AA360" s="123"/>
      <c r="AB360" s="123"/>
      <c r="AC360" s="160"/>
      <c r="AD360" s="160"/>
      <c r="AE360" s="123"/>
      <c r="AF360" s="123"/>
      <c r="AH360" s="236"/>
      <c r="AI360" s="123"/>
      <c r="AJ360" s="123"/>
      <c r="AL360" s="123"/>
      <c r="AM360" s="160"/>
      <c r="AN360" s="160"/>
    </row>
    <row r="361" spans="1:40" x14ac:dyDescent="0.3">
      <c r="F361" s="135"/>
      <c r="H361" s="135"/>
      <c r="I361" s="135"/>
      <c r="L361" s="135"/>
      <c r="M361" s="135"/>
      <c r="N361" s="135"/>
      <c r="O361" s="135"/>
      <c r="P361" s="135"/>
      <c r="Q361" s="135"/>
      <c r="R361" s="135"/>
      <c r="V361" s="135"/>
      <c r="Y361" s="135"/>
      <c r="AA361" s="135"/>
      <c r="AB361" s="135"/>
      <c r="AC361" s="135"/>
      <c r="AD361" s="135"/>
      <c r="AE361" s="135"/>
      <c r="AF361" s="135"/>
      <c r="AG361" s="207"/>
      <c r="AH361" s="135"/>
      <c r="AI361" s="135"/>
      <c r="AJ361" s="135"/>
      <c r="AK361" s="207"/>
      <c r="AL361" s="135"/>
      <c r="AM361" s="135"/>
      <c r="AN361" s="135"/>
    </row>
    <row r="362" spans="1:40" x14ac:dyDescent="0.3">
      <c r="C362" s="44"/>
      <c r="F362" s="184"/>
      <c r="H362" s="184"/>
      <c r="I362" s="184"/>
      <c r="J362" s="193"/>
      <c r="K362" s="193"/>
      <c r="L362" s="184"/>
      <c r="M362" s="184"/>
      <c r="N362" s="160"/>
      <c r="O362" s="160"/>
      <c r="P362" s="184"/>
      <c r="Q362" s="184"/>
      <c r="R362" s="184"/>
      <c r="T362" s="44"/>
      <c r="V362" s="123"/>
      <c r="Y362" s="123"/>
      <c r="Z362" s="219"/>
      <c r="AA362" s="123"/>
      <c r="AB362" s="123"/>
      <c r="AC362" s="160"/>
      <c r="AD362" s="160"/>
      <c r="AH362" s="236"/>
      <c r="AI362" s="123"/>
      <c r="AJ362" s="123"/>
      <c r="AL362" s="123"/>
      <c r="AM362" s="160"/>
      <c r="AN362" s="160"/>
    </row>
    <row r="363" spans="1:40" x14ac:dyDescent="0.3">
      <c r="F363" s="241"/>
      <c r="H363" s="241"/>
      <c r="I363" s="241"/>
      <c r="J363" s="213"/>
      <c r="K363" s="213"/>
      <c r="L363" s="241"/>
      <c r="M363" s="241"/>
      <c r="N363" s="241"/>
      <c r="O363" s="241"/>
      <c r="P363" s="241"/>
      <c r="Q363" s="241"/>
      <c r="R363" s="241"/>
      <c r="V363" s="135"/>
      <c r="Y363" s="135"/>
      <c r="AA363" s="135"/>
      <c r="AB363" s="135"/>
      <c r="AC363" s="135"/>
      <c r="AD363" s="135"/>
      <c r="AE363" s="135"/>
      <c r="AF363" s="135"/>
      <c r="AG363" s="207"/>
      <c r="AH363" s="135"/>
      <c r="AI363" s="135"/>
      <c r="AJ363" s="135"/>
      <c r="AK363" s="207"/>
      <c r="AL363" s="135"/>
      <c r="AM363" s="135"/>
      <c r="AN363" s="135"/>
    </row>
    <row r="364" spans="1:40" x14ac:dyDescent="0.3">
      <c r="F364" s="184"/>
      <c r="H364" s="184"/>
      <c r="I364" s="184"/>
      <c r="J364" s="237"/>
      <c r="K364" s="237"/>
      <c r="L364" s="123"/>
      <c r="M364" s="123"/>
      <c r="N364" s="160"/>
      <c r="O364" s="160"/>
      <c r="P364" s="123"/>
      <c r="Q364" s="123"/>
      <c r="R364" s="123"/>
    </row>
    <row r="365" spans="1:40" x14ac:dyDescent="0.3">
      <c r="A365" s="42"/>
      <c r="F365" s="184"/>
      <c r="H365" s="184"/>
      <c r="I365" s="184"/>
      <c r="J365" s="193"/>
      <c r="K365" s="193"/>
      <c r="L365" s="123"/>
      <c r="M365" s="123"/>
      <c r="N365" s="160"/>
      <c r="O365" s="160"/>
      <c r="P365" s="123"/>
      <c r="Q365" s="123"/>
      <c r="R365" s="123"/>
    </row>
    <row r="366" spans="1:40" x14ac:dyDescent="0.3">
      <c r="F366" s="184"/>
      <c r="H366" s="184"/>
      <c r="I366" s="184"/>
      <c r="J366" s="193"/>
      <c r="K366" s="193"/>
      <c r="L366" s="123"/>
      <c r="M366" s="123"/>
      <c r="N366" s="160"/>
      <c r="O366" s="160"/>
      <c r="P366" s="123"/>
      <c r="Q366" s="123"/>
      <c r="R366" s="123"/>
    </row>
    <row r="367" spans="1:40" x14ac:dyDescent="0.3">
      <c r="A367" s="42"/>
    </row>
    <row r="370" spans="1:40" x14ac:dyDescent="0.3">
      <c r="H370" s="42"/>
      <c r="I370" s="42"/>
      <c r="Y370" s="42"/>
    </row>
    <row r="372" spans="1:40" x14ac:dyDescent="0.3">
      <c r="L372" s="42"/>
      <c r="M372" s="42"/>
      <c r="AA372" s="42"/>
      <c r="AB372" s="42"/>
    </row>
    <row r="373" spans="1:40" x14ac:dyDescent="0.3">
      <c r="R373" s="42"/>
      <c r="AK373" s="206"/>
      <c r="AL373" s="42"/>
    </row>
    <row r="374" spans="1:40" x14ac:dyDescent="0.3">
      <c r="R374" s="42"/>
      <c r="AK374" s="206"/>
      <c r="AL374" s="42"/>
    </row>
    <row r="375" spans="1:40" x14ac:dyDescent="0.3">
      <c r="A375" s="42"/>
      <c r="R375" s="42"/>
      <c r="AK375" s="206"/>
      <c r="AL375" s="42"/>
    </row>
    <row r="376" spans="1:40" x14ac:dyDescent="0.3">
      <c r="L376" s="42"/>
      <c r="M376" s="42"/>
      <c r="AA376" s="42"/>
      <c r="AB376" s="42"/>
    </row>
    <row r="377" spans="1:40" x14ac:dyDescent="0.3">
      <c r="A377" s="135"/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207"/>
      <c r="AH377" s="135"/>
      <c r="AI377" s="135"/>
      <c r="AJ377" s="135"/>
      <c r="AK377" s="207"/>
      <c r="AL377" s="135"/>
      <c r="AM377" s="135"/>
      <c r="AN377" s="135"/>
    </row>
    <row r="378" spans="1:40" x14ac:dyDescent="0.3">
      <c r="L378" s="44"/>
      <c r="M378" s="44"/>
      <c r="N378" s="44"/>
      <c r="O378" s="44"/>
      <c r="R378" s="44"/>
      <c r="AA378" s="44"/>
      <c r="AB378" s="44"/>
      <c r="AC378" s="44"/>
      <c r="AD378" s="44"/>
      <c r="AE378" s="44"/>
      <c r="AF378" s="44"/>
      <c r="AG378" s="168"/>
      <c r="AH378" s="44"/>
      <c r="AK378" s="168"/>
      <c r="AL378" s="44"/>
      <c r="AM378" s="44"/>
      <c r="AN378" s="44"/>
    </row>
    <row r="379" spans="1:40" x14ac:dyDescent="0.3">
      <c r="L379" s="44"/>
      <c r="M379" s="44"/>
      <c r="N379" s="44"/>
      <c r="O379" s="44"/>
      <c r="R379" s="44"/>
      <c r="Z379" s="44"/>
      <c r="AA379" s="44"/>
      <c r="AB379" s="44"/>
      <c r="AC379" s="44"/>
      <c r="AD379" s="44"/>
      <c r="AE379" s="44"/>
      <c r="AF379" s="44"/>
      <c r="AG379" s="168"/>
      <c r="AH379" s="44"/>
      <c r="AK379" s="168"/>
      <c r="AL379" s="44"/>
      <c r="AM379" s="44"/>
      <c r="AN379" s="44"/>
    </row>
    <row r="380" spans="1:40" x14ac:dyDescent="0.3">
      <c r="A380" s="44"/>
      <c r="C380" s="44"/>
      <c r="D380" s="44"/>
      <c r="E380" s="44"/>
      <c r="F380" s="44"/>
      <c r="J380" s="44"/>
      <c r="K380" s="44"/>
      <c r="L380" s="44"/>
      <c r="M380" s="44"/>
      <c r="N380" s="44"/>
      <c r="O380" s="44"/>
      <c r="P380" s="44"/>
      <c r="Q380" s="44"/>
      <c r="R380" s="44"/>
      <c r="T380" s="44"/>
      <c r="U380" s="44"/>
      <c r="V380" s="44"/>
      <c r="Z380" s="44"/>
      <c r="AA380" s="44"/>
      <c r="AB380" s="44"/>
      <c r="AC380" s="44"/>
      <c r="AD380" s="44"/>
      <c r="AE380" s="44"/>
      <c r="AF380" s="44"/>
      <c r="AG380" s="168"/>
      <c r="AH380" s="44"/>
      <c r="AI380" s="44"/>
      <c r="AJ380" s="44"/>
      <c r="AK380" s="168"/>
      <c r="AL380" s="44"/>
      <c r="AM380" s="44"/>
      <c r="AN380" s="44"/>
    </row>
    <row r="381" spans="1:40" x14ac:dyDescent="0.3">
      <c r="A381" s="44"/>
      <c r="C381" s="44"/>
      <c r="D381" s="44"/>
      <c r="E381" s="44"/>
      <c r="F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T381" s="44"/>
      <c r="U381" s="44"/>
      <c r="V381" s="44"/>
      <c r="Y381" s="44"/>
      <c r="Z381" s="44"/>
      <c r="AA381" s="44"/>
      <c r="AB381" s="44"/>
      <c r="AC381" s="44"/>
      <c r="AD381" s="44"/>
      <c r="AE381" s="44"/>
      <c r="AF381" s="44"/>
      <c r="AG381" s="168"/>
      <c r="AH381" s="44"/>
      <c r="AI381" s="44"/>
      <c r="AJ381" s="44"/>
      <c r="AK381" s="168"/>
      <c r="AL381" s="44"/>
      <c r="AM381" s="44"/>
      <c r="AN381" s="44"/>
    </row>
    <row r="382" spans="1:40" x14ac:dyDescent="0.3">
      <c r="C382" s="44"/>
      <c r="D382" s="44"/>
      <c r="E382" s="44"/>
      <c r="F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T382" s="44"/>
      <c r="U382" s="44"/>
      <c r="V382" s="44"/>
      <c r="Y382" s="44"/>
      <c r="Z382" s="44"/>
      <c r="AA382" s="44"/>
      <c r="AB382" s="44"/>
      <c r="AC382" s="44"/>
      <c r="AD382" s="44"/>
      <c r="AE382" s="44"/>
      <c r="AF382" s="44"/>
      <c r="AG382" s="168"/>
      <c r="AH382" s="44"/>
      <c r="AI382" s="44"/>
      <c r="AJ382" s="44"/>
      <c r="AK382" s="168"/>
      <c r="AL382" s="44"/>
      <c r="AM382" s="44"/>
      <c r="AN382" s="44"/>
    </row>
    <row r="383" spans="1:40" x14ac:dyDescent="0.3">
      <c r="A383" s="135"/>
      <c r="B383" s="135"/>
      <c r="C383" s="135"/>
      <c r="D383" s="135"/>
      <c r="E383" s="135"/>
      <c r="F383" s="135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207"/>
      <c r="AH383" s="135"/>
      <c r="AI383" s="135"/>
      <c r="AJ383" s="135"/>
      <c r="AK383" s="207"/>
      <c r="AL383" s="135"/>
      <c r="AM383" s="135"/>
      <c r="AN383" s="135"/>
    </row>
    <row r="384" spans="1:40" x14ac:dyDescent="0.3"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Y384" s="44"/>
      <c r="Z384" s="44"/>
      <c r="AA384" s="44"/>
      <c r="AB384" s="44"/>
      <c r="AC384" s="44"/>
      <c r="AD384" s="44"/>
      <c r="AE384" s="44"/>
      <c r="AF384" s="44"/>
      <c r="AG384" s="168"/>
      <c r="AH384" s="44"/>
      <c r="AI384" s="44"/>
      <c r="AJ384" s="44"/>
      <c r="AK384" s="168"/>
      <c r="AL384" s="44"/>
      <c r="AM384" s="44"/>
      <c r="AN384" s="44"/>
    </row>
    <row r="385" spans="3:40" x14ac:dyDescent="0.3">
      <c r="C385" s="42"/>
      <c r="D385" s="42"/>
      <c r="E385" s="42"/>
      <c r="T385" s="42"/>
      <c r="U385" s="42"/>
    </row>
    <row r="387" spans="3:40" x14ac:dyDescent="0.3">
      <c r="C387" s="42"/>
      <c r="T387" s="42"/>
    </row>
    <row r="388" spans="3:40" x14ac:dyDescent="0.3">
      <c r="C388" s="42"/>
      <c r="F388" s="184"/>
      <c r="H388" s="184"/>
      <c r="I388" s="184"/>
      <c r="J388" s="213"/>
      <c r="K388" s="213"/>
      <c r="L388" s="123"/>
      <c r="M388" s="123"/>
      <c r="N388" s="160"/>
      <c r="O388" s="160"/>
      <c r="P388" s="123"/>
      <c r="Q388" s="123"/>
      <c r="R388" s="123"/>
      <c r="T388" s="42"/>
      <c r="V388" s="184"/>
      <c r="Y388" s="184"/>
      <c r="Z388" s="213"/>
      <c r="AA388" s="123"/>
      <c r="AB388" s="123"/>
      <c r="AC388" s="160"/>
      <c r="AD388" s="160"/>
      <c r="AE388" s="123"/>
      <c r="AF388" s="123"/>
      <c r="AH388" s="236"/>
      <c r="AI388" s="123"/>
      <c r="AJ388" s="123"/>
      <c r="AL388" s="123"/>
      <c r="AM388" s="160"/>
      <c r="AN388" s="160"/>
    </row>
    <row r="389" spans="3:40" x14ac:dyDescent="0.3">
      <c r="C389" s="42"/>
      <c r="T389" s="42"/>
    </row>
    <row r="390" spans="3:40" x14ac:dyDescent="0.3">
      <c r="C390" s="42"/>
      <c r="F390" s="184"/>
      <c r="H390" s="184"/>
      <c r="I390" s="184"/>
      <c r="J390" s="238"/>
      <c r="K390" s="238"/>
      <c r="L390" s="123"/>
      <c r="M390" s="123"/>
      <c r="N390" s="160"/>
      <c r="O390" s="160"/>
      <c r="P390" s="123"/>
      <c r="Q390" s="123"/>
      <c r="R390" s="123"/>
      <c r="T390" s="42"/>
      <c r="V390" s="123"/>
      <c r="Y390" s="123"/>
      <c r="Z390" s="238"/>
      <c r="AA390" s="123"/>
      <c r="AB390" s="123"/>
      <c r="AC390" s="160"/>
      <c r="AD390" s="160"/>
      <c r="AE390" s="123"/>
      <c r="AF390" s="123"/>
      <c r="AH390" s="236"/>
      <c r="AI390" s="123"/>
      <c r="AJ390" s="123"/>
      <c r="AL390" s="123"/>
      <c r="AM390" s="160"/>
      <c r="AN390" s="160"/>
    </row>
    <row r="391" spans="3:40" x14ac:dyDescent="0.3">
      <c r="C391" s="42"/>
      <c r="F391" s="184"/>
      <c r="H391" s="184"/>
      <c r="I391" s="184"/>
      <c r="J391" s="238"/>
      <c r="K391" s="238"/>
      <c r="L391" s="123"/>
      <c r="M391" s="123"/>
      <c r="N391" s="160"/>
      <c r="O391" s="160"/>
      <c r="P391" s="123"/>
      <c r="Q391" s="123"/>
      <c r="R391" s="123"/>
      <c r="T391" s="42"/>
      <c r="V391" s="123"/>
      <c r="Y391" s="123"/>
      <c r="Z391" s="238"/>
      <c r="AA391" s="123"/>
      <c r="AB391" s="123"/>
      <c r="AC391" s="160"/>
      <c r="AD391" s="160"/>
      <c r="AE391" s="123"/>
      <c r="AF391" s="123"/>
      <c r="AH391" s="236"/>
      <c r="AI391" s="123"/>
      <c r="AJ391" s="123"/>
      <c r="AL391" s="123"/>
      <c r="AM391" s="160"/>
      <c r="AN391" s="160"/>
    </row>
    <row r="392" spans="3:40" x14ac:dyDescent="0.3">
      <c r="C392" s="42"/>
      <c r="F392" s="184"/>
      <c r="H392" s="184"/>
      <c r="I392" s="184"/>
      <c r="J392" s="238"/>
      <c r="K392" s="238"/>
      <c r="L392" s="123"/>
      <c r="M392" s="123"/>
      <c r="N392" s="160"/>
      <c r="O392" s="160"/>
      <c r="P392" s="123"/>
      <c r="Q392" s="123"/>
      <c r="R392" s="123"/>
      <c r="T392" s="42"/>
      <c r="V392" s="123"/>
      <c r="Y392" s="123"/>
      <c r="Z392" s="238"/>
      <c r="AA392" s="123"/>
      <c r="AB392" s="123"/>
      <c r="AC392" s="160"/>
      <c r="AD392" s="160"/>
      <c r="AE392" s="123"/>
      <c r="AF392" s="123"/>
      <c r="AH392" s="236"/>
      <c r="AI392" s="123"/>
      <c r="AJ392" s="123"/>
      <c r="AL392" s="123"/>
      <c r="AM392" s="160"/>
      <c r="AN392" s="160"/>
    </row>
    <row r="393" spans="3:40" x14ac:dyDescent="0.3">
      <c r="C393" s="42"/>
      <c r="F393" s="184"/>
      <c r="H393" s="184"/>
      <c r="I393" s="184"/>
      <c r="J393" s="238"/>
      <c r="K393" s="238"/>
      <c r="L393" s="123"/>
      <c r="M393" s="123"/>
      <c r="N393" s="160"/>
      <c r="O393" s="160"/>
      <c r="P393" s="123"/>
      <c r="Q393" s="123"/>
      <c r="R393" s="123"/>
      <c r="T393" s="42"/>
      <c r="V393" s="123"/>
      <c r="Y393" s="123"/>
      <c r="Z393" s="238"/>
      <c r="AA393" s="123"/>
      <c r="AB393" s="123"/>
      <c r="AC393" s="160"/>
      <c r="AD393" s="160"/>
      <c r="AE393" s="123"/>
      <c r="AF393" s="123"/>
      <c r="AH393" s="236"/>
      <c r="AI393" s="123"/>
      <c r="AJ393" s="123"/>
      <c r="AL393" s="123"/>
      <c r="AM393" s="160"/>
      <c r="AN393" s="160"/>
    </row>
    <row r="394" spans="3:40" x14ac:dyDescent="0.3">
      <c r="C394" s="42"/>
      <c r="J394" s="188"/>
      <c r="K394" s="188"/>
      <c r="T394" s="42"/>
      <c r="Z394" s="188"/>
    </row>
    <row r="395" spans="3:40" x14ac:dyDescent="0.3">
      <c r="C395" s="42"/>
      <c r="F395" s="184"/>
      <c r="H395" s="184"/>
      <c r="I395" s="184"/>
      <c r="J395" s="238"/>
      <c r="K395" s="238"/>
      <c r="L395" s="123"/>
      <c r="M395" s="123"/>
      <c r="N395" s="160"/>
      <c r="O395" s="160"/>
      <c r="P395" s="123"/>
      <c r="Q395" s="123"/>
      <c r="R395" s="123"/>
      <c r="T395" s="42"/>
      <c r="V395" s="123"/>
      <c r="Y395" s="123"/>
      <c r="Z395" s="238"/>
      <c r="AA395" s="123"/>
      <c r="AB395" s="123"/>
      <c r="AC395" s="160"/>
      <c r="AD395" s="160"/>
      <c r="AE395" s="123"/>
      <c r="AF395" s="123"/>
      <c r="AH395" s="236"/>
      <c r="AI395" s="123"/>
      <c r="AJ395" s="123"/>
      <c r="AL395" s="123"/>
      <c r="AM395" s="160"/>
      <c r="AN395" s="160"/>
    </row>
    <row r="396" spans="3:40" x14ac:dyDescent="0.3">
      <c r="C396" s="42"/>
      <c r="F396" s="184"/>
      <c r="H396" s="184"/>
      <c r="I396" s="184"/>
      <c r="J396" s="238"/>
      <c r="K396" s="238"/>
      <c r="L396" s="123"/>
      <c r="M396" s="123"/>
      <c r="N396" s="160"/>
      <c r="O396" s="160"/>
      <c r="P396" s="123"/>
      <c r="Q396" s="123"/>
      <c r="R396" s="123"/>
      <c r="T396" s="42"/>
      <c r="V396" s="123"/>
      <c r="Y396" s="123"/>
      <c r="Z396" s="238"/>
      <c r="AA396" s="123"/>
      <c r="AB396" s="123"/>
      <c r="AC396" s="160"/>
      <c r="AD396" s="160"/>
      <c r="AE396" s="123"/>
      <c r="AF396" s="123"/>
      <c r="AH396" s="236"/>
      <c r="AI396" s="123"/>
      <c r="AJ396" s="123"/>
      <c r="AL396" s="123"/>
      <c r="AM396" s="160"/>
      <c r="AN396" s="160"/>
    </row>
    <row r="397" spans="3:40" x14ac:dyDescent="0.3">
      <c r="C397" s="42"/>
      <c r="F397" s="184"/>
      <c r="H397" s="184"/>
      <c r="I397" s="184"/>
      <c r="J397" s="238"/>
      <c r="K397" s="238"/>
      <c r="L397" s="123"/>
      <c r="M397" s="123"/>
      <c r="N397" s="160"/>
      <c r="O397" s="160"/>
      <c r="P397" s="123"/>
      <c r="Q397" s="123"/>
      <c r="R397" s="123"/>
      <c r="T397" s="42"/>
      <c r="V397" s="123"/>
      <c r="Y397" s="123"/>
      <c r="Z397" s="238"/>
      <c r="AA397" s="123"/>
      <c r="AB397" s="123"/>
      <c r="AC397" s="160"/>
      <c r="AD397" s="160"/>
      <c r="AE397" s="123"/>
      <c r="AF397" s="123"/>
      <c r="AH397" s="236"/>
      <c r="AI397" s="123"/>
      <c r="AJ397" s="123"/>
      <c r="AL397" s="123"/>
      <c r="AM397" s="160"/>
      <c r="AN397" s="160"/>
    </row>
    <row r="398" spans="3:40" x14ac:dyDescent="0.3">
      <c r="C398" s="42"/>
      <c r="J398" s="188"/>
      <c r="K398" s="188"/>
      <c r="T398" s="42"/>
      <c r="Z398" s="188"/>
    </row>
    <row r="399" spans="3:40" x14ac:dyDescent="0.3">
      <c r="C399" s="42"/>
      <c r="F399" s="184"/>
      <c r="H399" s="184"/>
      <c r="I399" s="184"/>
      <c r="J399" s="238"/>
      <c r="K399" s="238"/>
      <c r="L399" s="123"/>
      <c r="M399" s="123"/>
      <c r="N399" s="160"/>
      <c r="O399" s="160"/>
      <c r="P399" s="123"/>
      <c r="Q399" s="123"/>
      <c r="R399" s="123"/>
      <c r="T399" s="42"/>
      <c r="V399" s="123"/>
      <c r="Y399" s="123"/>
      <c r="Z399" s="238"/>
      <c r="AA399" s="123"/>
      <c r="AB399" s="123"/>
      <c r="AC399" s="160"/>
      <c r="AD399" s="160"/>
      <c r="AE399" s="123"/>
      <c r="AF399" s="123"/>
      <c r="AH399" s="236"/>
      <c r="AI399" s="123"/>
      <c r="AJ399" s="123"/>
      <c r="AL399" s="123"/>
      <c r="AM399" s="160"/>
      <c r="AN399" s="160"/>
    </row>
    <row r="400" spans="3:40" x14ac:dyDescent="0.3">
      <c r="C400" s="42"/>
      <c r="F400" s="184"/>
      <c r="H400" s="184"/>
      <c r="I400" s="184"/>
      <c r="J400" s="238"/>
      <c r="K400" s="238"/>
      <c r="L400" s="123"/>
      <c r="M400" s="123"/>
      <c r="N400" s="160"/>
      <c r="O400" s="160"/>
      <c r="P400" s="123"/>
      <c r="Q400" s="123"/>
      <c r="R400" s="123"/>
      <c r="T400" s="42"/>
      <c r="V400" s="123"/>
      <c r="Y400" s="123"/>
      <c r="Z400" s="238"/>
      <c r="AA400" s="123"/>
      <c r="AB400" s="123"/>
      <c r="AC400" s="160"/>
      <c r="AD400" s="160"/>
      <c r="AE400" s="123"/>
      <c r="AF400" s="123"/>
      <c r="AH400" s="236"/>
      <c r="AI400" s="123"/>
      <c r="AJ400" s="123"/>
      <c r="AL400" s="123"/>
      <c r="AM400" s="160"/>
      <c r="AN400" s="160"/>
    </row>
    <row r="401" spans="3:40" x14ac:dyDescent="0.3">
      <c r="C401" s="42"/>
      <c r="J401" s="188"/>
      <c r="K401" s="188"/>
      <c r="T401" s="42"/>
      <c r="Z401" s="188"/>
    </row>
    <row r="402" spans="3:40" x14ac:dyDescent="0.3">
      <c r="C402" s="42"/>
      <c r="F402" s="184"/>
      <c r="H402" s="184"/>
      <c r="I402" s="184"/>
      <c r="J402" s="238"/>
      <c r="K402" s="238"/>
      <c r="L402" s="123"/>
      <c r="M402" s="123"/>
      <c r="N402" s="160"/>
      <c r="O402" s="160"/>
      <c r="P402" s="123"/>
      <c r="Q402" s="123"/>
      <c r="R402" s="123"/>
      <c r="T402" s="42"/>
      <c r="V402" s="123"/>
      <c r="Y402" s="123"/>
      <c r="Z402" s="238"/>
      <c r="AA402" s="123"/>
      <c r="AB402" s="123"/>
      <c r="AC402" s="160"/>
      <c r="AD402" s="160"/>
      <c r="AE402" s="123"/>
      <c r="AF402" s="123"/>
      <c r="AH402" s="236"/>
      <c r="AI402" s="123"/>
      <c r="AJ402" s="123"/>
      <c r="AL402" s="123"/>
      <c r="AM402" s="160"/>
      <c r="AN402" s="160"/>
    </row>
    <row r="403" spans="3:40" x14ac:dyDescent="0.3">
      <c r="C403" s="42"/>
      <c r="F403" s="184"/>
      <c r="H403" s="184"/>
      <c r="I403" s="184"/>
      <c r="J403" s="238"/>
      <c r="K403" s="238"/>
      <c r="L403" s="123"/>
      <c r="M403" s="123"/>
      <c r="N403" s="160"/>
      <c r="O403" s="160"/>
      <c r="P403" s="123"/>
      <c r="Q403" s="123"/>
      <c r="R403" s="123"/>
      <c r="T403" s="42"/>
      <c r="V403" s="123"/>
      <c r="Y403" s="123"/>
      <c r="Z403" s="238"/>
      <c r="AA403" s="123"/>
      <c r="AB403" s="123"/>
      <c r="AC403" s="160"/>
      <c r="AD403" s="160"/>
      <c r="AE403" s="123"/>
      <c r="AF403" s="123"/>
      <c r="AH403" s="236"/>
      <c r="AI403" s="123"/>
      <c r="AJ403" s="123"/>
      <c r="AL403" s="123"/>
      <c r="AM403" s="160"/>
      <c r="AN403" s="160"/>
    </row>
    <row r="404" spans="3:40" x14ac:dyDescent="0.3">
      <c r="C404" s="42"/>
      <c r="F404" s="184"/>
      <c r="H404" s="184"/>
      <c r="I404" s="184"/>
      <c r="J404" s="238"/>
      <c r="K404" s="238"/>
      <c r="L404" s="123"/>
      <c r="M404" s="123"/>
      <c r="N404" s="160"/>
      <c r="O404" s="160"/>
      <c r="P404" s="123"/>
      <c r="Q404" s="123"/>
      <c r="R404" s="123"/>
      <c r="T404" s="42"/>
      <c r="V404" s="123"/>
      <c r="Y404" s="123"/>
      <c r="Z404" s="238"/>
      <c r="AA404" s="123"/>
      <c r="AB404" s="123"/>
      <c r="AC404" s="160"/>
      <c r="AD404" s="160"/>
      <c r="AE404" s="123"/>
      <c r="AF404" s="123"/>
      <c r="AH404" s="236"/>
      <c r="AI404" s="123"/>
      <c r="AJ404" s="123"/>
      <c r="AL404" s="123"/>
      <c r="AM404" s="160"/>
      <c r="AN404" s="160"/>
    </row>
    <row r="405" spans="3:40" x14ac:dyDescent="0.3">
      <c r="F405" s="210"/>
      <c r="H405" s="210"/>
      <c r="I405" s="210"/>
      <c r="J405" s="238"/>
      <c r="K405" s="238"/>
      <c r="L405" s="210"/>
      <c r="M405" s="210"/>
      <c r="N405" s="210"/>
      <c r="O405" s="210"/>
      <c r="P405" s="210"/>
      <c r="Q405" s="210"/>
      <c r="R405" s="210"/>
      <c r="V405" s="210"/>
      <c r="Y405" s="210"/>
      <c r="Z405" s="238"/>
      <c r="AA405" s="210"/>
      <c r="AB405" s="210"/>
      <c r="AC405" s="210"/>
      <c r="AD405" s="210"/>
      <c r="AE405" s="210"/>
      <c r="AF405" s="210"/>
      <c r="AI405" s="210"/>
      <c r="AJ405" s="210"/>
      <c r="AK405" s="214"/>
      <c r="AL405" s="210"/>
    </row>
    <row r="406" spans="3:40" x14ac:dyDescent="0.3">
      <c r="C406" s="44"/>
      <c r="F406" s="123"/>
      <c r="H406" s="123"/>
      <c r="I406" s="123"/>
      <c r="J406" s="188"/>
      <c r="K406" s="188"/>
      <c r="L406" s="123"/>
      <c r="M406" s="123"/>
      <c r="N406" s="236"/>
      <c r="O406" s="236"/>
      <c r="P406" s="123"/>
      <c r="Q406" s="123"/>
      <c r="R406" s="123"/>
      <c r="T406" s="44"/>
      <c r="V406" s="123"/>
      <c r="Y406" s="123"/>
      <c r="Z406" s="188"/>
      <c r="AA406" s="123"/>
      <c r="AB406" s="123"/>
      <c r="AC406" s="123"/>
      <c r="AD406" s="123"/>
      <c r="AE406" s="123"/>
      <c r="AF406" s="123"/>
      <c r="AH406" s="236"/>
      <c r="AI406" s="123"/>
      <c r="AJ406" s="123"/>
      <c r="AL406" s="123"/>
      <c r="AM406" s="160"/>
      <c r="AN406" s="160"/>
    </row>
    <row r="407" spans="3:40" x14ac:dyDescent="0.3">
      <c r="F407" s="210"/>
      <c r="H407" s="210"/>
      <c r="I407" s="210"/>
      <c r="J407" s="238"/>
      <c r="K407" s="238"/>
      <c r="L407" s="210"/>
      <c r="M407" s="210"/>
      <c r="N407" s="210"/>
      <c r="O407" s="210"/>
      <c r="P407" s="210"/>
      <c r="Q407" s="210"/>
      <c r="R407" s="210"/>
      <c r="V407" s="210"/>
      <c r="Y407" s="210"/>
      <c r="Z407" s="238"/>
      <c r="AA407" s="210"/>
      <c r="AB407" s="210"/>
      <c r="AC407" s="210"/>
      <c r="AD407" s="210"/>
      <c r="AE407" s="210"/>
      <c r="AF407" s="210"/>
      <c r="AI407" s="210"/>
      <c r="AJ407" s="210"/>
      <c r="AK407" s="214"/>
      <c r="AL407" s="210"/>
    </row>
    <row r="408" spans="3:40" x14ac:dyDescent="0.3">
      <c r="C408" s="42"/>
      <c r="J408" s="188"/>
      <c r="K408" s="188"/>
      <c r="T408" s="42"/>
      <c r="Z408" s="188"/>
    </row>
    <row r="409" spans="3:40" x14ac:dyDescent="0.3">
      <c r="C409" s="42"/>
      <c r="J409" s="188"/>
      <c r="K409" s="188"/>
      <c r="T409" s="42"/>
      <c r="Z409" s="188"/>
    </row>
    <row r="410" spans="3:40" x14ac:dyDescent="0.3">
      <c r="C410" s="42"/>
      <c r="F410" s="184"/>
      <c r="H410" s="184"/>
      <c r="I410" s="184"/>
      <c r="J410" s="238"/>
      <c r="K410" s="238"/>
      <c r="L410" s="123"/>
      <c r="M410" s="123"/>
      <c r="N410" s="160"/>
      <c r="O410" s="160"/>
      <c r="P410" s="123"/>
      <c r="Q410" s="123"/>
      <c r="R410" s="123"/>
      <c r="T410" s="42"/>
      <c r="V410" s="123"/>
      <c r="Y410" s="123"/>
      <c r="Z410" s="238"/>
      <c r="AA410" s="123"/>
      <c r="AB410" s="123"/>
      <c r="AC410" s="160"/>
      <c r="AD410" s="160"/>
      <c r="AE410" s="123"/>
      <c r="AF410" s="123"/>
      <c r="AH410" s="236"/>
      <c r="AI410" s="123"/>
      <c r="AJ410" s="123"/>
      <c r="AL410" s="123"/>
      <c r="AM410" s="160"/>
      <c r="AN410" s="160"/>
    </row>
    <row r="411" spans="3:40" x14ac:dyDescent="0.3">
      <c r="C411" s="42"/>
      <c r="F411" s="184"/>
      <c r="H411" s="184"/>
      <c r="I411" s="184"/>
      <c r="J411" s="238"/>
      <c r="K411" s="238"/>
      <c r="L411" s="123"/>
      <c r="M411" s="123"/>
      <c r="N411" s="160"/>
      <c r="O411" s="160"/>
      <c r="P411" s="123"/>
      <c r="Q411" s="123"/>
      <c r="R411" s="123"/>
      <c r="T411" s="42"/>
      <c r="V411" s="123"/>
      <c r="Y411" s="123"/>
      <c r="Z411" s="238"/>
      <c r="AA411" s="123"/>
      <c r="AB411" s="123"/>
      <c r="AC411" s="160"/>
      <c r="AD411" s="160"/>
      <c r="AE411" s="123"/>
      <c r="AF411" s="123"/>
      <c r="AH411" s="236"/>
      <c r="AI411" s="123"/>
      <c r="AJ411" s="123"/>
      <c r="AL411" s="123"/>
      <c r="AM411" s="160"/>
      <c r="AN411" s="160"/>
    </row>
    <row r="412" spans="3:40" x14ac:dyDescent="0.3">
      <c r="C412" s="42"/>
      <c r="F412" s="184"/>
      <c r="H412" s="184"/>
      <c r="I412" s="184"/>
      <c r="J412" s="238"/>
      <c r="K412" s="238"/>
      <c r="L412" s="123"/>
      <c r="M412" s="123"/>
      <c r="N412" s="160"/>
      <c r="O412" s="160"/>
      <c r="P412" s="123"/>
      <c r="Q412" s="123"/>
      <c r="R412" s="123"/>
      <c r="T412" s="42"/>
      <c r="V412" s="123"/>
      <c r="Y412" s="123"/>
      <c r="Z412" s="238"/>
      <c r="AA412" s="123"/>
      <c r="AB412" s="123"/>
      <c r="AC412" s="160"/>
      <c r="AD412" s="160"/>
      <c r="AE412" s="123"/>
      <c r="AF412" s="123"/>
      <c r="AH412" s="236"/>
      <c r="AI412" s="123"/>
      <c r="AJ412" s="123"/>
      <c r="AL412" s="123"/>
      <c r="AM412" s="160"/>
      <c r="AN412" s="160"/>
    </row>
    <row r="413" spans="3:40" x14ac:dyDescent="0.3">
      <c r="C413" s="42"/>
      <c r="F413" s="184"/>
      <c r="H413" s="184"/>
      <c r="I413" s="184"/>
      <c r="J413" s="238"/>
      <c r="K413" s="238"/>
      <c r="L413" s="123"/>
      <c r="M413" s="123"/>
      <c r="N413" s="160"/>
      <c r="O413" s="160"/>
      <c r="P413" s="123"/>
      <c r="Q413" s="123"/>
      <c r="R413" s="123"/>
      <c r="T413" s="42"/>
      <c r="V413" s="123"/>
      <c r="Y413" s="123"/>
      <c r="Z413" s="238"/>
      <c r="AA413" s="123"/>
      <c r="AB413" s="123"/>
      <c r="AC413" s="160"/>
      <c r="AD413" s="160"/>
      <c r="AE413" s="123"/>
      <c r="AF413" s="123"/>
      <c r="AH413" s="236"/>
      <c r="AI413" s="123"/>
      <c r="AJ413" s="123"/>
      <c r="AL413" s="123"/>
      <c r="AM413" s="160"/>
      <c r="AN413" s="160"/>
    </row>
    <row r="414" spans="3:40" x14ac:dyDescent="0.3">
      <c r="C414" s="42"/>
      <c r="F414" s="184"/>
      <c r="H414" s="184"/>
      <c r="I414" s="184"/>
      <c r="J414" s="238"/>
      <c r="K414" s="238"/>
      <c r="L414" s="123"/>
      <c r="M414" s="123"/>
      <c r="N414" s="160"/>
      <c r="O414" s="160"/>
      <c r="P414" s="123"/>
      <c r="Q414" s="123"/>
      <c r="R414" s="123"/>
      <c r="T414" s="42"/>
      <c r="V414" s="123"/>
      <c r="Y414" s="123"/>
      <c r="Z414" s="238"/>
      <c r="AA414" s="123"/>
      <c r="AB414" s="123"/>
      <c r="AC414" s="160"/>
      <c r="AD414" s="160"/>
      <c r="AE414" s="123"/>
      <c r="AF414" s="123"/>
      <c r="AH414" s="236"/>
      <c r="AI414" s="123"/>
      <c r="AJ414" s="123"/>
      <c r="AL414" s="123"/>
      <c r="AM414" s="160"/>
      <c r="AN414" s="160"/>
    </row>
    <row r="415" spans="3:40" x14ac:dyDescent="0.3">
      <c r="C415" s="42"/>
      <c r="F415" s="184"/>
      <c r="H415" s="184"/>
      <c r="I415" s="184"/>
      <c r="J415" s="238"/>
      <c r="K415" s="238"/>
      <c r="L415" s="123"/>
      <c r="M415" s="123"/>
      <c r="N415" s="160"/>
      <c r="O415" s="160"/>
      <c r="P415" s="123"/>
      <c r="Q415" s="123"/>
      <c r="R415" s="123"/>
      <c r="T415" s="42"/>
      <c r="V415" s="123"/>
      <c r="Y415" s="123"/>
      <c r="Z415" s="238"/>
      <c r="AA415" s="123"/>
      <c r="AB415" s="123"/>
      <c r="AC415" s="160"/>
      <c r="AD415" s="160"/>
      <c r="AE415" s="123"/>
      <c r="AF415" s="123"/>
      <c r="AH415" s="236"/>
      <c r="AI415" s="123"/>
      <c r="AJ415" s="123"/>
      <c r="AL415" s="123"/>
      <c r="AM415" s="160"/>
      <c r="AN415" s="160"/>
    </row>
    <row r="416" spans="3:40" x14ac:dyDescent="0.3">
      <c r="C416" s="42"/>
      <c r="F416" s="184"/>
      <c r="H416" s="184"/>
      <c r="I416" s="184"/>
      <c r="J416" s="238"/>
      <c r="K416" s="238"/>
      <c r="L416" s="123"/>
      <c r="M416" s="123"/>
      <c r="N416" s="160"/>
      <c r="O416" s="160"/>
      <c r="P416" s="123"/>
      <c r="Q416" s="123"/>
      <c r="R416" s="123"/>
      <c r="T416" s="42"/>
      <c r="V416" s="123"/>
      <c r="Y416" s="123"/>
      <c r="Z416" s="238"/>
      <c r="AA416" s="123"/>
      <c r="AB416" s="123"/>
      <c r="AC416" s="160"/>
      <c r="AD416" s="160"/>
      <c r="AE416" s="123"/>
      <c r="AF416" s="123"/>
      <c r="AH416" s="236"/>
      <c r="AI416" s="123"/>
      <c r="AJ416" s="123"/>
      <c r="AL416" s="123"/>
      <c r="AM416" s="160"/>
      <c r="AN416" s="160"/>
    </row>
    <row r="417" spans="3:40" x14ac:dyDescent="0.3">
      <c r="C417" s="42"/>
      <c r="J417" s="188"/>
      <c r="K417" s="188"/>
      <c r="T417" s="42"/>
      <c r="Z417" s="188"/>
    </row>
    <row r="418" spans="3:40" x14ac:dyDescent="0.3">
      <c r="C418" s="42"/>
      <c r="F418" s="184"/>
      <c r="H418" s="184"/>
      <c r="I418" s="184"/>
      <c r="J418" s="238"/>
      <c r="K418" s="238"/>
      <c r="L418" s="123"/>
      <c r="M418" s="123"/>
      <c r="N418" s="160"/>
      <c r="O418" s="160"/>
      <c r="P418" s="123"/>
      <c r="Q418" s="123"/>
      <c r="R418" s="123"/>
      <c r="T418" s="42"/>
      <c r="V418" s="123"/>
      <c r="Y418" s="123"/>
      <c r="Z418" s="238"/>
      <c r="AA418" s="123"/>
      <c r="AB418" s="123"/>
      <c r="AC418" s="160"/>
      <c r="AD418" s="160"/>
      <c r="AE418" s="123"/>
      <c r="AF418" s="123"/>
      <c r="AH418" s="236"/>
      <c r="AI418" s="123"/>
      <c r="AJ418" s="123"/>
      <c r="AL418" s="123"/>
      <c r="AM418" s="160"/>
      <c r="AN418" s="160"/>
    </row>
    <row r="419" spans="3:40" x14ac:dyDescent="0.3">
      <c r="C419" s="42"/>
      <c r="F419" s="184"/>
      <c r="H419" s="184"/>
      <c r="I419" s="184"/>
      <c r="J419" s="238"/>
      <c r="K419" s="238"/>
      <c r="L419" s="123"/>
      <c r="M419" s="123"/>
      <c r="N419" s="160"/>
      <c r="O419" s="160"/>
      <c r="P419" s="123"/>
      <c r="Q419" s="123"/>
      <c r="R419" s="123"/>
      <c r="T419" s="42"/>
      <c r="V419" s="123"/>
      <c r="Y419" s="123"/>
      <c r="Z419" s="238"/>
      <c r="AA419" s="123"/>
      <c r="AB419" s="123"/>
      <c r="AC419" s="160"/>
      <c r="AD419" s="160"/>
      <c r="AE419" s="123"/>
      <c r="AF419" s="123"/>
      <c r="AH419" s="236"/>
      <c r="AI419" s="123"/>
      <c r="AJ419" s="123"/>
      <c r="AL419" s="123"/>
      <c r="AM419" s="160"/>
      <c r="AN419" s="160"/>
    </row>
    <row r="420" spans="3:40" x14ac:dyDescent="0.3">
      <c r="C420" s="42"/>
      <c r="F420" s="184"/>
      <c r="H420" s="184"/>
      <c r="I420" s="184"/>
      <c r="J420" s="238"/>
      <c r="K420" s="238"/>
      <c r="L420" s="123"/>
      <c r="M420" s="123"/>
      <c r="N420" s="160"/>
      <c r="O420" s="160"/>
      <c r="P420" s="123"/>
      <c r="Q420" s="123"/>
      <c r="R420" s="123"/>
      <c r="T420" s="42"/>
      <c r="V420" s="123"/>
      <c r="Y420" s="123"/>
      <c r="Z420" s="238"/>
      <c r="AA420" s="123"/>
      <c r="AB420" s="123"/>
      <c r="AC420" s="160"/>
      <c r="AD420" s="160"/>
      <c r="AE420" s="123"/>
      <c r="AF420" s="123"/>
      <c r="AH420" s="236"/>
      <c r="AI420" s="123"/>
      <c r="AJ420" s="123"/>
      <c r="AL420" s="123"/>
      <c r="AM420" s="160"/>
      <c r="AN420" s="160"/>
    </row>
    <row r="421" spans="3:40" x14ac:dyDescent="0.3">
      <c r="C421" s="42"/>
      <c r="F421" s="184"/>
      <c r="H421" s="184"/>
      <c r="I421" s="184"/>
      <c r="J421" s="238"/>
      <c r="K421" s="238"/>
      <c r="L421" s="123"/>
      <c r="M421" s="123"/>
      <c r="N421" s="160"/>
      <c r="O421" s="160"/>
      <c r="P421" s="123"/>
      <c r="Q421" s="123"/>
      <c r="R421" s="123"/>
      <c r="T421" s="42"/>
      <c r="V421" s="123"/>
      <c r="Y421" s="123"/>
      <c r="Z421" s="238"/>
      <c r="AA421" s="123"/>
      <c r="AB421" s="123"/>
      <c r="AC421" s="160"/>
      <c r="AD421" s="160"/>
      <c r="AE421" s="123"/>
      <c r="AF421" s="123"/>
      <c r="AH421" s="236"/>
      <c r="AI421" s="123"/>
      <c r="AJ421" s="123"/>
      <c r="AL421" s="123"/>
      <c r="AM421" s="160"/>
      <c r="AN421" s="160"/>
    </row>
    <row r="422" spans="3:40" x14ac:dyDescent="0.3">
      <c r="C422" s="42"/>
      <c r="J422" s="188"/>
      <c r="K422" s="188"/>
      <c r="T422" s="42"/>
      <c r="Z422" s="188"/>
    </row>
    <row r="423" spans="3:40" x14ac:dyDescent="0.3">
      <c r="C423" s="42"/>
      <c r="F423" s="184"/>
      <c r="H423" s="184"/>
      <c r="I423" s="184"/>
      <c r="J423" s="238"/>
      <c r="K423" s="238"/>
      <c r="L423" s="123"/>
      <c r="M423" s="123"/>
      <c r="N423" s="160"/>
      <c r="O423" s="160"/>
      <c r="P423" s="123"/>
      <c r="Q423" s="123"/>
      <c r="R423" s="123"/>
      <c r="T423" s="42"/>
      <c r="V423" s="123"/>
      <c r="Y423" s="123"/>
      <c r="Z423" s="238"/>
      <c r="AA423" s="123"/>
      <c r="AB423" s="123"/>
      <c r="AC423" s="160"/>
      <c r="AD423" s="160"/>
      <c r="AE423" s="123"/>
      <c r="AF423" s="123"/>
      <c r="AH423" s="236"/>
      <c r="AI423" s="123"/>
      <c r="AJ423" s="123"/>
      <c r="AL423" s="123"/>
      <c r="AM423" s="160"/>
      <c r="AN423" s="160"/>
    </row>
    <row r="424" spans="3:40" x14ac:dyDescent="0.3">
      <c r="C424" s="42"/>
      <c r="F424" s="184"/>
      <c r="H424" s="184"/>
      <c r="I424" s="184"/>
      <c r="J424" s="238"/>
      <c r="K424" s="238"/>
      <c r="L424" s="123"/>
      <c r="M424" s="123"/>
      <c r="N424" s="160"/>
      <c r="O424" s="160"/>
      <c r="P424" s="123"/>
      <c r="Q424" s="123"/>
      <c r="R424" s="123"/>
      <c r="T424" s="42"/>
      <c r="V424" s="123"/>
      <c r="Y424" s="123"/>
      <c r="Z424" s="238"/>
      <c r="AA424" s="123"/>
      <c r="AB424" s="123"/>
      <c r="AC424" s="160"/>
      <c r="AD424" s="160"/>
      <c r="AE424" s="123"/>
      <c r="AF424" s="123"/>
      <c r="AH424" s="236"/>
      <c r="AI424" s="123"/>
      <c r="AJ424" s="123"/>
      <c r="AL424" s="123"/>
      <c r="AM424" s="160"/>
      <c r="AN424" s="160"/>
    </row>
    <row r="425" spans="3:40" x14ac:dyDescent="0.3">
      <c r="C425" s="42"/>
      <c r="F425" s="184"/>
      <c r="H425" s="184"/>
      <c r="I425" s="184"/>
      <c r="J425" s="238"/>
      <c r="K425" s="238"/>
      <c r="L425" s="123"/>
      <c r="M425" s="123"/>
      <c r="N425" s="160"/>
      <c r="O425" s="160"/>
      <c r="P425" s="123"/>
      <c r="Q425" s="123"/>
      <c r="R425" s="123"/>
      <c r="T425" s="42"/>
      <c r="V425" s="123"/>
      <c r="Y425" s="123"/>
      <c r="Z425" s="238"/>
      <c r="AA425" s="123"/>
      <c r="AB425" s="123"/>
      <c r="AC425" s="160"/>
      <c r="AD425" s="160"/>
      <c r="AE425" s="123"/>
      <c r="AF425" s="123"/>
      <c r="AH425" s="236"/>
      <c r="AI425" s="123"/>
      <c r="AJ425" s="123"/>
      <c r="AL425" s="123"/>
      <c r="AM425" s="160"/>
      <c r="AN425" s="160"/>
    </row>
    <row r="426" spans="3:40" x14ac:dyDescent="0.3">
      <c r="C426" s="42"/>
      <c r="F426" s="184"/>
      <c r="H426" s="184"/>
      <c r="I426" s="184"/>
      <c r="J426" s="238"/>
      <c r="K426" s="238"/>
      <c r="L426" s="123"/>
      <c r="M426" s="123"/>
      <c r="N426" s="160"/>
      <c r="O426" s="160"/>
      <c r="P426" s="123"/>
      <c r="Q426" s="123"/>
      <c r="R426" s="123"/>
      <c r="T426" s="42"/>
      <c r="V426" s="123"/>
      <c r="Y426" s="123"/>
      <c r="Z426" s="238"/>
      <c r="AA426" s="123"/>
      <c r="AB426" s="123"/>
      <c r="AC426" s="160"/>
      <c r="AD426" s="160"/>
      <c r="AE426" s="123"/>
      <c r="AF426" s="123"/>
      <c r="AH426" s="236"/>
      <c r="AI426" s="123"/>
      <c r="AJ426" s="123"/>
      <c r="AL426" s="123"/>
      <c r="AM426" s="160"/>
      <c r="AN426" s="160"/>
    </row>
    <row r="427" spans="3:40" x14ac:dyDescent="0.3">
      <c r="C427" s="42"/>
      <c r="F427" s="184"/>
      <c r="H427" s="184"/>
      <c r="I427" s="184"/>
      <c r="J427" s="238"/>
      <c r="K427" s="238"/>
      <c r="L427" s="123"/>
      <c r="M427" s="123"/>
      <c r="N427" s="160"/>
      <c r="O427" s="160"/>
      <c r="P427" s="123"/>
      <c r="Q427" s="123"/>
      <c r="R427" s="123"/>
      <c r="T427" s="42"/>
      <c r="V427" s="123"/>
      <c r="Y427" s="123"/>
      <c r="Z427" s="238"/>
      <c r="AA427" s="123"/>
      <c r="AB427" s="123"/>
      <c r="AC427" s="160"/>
      <c r="AD427" s="160"/>
      <c r="AE427" s="123"/>
      <c r="AF427" s="123"/>
      <c r="AH427" s="236"/>
      <c r="AI427" s="123"/>
      <c r="AJ427" s="123"/>
      <c r="AL427" s="123"/>
      <c r="AM427" s="160"/>
      <c r="AN427" s="160"/>
    </row>
    <row r="428" spans="3:40" x14ac:dyDescent="0.3">
      <c r="F428" s="210"/>
      <c r="H428" s="210"/>
      <c r="I428" s="210"/>
      <c r="J428" s="213"/>
      <c r="K428" s="213"/>
      <c r="L428" s="210"/>
      <c r="M428" s="210"/>
      <c r="N428" s="210"/>
      <c r="O428" s="210"/>
      <c r="P428" s="210"/>
      <c r="Q428" s="210"/>
      <c r="R428" s="210"/>
      <c r="V428" s="210"/>
      <c r="Y428" s="210"/>
      <c r="Z428" s="238"/>
      <c r="AA428" s="210"/>
      <c r="AB428" s="210"/>
      <c r="AC428" s="210"/>
      <c r="AD428" s="210"/>
      <c r="AE428" s="210"/>
      <c r="AF428" s="210"/>
      <c r="AI428" s="210"/>
      <c r="AJ428" s="210"/>
      <c r="AK428" s="214"/>
      <c r="AL428" s="210"/>
    </row>
    <row r="429" spans="3:40" x14ac:dyDescent="0.3">
      <c r="C429" s="42"/>
      <c r="F429" s="123"/>
      <c r="H429" s="123"/>
      <c r="I429" s="123"/>
      <c r="L429" s="123"/>
      <c r="M429" s="123"/>
      <c r="N429" s="236"/>
      <c r="O429" s="236"/>
      <c r="P429" s="123"/>
      <c r="Q429" s="123"/>
      <c r="R429" s="123"/>
      <c r="T429" s="42"/>
      <c r="V429" s="123"/>
      <c r="Y429" s="123"/>
      <c r="AA429" s="123"/>
      <c r="AB429" s="123"/>
      <c r="AC429" s="160"/>
      <c r="AD429" s="160"/>
      <c r="AE429" s="123"/>
      <c r="AF429" s="123"/>
      <c r="AH429" s="236"/>
      <c r="AI429" s="123"/>
      <c r="AJ429" s="123"/>
      <c r="AL429" s="123"/>
      <c r="AM429" s="160"/>
      <c r="AN429" s="160"/>
    </row>
    <row r="430" spans="3:40" x14ac:dyDescent="0.3">
      <c r="F430" s="210"/>
      <c r="H430" s="210"/>
      <c r="I430" s="210"/>
      <c r="J430" s="213"/>
      <c r="K430" s="213"/>
      <c r="L430" s="210"/>
      <c r="M430" s="210"/>
      <c r="N430" s="210"/>
      <c r="O430" s="210"/>
      <c r="P430" s="210"/>
      <c r="Q430" s="210"/>
      <c r="R430" s="210"/>
      <c r="V430" s="210"/>
      <c r="Y430" s="210"/>
      <c r="Z430" s="213"/>
      <c r="AA430" s="210"/>
      <c r="AB430" s="210"/>
      <c r="AC430" s="210"/>
      <c r="AD430" s="210"/>
      <c r="AE430" s="210"/>
      <c r="AF430" s="210"/>
      <c r="AI430" s="210"/>
      <c r="AJ430" s="210"/>
      <c r="AK430" s="214"/>
      <c r="AL430" s="210"/>
    </row>
    <row r="431" spans="3:40" x14ac:dyDescent="0.3">
      <c r="C431" s="42"/>
      <c r="T431" s="42"/>
    </row>
    <row r="432" spans="3:40" x14ac:dyDescent="0.3">
      <c r="C432" s="42"/>
      <c r="F432" s="184"/>
      <c r="H432" s="184"/>
      <c r="I432" s="184"/>
      <c r="J432" s="193"/>
      <c r="K432" s="193"/>
      <c r="L432" s="123"/>
      <c r="M432" s="123"/>
      <c r="N432" s="160"/>
      <c r="O432" s="160"/>
      <c r="P432" s="123"/>
      <c r="Q432" s="123"/>
      <c r="R432" s="123"/>
      <c r="T432" s="42"/>
      <c r="V432" s="123"/>
      <c r="Y432" s="123"/>
      <c r="Z432" s="193"/>
      <c r="AA432" s="123"/>
      <c r="AB432" s="123"/>
      <c r="AC432" s="160"/>
      <c r="AD432" s="160"/>
      <c r="AE432" s="123"/>
      <c r="AF432" s="123"/>
      <c r="AH432" s="236"/>
      <c r="AI432" s="123"/>
      <c r="AJ432" s="123"/>
      <c r="AL432" s="123"/>
      <c r="AM432" s="160"/>
      <c r="AN432" s="160"/>
    </row>
    <row r="433" spans="1:40" x14ac:dyDescent="0.3">
      <c r="C433" s="42"/>
      <c r="F433" s="184"/>
      <c r="H433" s="184"/>
      <c r="I433" s="184"/>
      <c r="J433" s="193"/>
      <c r="K433" s="193"/>
      <c r="L433" s="123"/>
      <c r="M433" s="123"/>
      <c r="N433" s="160"/>
      <c r="O433" s="160"/>
      <c r="P433" s="123"/>
      <c r="Q433" s="123"/>
      <c r="R433" s="123"/>
      <c r="T433" s="42"/>
      <c r="V433" s="123"/>
      <c r="Y433" s="123"/>
      <c r="Z433" s="193"/>
      <c r="AA433" s="123"/>
      <c r="AB433" s="123"/>
      <c r="AC433" s="160"/>
      <c r="AD433" s="160"/>
      <c r="AE433" s="123"/>
      <c r="AF433" s="123"/>
      <c r="AH433" s="236"/>
      <c r="AI433" s="123"/>
      <c r="AJ433" s="123"/>
      <c r="AL433" s="123"/>
      <c r="AM433" s="160"/>
      <c r="AN433" s="160"/>
    </row>
    <row r="434" spans="1:40" x14ac:dyDescent="0.3">
      <c r="F434" s="210"/>
      <c r="H434" s="123"/>
      <c r="I434" s="123"/>
      <c r="J434" s="213"/>
      <c r="K434" s="213"/>
      <c r="L434" s="210"/>
      <c r="M434" s="210"/>
      <c r="N434" s="210"/>
      <c r="O434" s="210"/>
      <c r="P434" s="210"/>
      <c r="Q434" s="210"/>
      <c r="R434" s="210"/>
      <c r="V434" s="210"/>
      <c r="Y434" s="123"/>
      <c r="Z434" s="213"/>
      <c r="AA434" s="210"/>
      <c r="AB434" s="210"/>
      <c r="AC434" s="210"/>
      <c r="AD434" s="210"/>
      <c r="AE434" s="210"/>
      <c r="AF434" s="210"/>
      <c r="AI434" s="210"/>
      <c r="AJ434" s="210"/>
      <c r="AK434" s="214"/>
      <c r="AL434" s="210"/>
    </row>
    <row r="435" spans="1:40" x14ac:dyDescent="0.3">
      <c r="F435" s="123"/>
      <c r="H435" s="123"/>
      <c r="I435" s="123"/>
      <c r="J435" s="213"/>
      <c r="K435" s="213"/>
      <c r="L435" s="123"/>
      <c r="M435" s="123"/>
      <c r="N435" s="123"/>
      <c r="O435" s="123"/>
      <c r="P435" s="123"/>
      <c r="Q435" s="123"/>
      <c r="R435" s="123"/>
      <c r="V435" s="123"/>
      <c r="Y435" s="123"/>
      <c r="Z435" s="213"/>
      <c r="AA435" s="123"/>
      <c r="AB435" s="123"/>
      <c r="AC435" s="123"/>
      <c r="AD435" s="123"/>
      <c r="AE435" s="123"/>
      <c r="AF435" s="123"/>
      <c r="AI435" s="123"/>
      <c r="AJ435" s="123"/>
      <c r="AL435" s="123"/>
    </row>
    <row r="436" spans="1:40" x14ac:dyDescent="0.3">
      <c r="C436" s="42"/>
      <c r="F436" s="123"/>
      <c r="H436" s="123"/>
      <c r="I436" s="123"/>
      <c r="L436" s="123"/>
      <c r="M436" s="123"/>
      <c r="N436" s="160"/>
      <c r="O436" s="160"/>
      <c r="P436" s="123"/>
      <c r="Q436" s="123"/>
      <c r="R436" s="123"/>
      <c r="T436" s="42"/>
      <c r="V436" s="123"/>
      <c r="Y436" s="123"/>
      <c r="AA436" s="123"/>
      <c r="AB436" s="123"/>
      <c r="AC436" s="160"/>
      <c r="AD436" s="160"/>
      <c r="AE436" s="123"/>
      <c r="AF436" s="123"/>
      <c r="AH436" s="236"/>
      <c r="AI436" s="184"/>
      <c r="AJ436" s="184"/>
      <c r="AL436" s="123"/>
      <c r="AM436" s="160"/>
      <c r="AN436" s="160"/>
    </row>
    <row r="437" spans="1:40" x14ac:dyDescent="0.3">
      <c r="F437" s="210"/>
      <c r="H437" s="210"/>
      <c r="I437" s="210"/>
      <c r="J437" s="213"/>
      <c r="K437" s="213"/>
      <c r="L437" s="210"/>
      <c r="M437" s="210"/>
      <c r="N437" s="210"/>
      <c r="O437" s="210"/>
      <c r="P437" s="210"/>
      <c r="Q437" s="210"/>
      <c r="R437" s="210"/>
      <c r="V437" s="210"/>
      <c r="Y437" s="210"/>
      <c r="Z437" s="213"/>
      <c r="AA437" s="210"/>
      <c r="AB437" s="210"/>
      <c r="AC437" s="210"/>
      <c r="AD437" s="210"/>
      <c r="AE437" s="210"/>
      <c r="AF437" s="210"/>
      <c r="AI437" s="210"/>
      <c r="AJ437" s="210"/>
      <c r="AK437" s="214"/>
      <c r="AL437" s="210"/>
    </row>
    <row r="439" spans="1:40" x14ac:dyDescent="0.3">
      <c r="A439" s="42"/>
      <c r="T439" s="42"/>
    </row>
    <row r="440" spans="1:40" x14ac:dyDescent="0.3">
      <c r="A440" s="42"/>
      <c r="T440" s="42"/>
    </row>
    <row r="441" spans="1:40" x14ac:dyDescent="0.3">
      <c r="A441" s="42"/>
      <c r="T441" s="42"/>
    </row>
    <row r="442" spans="1:40" x14ac:dyDescent="0.3">
      <c r="A442" s="42"/>
      <c r="T442" s="42"/>
    </row>
    <row r="443" spans="1:40" x14ac:dyDescent="0.3">
      <c r="A443" s="42"/>
      <c r="T443" s="42"/>
    </row>
    <row r="444" spans="1:40" x14ac:dyDescent="0.3">
      <c r="A444" s="42"/>
      <c r="T444" s="42"/>
    </row>
    <row r="445" spans="1:40" x14ac:dyDescent="0.3">
      <c r="A445" s="42"/>
      <c r="T445" s="42"/>
    </row>
    <row r="446" spans="1:40" x14ac:dyDescent="0.3">
      <c r="A446" s="42"/>
      <c r="T446" s="42"/>
    </row>
    <row r="447" spans="1:40" x14ac:dyDescent="0.3">
      <c r="A447" s="42"/>
      <c r="T447" s="42"/>
    </row>
    <row r="449" spans="1:40" x14ac:dyDescent="0.3">
      <c r="A449" s="42"/>
    </row>
    <row r="451" spans="1:40" x14ac:dyDescent="0.3">
      <c r="H451" s="42"/>
      <c r="I451" s="42"/>
      <c r="Y451" s="42"/>
    </row>
    <row r="453" spans="1:40" x14ac:dyDescent="0.3">
      <c r="L453" s="42"/>
      <c r="M453" s="42"/>
      <c r="AA453" s="42"/>
      <c r="AB453" s="42"/>
    </row>
    <row r="454" spans="1:40" x14ac:dyDescent="0.3">
      <c r="R454" s="42"/>
      <c r="AK454" s="206"/>
      <c r="AL454" s="42"/>
    </row>
    <row r="455" spans="1:40" x14ac:dyDescent="0.3">
      <c r="R455" s="42"/>
      <c r="AK455" s="206"/>
      <c r="AL455" s="42"/>
    </row>
    <row r="456" spans="1:40" x14ac:dyDescent="0.3">
      <c r="A456" s="42"/>
      <c r="R456" s="42"/>
      <c r="AK456" s="206"/>
      <c r="AL456" s="42"/>
    </row>
    <row r="457" spans="1:40" x14ac:dyDescent="0.3">
      <c r="L457" s="42"/>
      <c r="M457" s="42"/>
      <c r="AA457" s="42"/>
      <c r="AB457" s="42"/>
    </row>
    <row r="458" spans="1:40" x14ac:dyDescent="0.3">
      <c r="A458" s="135"/>
      <c r="B458" s="135"/>
      <c r="C458" s="135"/>
      <c r="D458" s="135"/>
      <c r="E458" s="135"/>
      <c r="F458" s="135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207"/>
      <c r="AH458" s="135"/>
      <c r="AI458" s="135"/>
      <c r="AJ458" s="135"/>
      <c r="AK458" s="207"/>
      <c r="AL458" s="135"/>
      <c r="AM458" s="135"/>
      <c r="AN458" s="135"/>
    </row>
    <row r="459" spans="1:40" x14ac:dyDescent="0.3">
      <c r="L459" s="44"/>
      <c r="M459" s="44"/>
      <c r="N459" s="44"/>
      <c r="O459" s="44"/>
      <c r="R459" s="44"/>
      <c r="AA459" s="44"/>
      <c r="AB459" s="44"/>
      <c r="AC459" s="44"/>
      <c r="AD459" s="44"/>
      <c r="AE459" s="44"/>
      <c r="AF459" s="44"/>
      <c r="AG459" s="168"/>
      <c r="AH459" s="44"/>
      <c r="AK459" s="168"/>
      <c r="AL459" s="44"/>
      <c r="AM459" s="44"/>
      <c r="AN459" s="44"/>
    </row>
    <row r="460" spans="1:40" x14ac:dyDescent="0.3">
      <c r="L460" s="44"/>
      <c r="M460" s="44"/>
      <c r="N460" s="44"/>
      <c r="O460" s="44"/>
      <c r="R460" s="44"/>
      <c r="Z460" s="44"/>
      <c r="AA460" s="44"/>
      <c r="AB460" s="44"/>
      <c r="AC460" s="44"/>
      <c r="AD460" s="44"/>
      <c r="AE460" s="44"/>
      <c r="AF460" s="44"/>
      <c r="AG460" s="168"/>
      <c r="AH460" s="44"/>
      <c r="AK460" s="168"/>
      <c r="AL460" s="44"/>
      <c r="AM460" s="44"/>
      <c r="AN460" s="44"/>
    </row>
    <row r="461" spans="1:40" x14ac:dyDescent="0.3">
      <c r="A461" s="44"/>
      <c r="C461" s="44"/>
      <c r="D461" s="44"/>
      <c r="E461" s="44"/>
      <c r="F461" s="44"/>
      <c r="J461" s="44"/>
      <c r="K461" s="44"/>
      <c r="L461" s="44"/>
      <c r="M461" s="44"/>
      <c r="N461" s="44"/>
      <c r="O461" s="44"/>
      <c r="P461" s="44"/>
      <c r="Q461" s="44"/>
      <c r="R461" s="44"/>
      <c r="T461" s="44"/>
      <c r="U461" s="44"/>
      <c r="V461" s="44"/>
      <c r="Z461" s="44"/>
      <c r="AA461" s="44"/>
      <c r="AB461" s="44"/>
      <c r="AC461" s="44"/>
      <c r="AD461" s="44"/>
      <c r="AE461" s="44"/>
      <c r="AF461" s="44"/>
      <c r="AG461" s="168"/>
      <c r="AH461" s="44"/>
      <c r="AI461" s="44"/>
      <c r="AJ461" s="44"/>
      <c r="AK461" s="168"/>
      <c r="AL461" s="44"/>
      <c r="AM461" s="44"/>
      <c r="AN461" s="44"/>
    </row>
    <row r="462" spans="1:40" x14ac:dyDescent="0.3">
      <c r="A462" s="44"/>
      <c r="C462" s="44"/>
      <c r="D462" s="44"/>
      <c r="E462" s="44"/>
      <c r="F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T462" s="44"/>
      <c r="U462" s="44"/>
      <c r="V462" s="44"/>
      <c r="Y462" s="44"/>
      <c r="Z462" s="44"/>
      <c r="AA462" s="44"/>
      <c r="AB462" s="44"/>
      <c r="AC462" s="44"/>
      <c r="AD462" s="44"/>
      <c r="AE462" s="44"/>
      <c r="AF462" s="44"/>
      <c r="AG462" s="168"/>
      <c r="AH462" s="44"/>
      <c r="AI462" s="44"/>
      <c r="AJ462" s="44"/>
      <c r="AK462" s="168"/>
      <c r="AL462" s="44"/>
      <c r="AM462" s="44"/>
      <c r="AN462" s="44"/>
    </row>
    <row r="463" spans="1:40" x14ac:dyDescent="0.3">
      <c r="C463" s="44"/>
      <c r="D463" s="44"/>
      <c r="E463" s="44"/>
      <c r="F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T463" s="44"/>
      <c r="U463" s="44"/>
      <c r="V463" s="44"/>
      <c r="Y463" s="44"/>
      <c r="Z463" s="44"/>
      <c r="AA463" s="44"/>
      <c r="AB463" s="44"/>
      <c r="AC463" s="44"/>
      <c r="AD463" s="44"/>
      <c r="AE463" s="44"/>
      <c r="AF463" s="44"/>
      <c r="AG463" s="168"/>
      <c r="AH463" s="44"/>
      <c r="AI463" s="44"/>
      <c r="AJ463" s="44"/>
      <c r="AK463" s="168"/>
      <c r="AL463" s="44"/>
      <c r="AM463" s="44"/>
      <c r="AN463" s="44"/>
    </row>
    <row r="464" spans="1:40" x14ac:dyDescent="0.3">
      <c r="A464" s="135"/>
      <c r="B464" s="135"/>
      <c r="C464" s="135"/>
      <c r="D464" s="135"/>
      <c r="E464" s="135"/>
      <c r="F464" s="135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207"/>
      <c r="AH464" s="135"/>
      <c r="AI464" s="135"/>
      <c r="AJ464" s="135"/>
      <c r="AK464" s="207"/>
      <c r="AL464" s="135"/>
      <c r="AM464" s="135"/>
      <c r="AN464" s="135"/>
    </row>
    <row r="465" spans="3:40" x14ac:dyDescent="0.3"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Y465" s="44"/>
      <c r="Z465" s="44"/>
      <c r="AA465" s="44"/>
      <c r="AB465" s="44"/>
      <c r="AC465" s="44"/>
      <c r="AD465" s="44"/>
      <c r="AE465" s="44"/>
      <c r="AF465" s="44"/>
      <c r="AG465" s="168"/>
      <c r="AH465" s="44"/>
      <c r="AI465" s="44"/>
      <c r="AJ465" s="44"/>
      <c r="AK465" s="168"/>
      <c r="AL465" s="44"/>
      <c r="AM465" s="44"/>
      <c r="AN465" s="44"/>
    </row>
    <row r="466" spans="3:40" x14ac:dyDescent="0.3">
      <c r="C466" s="42"/>
      <c r="D466" s="42"/>
      <c r="E466" s="42"/>
      <c r="T466" s="42"/>
      <c r="U466" s="42"/>
    </row>
    <row r="467" spans="3:40" x14ac:dyDescent="0.3">
      <c r="D467" s="42"/>
      <c r="E467" s="42"/>
      <c r="U467" s="42"/>
    </row>
    <row r="469" spans="3:40" x14ac:dyDescent="0.3">
      <c r="C469" s="42"/>
      <c r="F469" s="123"/>
      <c r="J469" s="209"/>
      <c r="K469" s="209"/>
      <c r="L469" s="123"/>
      <c r="M469" s="123"/>
      <c r="R469" s="123"/>
      <c r="T469" s="42"/>
      <c r="V469" s="123"/>
      <c r="Z469" s="209"/>
      <c r="AA469" s="123"/>
      <c r="AB469" s="123"/>
      <c r="AH469" s="123"/>
      <c r="AL469" s="123"/>
    </row>
    <row r="470" spans="3:40" x14ac:dyDescent="0.3">
      <c r="C470" s="42"/>
      <c r="F470" s="123"/>
      <c r="R470" s="123"/>
      <c r="T470" s="42"/>
      <c r="V470" s="123"/>
      <c r="AH470" s="123"/>
      <c r="AL470" s="123"/>
    </row>
    <row r="471" spans="3:40" x14ac:dyDescent="0.3">
      <c r="AI471" s="123"/>
      <c r="AJ471" s="123"/>
      <c r="AL471" s="123"/>
      <c r="AM471" s="160"/>
      <c r="AN471" s="160"/>
    </row>
    <row r="472" spans="3:40" x14ac:dyDescent="0.3">
      <c r="C472" s="42"/>
      <c r="F472" s="184"/>
      <c r="H472" s="184"/>
      <c r="I472" s="184"/>
      <c r="J472" s="237"/>
      <c r="K472" s="237"/>
      <c r="L472" s="123"/>
      <c r="M472" s="123"/>
      <c r="N472" s="160"/>
      <c r="O472" s="160"/>
      <c r="P472" s="123"/>
      <c r="Q472" s="123"/>
      <c r="R472" s="123"/>
      <c r="T472" s="42"/>
      <c r="V472" s="123"/>
      <c r="Y472" s="123"/>
      <c r="Z472" s="237"/>
      <c r="AA472" s="123"/>
      <c r="AB472" s="123"/>
      <c r="AC472" s="160"/>
      <c r="AD472" s="160"/>
      <c r="AE472" s="123"/>
      <c r="AF472" s="123"/>
      <c r="AH472" s="236"/>
      <c r="AI472" s="123"/>
      <c r="AJ472" s="123"/>
      <c r="AL472" s="123"/>
      <c r="AM472" s="160"/>
      <c r="AN472" s="160"/>
    </row>
    <row r="473" spans="3:40" x14ac:dyDescent="0.3">
      <c r="F473" s="123"/>
      <c r="H473" s="123"/>
      <c r="I473" s="123"/>
      <c r="J473" s="219"/>
      <c r="K473" s="219"/>
      <c r="L473" s="123"/>
      <c r="M473" s="123"/>
      <c r="P473" s="123"/>
      <c r="Q473" s="123"/>
      <c r="R473" s="123"/>
      <c r="V473" s="123"/>
      <c r="Y473" s="123"/>
      <c r="Z473" s="219"/>
      <c r="AA473" s="123"/>
      <c r="AB473" s="123"/>
      <c r="AI473" s="123"/>
      <c r="AJ473" s="123"/>
      <c r="AL473" s="123"/>
      <c r="AM473" s="160"/>
      <c r="AN473" s="160"/>
    </row>
    <row r="474" spans="3:40" x14ac:dyDescent="0.3">
      <c r="F474" s="123"/>
      <c r="R474" s="123"/>
      <c r="V474" s="123"/>
      <c r="AL474" s="123"/>
      <c r="AM474" s="160"/>
      <c r="AN474" s="160"/>
    </row>
    <row r="475" spans="3:40" x14ac:dyDescent="0.3">
      <c r="C475" s="42"/>
      <c r="F475" s="123"/>
      <c r="J475" s="209"/>
      <c r="K475" s="209"/>
      <c r="L475" s="123"/>
      <c r="M475" s="123"/>
      <c r="N475" s="160"/>
      <c r="O475" s="160"/>
      <c r="R475" s="123"/>
      <c r="T475" s="42"/>
      <c r="V475" s="123"/>
      <c r="Z475" s="209"/>
      <c r="AA475" s="123"/>
      <c r="AB475" s="123"/>
      <c r="AC475" s="160"/>
      <c r="AD475" s="160"/>
      <c r="AL475" s="123"/>
      <c r="AM475" s="160"/>
      <c r="AN475" s="160"/>
    </row>
    <row r="476" spans="3:40" x14ac:dyDescent="0.3">
      <c r="C476" s="42"/>
      <c r="F476" s="123"/>
      <c r="H476" s="123"/>
      <c r="I476" s="123"/>
      <c r="J476" s="209"/>
      <c r="K476" s="209"/>
      <c r="L476" s="123"/>
      <c r="M476" s="123"/>
      <c r="N476" s="160"/>
      <c r="O476" s="160"/>
      <c r="P476" s="123"/>
      <c r="Q476" s="123"/>
      <c r="R476" s="123"/>
      <c r="T476" s="42"/>
      <c r="V476" s="123"/>
      <c r="Y476" s="123"/>
      <c r="Z476" s="209"/>
      <c r="AA476" s="123"/>
      <c r="AB476" s="123"/>
      <c r="AC476" s="160"/>
      <c r="AD476" s="160"/>
      <c r="AI476" s="123"/>
      <c r="AJ476" s="123"/>
      <c r="AL476" s="123"/>
      <c r="AM476" s="160"/>
      <c r="AN476" s="160"/>
    </row>
    <row r="477" spans="3:40" x14ac:dyDescent="0.3">
      <c r="C477" s="42"/>
      <c r="T477" s="42"/>
      <c r="AM477" s="160"/>
      <c r="AN477" s="160"/>
    </row>
    <row r="478" spans="3:40" x14ac:dyDescent="0.3">
      <c r="C478" s="42"/>
      <c r="T478" s="42"/>
      <c r="AM478" s="160"/>
      <c r="AN478" s="160"/>
    </row>
    <row r="479" spans="3:40" x14ac:dyDescent="0.3">
      <c r="AM479" s="160"/>
      <c r="AN479" s="160"/>
    </row>
    <row r="480" spans="3:40" x14ac:dyDescent="0.3">
      <c r="C480" s="42"/>
      <c r="F480" s="184"/>
      <c r="H480" s="184"/>
      <c r="I480" s="184"/>
      <c r="J480" s="237"/>
      <c r="K480" s="237"/>
      <c r="L480" s="123"/>
      <c r="M480" s="123"/>
      <c r="N480" s="160"/>
      <c r="O480" s="160"/>
      <c r="P480" s="123"/>
      <c r="Q480" s="123"/>
      <c r="R480" s="123"/>
      <c r="T480" s="42"/>
      <c r="V480" s="123"/>
      <c r="Y480" s="123"/>
      <c r="Z480" s="237"/>
      <c r="AA480" s="123"/>
      <c r="AB480" s="123"/>
      <c r="AC480" s="160"/>
      <c r="AD480" s="160"/>
      <c r="AE480" s="123"/>
      <c r="AF480" s="123"/>
      <c r="AH480" s="236"/>
      <c r="AI480" s="123"/>
      <c r="AJ480" s="123"/>
      <c r="AL480" s="123"/>
      <c r="AM480" s="160"/>
      <c r="AN480" s="160"/>
    </row>
    <row r="481" spans="1:40" x14ac:dyDescent="0.3">
      <c r="F481" s="210"/>
      <c r="H481" s="210"/>
      <c r="I481" s="210"/>
      <c r="J481" s="213"/>
      <c r="K481" s="213"/>
      <c r="L481" s="210"/>
      <c r="M481" s="210"/>
      <c r="N481" s="210"/>
      <c r="O481" s="210"/>
      <c r="P481" s="210"/>
      <c r="Q481" s="210"/>
      <c r="R481" s="210"/>
      <c r="V481" s="210"/>
      <c r="Y481" s="210"/>
      <c r="Z481" s="213"/>
      <c r="AA481" s="210"/>
      <c r="AB481" s="210"/>
      <c r="AC481" s="210"/>
      <c r="AD481" s="210"/>
      <c r="AE481" s="210"/>
      <c r="AF481" s="210"/>
      <c r="AI481" s="210"/>
      <c r="AJ481" s="210"/>
      <c r="AK481" s="214"/>
      <c r="AL481" s="210"/>
      <c r="AM481" s="160"/>
      <c r="AN481" s="160"/>
    </row>
    <row r="482" spans="1:40" x14ac:dyDescent="0.3">
      <c r="H482" s="123"/>
      <c r="I482" s="123"/>
      <c r="Y482" s="123"/>
      <c r="AM482" s="160"/>
      <c r="AN482" s="160"/>
    </row>
    <row r="483" spans="1:40" x14ac:dyDescent="0.3">
      <c r="C483" s="42"/>
      <c r="F483" s="123"/>
      <c r="H483" s="123"/>
      <c r="I483" s="123"/>
      <c r="L483" s="123"/>
      <c r="M483" s="123"/>
      <c r="N483" s="160"/>
      <c r="O483" s="160"/>
      <c r="P483" s="184"/>
      <c r="Q483" s="184"/>
      <c r="R483" s="123"/>
      <c r="T483" s="42"/>
      <c r="V483" s="123"/>
      <c r="Y483" s="123"/>
      <c r="AA483" s="123"/>
      <c r="AB483" s="123"/>
      <c r="AC483" s="160"/>
      <c r="AD483" s="160"/>
      <c r="AE483" s="123"/>
      <c r="AF483" s="123"/>
      <c r="AH483" s="236"/>
      <c r="AI483" s="184"/>
      <c r="AJ483" s="184"/>
      <c r="AL483" s="123"/>
      <c r="AM483" s="160"/>
      <c r="AN483" s="160"/>
    </row>
    <row r="484" spans="1:40" x14ac:dyDescent="0.3">
      <c r="F484" s="210"/>
      <c r="H484" s="210"/>
      <c r="I484" s="210"/>
      <c r="J484" s="213"/>
      <c r="K484" s="213"/>
      <c r="L484" s="210"/>
      <c r="M484" s="210"/>
      <c r="N484" s="210"/>
      <c r="O484" s="210"/>
      <c r="P484" s="210"/>
      <c r="Q484" s="210"/>
      <c r="R484" s="210"/>
      <c r="V484" s="210"/>
      <c r="Y484" s="210"/>
      <c r="Z484" s="213"/>
      <c r="AA484" s="210"/>
      <c r="AB484" s="210"/>
      <c r="AC484" s="210"/>
      <c r="AD484" s="210"/>
      <c r="AE484" s="210"/>
      <c r="AF484" s="210"/>
      <c r="AI484" s="210"/>
      <c r="AJ484" s="210"/>
      <c r="AK484" s="214"/>
      <c r="AL484" s="210"/>
      <c r="AM484" s="160"/>
      <c r="AN484" s="160"/>
    </row>
    <row r="486" spans="1:40" x14ac:dyDescent="0.3">
      <c r="F486" s="123"/>
      <c r="H486" s="123"/>
      <c r="I486" s="123"/>
      <c r="J486" s="219"/>
      <c r="K486" s="219"/>
      <c r="L486" s="123"/>
      <c r="M486" s="123"/>
      <c r="N486" s="123"/>
      <c r="O486" s="123"/>
      <c r="P486" s="123"/>
      <c r="Q486" s="123"/>
      <c r="R486" s="123"/>
      <c r="V486" s="123"/>
      <c r="Y486" s="123"/>
      <c r="Z486" s="219"/>
      <c r="AA486" s="123"/>
      <c r="AB486" s="123"/>
      <c r="AC486" s="123"/>
      <c r="AD486" s="123"/>
      <c r="AE486" s="123"/>
      <c r="AF486" s="123"/>
      <c r="AH486" s="123"/>
      <c r="AI486" s="123"/>
      <c r="AJ486" s="123"/>
      <c r="AL486" s="123"/>
    </row>
    <row r="487" spans="1:40" x14ac:dyDescent="0.3">
      <c r="A487" s="42"/>
    </row>
    <row r="489" spans="1:40" x14ac:dyDescent="0.3">
      <c r="H489" s="42"/>
      <c r="I489" s="42"/>
      <c r="Y489" s="42"/>
    </row>
    <row r="491" spans="1:40" x14ac:dyDescent="0.3">
      <c r="L491" s="42"/>
      <c r="M491" s="42"/>
      <c r="AA491" s="42"/>
      <c r="AB491" s="42"/>
    </row>
    <row r="492" spans="1:40" x14ac:dyDescent="0.3">
      <c r="R492" s="42"/>
      <c r="AK492" s="206"/>
      <c r="AL492" s="42"/>
    </row>
    <row r="493" spans="1:40" x14ac:dyDescent="0.3">
      <c r="R493" s="42"/>
      <c r="AK493" s="206"/>
      <c r="AL493" s="42"/>
    </row>
    <row r="494" spans="1:40" x14ac:dyDescent="0.3">
      <c r="A494" s="42"/>
      <c r="R494" s="42"/>
      <c r="AK494" s="206"/>
      <c r="AL494" s="42"/>
    </row>
    <row r="495" spans="1:40" x14ac:dyDescent="0.3">
      <c r="L495" s="42"/>
      <c r="M495" s="42"/>
      <c r="AA495" s="42"/>
      <c r="AB495" s="42"/>
    </row>
    <row r="496" spans="1:40" x14ac:dyDescent="0.3">
      <c r="A496" s="135"/>
      <c r="B496" s="135"/>
      <c r="C496" s="135"/>
      <c r="D496" s="135"/>
      <c r="E496" s="135"/>
      <c r="F496" s="135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207"/>
      <c r="AH496" s="135"/>
      <c r="AI496" s="135"/>
      <c r="AJ496" s="135"/>
      <c r="AK496" s="207"/>
      <c r="AL496" s="135"/>
      <c r="AM496" s="135"/>
      <c r="AN496" s="135"/>
    </row>
    <row r="497" spans="1:40" x14ac:dyDescent="0.3">
      <c r="L497" s="44"/>
      <c r="M497" s="44"/>
      <c r="N497" s="44"/>
      <c r="O497" s="44"/>
      <c r="R497" s="44"/>
      <c r="AA497" s="44"/>
      <c r="AB497" s="44"/>
      <c r="AC497" s="44"/>
      <c r="AD497" s="44"/>
      <c r="AE497" s="44"/>
      <c r="AF497" s="44"/>
      <c r="AG497" s="168"/>
      <c r="AH497" s="44"/>
      <c r="AK497" s="168"/>
      <c r="AL497" s="44"/>
      <c r="AM497" s="44"/>
      <c r="AN497" s="44"/>
    </row>
    <row r="498" spans="1:40" x14ac:dyDescent="0.3">
      <c r="L498" s="44"/>
      <c r="M498" s="44"/>
      <c r="N498" s="44"/>
      <c r="O498" s="44"/>
      <c r="R498" s="44"/>
      <c r="Z498" s="44"/>
      <c r="AA498" s="44"/>
      <c r="AB498" s="44"/>
      <c r="AC498" s="44"/>
      <c r="AD498" s="44"/>
      <c r="AE498" s="44"/>
      <c r="AF498" s="44"/>
      <c r="AG498" s="168"/>
      <c r="AH498" s="44"/>
      <c r="AK498" s="168"/>
      <c r="AL498" s="44"/>
      <c r="AM498" s="44"/>
      <c r="AN498" s="44"/>
    </row>
    <row r="499" spans="1:40" x14ac:dyDescent="0.3">
      <c r="A499" s="44"/>
      <c r="C499" s="44"/>
      <c r="D499" s="44"/>
      <c r="E499" s="44"/>
      <c r="F499" s="44"/>
      <c r="J499" s="44"/>
      <c r="K499" s="44"/>
      <c r="L499" s="44"/>
      <c r="M499" s="44"/>
      <c r="N499" s="44"/>
      <c r="O499" s="44"/>
      <c r="P499" s="44"/>
      <c r="Q499" s="44"/>
      <c r="R499" s="44"/>
      <c r="T499" s="44"/>
      <c r="U499" s="44"/>
      <c r="V499" s="44"/>
      <c r="Z499" s="44"/>
      <c r="AA499" s="44"/>
      <c r="AB499" s="44"/>
      <c r="AC499" s="44"/>
      <c r="AD499" s="44"/>
      <c r="AE499" s="44"/>
      <c r="AF499" s="44"/>
      <c r="AG499" s="168"/>
      <c r="AH499" s="44"/>
      <c r="AI499" s="44"/>
      <c r="AJ499" s="44"/>
      <c r="AK499" s="168"/>
      <c r="AL499" s="44"/>
      <c r="AM499" s="44"/>
      <c r="AN499" s="44"/>
    </row>
    <row r="500" spans="1:40" x14ac:dyDescent="0.3">
      <c r="A500" s="44"/>
      <c r="C500" s="44"/>
      <c r="D500" s="44"/>
      <c r="E500" s="44"/>
      <c r="F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T500" s="44"/>
      <c r="U500" s="44"/>
      <c r="V500" s="44"/>
      <c r="Y500" s="44"/>
      <c r="Z500" s="44"/>
      <c r="AA500" s="44"/>
      <c r="AB500" s="44"/>
      <c r="AC500" s="44"/>
      <c r="AD500" s="44"/>
      <c r="AE500" s="44"/>
      <c r="AF500" s="44"/>
      <c r="AG500" s="168"/>
      <c r="AH500" s="44"/>
      <c r="AI500" s="44"/>
      <c r="AJ500" s="44"/>
      <c r="AK500" s="168"/>
      <c r="AL500" s="44"/>
      <c r="AM500" s="44"/>
      <c r="AN500" s="44"/>
    </row>
    <row r="501" spans="1:40" x14ac:dyDescent="0.3">
      <c r="C501" s="44"/>
      <c r="D501" s="44"/>
      <c r="E501" s="44"/>
      <c r="F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T501" s="44"/>
      <c r="U501" s="44"/>
      <c r="V501" s="44"/>
      <c r="Y501" s="44"/>
      <c r="Z501" s="44"/>
      <c r="AA501" s="44"/>
      <c r="AB501" s="44"/>
      <c r="AC501" s="44"/>
      <c r="AD501" s="44"/>
      <c r="AE501" s="44"/>
      <c r="AF501" s="44"/>
      <c r="AG501" s="168"/>
      <c r="AH501" s="44"/>
      <c r="AI501" s="44"/>
      <c r="AJ501" s="44"/>
      <c r="AK501" s="168"/>
      <c r="AL501" s="44"/>
      <c r="AM501" s="44"/>
      <c r="AN501" s="44"/>
    </row>
    <row r="502" spans="1:40" x14ac:dyDescent="0.3">
      <c r="A502" s="135"/>
      <c r="B502" s="135"/>
      <c r="C502" s="135"/>
      <c r="D502" s="135"/>
      <c r="E502" s="135"/>
      <c r="F502" s="135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207"/>
      <c r="AH502" s="135"/>
      <c r="AI502" s="135"/>
      <c r="AJ502" s="135"/>
      <c r="AK502" s="207"/>
      <c r="AL502" s="135"/>
      <c r="AM502" s="135"/>
      <c r="AN502" s="135"/>
    </row>
    <row r="503" spans="1:40" x14ac:dyDescent="0.3"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Y503" s="44"/>
      <c r="Z503" s="44"/>
      <c r="AA503" s="44"/>
      <c r="AB503" s="44"/>
      <c r="AC503" s="44"/>
      <c r="AD503" s="44"/>
      <c r="AE503" s="44"/>
      <c r="AF503" s="44"/>
      <c r="AG503" s="168"/>
      <c r="AH503" s="44"/>
      <c r="AI503" s="44"/>
      <c r="AJ503" s="44"/>
      <c r="AK503" s="168"/>
      <c r="AL503" s="44"/>
      <c r="AM503" s="44"/>
      <c r="AN503" s="44"/>
    </row>
    <row r="504" spans="1:40" x14ac:dyDescent="0.3">
      <c r="C504" s="42"/>
      <c r="D504" s="42"/>
      <c r="E504" s="42"/>
      <c r="T504" s="42"/>
      <c r="U504" s="42"/>
      <c r="V504" s="123"/>
      <c r="W504" s="123"/>
      <c r="X504" s="123"/>
      <c r="Y504" s="123"/>
      <c r="Z504" s="237"/>
    </row>
    <row r="506" spans="1:40" x14ac:dyDescent="0.3">
      <c r="C506" s="42"/>
      <c r="T506" s="42"/>
      <c r="V506" s="123"/>
      <c r="W506" s="123"/>
      <c r="X506" s="123"/>
      <c r="Y506" s="123"/>
      <c r="Z506" s="237"/>
    </row>
    <row r="507" spans="1:40" x14ac:dyDescent="0.3">
      <c r="C507" s="42"/>
      <c r="F507" s="184"/>
      <c r="H507" s="184"/>
      <c r="I507" s="184"/>
      <c r="J507" s="238"/>
      <c r="K507" s="238"/>
      <c r="L507" s="123"/>
      <c r="M507" s="123"/>
      <c r="N507" s="160"/>
      <c r="O507" s="160"/>
      <c r="P507" s="123"/>
      <c r="Q507" s="123"/>
      <c r="R507" s="123"/>
      <c r="T507" s="42"/>
      <c r="V507" s="123"/>
      <c r="W507" s="123"/>
      <c r="X507" s="123"/>
      <c r="Y507" s="123"/>
      <c r="Z507" s="238"/>
      <c r="AA507" s="123"/>
      <c r="AB507" s="123"/>
      <c r="AC507" s="160"/>
      <c r="AD507" s="160"/>
      <c r="AE507" s="123"/>
      <c r="AF507" s="123"/>
      <c r="AH507" s="236"/>
      <c r="AI507" s="123"/>
      <c r="AJ507" s="123"/>
      <c r="AL507" s="123"/>
      <c r="AM507" s="160"/>
      <c r="AN507" s="160"/>
    </row>
    <row r="508" spans="1:40" x14ac:dyDescent="0.3">
      <c r="C508" s="42"/>
      <c r="F508" s="184"/>
      <c r="H508" s="184"/>
      <c r="I508" s="184"/>
      <c r="J508" s="238"/>
      <c r="K508" s="238"/>
      <c r="L508" s="123"/>
      <c r="M508" s="123"/>
      <c r="N508" s="160"/>
      <c r="O508" s="160"/>
      <c r="P508" s="123"/>
      <c r="Q508" s="123"/>
      <c r="R508" s="123"/>
      <c r="T508" s="42"/>
      <c r="V508" s="123"/>
      <c r="W508" s="123"/>
      <c r="X508" s="123"/>
      <c r="Y508" s="123"/>
      <c r="Z508" s="238"/>
      <c r="AA508" s="123"/>
      <c r="AB508" s="123"/>
      <c r="AC508" s="160"/>
      <c r="AD508" s="160"/>
      <c r="AE508" s="123"/>
      <c r="AF508" s="123"/>
      <c r="AH508" s="236"/>
      <c r="AI508" s="123"/>
      <c r="AJ508" s="123"/>
      <c r="AL508" s="123"/>
      <c r="AM508" s="160"/>
      <c r="AN508" s="160"/>
    </row>
    <row r="509" spans="1:40" x14ac:dyDescent="0.3">
      <c r="C509" s="42"/>
      <c r="F509" s="184"/>
      <c r="H509" s="184"/>
      <c r="I509" s="184"/>
      <c r="J509" s="238"/>
      <c r="K509" s="238"/>
      <c r="L509" s="123"/>
      <c r="M509" s="123"/>
      <c r="N509" s="160"/>
      <c r="O509" s="160"/>
      <c r="P509" s="123"/>
      <c r="Q509" s="123"/>
      <c r="R509" s="123"/>
      <c r="T509" s="42"/>
      <c r="V509" s="123"/>
      <c r="W509" s="123"/>
      <c r="X509" s="123"/>
      <c r="Y509" s="123"/>
      <c r="Z509" s="238"/>
      <c r="AA509" s="123"/>
      <c r="AB509" s="123"/>
      <c r="AC509" s="160"/>
      <c r="AD509" s="160"/>
      <c r="AE509" s="123"/>
      <c r="AF509" s="123"/>
      <c r="AH509" s="236"/>
      <c r="AI509" s="123"/>
      <c r="AJ509" s="123"/>
      <c r="AL509" s="123"/>
      <c r="AM509" s="160"/>
      <c r="AN509" s="160"/>
    </row>
    <row r="510" spans="1:40" x14ac:dyDescent="0.3">
      <c r="C510" s="42"/>
      <c r="F510" s="184"/>
      <c r="H510" s="184"/>
      <c r="I510" s="184"/>
      <c r="J510" s="238"/>
      <c r="K510" s="238"/>
      <c r="L510" s="123"/>
      <c r="M510" s="123"/>
      <c r="N510" s="160"/>
      <c r="O510" s="160"/>
      <c r="P510" s="123"/>
      <c r="Q510" s="123"/>
      <c r="R510" s="123"/>
      <c r="T510" s="42"/>
      <c r="V510" s="123"/>
      <c r="W510" s="123"/>
      <c r="X510" s="123"/>
      <c r="Y510" s="123"/>
      <c r="Z510" s="238"/>
      <c r="AA510" s="123"/>
      <c r="AB510" s="123"/>
      <c r="AC510" s="160"/>
      <c r="AD510" s="160"/>
      <c r="AE510" s="123"/>
      <c r="AF510" s="123"/>
      <c r="AH510" s="236"/>
      <c r="AI510" s="123"/>
      <c r="AJ510" s="123"/>
      <c r="AL510" s="123"/>
      <c r="AM510" s="160"/>
      <c r="AN510" s="160"/>
    </row>
    <row r="511" spans="1:40" x14ac:dyDescent="0.3">
      <c r="J511" s="188"/>
      <c r="K511" s="188"/>
      <c r="V511" s="123"/>
      <c r="W511" s="123"/>
      <c r="X511" s="123"/>
      <c r="Y511" s="123"/>
      <c r="Z511" s="238"/>
    </row>
    <row r="512" spans="1:40" x14ac:dyDescent="0.3">
      <c r="C512" s="42"/>
      <c r="F512" s="184"/>
      <c r="H512" s="184"/>
      <c r="I512" s="184"/>
      <c r="J512" s="238"/>
      <c r="K512" s="238"/>
      <c r="L512" s="123"/>
      <c r="M512" s="123"/>
      <c r="N512" s="160"/>
      <c r="O512" s="160"/>
      <c r="P512" s="123"/>
      <c r="Q512" s="123"/>
      <c r="R512" s="123"/>
      <c r="T512" s="42"/>
      <c r="V512" s="123"/>
      <c r="W512" s="123"/>
      <c r="X512" s="123"/>
      <c r="Y512" s="123"/>
      <c r="Z512" s="238"/>
      <c r="AA512" s="123"/>
      <c r="AB512" s="123"/>
      <c r="AC512" s="160"/>
      <c r="AD512" s="160"/>
      <c r="AE512" s="123"/>
      <c r="AF512" s="123"/>
      <c r="AH512" s="236"/>
      <c r="AI512" s="123"/>
      <c r="AJ512" s="123"/>
      <c r="AL512" s="123"/>
      <c r="AM512" s="236"/>
      <c r="AN512" s="236"/>
    </row>
    <row r="513" spans="1:40" x14ac:dyDescent="0.3">
      <c r="C513" s="42"/>
      <c r="J513" s="188"/>
      <c r="K513" s="188"/>
      <c r="T513" s="42"/>
      <c r="V513" s="123"/>
      <c r="W513" s="123"/>
      <c r="X513" s="123"/>
      <c r="Y513" s="123"/>
      <c r="Z513" s="238"/>
    </row>
    <row r="514" spans="1:40" x14ac:dyDescent="0.3">
      <c r="C514" s="42"/>
      <c r="F514" s="184"/>
      <c r="H514" s="184"/>
      <c r="I514" s="184"/>
      <c r="J514" s="238"/>
      <c r="K514" s="238"/>
      <c r="L514" s="123"/>
      <c r="M514" s="123"/>
      <c r="N514" s="160"/>
      <c r="O514" s="160"/>
      <c r="P514" s="123"/>
      <c r="Q514" s="123"/>
      <c r="R514" s="123"/>
      <c r="T514" s="42"/>
      <c r="V514" s="123"/>
      <c r="W514" s="123"/>
      <c r="X514" s="123"/>
      <c r="Y514" s="123"/>
      <c r="Z514" s="238"/>
      <c r="AA514" s="123"/>
      <c r="AB514" s="123"/>
      <c r="AC514" s="160"/>
      <c r="AD514" s="160"/>
      <c r="AE514" s="123"/>
      <c r="AF514" s="123"/>
      <c r="AH514" s="236"/>
      <c r="AI514" s="123"/>
      <c r="AJ514" s="123"/>
      <c r="AL514" s="123"/>
      <c r="AM514" s="236"/>
      <c r="AN514" s="236"/>
    </row>
    <row r="515" spans="1:40" x14ac:dyDescent="0.3">
      <c r="J515" s="188"/>
      <c r="K515" s="188"/>
      <c r="Z515" s="188"/>
    </row>
    <row r="516" spans="1:40" x14ac:dyDescent="0.3">
      <c r="C516" s="42"/>
      <c r="J516" s="188"/>
      <c r="K516" s="188"/>
      <c r="T516" s="42"/>
      <c r="V516" s="123"/>
      <c r="W516" s="123"/>
      <c r="X516" s="123"/>
      <c r="Y516" s="123"/>
      <c r="Z516" s="238"/>
    </row>
    <row r="517" spans="1:40" x14ac:dyDescent="0.3">
      <c r="C517" s="42"/>
      <c r="F517" s="184"/>
      <c r="H517" s="184"/>
      <c r="I517" s="184"/>
      <c r="J517" s="238"/>
      <c r="K517" s="238"/>
      <c r="L517" s="123"/>
      <c r="M517" s="123"/>
      <c r="N517" s="160"/>
      <c r="O517" s="160"/>
      <c r="P517" s="123"/>
      <c r="Q517" s="123"/>
      <c r="R517" s="123"/>
      <c r="T517" s="42"/>
      <c r="V517" s="123"/>
      <c r="W517" s="123"/>
      <c r="X517" s="123"/>
      <c r="Y517" s="123"/>
      <c r="Z517" s="238"/>
      <c r="AA517" s="123"/>
      <c r="AB517" s="123"/>
      <c r="AC517" s="160"/>
      <c r="AD517" s="160"/>
      <c r="AE517" s="123"/>
      <c r="AF517" s="123"/>
      <c r="AH517" s="236"/>
      <c r="AI517" s="123"/>
      <c r="AJ517" s="123"/>
      <c r="AL517" s="123"/>
      <c r="AM517" s="236"/>
      <c r="AN517" s="236"/>
    </row>
    <row r="518" spans="1:40" x14ac:dyDescent="0.3">
      <c r="C518" s="42"/>
      <c r="F518" s="184"/>
      <c r="H518" s="184"/>
      <c r="I518" s="184"/>
      <c r="J518" s="238"/>
      <c r="K518" s="238"/>
      <c r="L518" s="123"/>
      <c r="M518" s="123"/>
      <c r="N518" s="160"/>
      <c r="O518" s="160"/>
      <c r="P518" s="123"/>
      <c r="Q518" s="123"/>
      <c r="R518" s="123"/>
      <c r="T518" s="42"/>
      <c r="V518" s="123"/>
      <c r="W518" s="123"/>
      <c r="X518" s="123"/>
      <c r="Y518" s="123"/>
      <c r="Z518" s="238"/>
      <c r="AA518" s="123"/>
      <c r="AB518" s="123"/>
      <c r="AC518" s="160"/>
      <c r="AD518" s="160"/>
      <c r="AE518" s="123"/>
      <c r="AF518" s="123"/>
      <c r="AH518" s="236"/>
      <c r="AI518" s="123"/>
      <c r="AJ518" s="123"/>
      <c r="AL518" s="123"/>
      <c r="AM518" s="236"/>
      <c r="AN518" s="236"/>
    </row>
    <row r="519" spans="1:40" x14ac:dyDescent="0.3">
      <c r="F519" s="210"/>
      <c r="H519" s="210"/>
      <c r="I519" s="210"/>
      <c r="J519" s="238"/>
      <c r="K519" s="238"/>
      <c r="L519" s="210"/>
      <c r="M519" s="210"/>
      <c r="N519" s="210"/>
      <c r="O519" s="210"/>
      <c r="P519" s="210"/>
      <c r="Q519" s="210"/>
      <c r="R519" s="210"/>
      <c r="V519" s="210"/>
      <c r="Y519" s="210"/>
      <c r="Z519" s="213"/>
      <c r="AA519" s="210"/>
      <c r="AB519" s="210"/>
      <c r="AC519" s="210"/>
      <c r="AD519" s="210"/>
      <c r="AE519" s="210"/>
      <c r="AF519" s="210"/>
      <c r="AI519" s="210"/>
      <c r="AJ519" s="210"/>
      <c r="AK519" s="214"/>
      <c r="AL519" s="210"/>
    </row>
    <row r="520" spans="1:40" x14ac:dyDescent="0.3">
      <c r="C520" s="42"/>
      <c r="F520" s="123"/>
      <c r="H520" s="123"/>
      <c r="I520" s="123"/>
      <c r="L520" s="123"/>
      <c r="M520" s="123"/>
      <c r="N520" s="160"/>
      <c r="O520" s="160"/>
      <c r="P520" s="184"/>
      <c r="Q520" s="184"/>
      <c r="R520" s="123"/>
      <c r="T520" s="42"/>
      <c r="V520" s="123"/>
      <c r="W520" s="123"/>
      <c r="X520" s="123"/>
      <c r="Y520" s="123"/>
      <c r="Z520" s="237"/>
      <c r="AA520" s="123"/>
      <c r="AB520" s="123"/>
      <c r="AC520" s="160"/>
      <c r="AD520" s="160"/>
      <c r="AE520" s="123"/>
      <c r="AF520" s="123"/>
      <c r="AH520" s="236"/>
      <c r="AI520" s="184"/>
      <c r="AJ520" s="184"/>
      <c r="AL520" s="123"/>
      <c r="AM520" s="236"/>
      <c r="AN520" s="236"/>
    </row>
    <row r="521" spans="1:40" x14ac:dyDescent="0.3">
      <c r="F521" s="210"/>
      <c r="H521" s="210"/>
      <c r="I521" s="210"/>
      <c r="J521" s="213"/>
      <c r="K521" s="213"/>
      <c r="L521" s="210"/>
      <c r="M521" s="210"/>
      <c r="N521" s="210"/>
      <c r="O521" s="210"/>
      <c r="P521" s="210"/>
      <c r="Q521" s="210"/>
      <c r="R521" s="210"/>
      <c r="V521" s="210"/>
      <c r="Y521" s="210"/>
      <c r="Z521" s="213"/>
      <c r="AA521" s="210"/>
      <c r="AB521" s="210"/>
      <c r="AC521" s="210"/>
      <c r="AD521" s="210"/>
      <c r="AE521" s="210"/>
      <c r="AF521" s="210"/>
      <c r="AI521" s="210"/>
      <c r="AJ521" s="210"/>
      <c r="AK521" s="214"/>
      <c r="AL521" s="210"/>
    </row>
    <row r="524" spans="1:40" x14ac:dyDescent="0.3">
      <c r="A524" s="42"/>
    </row>
    <row r="526" spans="1:40" x14ac:dyDescent="0.3">
      <c r="H526" s="42"/>
      <c r="I526" s="42"/>
      <c r="Y526" s="42"/>
    </row>
    <row r="528" spans="1:40" x14ac:dyDescent="0.3">
      <c r="L528" s="42"/>
      <c r="M528" s="42"/>
      <c r="AA528" s="42"/>
      <c r="AB528" s="42"/>
    </row>
    <row r="529" spans="1:40" x14ac:dyDescent="0.3">
      <c r="R529" s="42"/>
      <c r="AK529" s="206"/>
      <c r="AL529" s="42"/>
    </row>
    <row r="530" spans="1:40" x14ac:dyDescent="0.3">
      <c r="R530" s="42"/>
      <c r="AK530" s="206"/>
      <c r="AL530" s="42"/>
    </row>
    <row r="531" spans="1:40" x14ac:dyDescent="0.3">
      <c r="A531" s="42"/>
      <c r="R531" s="42"/>
      <c r="AK531" s="206"/>
      <c r="AL531" s="42"/>
    </row>
    <row r="532" spans="1:40" x14ac:dyDescent="0.3">
      <c r="L532" s="42"/>
      <c r="M532" s="42"/>
      <c r="AA532" s="42"/>
      <c r="AB532" s="42"/>
    </row>
    <row r="533" spans="1:40" x14ac:dyDescent="0.3">
      <c r="A533" s="135"/>
      <c r="B533" s="135"/>
      <c r="C533" s="135"/>
      <c r="D533" s="135"/>
      <c r="E533" s="135"/>
      <c r="F533" s="135"/>
      <c r="G533" s="135"/>
      <c r="H533" s="135"/>
      <c r="I533" s="135"/>
      <c r="J533" s="135"/>
      <c r="K533" s="135"/>
      <c r="L533" s="135"/>
      <c r="M533" s="135"/>
      <c r="N533" s="135"/>
      <c r="O533" s="135"/>
      <c r="P533" s="135"/>
      <c r="Q533" s="135"/>
      <c r="R533" s="135"/>
      <c r="T533" s="135"/>
      <c r="U533" s="135"/>
      <c r="V533" s="135"/>
      <c r="W533" s="135"/>
      <c r="X533" s="135"/>
      <c r="Y533" s="135"/>
      <c r="Z533" s="135"/>
      <c r="AA533" s="135"/>
      <c r="AB533" s="135"/>
      <c r="AC533" s="135"/>
      <c r="AD533" s="135"/>
      <c r="AE533" s="135"/>
      <c r="AF533" s="135"/>
      <c r="AG533" s="207"/>
      <c r="AH533" s="135"/>
      <c r="AI533" s="135"/>
      <c r="AJ533" s="135"/>
      <c r="AK533" s="207"/>
      <c r="AL533" s="135"/>
      <c r="AM533" s="135"/>
      <c r="AN533" s="135"/>
    </row>
    <row r="534" spans="1:40" x14ac:dyDescent="0.3">
      <c r="L534" s="44"/>
      <c r="M534" s="44"/>
      <c r="N534" s="44"/>
      <c r="O534" s="44"/>
      <c r="R534" s="44"/>
      <c r="AA534" s="44"/>
      <c r="AB534" s="44"/>
      <c r="AC534" s="44"/>
      <c r="AD534" s="44"/>
      <c r="AE534" s="44"/>
      <c r="AF534" s="44"/>
      <c r="AG534" s="168"/>
      <c r="AH534" s="44"/>
      <c r="AK534" s="168"/>
      <c r="AL534" s="44"/>
      <c r="AM534" s="44"/>
      <c r="AN534" s="44"/>
    </row>
    <row r="535" spans="1:40" x14ac:dyDescent="0.3">
      <c r="L535" s="44"/>
      <c r="M535" s="44"/>
      <c r="N535" s="44"/>
      <c r="O535" s="44"/>
      <c r="R535" s="44"/>
      <c r="Z535" s="44"/>
      <c r="AA535" s="44"/>
      <c r="AB535" s="44"/>
      <c r="AC535" s="44"/>
      <c r="AD535" s="44"/>
      <c r="AE535" s="44"/>
      <c r="AF535" s="44"/>
      <c r="AG535" s="168"/>
      <c r="AH535" s="44"/>
      <c r="AK535" s="168"/>
      <c r="AL535" s="44"/>
      <c r="AM535" s="44"/>
      <c r="AN535" s="44"/>
    </row>
    <row r="536" spans="1:40" x14ac:dyDescent="0.3">
      <c r="A536" s="44"/>
      <c r="C536" s="44"/>
      <c r="D536" s="44"/>
      <c r="E536" s="44"/>
      <c r="F536" s="44"/>
      <c r="J536" s="44"/>
      <c r="K536" s="44"/>
      <c r="L536" s="44"/>
      <c r="M536" s="44"/>
      <c r="N536" s="44"/>
      <c r="O536" s="44"/>
      <c r="P536" s="44"/>
      <c r="Q536" s="44"/>
      <c r="R536" s="44"/>
      <c r="T536" s="44"/>
      <c r="U536" s="44"/>
      <c r="V536" s="44"/>
      <c r="Z536" s="44"/>
      <c r="AA536" s="44"/>
      <c r="AB536" s="44"/>
      <c r="AC536" s="44"/>
      <c r="AD536" s="44"/>
      <c r="AE536" s="44"/>
      <c r="AF536" s="44"/>
      <c r="AG536" s="168"/>
      <c r="AH536" s="44"/>
      <c r="AI536" s="44"/>
      <c r="AJ536" s="44"/>
      <c r="AK536" s="168"/>
      <c r="AL536" s="44"/>
      <c r="AM536" s="44"/>
      <c r="AN536" s="44"/>
    </row>
    <row r="537" spans="1:40" x14ac:dyDescent="0.3">
      <c r="A537" s="44"/>
      <c r="C537" s="44"/>
      <c r="D537" s="44"/>
      <c r="E537" s="44"/>
      <c r="F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T537" s="44"/>
      <c r="U537" s="44"/>
      <c r="V537" s="44"/>
      <c r="Y537" s="44"/>
      <c r="Z537" s="44"/>
      <c r="AA537" s="44"/>
      <c r="AB537" s="44"/>
      <c r="AC537" s="44"/>
      <c r="AD537" s="44"/>
      <c r="AE537" s="44"/>
      <c r="AF537" s="44"/>
      <c r="AG537" s="168"/>
      <c r="AH537" s="44"/>
      <c r="AI537" s="44"/>
      <c r="AJ537" s="44"/>
      <c r="AK537" s="168"/>
      <c r="AL537" s="44"/>
      <c r="AM537" s="44"/>
      <c r="AN537" s="44"/>
    </row>
    <row r="538" spans="1:40" x14ac:dyDescent="0.3">
      <c r="C538" s="44"/>
      <c r="D538" s="44"/>
      <c r="E538" s="44"/>
      <c r="F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T538" s="44"/>
      <c r="U538" s="44"/>
      <c r="V538" s="44"/>
      <c r="Y538" s="44"/>
      <c r="Z538" s="44"/>
      <c r="AA538" s="44"/>
      <c r="AB538" s="44"/>
      <c r="AC538" s="44"/>
      <c r="AD538" s="44"/>
      <c r="AE538" s="44"/>
      <c r="AF538" s="44"/>
      <c r="AG538" s="168"/>
      <c r="AH538" s="44"/>
      <c r="AI538" s="44"/>
      <c r="AJ538" s="44"/>
      <c r="AK538" s="168"/>
      <c r="AL538" s="44"/>
      <c r="AM538" s="44"/>
      <c r="AN538" s="44"/>
    </row>
    <row r="539" spans="1:40" x14ac:dyDescent="0.3">
      <c r="A539" s="135"/>
      <c r="B539" s="135"/>
      <c r="C539" s="135"/>
      <c r="D539" s="135"/>
      <c r="E539" s="135"/>
      <c r="F539" s="135"/>
      <c r="G539" s="135"/>
      <c r="H539" s="135"/>
      <c r="I539" s="135"/>
      <c r="J539" s="135"/>
      <c r="K539" s="135"/>
      <c r="L539" s="135"/>
      <c r="M539" s="135"/>
      <c r="N539" s="135"/>
      <c r="O539" s="135"/>
      <c r="P539" s="135"/>
      <c r="Q539" s="135"/>
      <c r="R539" s="135"/>
      <c r="T539" s="135"/>
      <c r="U539" s="135"/>
      <c r="V539" s="135"/>
      <c r="W539" s="135"/>
      <c r="X539" s="135"/>
      <c r="Y539" s="135"/>
      <c r="Z539" s="135"/>
      <c r="AA539" s="135"/>
      <c r="AB539" s="135"/>
      <c r="AC539" s="135"/>
      <c r="AD539" s="135"/>
      <c r="AE539" s="135"/>
      <c r="AF539" s="135"/>
      <c r="AG539" s="207"/>
      <c r="AH539" s="135"/>
      <c r="AI539" s="135"/>
      <c r="AJ539" s="135"/>
      <c r="AK539" s="207"/>
      <c r="AL539" s="135"/>
      <c r="AM539" s="135"/>
      <c r="AN539" s="135"/>
    </row>
    <row r="540" spans="1:40" x14ac:dyDescent="0.3"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Y540" s="44"/>
      <c r="Z540" s="44"/>
      <c r="AA540" s="44"/>
      <c r="AB540" s="44"/>
      <c r="AC540" s="44"/>
      <c r="AD540" s="44"/>
      <c r="AE540" s="44"/>
      <c r="AF540" s="44"/>
      <c r="AG540" s="168"/>
      <c r="AH540" s="44"/>
      <c r="AI540" s="44"/>
      <c r="AJ540" s="44"/>
      <c r="AK540" s="168"/>
      <c r="AL540" s="44"/>
      <c r="AM540" s="44"/>
      <c r="AN540" s="44"/>
    </row>
    <row r="541" spans="1:40" x14ac:dyDescent="0.3">
      <c r="C541" s="42"/>
      <c r="D541" s="42"/>
      <c r="E541" s="42"/>
      <c r="T541" s="42"/>
      <c r="U541" s="42"/>
    </row>
    <row r="543" spans="1:40" x14ac:dyDescent="0.3">
      <c r="C543" s="42"/>
      <c r="T543" s="42"/>
    </row>
    <row r="544" spans="1:40" x14ac:dyDescent="0.3">
      <c r="C544" s="42"/>
      <c r="T544" s="42"/>
    </row>
    <row r="545" spans="3:40" x14ac:dyDescent="0.3">
      <c r="C545" s="42"/>
      <c r="F545" s="184"/>
      <c r="H545" s="184"/>
      <c r="I545" s="184"/>
      <c r="J545" s="238"/>
      <c r="K545" s="238"/>
      <c r="L545" s="123"/>
      <c r="M545" s="123"/>
      <c r="N545" s="160"/>
      <c r="O545" s="160"/>
      <c r="P545" s="123"/>
      <c r="Q545" s="123"/>
      <c r="R545" s="123"/>
      <c r="T545" s="42"/>
      <c r="V545" s="123"/>
      <c r="W545" s="123"/>
      <c r="X545" s="123"/>
      <c r="Y545" s="123"/>
      <c r="Z545" s="238"/>
      <c r="AA545" s="123"/>
      <c r="AB545" s="123"/>
      <c r="AC545" s="160"/>
      <c r="AD545" s="160"/>
      <c r="AE545" s="123"/>
      <c r="AF545" s="123"/>
      <c r="AH545" s="236"/>
      <c r="AI545" s="123"/>
      <c r="AJ545" s="123"/>
      <c r="AL545" s="123"/>
      <c r="AM545" s="236"/>
      <c r="AN545" s="236"/>
    </row>
    <row r="546" spans="3:40" x14ac:dyDescent="0.3">
      <c r="C546" s="42"/>
      <c r="F546" s="123"/>
      <c r="H546" s="123"/>
      <c r="I546" s="123"/>
      <c r="J546" s="188"/>
      <c r="K546" s="188"/>
      <c r="L546" s="123"/>
      <c r="M546" s="123"/>
      <c r="N546" s="160"/>
      <c r="O546" s="160"/>
      <c r="P546" s="123"/>
      <c r="Q546" s="123"/>
      <c r="R546" s="123"/>
      <c r="T546" s="42"/>
      <c r="V546" s="123"/>
      <c r="W546" s="123"/>
      <c r="X546" s="123"/>
      <c r="Y546" s="123"/>
      <c r="Z546" s="188"/>
      <c r="AA546" s="123"/>
      <c r="AB546" s="123"/>
      <c r="AC546" s="160"/>
      <c r="AD546" s="160"/>
      <c r="AE546" s="123"/>
      <c r="AF546" s="123"/>
      <c r="AH546" s="236"/>
      <c r="AI546" s="123"/>
      <c r="AJ546" s="123"/>
      <c r="AL546" s="123"/>
      <c r="AM546" s="236"/>
      <c r="AN546" s="236"/>
    </row>
    <row r="547" spans="3:40" x14ac:dyDescent="0.3">
      <c r="C547" s="42"/>
      <c r="F547" s="123"/>
      <c r="H547" s="123"/>
      <c r="I547" s="123"/>
      <c r="J547" s="188"/>
      <c r="K547" s="188"/>
      <c r="L547" s="123"/>
      <c r="M547" s="123"/>
      <c r="N547" s="160"/>
      <c r="O547" s="160"/>
      <c r="P547" s="123"/>
      <c r="Q547" s="123"/>
      <c r="R547" s="123"/>
      <c r="T547" s="42"/>
      <c r="V547" s="123"/>
      <c r="W547" s="123"/>
      <c r="X547" s="123"/>
      <c r="Y547" s="123"/>
      <c r="Z547" s="188"/>
      <c r="AA547" s="123"/>
      <c r="AB547" s="123"/>
      <c r="AC547" s="160"/>
      <c r="AD547" s="160"/>
      <c r="AE547" s="123"/>
      <c r="AF547" s="123"/>
      <c r="AH547" s="236"/>
      <c r="AI547" s="123"/>
      <c r="AJ547" s="123"/>
      <c r="AL547" s="123"/>
      <c r="AM547" s="236"/>
      <c r="AN547" s="236"/>
    </row>
    <row r="548" spans="3:40" x14ac:dyDescent="0.3">
      <c r="C548" s="42"/>
      <c r="F548" s="123"/>
      <c r="H548" s="123"/>
      <c r="I548" s="123"/>
      <c r="J548" s="188"/>
      <c r="K548" s="188"/>
      <c r="T548" s="42"/>
      <c r="V548" s="123"/>
      <c r="Z548" s="188"/>
    </row>
    <row r="549" spans="3:40" x14ac:dyDescent="0.3">
      <c r="C549" s="42"/>
      <c r="F549" s="184"/>
      <c r="H549" s="184"/>
      <c r="I549" s="184"/>
      <c r="J549" s="238"/>
      <c r="K549" s="238"/>
      <c r="L549" s="123"/>
      <c r="M549" s="123"/>
      <c r="N549" s="160"/>
      <c r="O549" s="160"/>
      <c r="P549" s="123"/>
      <c r="Q549" s="123"/>
      <c r="R549" s="123"/>
      <c r="T549" s="42"/>
      <c r="V549" s="123"/>
      <c r="W549" s="123"/>
      <c r="X549" s="123"/>
      <c r="Y549" s="123"/>
      <c r="Z549" s="238"/>
      <c r="AA549" s="123"/>
      <c r="AB549" s="123"/>
      <c r="AC549" s="160"/>
      <c r="AD549" s="160"/>
      <c r="AE549" s="123"/>
      <c r="AF549" s="123"/>
      <c r="AH549" s="236"/>
      <c r="AI549" s="123"/>
      <c r="AJ549" s="123"/>
      <c r="AL549" s="123"/>
      <c r="AM549" s="236"/>
      <c r="AN549" s="236"/>
    </row>
    <row r="550" spans="3:40" x14ac:dyDescent="0.3">
      <c r="C550" s="42"/>
      <c r="F550" s="123"/>
      <c r="H550" s="123"/>
      <c r="I550" s="123"/>
      <c r="J550" s="188"/>
      <c r="K550" s="188"/>
      <c r="T550" s="42"/>
      <c r="V550" s="123"/>
      <c r="W550" s="123"/>
      <c r="X550" s="123"/>
      <c r="Y550" s="123"/>
      <c r="Z550" s="188"/>
      <c r="AC550" s="160"/>
      <c r="AD550" s="160"/>
      <c r="AE550" s="123"/>
      <c r="AF550" s="123"/>
      <c r="AH550" s="236"/>
      <c r="AI550" s="123"/>
      <c r="AJ550" s="123"/>
      <c r="AL550" s="123"/>
      <c r="AM550" s="236"/>
      <c r="AN550" s="236"/>
    </row>
    <row r="551" spans="3:40" x14ac:dyDescent="0.3">
      <c r="C551" s="42"/>
      <c r="F551" s="184"/>
      <c r="H551" s="184"/>
      <c r="I551" s="184"/>
      <c r="J551" s="238"/>
      <c r="K551" s="238"/>
      <c r="L551" s="123"/>
      <c r="M551" s="123"/>
      <c r="N551" s="160"/>
      <c r="O551" s="160"/>
      <c r="P551" s="123"/>
      <c r="Q551" s="123"/>
      <c r="R551" s="123"/>
      <c r="T551" s="42"/>
      <c r="V551" s="123"/>
      <c r="W551" s="123"/>
      <c r="X551" s="123"/>
      <c r="Y551" s="123"/>
      <c r="Z551" s="238"/>
      <c r="AA551" s="123"/>
      <c r="AB551" s="123"/>
      <c r="AC551" s="160"/>
      <c r="AD551" s="160"/>
      <c r="AE551" s="123"/>
      <c r="AF551" s="123"/>
      <c r="AH551" s="236"/>
      <c r="AI551" s="123"/>
      <c r="AJ551" s="123"/>
      <c r="AL551" s="123"/>
      <c r="AM551" s="236"/>
      <c r="AN551" s="236"/>
    </row>
    <row r="552" spans="3:40" x14ac:dyDescent="0.3">
      <c r="C552" s="42"/>
      <c r="F552" s="123"/>
      <c r="H552" s="123"/>
      <c r="I552" s="123"/>
      <c r="J552" s="188"/>
      <c r="K552" s="188"/>
      <c r="L552" s="123"/>
      <c r="M552" s="123"/>
      <c r="N552" s="160"/>
      <c r="O552" s="160"/>
      <c r="P552" s="123"/>
      <c r="Q552" s="123"/>
      <c r="R552" s="123"/>
      <c r="T552" s="42"/>
      <c r="V552" s="123"/>
      <c r="W552" s="123"/>
      <c r="X552" s="123"/>
      <c r="Y552" s="123"/>
      <c r="Z552" s="188"/>
      <c r="AA552" s="123"/>
      <c r="AB552" s="123"/>
      <c r="AC552" s="160"/>
      <c r="AD552" s="160"/>
      <c r="AE552" s="123"/>
      <c r="AF552" s="123"/>
      <c r="AH552" s="236"/>
      <c r="AI552" s="123"/>
      <c r="AJ552" s="123"/>
      <c r="AL552" s="123"/>
      <c r="AM552" s="236"/>
      <c r="AN552" s="236"/>
    </row>
    <row r="553" spans="3:40" x14ac:dyDescent="0.3">
      <c r="F553" s="123"/>
      <c r="H553" s="123"/>
      <c r="I553" s="123"/>
      <c r="J553" s="188"/>
      <c r="K553" s="188"/>
      <c r="Z553" s="188"/>
    </row>
    <row r="554" spans="3:40" x14ac:dyDescent="0.3">
      <c r="C554" s="42"/>
      <c r="F554" s="123"/>
      <c r="H554" s="184"/>
      <c r="I554" s="184"/>
      <c r="J554" s="238"/>
      <c r="K554" s="238"/>
      <c r="L554" s="123"/>
      <c r="M554" s="123"/>
      <c r="N554" s="160"/>
      <c r="O554" s="160"/>
      <c r="P554" s="123"/>
      <c r="Q554" s="123"/>
      <c r="R554" s="123"/>
      <c r="T554" s="42"/>
      <c r="V554" s="123"/>
      <c r="W554" s="123"/>
      <c r="X554" s="123"/>
      <c r="Y554" s="123"/>
      <c r="Z554" s="238"/>
      <c r="AA554" s="123"/>
      <c r="AB554" s="123"/>
      <c r="AC554" s="160"/>
      <c r="AD554" s="160"/>
      <c r="AE554" s="123"/>
      <c r="AF554" s="123"/>
      <c r="AH554" s="236"/>
      <c r="AI554" s="123"/>
      <c r="AJ554" s="123"/>
      <c r="AL554" s="123"/>
      <c r="AM554" s="236"/>
      <c r="AN554" s="236"/>
    </row>
    <row r="555" spans="3:40" x14ac:dyDescent="0.3">
      <c r="F555" s="210"/>
      <c r="H555" s="210"/>
      <c r="I555" s="210"/>
      <c r="J555" s="238"/>
      <c r="K555" s="238"/>
      <c r="L555" s="210"/>
      <c r="M555" s="210"/>
      <c r="N555" s="210"/>
      <c r="O555" s="210"/>
      <c r="P555" s="210"/>
      <c r="Q555" s="210"/>
      <c r="R555" s="210"/>
      <c r="V555" s="210"/>
      <c r="Y555" s="210"/>
      <c r="Z555" s="238"/>
      <c r="AA555" s="210"/>
      <c r="AB555" s="210"/>
      <c r="AC555" s="210"/>
      <c r="AD555" s="210"/>
      <c r="AE555" s="210"/>
      <c r="AF555" s="210"/>
      <c r="AI555" s="210"/>
      <c r="AJ555" s="210"/>
      <c r="AK555" s="214"/>
      <c r="AL555" s="210"/>
    </row>
    <row r="556" spans="3:40" x14ac:dyDescent="0.3">
      <c r="C556" s="42"/>
      <c r="F556" s="123"/>
      <c r="H556" s="123"/>
      <c r="I556" s="123"/>
      <c r="J556" s="188"/>
      <c r="K556" s="188"/>
      <c r="L556" s="123"/>
      <c r="M556" s="123"/>
      <c r="P556" s="123"/>
      <c r="Q556" s="123"/>
      <c r="R556" s="123"/>
      <c r="T556" s="42"/>
      <c r="V556" s="123"/>
      <c r="Y556" s="123"/>
      <c r="Z556" s="188"/>
      <c r="AA556" s="123"/>
      <c r="AB556" s="123"/>
      <c r="AC556" s="236"/>
      <c r="AD556" s="236"/>
      <c r="AE556" s="123"/>
      <c r="AF556" s="123"/>
      <c r="AH556" s="236"/>
      <c r="AI556" s="123"/>
      <c r="AJ556" s="123"/>
      <c r="AL556" s="123"/>
      <c r="AM556" s="236"/>
      <c r="AN556" s="236"/>
    </row>
    <row r="557" spans="3:40" x14ac:dyDescent="0.3">
      <c r="F557" s="210"/>
      <c r="H557" s="210"/>
      <c r="I557" s="210"/>
      <c r="J557" s="238"/>
      <c r="K557" s="238"/>
      <c r="L557" s="210"/>
      <c r="M557" s="210"/>
      <c r="N557" s="210"/>
      <c r="O557" s="210"/>
      <c r="P557" s="210"/>
      <c r="Q557" s="210"/>
      <c r="R557" s="210"/>
      <c r="V557" s="210"/>
      <c r="Y557" s="210"/>
      <c r="Z557" s="238"/>
      <c r="AA557" s="210"/>
      <c r="AB557" s="210"/>
      <c r="AC557" s="210"/>
      <c r="AD557" s="210"/>
      <c r="AE557" s="210"/>
      <c r="AF557" s="210"/>
      <c r="AI557" s="210"/>
      <c r="AJ557" s="210"/>
      <c r="AK557" s="214"/>
      <c r="AL557" s="210"/>
    </row>
    <row r="558" spans="3:40" x14ac:dyDescent="0.3">
      <c r="J558" s="188"/>
      <c r="K558" s="188"/>
      <c r="Z558" s="188"/>
    </row>
    <row r="559" spans="3:40" x14ac:dyDescent="0.3">
      <c r="C559" s="42"/>
      <c r="J559" s="188"/>
      <c r="K559" s="188"/>
      <c r="T559" s="42"/>
      <c r="Z559" s="188"/>
    </row>
    <row r="560" spans="3:40" x14ac:dyDescent="0.3">
      <c r="C560" s="42"/>
      <c r="J560" s="188"/>
      <c r="K560" s="188"/>
      <c r="T560" s="42"/>
      <c r="Z560" s="188"/>
    </row>
    <row r="561" spans="1:40" x14ac:dyDescent="0.3">
      <c r="C561" s="42"/>
      <c r="F561" s="184"/>
      <c r="H561" s="184"/>
      <c r="I561" s="184"/>
      <c r="J561" s="238"/>
      <c r="K561" s="238"/>
      <c r="L561" s="123"/>
      <c r="M561" s="123"/>
      <c r="N561" s="160"/>
      <c r="O561" s="160"/>
      <c r="P561" s="123"/>
      <c r="Q561" s="123"/>
      <c r="R561" s="123"/>
      <c r="T561" s="42"/>
      <c r="V561" s="123"/>
      <c r="W561" s="123"/>
      <c r="X561" s="123"/>
      <c r="Y561" s="123"/>
      <c r="Z561" s="238"/>
      <c r="AA561" s="123"/>
      <c r="AB561" s="123"/>
      <c r="AC561" s="160"/>
      <c r="AD561" s="160"/>
      <c r="AE561" s="123"/>
      <c r="AF561" s="123"/>
      <c r="AH561" s="236"/>
      <c r="AI561" s="123"/>
      <c r="AJ561" s="123"/>
      <c r="AL561" s="123"/>
      <c r="AM561" s="236"/>
      <c r="AN561" s="236"/>
    </row>
    <row r="562" spans="1:40" x14ac:dyDescent="0.3">
      <c r="C562" s="42"/>
      <c r="J562" s="188"/>
      <c r="K562" s="188"/>
      <c r="T562" s="42"/>
      <c r="Z562" s="188"/>
    </row>
    <row r="563" spans="1:40" x14ac:dyDescent="0.3">
      <c r="C563" s="42"/>
      <c r="F563" s="184"/>
      <c r="H563" s="184"/>
      <c r="I563" s="184"/>
      <c r="J563" s="238"/>
      <c r="K563" s="238"/>
      <c r="L563" s="123"/>
      <c r="M563" s="123"/>
      <c r="N563" s="160"/>
      <c r="O563" s="160"/>
      <c r="P563" s="123"/>
      <c r="Q563" s="123"/>
      <c r="R563" s="123"/>
      <c r="T563" s="42"/>
      <c r="V563" s="123"/>
      <c r="W563" s="123"/>
      <c r="X563" s="123"/>
      <c r="Y563" s="123"/>
      <c r="Z563" s="238"/>
      <c r="AA563" s="123"/>
      <c r="AB563" s="123"/>
      <c r="AC563" s="160"/>
      <c r="AD563" s="160"/>
      <c r="AE563" s="123"/>
      <c r="AF563" s="123"/>
      <c r="AH563" s="236"/>
      <c r="AI563" s="123"/>
      <c r="AJ563" s="123"/>
      <c r="AL563" s="123"/>
      <c r="AM563" s="236"/>
      <c r="AN563" s="236"/>
    </row>
    <row r="564" spans="1:40" x14ac:dyDescent="0.3">
      <c r="F564" s="210"/>
      <c r="H564" s="210"/>
      <c r="I564" s="210"/>
      <c r="J564" s="238"/>
      <c r="K564" s="238"/>
      <c r="L564" s="210"/>
      <c r="M564" s="210"/>
      <c r="N564" s="210"/>
      <c r="O564" s="210"/>
      <c r="P564" s="210"/>
      <c r="Q564" s="210"/>
      <c r="R564" s="210"/>
      <c r="V564" s="210"/>
      <c r="Y564" s="210"/>
      <c r="Z564" s="238"/>
      <c r="AA564" s="210"/>
      <c r="AB564" s="210"/>
      <c r="AC564" s="210"/>
      <c r="AD564" s="210"/>
      <c r="AE564" s="210"/>
      <c r="AF564" s="210"/>
      <c r="AI564" s="210"/>
      <c r="AJ564" s="210"/>
      <c r="AK564" s="214"/>
      <c r="AL564" s="210"/>
    </row>
    <row r="565" spans="1:40" x14ac:dyDescent="0.3">
      <c r="C565" s="42"/>
      <c r="F565" s="123"/>
      <c r="H565" s="123"/>
      <c r="I565" s="123"/>
      <c r="J565" s="188"/>
      <c r="K565" s="188"/>
      <c r="L565" s="123"/>
      <c r="M565" s="123"/>
      <c r="N565" s="236"/>
      <c r="O565" s="236"/>
      <c r="P565" s="123"/>
      <c r="Q565" s="123"/>
      <c r="R565" s="123"/>
      <c r="T565" s="42"/>
      <c r="V565" s="123"/>
      <c r="Y565" s="123"/>
      <c r="Z565" s="188"/>
      <c r="AA565" s="123"/>
      <c r="AB565" s="123"/>
      <c r="AC565" s="236"/>
      <c r="AD565" s="236"/>
      <c r="AE565" s="123"/>
      <c r="AF565" s="123"/>
      <c r="AH565" s="236"/>
      <c r="AI565" s="123"/>
      <c r="AJ565" s="123"/>
      <c r="AL565" s="123"/>
      <c r="AM565" s="236"/>
      <c r="AN565" s="236"/>
    </row>
    <row r="566" spans="1:40" x14ac:dyDescent="0.3">
      <c r="F566" s="210"/>
      <c r="H566" s="210"/>
      <c r="I566" s="210"/>
      <c r="J566" s="238"/>
      <c r="K566" s="238"/>
      <c r="L566" s="210"/>
      <c r="M566" s="210"/>
      <c r="N566" s="210"/>
      <c r="O566" s="210"/>
      <c r="P566" s="210"/>
      <c r="Q566" s="210"/>
      <c r="R566" s="210"/>
      <c r="V566" s="210"/>
      <c r="Y566" s="210"/>
      <c r="Z566" s="213"/>
      <c r="AA566" s="210"/>
      <c r="AB566" s="210"/>
      <c r="AC566" s="210"/>
      <c r="AD566" s="210"/>
      <c r="AE566" s="210"/>
      <c r="AF566" s="210"/>
      <c r="AI566" s="210"/>
      <c r="AJ566" s="210"/>
      <c r="AK566" s="214"/>
      <c r="AL566" s="210"/>
    </row>
    <row r="567" spans="1:40" x14ac:dyDescent="0.3">
      <c r="J567" s="188"/>
      <c r="K567" s="188"/>
    </row>
    <row r="568" spans="1:40" x14ac:dyDescent="0.3">
      <c r="C568" s="42"/>
      <c r="F568" s="123"/>
      <c r="H568" s="123"/>
      <c r="I568" s="123"/>
      <c r="J568" s="188"/>
      <c r="K568" s="188"/>
      <c r="L568" s="123"/>
      <c r="M568" s="123"/>
      <c r="N568" s="160"/>
      <c r="O568" s="160"/>
      <c r="P568" s="184"/>
      <c r="Q568" s="184"/>
      <c r="R568" s="123"/>
      <c r="T568" s="42"/>
      <c r="V568" s="123"/>
      <c r="Y568" s="123"/>
      <c r="AA568" s="123"/>
      <c r="AB568" s="123"/>
      <c r="AC568" s="236"/>
      <c r="AD568" s="236"/>
      <c r="AE568" s="123"/>
      <c r="AF568" s="123"/>
      <c r="AH568" s="236"/>
      <c r="AI568" s="184"/>
      <c r="AJ568" s="184"/>
      <c r="AL568" s="123"/>
      <c r="AM568" s="236"/>
      <c r="AN568" s="236"/>
    </row>
    <row r="569" spans="1:40" x14ac:dyDescent="0.3">
      <c r="F569" s="210"/>
      <c r="H569" s="210"/>
      <c r="I569" s="210"/>
      <c r="J569" s="238"/>
      <c r="K569" s="238"/>
      <c r="L569" s="210"/>
      <c r="M569" s="210"/>
      <c r="N569" s="210"/>
      <c r="O569" s="210"/>
      <c r="P569" s="210"/>
      <c r="Q569" s="210"/>
      <c r="R569" s="210"/>
      <c r="V569" s="210"/>
      <c r="Y569" s="210"/>
      <c r="Z569" s="213"/>
      <c r="AA569" s="210"/>
      <c r="AB569" s="210"/>
      <c r="AC569" s="210"/>
      <c r="AD569" s="210"/>
      <c r="AE569" s="210"/>
      <c r="AF569" s="210"/>
      <c r="AI569" s="210"/>
      <c r="AJ569" s="210"/>
      <c r="AK569" s="214"/>
      <c r="AL569" s="210"/>
    </row>
    <row r="572" spans="1:40" x14ac:dyDescent="0.3">
      <c r="A572" s="42"/>
    </row>
    <row r="574" spans="1:40" x14ac:dyDescent="0.3">
      <c r="H574" s="42"/>
      <c r="I574" s="42"/>
      <c r="Y574" s="42"/>
    </row>
    <row r="576" spans="1:40" x14ac:dyDescent="0.3">
      <c r="L576" s="42"/>
      <c r="M576" s="42"/>
      <c r="AA576" s="42"/>
      <c r="AB576" s="42"/>
    </row>
    <row r="577" spans="1:40" x14ac:dyDescent="0.3">
      <c r="R577" s="42"/>
      <c r="AK577" s="206"/>
      <c r="AL577" s="42"/>
    </row>
    <row r="578" spans="1:40" x14ac:dyDescent="0.3">
      <c r="R578" s="42"/>
      <c r="AK578" s="206"/>
      <c r="AL578" s="42"/>
    </row>
    <row r="579" spans="1:40" x14ac:dyDescent="0.3">
      <c r="A579" s="42"/>
      <c r="R579" s="42"/>
      <c r="AK579" s="206"/>
      <c r="AL579" s="42"/>
    </row>
    <row r="580" spans="1:40" x14ac:dyDescent="0.3">
      <c r="L580" s="42"/>
      <c r="M580" s="42"/>
      <c r="AA580" s="42"/>
      <c r="AB580" s="42"/>
    </row>
    <row r="581" spans="1:40" x14ac:dyDescent="0.3">
      <c r="A581" s="135"/>
      <c r="B581" s="135"/>
      <c r="C581" s="135"/>
      <c r="D581" s="135"/>
      <c r="E581" s="135"/>
      <c r="F581" s="135"/>
      <c r="G581" s="135"/>
      <c r="H581" s="135"/>
      <c r="I581" s="135"/>
      <c r="J581" s="135"/>
      <c r="K581" s="135"/>
      <c r="L581" s="135"/>
      <c r="M581" s="135"/>
      <c r="N581" s="135"/>
      <c r="O581" s="135"/>
      <c r="P581" s="135"/>
      <c r="Q581" s="135"/>
      <c r="R581" s="135"/>
      <c r="T581" s="135"/>
      <c r="U581" s="135"/>
      <c r="V581" s="135"/>
      <c r="W581" s="135"/>
      <c r="X581" s="135"/>
      <c r="Y581" s="135"/>
      <c r="Z581" s="135"/>
      <c r="AA581" s="135"/>
      <c r="AB581" s="135"/>
      <c r="AC581" s="135"/>
      <c r="AD581" s="135"/>
      <c r="AE581" s="135"/>
      <c r="AF581" s="135"/>
      <c r="AG581" s="207"/>
      <c r="AH581" s="135"/>
      <c r="AI581" s="135"/>
      <c r="AJ581" s="135"/>
      <c r="AK581" s="207"/>
      <c r="AL581" s="135"/>
      <c r="AM581" s="135"/>
      <c r="AN581" s="135"/>
    </row>
    <row r="582" spans="1:40" x14ac:dyDescent="0.3">
      <c r="L582" s="44"/>
      <c r="M582" s="44"/>
      <c r="N582" s="44"/>
      <c r="O582" s="44"/>
      <c r="R582" s="44"/>
      <c r="AA582" s="44"/>
      <c r="AB582" s="44"/>
      <c r="AC582" s="44"/>
      <c r="AD582" s="44"/>
      <c r="AE582" s="44"/>
      <c r="AF582" s="44"/>
      <c r="AG582" s="168"/>
      <c r="AH582" s="44"/>
      <c r="AK582" s="168"/>
      <c r="AL582" s="44"/>
      <c r="AM582" s="44"/>
      <c r="AN582" s="44"/>
    </row>
    <row r="583" spans="1:40" x14ac:dyDescent="0.3">
      <c r="L583" s="44"/>
      <c r="M583" s="44"/>
      <c r="N583" s="44"/>
      <c r="O583" s="44"/>
      <c r="R583" s="44"/>
      <c r="Z583" s="44"/>
      <c r="AA583" s="44"/>
      <c r="AB583" s="44"/>
      <c r="AC583" s="44"/>
      <c r="AD583" s="44"/>
      <c r="AE583" s="44"/>
      <c r="AF583" s="44"/>
      <c r="AG583" s="168"/>
      <c r="AH583" s="44"/>
      <c r="AK583" s="168"/>
      <c r="AL583" s="44"/>
      <c r="AM583" s="44"/>
      <c r="AN583" s="44"/>
    </row>
    <row r="584" spans="1:40" x14ac:dyDescent="0.3">
      <c r="A584" s="44"/>
      <c r="C584" s="44"/>
      <c r="D584" s="44"/>
      <c r="E584" s="44"/>
      <c r="F584" s="44"/>
      <c r="J584" s="44"/>
      <c r="K584" s="44"/>
      <c r="L584" s="44"/>
      <c r="M584" s="44"/>
      <c r="N584" s="44"/>
      <c r="O584" s="44"/>
      <c r="P584" s="44"/>
      <c r="Q584" s="44"/>
      <c r="R584" s="44"/>
      <c r="T584" s="44"/>
      <c r="U584" s="44"/>
      <c r="V584" s="44"/>
      <c r="Z584" s="44"/>
      <c r="AA584" s="44"/>
      <c r="AB584" s="44"/>
      <c r="AC584" s="44"/>
      <c r="AD584" s="44"/>
      <c r="AE584" s="44"/>
      <c r="AF584" s="44"/>
      <c r="AG584" s="168"/>
      <c r="AH584" s="44"/>
      <c r="AI584" s="44"/>
      <c r="AJ584" s="44"/>
      <c r="AK584" s="168"/>
      <c r="AL584" s="44"/>
      <c r="AM584" s="44"/>
      <c r="AN584" s="44"/>
    </row>
    <row r="585" spans="1:40" x14ac:dyDescent="0.3">
      <c r="A585" s="44"/>
      <c r="C585" s="44"/>
      <c r="D585" s="44"/>
      <c r="E585" s="44"/>
      <c r="F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T585" s="44"/>
      <c r="U585" s="44"/>
      <c r="V585" s="44"/>
      <c r="Y585" s="44"/>
      <c r="Z585" s="44"/>
      <c r="AA585" s="44"/>
      <c r="AB585" s="44"/>
      <c r="AC585" s="44"/>
      <c r="AD585" s="44"/>
      <c r="AE585" s="44"/>
      <c r="AF585" s="44"/>
      <c r="AG585" s="168"/>
      <c r="AH585" s="44"/>
      <c r="AI585" s="44"/>
      <c r="AJ585" s="44"/>
      <c r="AK585" s="168"/>
      <c r="AL585" s="44"/>
      <c r="AM585" s="44"/>
      <c r="AN585" s="44"/>
    </row>
    <row r="586" spans="1:40" x14ac:dyDescent="0.3">
      <c r="C586" s="44"/>
      <c r="D586" s="44"/>
      <c r="E586" s="44"/>
      <c r="F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T586" s="44"/>
      <c r="U586" s="44"/>
      <c r="V586" s="44"/>
      <c r="Y586" s="44"/>
      <c r="Z586" s="44"/>
      <c r="AA586" s="44"/>
      <c r="AB586" s="44"/>
      <c r="AC586" s="44"/>
      <c r="AD586" s="44"/>
      <c r="AE586" s="44"/>
      <c r="AF586" s="44"/>
      <c r="AG586" s="168"/>
      <c r="AH586" s="44"/>
      <c r="AI586" s="44"/>
      <c r="AJ586" s="44"/>
      <c r="AK586" s="168"/>
      <c r="AL586" s="44"/>
      <c r="AM586" s="44"/>
      <c r="AN586" s="44"/>
    </row>
    <row r="587" spans="1:40" x14ac:dyDescent="0.3">
      <c r="A587" s="135"/>
      <c r="B587" s="135"/>
      <c r="C587" s="135"/>
      <c r="D587" s="135"/>
      <c r="E587" s="135"/>
      <c r="F587" s="135"/>
      <c r="G587" s="135"/>
      <c r="H587" s="135"/>
      <c r="I587" s="135"/>
      <c r="J587" s="135"/>
      <c r="K587" s="135"/>
      <c r="L587" s="135"/>
      <c r="M587" s="135"/>
      <c r="N587" s="135"/>
      <c r="O587" s="135"/>
      <c r="P587" s="135"/>
      <c r="Q587" s="135"/>
      <c r="R587" s="135"/>
      <c r="T587" s="135"/>
      <c r="U587" s="135"/>
      <c r="V587" s="135"/>
      <c r="W587" s="135"/>
      <c r="X587" s="135"/>
      <c r="Y587" s="135"/>
      <c r="Z587" s="135"/>
      <c r="AA587" s="135"/>
      <c r="AB587" s="135"/>
      <c r="AC587" s="135"/>
      <c r="AD587" s="135"/>
      <c r="AE587" s="135"/>
      <c r="AF587" s="135"/>
      <c r="AG587" s="207"/>
      <c r="AH587" s="135"/>
      <c r="AI587" s="135"/>
      <c r="AJ587" s="135"/>
      <c r="AK587" s="207"/>
      <c r="AL587" s="135"/>
      <c r="AM587" s="135"/>
      <c r="AN587" s="135"/>
    </row>
    <row r="588" spans="1:40" x14ac:dyDescent="0.3"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Y588" s="44"/>
      <c r="Z588" s="44"/>
      <c r="AA588" s="44"/>
      <c r="AB588" s="44"/>
      <c r="AC588" s="44"/>
      <c r="AD588" s="44"/>
      <c r="AE588" s="44"/>
      <c r="AF588" s="44"/>
      <c r="AG588" s="168"/>
      <c r="AH588" s="44"/>
      <c r="AI588" s="44"/>
      <c r="AJ588" s="44"/>
      <c r="AK588" s="168"/>
      <c r="AL588" s="44"/>
      <c r="AM588" s="44"/>
      <c r="AN588" s="44"/>
    </row>
    <row r="589" spans="1:40" x14ac:dyDescent="0.3">
      <c r="C589" s="42"/>
      <c r="D589" s="42"/>
      <c r="E589" s="42"/>
      <c r="T589" s="42"/>
      <c r="U589" s="42"/>
    </row>
    <row r="591" spans="1:40" x14ac:dyDescent="0.3">
      <c r="C591" s="42"/>
      <c r="D591" s="42"/>
      <c r="E591" s="42"/>
      <c r="T591" s="42"/>
      <c r="U591" s="42"/>
    </row>
    <row r="592" spans="1:40" x14ac:dyDescent="0.3">
      <c r="C592" s="42"/>
      <c r="T592" s="42"/>
    </row>
    <row r="593" spans="3:40" x14ac:dyDescent="0.3">
      <c r="C593" s="42"/>
      <c r="T593" s="42"/>
    </row>
    <row r="594" spans="3:40" x14ac:dyDescent="0.3">
      <c r="C594" s="42"/>
      <c r="F594" s="184"/>
      <c r="H594" s="184"/>
      <c r="I594" s="184"/>
      <c r="J594" s="238"/>
      <c r="K594" s="238"/>
      <c r="L594" s="123"/>
      <c r="M594" s="123"/>
      <c r="N594" s="160"/>
      <c r="O594" s="160"/>
      <c r="P594" s="123"/>
      <c r="Q594" s="123"/>
      <c r="R594" s="123"/>
      <c r="T594" s="42"/>
      <c r="V594" s="123"/>
      <c r="W594" s="123"/>
      <c r="X594" s="123"/>
      <c r="Y594" s="123"/>
      <c r="Z594" s="238"/>
      <c r="AA594" s="123"/>
      <c r="AB594" s="123"/>
      <c r="AC594" s="160"/>
      <c r="AD594" s="160"/>
      <c r="AE594" s="123"/>
      <c r="AF594" s="123"/>
      <c r="AH594" s="236"/>
      <c r="AI594" s="123"/>
      <c r="AJ594" s="123"/>
      <c r="AL594" s="123"/>
      <c r="AM594" s="160"/>
      <c r="AN594" s="160"/>
    </row>
    <row r="595" spans="3:40" x14ac:dyDescent="0.3">
      <c r="C595" s="42"/>
      <c r="J595" s="188"/>
      <c r="K595" s="188"/>
      <c r="T595" s="42"/>
      <c r="V595" s="123"/>
      <c r="W595" s="123"/>
      <c r="X595" s="123"/>
      <c r="Y595" s="123"/>
      <c r="Z595" s="238"/>
    </row>
    <row r="596" spans="3:40" x14ac:dyDescent="0.3">
      <c r="C596" s="42"/>
      <c r="F596" s="184"/>
      <c r="H596" s="184"/>
      <c r="I596" s="184"/>
      <c r="J596" s="238"/>
      <c r="K596" s="238"/>
      <c r="L596" s="123"/>
      <c r="M596" s="123"/>
      <c r="N596" s="160"/>
      <c r="O596" s="160"/>
      <c r="P596" s="123"/>
      <c r="Q596" s="123"/>
      <c r="R596" s="123"/>
      <c r="T596" s="42"/>
      <c r="V596" s="123"/>
      <c r="W596" s="123"/>
      <c r="X596" s="123"/>
      <c r="Y596" s="123"/>
      <c r="Z596" s="238"/>
      <c r="AA596" s="123"/>
      <c r="AB596" s="123"/>
      <c r="AC596" s="160"/>
      <c r="AD596" s="160"/>
      <c r="AE596" s="123"/>
      <c r="AF596" s="123"/>
      <c r="AH596" s="236"/>
      <c r="AI596" s="123"/>
      <c r="AJ596" s="123"/>
      <c r="AL596" s="123"/>
      <c r="AM596" s="160"/>
      <c r="AN596" s="160"/>
    </row>
    <row r="597" spans="3:40" x14ac:dyDescent="0.3">
      <c r="C597" s="42"/>
      <c r="J597" s="188"/>
      <c r="K597" s="188"/>
      <c r="T597" s="42"/>
      <c r="V597" s="123"/>
      <c r="W597" s="123"/>
      <c r="X597" s="123"/>
      <c r="Y597" s="123"/>
      <c r="Z597" s="238"/>
    </row>
    <row r="598" spans="3:40" x14ac:dyDescent="0.3">
      <c r="C598" s="42"/>
      <c r="F598" s="184"/>
      <c r="H598" s="184"/>
      <c r="I598" s="184"/>
      <c r="J598" s="238"/>
      <c r="K598" s="238"/>
      <c r="L598" s="123"/>
      <c r="M598" s="123"/>
      <c r="N598" s="160"/>
      <c r="O598" s="160"/>
      <c r="P598" s="123"/>
      <c r="Q598" s="123"/>
      <c r="R598" s="123"/>
      <c r="T598" s="42"/>
      <c r="V598" s="123"/>
      <c r="W598" s="123"/>
      <c r="X598" s="123"/>
      <c r="Y598" s="123"/>
      <c r="Z598" s="238"/>
      <c r="AA598" s="123"/>
      <c r="AB598" s="123"/>
      <c r="AC598" s="160"/>
      <c r="AD598" s="160"/>
      <c r="AE598" s="123"/>
      <c r="AF598" s="123"/>
      <c r="AH598" s="236"/>
      <c r="AI598" s="123"/>
      <c r="AJ598" s="123"/>
      <c r="AL598" s="123"/>
      <c r="AM598" s="160"/>
      <c r="AN598" s="160"/>
    </row>
    <row r="599" spans="3:40" x14ac:dyDescent="0.3">
      <c r="C599" s="42"/>
      <c r="J599" s="188"/>
      <c r="K599" s="188"/>
      <c r="T599" s="42"/>
      <c r="V599" s="123"/>
      <c r="W599" s="123"/>
      <c r="X599" s="123"/>
      <c r="Y599" s="123"/>
      <c r="Z599" s="238"/>
    </row>
    <row r="600" spans="3:40" x14ac:dyDescent="0.3">
      <c r="C600" s="42"/>
      <c r="F600" s="184"/>
      <c r="H600" s="184"/>
      <c r="I600" s="184"/>
      <c r="J600" s="238"/>
      <c r="K600" s="238"/>
      <c r="L600" s="123"/>
      <c r="M600" s="123"/>
      <c r="N600" s="160"/>
      <c r="O600" s="160"/>
      <c r="P600" s="123"/>
      <c r="Q600" s="123"/>
      <c r="R600" s="123"/>
      <c r="T600" s="42"/>
      <c r="V600" s="123"/>
      <c r="W600" s="123"/>
      <c r="X600" s="123"/>
      <c r="Y600" s="123"/>
      <c r="Z600" s="238"/>
      <c r="AA600" s="123"/>
      <c r="AB600" s="123"/>
      <c r="AC600" s="160"/>
      <c r="AD600" s="160"/>
      <c r="AE600" s="123"/>
      <c r="AF600" s="123"/>
      <c r="AH600" s="236"/>
      <c r="AI600" s="123"/>
      <c r="AJ600" s="123"/>
      <c r="AL600" s="123"/>
      <c r="AM600" s="160"/>
      <c r="AN600" s="160"/>
    </row>
    <row r="601" spans="3:40" x14ac:dyDescent="0.3">
      <c r="C601" s="42"/>
      <c r="J601" s="188"/>
      <c r="K601" s="188"/>
      <c r="T601" s="42"/>
      <c r="V601" s="123"/>
      <c r="W601" s="123"/>
      <c r="X601" s="123"/>
      <c r="Y601" s="123"/>
      <c r="Z601" s="238"/>
    </row>
    <row r="602" spans="3:40" x14ac:dyDescent="0.3">
      <c r="C602" s="42"/>
      <c r="F602" s="184"/>
      <c r="H602" s="184"/>
      <c r="I602" s="184"/>
      <c r="J602" s="238"/>
      <c r="K602" s="238"/>
      <c r="L602" s="123"/>
      <c r="M602" s="123"/>
      <c r="N602" s="160"/>
      <c r="O602" s="160"/>
      <c r="P602" s="123"/>
      <c r="Q602" s="123"/>
      <c r="R602" s="123"/>
      <c r="T602" s="42"/>
      <c r="V602" s="123"/>
      <c r="W602" s="123"/>
      <c r="X602" s="123"/>
      <c r="Y602" s="123"/>
      <c r="Z602" s="238"/>
      <c r="AA602" s="123"/>
      <c r="AB602" s="123"/>
      <c r="AC602" s="160"/>
      <c r="AD602" s="160"/>
      <c r="AE602" s="123"/>
      <c r="AF602" s="123"/>
      <c r="AH602" s="236"/>
      <c r="AI602" s="123"/>
      <c r="AJ602" s="123"/>
      <c r="AL602" s="123"/>
      <c r="AM602" s="160"/>
      <c r="AN602" s="160"/>
    </row>
    <row r="603" spans="3:40" x14ac:dyDescent="0.3">
      <c r="C603" s="42"/>
      <c r="J603" s="188"/>
      <c r="K603" s="188"/>
      <c r="T603" s="42"/>
      <c r="V603" s="123"/>
      <c r="W603" s="123"/>
      <c r="X603" s="123"/>
      <c r="Y603" s="123"/>
      <c r="Z603" s="238"/>
    </row>
    <row r="604" spans="3:40" x14ac:dyDescent="0.3">
      <c r="C604" s="42"/>
      <c r="F604" s="184"/>
      <c r="H604" s="184"/>
      <c r="I604" s="184"/>
      <c r="J604" s="238"/>
      <c r="K604" s="238"/>
      <c r="L604" s="123"/>
      <c r="M604" s="123"/>
      <c r="N604" s="160"/>
      <c r="O604" s="160"/>
      <c r="P604" s="123"/>
      <c r="Q604" s="123"/>
      <c r="R604" s="123"/>
      <c r="T604" s="42"/>
      <c r="V604" s="123"/>
      <c r="W604" s="123"/>
      <c r="X604" s="123"/>
      <c r="Y604" s="123"/>
      <c r="Z604" s="238"/>
      <c r="AA604" s="123"/>
      <c r="AB604" s="123"/>
      <c r="AC604" s="160"/>
      <c r="AD604" s="160"/>
      <c r="AE604" s="123"/>
      <c r="AF604" s="123"/>
      <c r="AH604" s="236"/>
      <c r="AI604" s="123"/>
      <c r="AJ604" s="123"/>
      <c r="AL604" s="123"/>
      <c r="AM604" s="160"/>
      <c r="AN604" s="160"/>
    </row>
    <row r="605" spans="3:40" x14ac:dyDescent="0.3">
      <c r="F605" s="210"/>
      <c r="H605" s="210"/>
      <c r="I605" s="210"/>
      <c r="J605" s="238"/>
      <c r="K605" s="238"/>
      <c r="L605" s="210"/>
      <c r="M605" s="210"/>
      <c r="N605" s="210"/>
      <c r="O605" s="210"/>
      <c r="P605" s="210"/>
      <c r="Q605" s="210"/>
      <c r="R605" s="210"/>
      <c r="V605" s="210"/>
      <c r="Y605" s="210"/>
      <c r="Z605" s="238"/>
      <c r="AA605" s="210"/>
      <c r="AB605" s="210"/>
      <c r="AC605" s="210"/>
      <c r="AD605" s="210"/>
      <c r="AE605" s="210"/>
      <c r="AF605" s="210"/>
      <c r="AI605" s="210"/>
      <c r="AJ605" s="210"/>
      <c r="AK605" s="214"/>
      <c r="AL605" s="210"/>
      <c r="AM605" s="160"/>
      <c r="AN605" s="160"/>
    </row>
    <row r="606" spans="3:40" x14ac:dyDescent="0.3">
      <c r="C606" s="42"/>
      <c r="F606" s="123"/>
      <c r="H606" s="123"/>
      <c r="I606" s="123"/>
      <c r="J606" s="188"/>
      <c r="K606" s="188"/>
      <c r="L606" s="123"/>
      <c r="M606" s="123"/>
      <c r="N606" s="160"/>
      <c r="O606" s="160"/>
      <c r="P606" s="184"/>
      <c r="Q606" s="184"/>
      <c r="R606" s="123"/>
      <c r="T606" s="42"/>
      <c r="V606" s="123"/>
      <c r="W606" s="123"/>
      <c r="X606" s="123"/>
      <c r="Y606" s="123"/>
      <c r="Z606" s="238"/>
      <c r="AA606" s="123"/>
      <c r="AB606" s="123"/>
      <c r="AC606" s="160"/>
      <c r="AD606" s="160"/>
      <c r="AE606" s="123"/>
      <c r="AF606" s="123"/>
      <c r="AH606" s="236"/>
      <c r="AI606" s="184"/>
      <c r="AJ606" s="184"/>
      <c r="AL606" s="123"/>
      <c r="AM606" s="160"/>
      <c r="AN606" s="160"/>
    </row>
    <row r="607" spans="3:40" x14ac:dyDescent="0.3">
      <c r="F607" s="210"/>
      <c r="H607" s="210"/>
      <c r="I607" s="210"/>
      <c r="J607" s="238"/>
      <c r="K607" s="238"/>
      <c r="L607" s="210"/>
      <c r="M607" s="210"/>
      <c r="N607" s="210"/>
      <c r="O607" s="210"/>
      <c r="P607" s="210"/>
      <c r="Q607" s="210"/>
      <c r="R607" s="210"/>
      <c r="V607" s="210"/>
      <c r="Y607" s="210"/>
      <c r="Z607" s="238"/>
      <c r="AA607" s="210"/>
      <c r="AB607" s="210"/>
      <c r="AC607" s="210"/>
      <c r="AD607" s="210"/>
      <c r="AE607" s="210"/>
      <c r="AF607" s="210"/>
      <c r="AI607" s="210"/>
      <c r="AJ607" s="210"/>
      <c r="AK607" s="214"/>
      <c r="AL607" s="210"/>
    </row>
    <row r="608" spans="3:40" x14ac:dyDescent="0.3">
      <c r="C608" s="42"/>
      <c r="D608" s="42"/>
      <c r="E608" s="42"/>
      <c r="J608" s="188"/>
      <c r="K608" s="188"/>
      <c r="T608" s="42"/>
      <c r="U608" s="42"/>
      <c r="V608" s="123"/>
      <c r="W608" s="123"/>
      <c r="X608" s="123"/>
      <c r="Y608" s="123"/>
      <c r="Z608" s="238"/>
    </row>
    <row r="609" spans="3:40" x14ac:dyDescent="0.3">
      <c r="C609" s="42"/>
      <c r="J609" s="188"/>
      <c r="K609" s="188"/>
      <c r="T609" s="42"/>
      <c r="V609" s="123"/>
      <c r="W609" s="123"/>
      <c r="X609" s="123"/>
      <c r="Y609" s="123"/>
      <c r="Z609" s="238"/>
    </row>
    <row r="610" spans="3:40" x14ac:dyDescent="0.3">
      <c r="C610" s="42"/>
      <c r="J610" s="188"/>
      <c r="K610" s="188"/>
      <c r="T610" s="42"/>
      <c r="V610" s="123"/>
      <c r="W610" s="123"/>
      <c r="X610" s="123"/>
      <c r="Y610" s="123"/>
      <c r="Z610" s="238"/>
    </row>
    <row r="611" spans="3:40" x14ac:dyDescent="0.3">
      <c r="C611" s="42"/>
      <c r="F611" s="184"/>
      <c r="H611" s="184"/>
      <c r="I611" s="184"/>
      <c r="J611" s="238"/>
      <c r="K611" s="238"/>
      <c r="L611" s="123"/>
      <c r="M611" s="123"/>
      <c r="N611" s="160"/>
      <c r="O611" s="160"/>
      <c r="P611" s="123"/>
      <c r="Q611" s="123"/>
      <c r="R611" s="123"/>
      <c r="T611" s="42"/>
      <c r="V611" s="123"/>
      <c r="W611" s="123"/>
      <c r="X611" s="123"/>
      <c r="Y611" s="123"/>
      <c r="Z611" s="238"/>
      <c r="AA611" s="123"/>
      <c r="AB611" s="123"/>
      <c r="AC611" s="160"/>
      <c r="AD611" s="160"/>
      <c r="AE611" s="123"/>
      <c r="AF611" s="123"/>
      <c r="AH611" s="236"/>
      <c r="AI611" s="123"/>
      <c r="AJ611" s="123"/>
      <c r="AL611" s="123"/>
      <c r="AM611" s="160"/>
      <c r="AN611" s="160"/>
    </row>
    <row r="612" spans="3:40" x14ac:dyDescent="0.3">
      <c r="C612" s="42"/>
      <c r="J612" s="188"/>
      <c r="K612" s="188"/>
      <c r="T612" s="42"/>
      <c r="V612" s="123"/>
      <c r="W612" s="123"/>
      <c r="X612" s="123"/>
      <c r="Y612" s="123"/>
      <c r="Z612" s="238"/>
    </row>
    <row r="613" spans="3:40" x14ac:dyDescent="0.3">
      <c r="C613" s="42"/>
      <c r="F613" s="184"/>
      <c r="H613" s="184"/>
      <c r="I613" s="184"/>
      <c r="J613" s="238"/>
      <c r="K613" s="238"/>
      <c r="L613" s="123"/>
      <c r="M613" s="123"/>
      <c r="N613" s="160"/>
      <c r="O613" s="160"/>
      <c r="P613" s="123"/>
      <c r="Q613" s="123"/>
      <c r="R613" s="123"/>
      <c r="T613" s="42"/>
      <c r="V613" s="123"/>
      <c r="W613" s="123"/>
      <c r="X613" s="123"/>
      <c r="Y613" s="123"/>
      <c r="Z613" s="238"/>
      <c r="AA613" s="123"/>
      <c r="AB613" s="123"/>
      <c r="AC613" s="160"/>
      <c r="AD613" s="160"/>
      <c r="AE613" s="123"/>
      <c r="AF613" s="123"/>
      <c r="AH613" s="236"/>
      <c r="AI613" s="123"/>
      <c r="AJ613" s="123"/>
      <c r="AL613" s="123"/>
      <c r="AM613" s="160"/>
      <c r="AN613" s="160"/>
    </row>
    <row r="614" spans="3:40" x14ac:dyDescent="0.3">
      <c r="F614" s="210"/>
      <c r="H614" s="210"/>
      <c r="I614" s="210"/>
      <c r="J614" s="238"/>
      <c r="K614" s="238"/>
      <c r="L614" s="210"/>
      <c r="M614" s="210"/>
      <c r="N614" s="210"/>
      <c r="O614" s="210"/>
      <c r="P614" s="210"/>
      <c r="Q614" s="210"/>
      <c r="R614" s="210"/>
      <c r="V614" s="210"/>
      <c r="Y614" s="210"/>
      <c r="Z614" s="213"/>
      <c r="AA614" s="210"/>
      <c r="AB614" s="210"/>
      <c r="AC614" s="210"/>
      <c r="AD614" s="210"/>
      <c r="AE614" s="210"/>
      <c r="AF614" s="210"/>
      <c r="AI614" s="210"/>
      <c r="AJ614" s="210"/>
      <c r="AK614" s="214"/>
      <c r="AL614" s="210"/>
    </row>
    <row r="615" spans="3:40" x14ac:dyDescent="0.3">
      <c r="C615" s="42"/>
      <c r="F615" s="123"/>
      <c r="H615" s="123"/>
      <c r="I615" s="123"/>
      <c r="L615" s="123"/>
      <c r="M615" s="123"/>
      <c r="N615" s="160"/>
      <c r="O615" s="160"/>
      <c r="P615" s="184"/>
      <c r="Q615" s="184"/>
      <c r="R615" s="123"/>
      <c r="T615" s="42"/>
      <c r="V615" s="123"/>
      <c r="W615" s="123"/>
      <c r="X615" s="123"/>
      <c r="Y615" s="123"/>
      <c r="Z615" s="237"/>
      <c r="AA615" s="123"/>
      <c r="AB615" s="123"/>
      <c r="AC615" s="160"/>
      <c r="AD615" s="160"/>
      <c r="AE615" s="123"/>
      <c r="AF615" s="123"/>
      <c r="AH615" s="236"/>
      <c r="AI615" s="184"/>
      <c r="AJ615" s="184"/>
      <c r="AL615" s="123"/>
      <c r="AM615" s="160"/>
      <c r="AN615" s="160"/>
    </row>
    <row r="616" spans="3:40" x14ac:dyDescent="0.3">
      <c r="F616" s="210"/>
      <c r="H616" s="210"/>
      <c r="I616" s="210"/>
      <c r="J616" s="213"/>
      <c r="K616" s="213"/>
      <c r="L616" s="210"/>
      <c r="M616" s="210"/>
      <c r="N616" s="210"/>
      <c r="O616" s="210"/>
      <c r="P616" s="210"/>
      <c r="Q616" s="210"/>
      <c r="R616" s="210"/>
      <c r="V616" s="210"/>
      <c r="Y616" s="210"/>
      <c r="Z616" s="213"/>
      <c r="AA616" s="210"/>
      <c r="AB616" s="210"/>
      <c r="AC616" s="210"/>
      <c r="AD616" s="210"/>
      <c r="AE616" s="210"/>
      <c r="AF616" s="210"/>
      <c r="AI616" s="210"/>
      <c r="AJ616" s="210"/>
      <c r="AK616" s="214"/>
      <c r="AL616" s="210"/>
    </row>
    <row r="617" spans="3:40" x14ac:dyDescent="0.3">
      <c r="C617" s="42"/>
      <c r="D617" s="42"/>
      <c r="E617" s="42"/>
      <c r="T617" s="42"/>
      <c r="U617" s="42"/>
      <c r="V617" s="123"/>
      <c r="W617" s="123"/>
      <c r="X617" s="123"/>
      <c r="Y617" s="123"/>
      <c r="Z617" s="237"/>
    </row>
    <row r="618" spans="3:40" x14ac:dyDescent="0.3">
      <c r="C618" s="42"/>
      <c r="T618" s="42"/>
      <c r="V618" s="123"/>
      <c r="W618" s="123"/>
      <c r="X618" s="123"/>
      <c r="Y618" s="123"/>
      <c r="Z618" s="237"/>
    </row>
    <row r="619" spans="3:40" x14ac:dyDescent="0.3">
      <c r="C619" s="42"/>
      <c r="F619" s="184"/>
      <c r="H619" s="184"/>
      <c r="I619" s="184"/>
      <c r="J619" s="237"/>
      <c r="K619" s="237"/>
      <c r="L619" s="123"/>
      <c r="M619" s="123"/>
      <c r="N619" s="160"/>
      <c r="O619" s="160"/>
      <c r="P619" s="123"/>
      <c r="Q619" s="123"/>
      <c r="R619" s="123"/>
      <c r="T619" s="42"/>
      <c r="V619" s="123"/>
      <c r="W619" s="123"/>
      <c r="X619" s="123"/>
      <c r="Y619" s="123"/>
      <c r="Z619" s="237"/>
      <c r="AA619" s="123"/>
      <c r="AB619" s="123"/>
      <c r="AC619" s="160"/>
      <c r="AD619" s="160"/>
      <c r="AE619" s="123"/>
      <c r="AF619" s="123"/>
      <c r="AH619" s="236"/>
      <c r="AI619" s="123"/>
      <c r="AJ619" s="123"/>
      <c r="AL619" s="123"/>
      <c r="AM619" s="160"/>
      <c r="AN619" s="160"/>
    </row>
    <row r="620" spans="3:40" x14ac:dyDescent="0.3">
      <c r="C620" s="42"/>
      <c r="T620" s="42"/>
      <c r="V620" s="123"/>
      <c r="W620" s="123"/>
      <c r="X620" s="123"/>
      <c r="Y620" s="123"/>
      <c r="Z620" s="237"/>
    </row>
    <row r="621" spans="3:40" x14ac:dyDescent="0.3">
      <c r="C621" s="42"/>
      <c r="F621" s="184"/>
      <c r="H621" s="184"/>
      <c r="I621" s="184"/>
      <c r="J621" s="237"/>
      <c r="K621" s="237"/>
      <c r="L621" s="123"/>
      <c r="M621" s="123"/>
      <c r="N621" s="160"/>
      <c r="O621" s="160"/>
      <c r="P621" s="123"/>
      <c r="Q621" s="123"/>
      <c r="R621" s="123"/>
      <c r="T621" s="42"/>
      <c r="V621" s="123"/>
      <c r="W621" s="123"/>
      <c r="X621" s="123"/>
      <c r="Y621" s="123"/>
      <c r="Z621" s="237"/>
      <c r="AA621" s="123"/>
      <c r="AB621" s="123"/>
      <c r="AC621" s="160"/>
      <c r="AD621" s="160"/>
      <c r="AE621" s="123"/>
      <c r="AF621" s="123"/>
      <c r="AH621" s="236"/>
      <c r="AI621" s="123"/>
      <c r="AJ621" s="123"/>
      <c r="AL621" s="123"/>
      <c r="AM621" s="160"/>
      <c r="AN621" s="160"/>
    </row>
    <row r="622" spans="3:40" x14ac:dyDescent="0.3">
      <c r="C622" s="42"/>
      <c r="T622" s="42"/>
      <c r="V622" s="123"/>
      <c r="W622" s="123"/>
      <c r="X622" s="123"/>
      <c r="Y622" s="123"/>
      <c r="Z622" s="237"/>
    </row>
    <row r="623" spans="3:40" x14ac:dyDescent="0.3">
      <c r="C623" s="42"/>
      <c r="F623" s="184"/>
      <c r="H623" s="184"/>
      <c r="I623" s="184"/>
      <c r="J623" s="237"/>
      <c r="K623" s="237"/>
      <c r="L623" s="123"/>
      <c r="M623" s="123"/>
      <c r="N623" s="160"/>
      <c r="O623" s="160"/>
      <c r="P623" s="123"/>
      <c r="Q623" s="123"/>
      <c r="R623" s="123"/>
      <c r="T623" s="42"/>
      <c r="V623" s="123"/>
      <c r="W623" s="123"/>
      <c r="X623" s="123"/>
      <c r="Y623" s="123"/>
      <c r="Z623" s="237"/>
      <c r="AA623" s="123"/>
      <c r="AB623" s="123"/>
      <c r="AC623" s="160"/>
      <c r="AD623" s="160"/>
      <c r="AE623" s="123"/>
      <c r="AF623" s="123"/>
      <c r="AH623" s="236"/>
      <c r="AI623" s="123"/>
      <c r="AJ623" s="123"/>
      <c r="AL623" s="123"/>
      <c r="AM623" s="160"/>
      <c r="AN623" s="160"/>
    </row>
    <row r="624" spans="3:40" x14ac:dyDescent="0.3">
      <c r="C624" s="42"/>
      <c r="T624" s="42"/>
      <c r="V624" s="123"/>
      <c r="W624" s="123"/>
      <c r="X624" s="123"/>
      <c r="Y624" s="123"/>
      <c r="Z624" s="237"/>
    </row>
    <row r="625" spans="1:40" x14ac:dyDescent="0.3">
      <c r="C625" s="42"/>
      <c r="F625" s="184"/>
      <c r="H625" s="184"/>
      <c r="I625" s="184"/>
      <c r="J625" s="237"/>
      <c r="K625" s="237"/>
      <c r="L625" s="123"/>
      <c r="M625" s="123"/>
      <c r="N625" s="160"/>
      <c r="O625" s="160"/>
      <c r="P625" s="123"/>
      <c r="Q625" s="123"/>
      <c r="R625" s="123"/>
      <c r="T625" s="42"/>
      <c r="V625" s="123"/>
      <c r="W625" s="123"/>
      <c r="X625" s="123"/>
      <c r="Y625" s="123"/>
      <c r="Z625" s="237"/>
      <c r="AA625" s="123"/>
      <c r="AB625" s="123"/>
      <c r="AC625" s="160"/>
      <c r="AD625" s="160"/>
      <c r="AE625" s="123"/>
      <c r="AF625" s="123"/>
      <c r="AH625" s="236"/>
      <c r="AI625" s="123"/>
      <c r="AJ625" s="123"/>
      <c r="AL625" s="123"/>
      <c r="AM625" s="160"/>
      <c r="AN625" s="160"/>
    </row>
    <row r="626" spans="1:40" x14ac:dyDescent="0.3">
      <c r="F626" s="210"/>
      <c r="H626" s="210"/>
      <c r="I626" s="210"/>
      <c r="J626" s="213"/>
      <c r="K626" s="213"/>
      <c r="L626" s="210"/>
      <c r="M626" s="210"/>
      <c r="N626" s="210"/>
      <c r="O626" s="210"/>
      <c r="P626" s="210"/>
      <c r="Q626" s="210"/>
      <c r="R626" s="210"/>
      <c r="V626" s="210"/>
      <c r="Y626" s="210"/>
      <c r="Z626" s="213"/>
      <c r="AA626" s="210"/>
      <c r="AB626" s="210"/>
      <c r="AC626" s="210"/>
      <c r="AD626" s="210"/>
      <c r="AE626" s="210"/>
      <c r="AF626" s="210"/>
      <c r="AI626" s="210"/>
      <c r="AJ626" s="210"/>
      <c r="AK626" s="214"/>
      <c r="AL626" s="210"/>
    </row>
    <row r="627" spans="1:40" x14ac:dyDescent="0.3">
      <c r="C627" s="42"/>
      <c r="F627" s="123"/>
      <c r="H627" s="123"/>
      <c r="I627" s="123"/>
      <c r="L627" s="123"/>
      <c r="M627" s="123"/>
      <c r="N627" s="160"/>
      <c r="O627" s="160"/>
      <c r="P627" s="184"/>
      <c r="Q627" s="184"/>
      <c r="R627" s="123"/>
      <c r="T627" s="42"/>
      <c r="V627" s="123"/>
      <c r="W627" s="123"/>
      <c r="X627" s="123"/>
      <c r="Y627" s="123"/>
      <c r="Z627" s="237"/>
      <c r="AA627" s="123"/>
      <c r="AB627" s="123"/>
      <c r="AC627" s="160"/>
      <c r="AD627" s="160"/>
      <c r="AE627" s="123"/>
      <c r="AF627" s="123"/>
      <c r="AH627" s="236"/>
      <c r="AI627" s="184"/>
      <c r="AJ627" s="184"/>
      <c r="AL627" s="123"/>
      <c r="AM627" s="160"/>
      <c r="AN627" s="160"/>
    </row>
    <row r="628" spans="1:40" x14ac:dyDescent="0.3">
      <c r="F628" s="210"/>
      <c r="H628" s="210"/>
      <c r="I628" s="210"/>
      <c r="J628" s="213"/>
      <c r="K628" s="213"/>
      <c r="L628" s="210"/>
      <c r="M628" s="210"/>
      <c r="N628" s="210"/>
      <c r="O628" s="210"/>
      <c r="P628" s="210"/>
      <c r="Q628" s="210"/>
      <c r="R628" s="210"/>
      <c r="V628" s="210"/>
      <c r="Y628" s="210"/>
      <c r="Z628" s="213"/>
      <c r="AA628" s="210"/>
      <c r="AB628" s="210"/>
      <c r="AC628" s="210"/>
      <c r="AD628" s="210"/>
      <c r="AE628" s="210"/>
      <c r="AF628" s="210"/>
      <c r="AI628" s="210"/>
      <c r="AJ628" s="210"/>
      <c r="AK628" s="214"/>
      <c r="AL628" s="210"/>
    </row>
    <row r="629" spans="1:40" x14ac:dyDescent="0.3">
      <c r="C629" s="42"/>
      <c r="F629" s="123"/>
      <c r="H629" s="123"/>
      <c r="I629" s="123"/>
      <c r="L629" s="123"/>
      <c r="M629" s="123"/>
      <c r="N629" s="160"/>
      <c r="O629" s="160"/>
      <c r="P629" s="123"/>
      <c r="Q629" s="123"/>
      <c r="R629" s="123"/>
      <c r="T629" s="42"/>
      <c r="V629" s="123"/>
      <c r="W629" s="123"/>
      <c r="X629" s="123"/>
      <c r="Y629" s="123"/>
      <c r="AA629" s="123"/>
      <c r="AB629" s="123"/>
      <c r="AC629" s="160"/>
      <c r="AD629" s="160"/>
      <c r="AE629" s="123"/>
      <c r="AF629" s="123"/>
      <c r="AH629" s="236"/>
      <c r="AI629" s="123"/>
      <c r="AJ629" s="123"/>
      <c r="AL629" s="123"/>
      <c r="AM629" s="236"/>
      <c r="AN629" s="236"/>
    </row>
    <row r="630" spans="1:40" x14ac:dyDescent="0.3">
      <c r="F630" s="210"/>
      <c r="H630" s="210"/>
      <c r="I630" s="210"/>
      <c r="J630" s="213"/>
      <c r="K630" s="213"/>
      <c r="L630" s="210"/>
      <c r="M630" s="210"/>
      <c r="N630" s="210"/>
      <c r="O630" s="210"/>
      <c r="P630" s="210"/>
      <c r="Q630" s="210"/>
      <c r="R630" s="210"/>
      <c r="V630" s="210"/>
      <c r="Y630" s="210"/>
      <c r="Z630" s="213"/>
      <c r="AA630" s="210"/>
      <c r="AB630" s="210"/>
      <c r="AC630" s="210"/>
      <c r="AD630" s="210"/>
      <c r="AE630" s="210"/>
      <c r="AF630" s="210"/>
      <c r="AI630" s="210"/>
      <c r="AJ630" s="210"/>
      <c r="AK630" s="214"/>
      <c r="AL630" s="210"/>
    </row>
    <row r="633" spans="1:40" x14ac:dyDescent="0.3">
      <c r="A633" s="42"/>
    </row>
    <row r="635" spans="1:40" x14ac:dyDescent="0.3">
      <c r="H635" s="42"/>
      <c r="I635" s="42"/>
      <c r="Y635" s="42"/>
    </row>
    <row r="637" spans="1:40" x14ac:dyDescent="0.3">
      <c r="L637" s="42"/>
      <c r="M637" s="42"/>
      <c r="AA637" s="42"/>
      <c r="AB637" s="42"/>
    </row>
    <row r="638" spans="1:40" x14ac:dyDescent="0.3">
      <c r="R638" s="42"/>
      <c r="AK638" s="206"/>
      <c r="AL638" s="42"/>
    </row>
    <row r="639" spans="1:40" x14ac:dyDescent="0.3">
      <c r="R639" s="42"/>
      <c r="AK639" s="206"/>
      <c r="AL639" s="42"/>
    </row>
    <row r="640" spans="1:40" x14ac:dyDescent="0.3">
      <c r="A640" s="42"/>
      <c r="R640" s="42"/>
      <c r="AK640" s="206"/>
      <c r="AL640" s="42"/>
    </row>
    <row r="641" spans="1:40" x14ac:dyDescent="0.3">
      <c r="L641" s="42"/>
      <c r="M641" s="42"/>
      <c r="AA641" s="42"/>
      <c r="AB641" s="42"/>
    </row>
    <row r="642" spans="1:40" x14ac:dyDescent="0.3">
      <c r="A642" s="135"/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207"/>
      <c r="AH642" s="135"/>
      <c r="AI642" s="135"/>
      <c r="AJ642" s="135"/>
      <c r="AK642" s="207"/>
      <c r="AL642" s="135"/>
      <c r="AM642" s="135"/>
      <c r="AN642" s="135"/>
    </row>
    <row r="643" spans="1:40" x14ac:dyDescent="0.3">
      <c r="L643" s="44"/>
      <c r="M643" s="44"/>
      <c r="N643" s="44"/>
      <c r="O643" s="44"/>
      <c r="R643" s="44"/>
      <c r="AA643" s="44"/>
      <c r="AB643" s="44"/>
      <c r="AC643" s="44"/>
      <c r="AD643" s="44"/>
      <c r="AE643" s="44"/>
      <c r="AF643" s="44"/>
      <c r="AG643" s="168"/>
      <c r="AH643" s="44"/>
      <c r="AK643" s="168"/>
      <c r="AL643" s="44"/>
      <c r="AM643" s="44"/>
      <c r="AN643" s="44"/>
    </row>
    <row r="644" spans="1:40" x14ac:dyDescent="0.3">
      <c r="L644" s="44"/>
      <c r="M644" s="44"/>
      <c r="N644" s="44"/>
      <c r="O644" s="44"/>
      <c r="R644" s="44"/>
      <c r="Z644" s="44"/>
      <c r="AA644" s="44"/>
      <c r="AB644" s="44"/>
      <c r="AC644" s="44"/>
      <c r="AD644" s="44"/>
      <c r="AE644" s="44"/>
      <c r="AF644" s="44"/>
      <c r="AG644" s="168"/>
      <c r="AH644" s="44"/>
      <c r="AK644" s="168"/>
      <c r="AL644" s="44"/>
      <c r="AM644" s="44"/>
      <c r="AN644" s="44"/>
    </row>
    <row r="645" spans="1:40" x14ac:dyDescent="0.3">
      <c r="A645" s="44"/>
      <c r="C645" s="44"/>
      <c r="D645" s="44"/>
      <c r="E645" s="44"/>
      <c r="F645" s="44"/>
      <c r="J645" s="44"/>
      <c r="K645" s="44"/>
      <c r="L645" s="44"/>
      <c r="M645" s="44"/>
      <c r="N645" s="44"/>
      <c r="O645" s="44"/>
      <c r="P645" s="44"/>
      <c r="Q645" s="44"/>
      <c r="R645" s="44"/>
      <c r="T645" s="44"/>
      <c r="U645" s="44"/>
      <c r="V645" s="44"/>
      <c r="Z645" s="44"/>
      <c r="AA645" s="44"/>
      <c r="AB645" s="44"/>
      <c r="AC645" s="44"/>
      <c r="AD645" s="44"/>
      <c r="AE645" s="44"/>
      <c r="AF645" s="44"/>
      <c r="AG645" s="168"/>
      <c r="AH645" s="44"/>
      <c r="AI645" s="44"/>
      <c r="AJ645" s="44"/>
      <c r="AK645" s="168"/>
      <c r="AL645" s="44"/>
      <c r="AM645" s="44"/>
      <c r="AN645" s="44"/>
    </row>
    <row r="646" spans="1:40" x14ac:dyDescent="0.3">
      <c r="A646" s="44"/>
      <c r="C646" s="44"/>
      <c r="D646" s="44"/>
      <c r="E646" s="44"/>
      <c r="F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T646" s="44"/>
      <c r="U646" s="44"/>
      <c r="V646" s="44"/>
      <c r="Y646" s="44"/>
      <c r="Z646" s="44"/>
      <c r="AA646" s="44"/>
      <c r="AB646" s="44"/>
      <c r="AC646" s="44"/>
      <c r="AD646" s="44"/>
      <c r="AE646" s="44"/>
      <c r="AF646" s="44"/>
      <c r="AG646" s="168"/>
      <c r="AH646" s="44"/>
      <c r="AI646" s="44"/>
      <c r="AJ646" s="44"/>
      <c r="AK646" s="168"/>
      <c r="AL646" s="44"/>
      <c r="AM646" s="44"/>
      <c r="AN646" s="44"/>
    </row>
    <row r="647" spans="1:40" x14ac:dyDescent="0.3">
      <c r="C647" s="44"/>
      <c r="D647" s="44"/>
      <c r="E647" s="44"/>
      <c r="F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T647" s="44"/>
      <c r="U647" s="44"/>
      <c r="V647" s="44"/>
      <c r="Y647" s="44"/>
      <c r="Z647" s="44"/>
      <c r="AA647" s="44"/>
      <c r="AB647" s="44"/>
      <c r="AC647" s="44"/>
      <c r="AD647" s="44"/>
      <c r="AE647" s="44"/>
      <c r="AF647" s="44"/>
      <c r="AG647" s="168"/>
      <c r="AH647" s="44"/>
      <c r="AI647" s="44"/>
      <c r="AJ647" s="44"/>
      <c r="AK647" s="168"/>
      <c r="AL647" s="44"/>
      <c r="AM647" s="44"/>
      <c r="AN647" s="44"/>
    </row>
    <row r="648" spans="1:40" x14ac:dyDescent="0.3">
      <c r="A648" s="135"/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207"/>
      <c r="AH648" s="135"/>
      <c r="AI648" s="135"/>
      <c r="AJ648" s="135"/>
      <c r="AK648" s="207"/>
      <c r="AL648" s="135"/>
      <c r="AM648" s="135"/>
      <c r="AN648" s="135"/>
    </row>
    <row r="649" spans="1:40" x14ac:dyDescent="0.3"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Y649" s="44"/>
      <c r="Z649" s="44"/>
      <c r="AA649" s="44"/>
      <c r="AB649" s="44"/>
      <c r="AC649" s="44"/>
      <c r="AD649" s="44"/>
      <c r="AE649" s="44"/>
      <c r="AF649" s="44"/>
      <c r="AG649" s="168"/>
      <c r="AH649" s="44"/>
      <c r="AI649" s="44"/>
      <c r="AJ649" s="44"/>
      <c r="AK649" s="168"/>
      <c r="AL649" s="44"/>
      <c r="AM649" s="44"/>
      <c r="AN649" s="44"/>
    </row>
    <row r="650" spans="1:40" x14ac:dyDescent="0.3">
      <c r="C650" s="42"/>
      <c r="D650" s="42"/>
      <c r="E650" s="42"/>
      <c r="F650" s="123"/>
      <c r="H650" s="123"/>
      <c r="I650" s="123"/>
      <c r="J650" s="219"/>
      <c r="K650" s="219"/>
      <c r="L650" s="123"/>
      <c r="M650" s="123"/>
      <c r="N650" s="219"/>
      <c r="O650" s="219"/>
      <c r="P650" s="123"/>
      <c r="Q650" s="123"/>
      <c r="R650" s="123"/>
      <c r="T650" s="42"/>
      <c r="U650" s="42"/>
      <c r="V650" s="123"/>
      <c r="Y650" s="123"/>
      <c r="Z650" s="219"/>
      <c r="AA650" s="123"/>
      <c r="AB650" s="123"/>
      <c r="AC650" s="219"/>
      <c r="AD650" s="219"/>
      <c r="AE650" s="123"/>
      <c r="AF650" s="123"/>
      <c r="AH650" s="236"/>
      <c r="AI650" s="123"/>
      <c r="AJ650" s="123"/>
      <c r="AL650" s="123"/>
      <c r="AM650" s="160"/>
      <c r="AN650" s="160"/>
    </row>
    <row r="651" spans="1:40" x14ac:dyDescent="0.3">
      <c r="F651" s="210"/>
      <c r="H651" s="210"/>
      <c r="I651" s="210"/>
      <c r="J651" s="213"/>
      <c r="K651" s="213"/>
      <c r="L651" s="210"/>
      <c r="M651" s="210"/>
      <c r="N651" s="210"/>
      <c r="O651" s="210"/>
      <c r="P651" s="210"/>
      <c r="Q651" s="210"/>
      <c r="R651" s="210"/>
      <c r="V651" s="210"/>
      <c r="Y651" s="210"/>
      <c r="Z651" s="213"/>
      <c r="AA651" s="210"/>
      <c r="AB651" s="210"/>
      <c r="AC651" s="210"/>
      <c r="AD651" s="210"/>
      <c r="AE651" s="210"/>
      <c r="AF651" s="210"/>
      <c r="AI651" s="210"/>
      <c r="AJ651" s="210"/>
      <c r="AK651" s="214"/>
      <c r="AL651" s="210"/>
      <c r="AM651" s="160"/>
      <c r="AN651" s="160"/>
    </row>
    <row r="652" spans="1:40" x14ac:dyDescent="0.3">
      <c r="C652" s="42"/>
      <c r="F652" s="123"/>
      <c r="H652" s="123"/>
      <c r="I652" s="123"/>
      <c r="J652" s="219"/>
      <c r="K652" s="219"/>
      <c r="L652" s="123"/>
      <c r="M652" s="123"/>
      <c r="N652" s="219"/>
      <c r="O652" s="219"/>
      <c r="P652" s="123"/>
      <c r="Q652" s="123"/>
      <c r="R652" s="123"/>
      <c r="T652" s="42"/>
      <c r="V652" s="123"/>
      <c r="Y652" s="123"/>
      <c r="Z652" s="219"/>
      <c r="AA652" s="123"/>
      <c r="AB652" s="123"/>
      <c r="AC652" s="219"/>
      <c r="AD652" s="219"/>
      <c r="AE652" s="123"/>
      <c r="AF652" s="123"/>
      <c r="AH652" s="236"/>
      <c r="AI652" s="123"/>
      <c r="AJ652" s="123"/>
      <c r="AL652" s="123"/>
      <c r="AM652" s="160"/>
      <c r="AN652" s="160"/>
    </row>
    <row r="653" spans="1:40" x14ac:dyDescent="0.3">
      <c r="F653" s="123"/>
      <c r="H653" s="123"/>
      <c r="I653" s="123"/>
      <c r="J653" s="219"/>
      <c r="K653" s="219"/>
      <c r="L653" s="123"/>
      <c r="M653" s="123"/>
      <c r="N653" s="219"/>
      <c r="O653" s="219"/>
      <c r="P653" s="123"/>
      <c r="Q653" s="123"/>
      <c r="R653" s="123"/>
      <c r="V653" s="123"/>
      <c r="Y653" s="123"/>
      <c r="Z653" s="219"/>
      <c r="AA653" s="123"/>
      <c r="AB653" s="123"/>
      <c r="AC653" s="219"/>
      <c r="AD653" s="219"/>
      <c r="AH653" s="236"/>
      <c r="AI653" s="123"/>
      <c r="AJ653" s="123"/>
      <c r="AL653" s="123"/>
      <c r="AM653" s="160"/>
      <c r="AN653" s="160"/>
    </row>
    <row r="654" spans="1:40" x14ac:dyDescent="0.3">
      <c r="C654" s="42"/>
      <c r="D654" s="42"/>
      <c r="E654" s="42"/>
      <c r="F654" s="123"/>
      <c r="H654" s="123"/>
      <c r="I654" s="123"/>
      <c r="J654" s="219"/>
      <c r="K654" s="219"/>
      <c r="L654" s="123"/>
      <c r="M654" s="123"/>
      <c r="N654" s="219"/>
      <c r="O654" s="219"/>
      <c r="P654" s="123"/>
      <c r="Q654" s="123"/>
      <c r="R654" s="123"/>
      <c r="T654" s="42"/>
      <c r="U654" s="42"/>
      <c r="V654" s="123"/>
      <c r="Y654" s="123"/>
      <c r="Z654" s="219"/>
      <c r="AA654" s="123"/>
      <c r="AB654" s="123"/>
      <c r="AC654" s="219"/>
      <c r="AD654" s="219"/>
      <c r="AE654" s="123"/>
      <c r="AF654" s="123"/>
      <c r="AH654" s="236"/>
      <c r="AI654" s="123"/>
      <c r="AJ654" s="123"/>
      <c r="AL654" s="123"/>
      <c r="AM654" s="160"/>
      <c r="AN654" s="160"/>
    </row>
    <row r="655" spans="1:40" x14ac:dyDescent="0.3">
      <c r="C655" s="42"/>
      <c r="D655" s="42"/>
      <c r="E655" s="42"/>
      <c r="F655" s="123"/>
      <c r="H655" s="123"/>
      <c r="I655" s="123"/>
      <c r="J655" s="219"/>
      <c r="K655" s="219"/>
      <c r="L655" s="123"/>
      <c r="M655" s="123"/>
      <c r="N655" s="219"/>
      <c r="O655" s="219"/>
      <c r="P655" s="123"/>
      <c r="Q655" s="123"/>
      <c r="R655" s="123"/>
      <c r="T655" s="42"/>
      <c r="U655" s="42"/>
      <c r="V655" s="123"/>
      <c r="Y655" s="123"/>
      <c r="Z655" s="219"/>
      <c r="AA655" s="123"/>
      <c r="AB655" s="123"/>
      <c r="AC655" s="219"/>
      <c r="AD655" s="219"/>
      <c r="AE655" s="123"/>
      <c r="AF655" s="123"/>
      <c r="AH655" s="236"/>
      <c r="AI655" s="123"/>
      <c r="AJ655" s="123"/>
      <c r="AL655" s="123"/>
      <c r="AM655" s="160"/>
      <c r="AN655" s="160"/>
    </row>
    <row r="656" spans="1:40" x14ac:dyDescent="0.3">
      <c r="C656" s="42"/>
      <c r="D656" s="42"/>
      <c r="E656" s="42"/>
      <c r="F656" s="123"/>
      <c r="H656" s="123"/>
      <c r="I656" s="123"/>
      <c r="J656" s="219"/>
      <c r="K656" s="219"/>
      <c r="L656" s="123"/>
      <c r="M656" s="123"/>
      <c r="N656" s="219"/>
      <c r="O656" s="219"/>
      <c r="P656" s="123"/>
      <c r="Q656" s="123"/>
      <c r="R656" s="123"/>
      <c r="T656" s="42"/>
      <c r="U656" s="42"/>
      <c r="V656" s="123"/>
      <c r="Y656" s="123"/>
      <c r="Z656" s="219"/>
      <c r="AA656" s="123"/>
      <c r="AB656" s="123"/>
      <c r="AC656" s="219"/>
      <c r="AD656" s="219"/>
      <c r="AE656" s="123"/>
      <c r="AF656" s="123"/>
      <c r="AH656" s="236"/>
      <c r="AI656" s="123"/>
      <c r="AJ656" s="123"/>
      <c r="AL656" s="123"/>
      <c r="AM656" s="160"/>
      <c r="AN656" s="160"/>
    </row>
    <row r="657" spans="3:40" x14ac:dyDescent="0.3">
      <c r="C657" s="42"/>
      <c r="D657" s="42"/>
      <c r="E657" s="42"/>
      <c r="F657" s="123"/>
      <c r="H657" s="123"/>
      <c r="I657" s="123"/>
      <c r="J657" s="219"/>
      <c r="K657" s="219"/>
      <c r="L657" s="123"/>
      <c r="M657" s="123"/>
      <c r="N657" s="219"/>
      <c r="O657" s="219"/>
      <c r="P657" s="123"/>
      <c r="Q657" s="123"/>
      <c r="R657" s="123"/>
      <c r="T657" s="42"/>
      <c r="U657" s="42"/>
      <c r="V657" s="123"/>
      <c r="Y657" s="123"/>
      <c r="Z657" s="219"/>
      <c r="AA657" s="123"/>
      <c r="AB657" s="123"/>
      <c r="AC657" s="219"/>
      <c r="AD657" s="219"/>
      <c r="AE657" s="123"/>
      <c r="AF657" s="123"/>
      <c r="AH657" s="236"/>
      <c r="AI657" s="123"/>
      <c r="AJ657" s="123"/>
      <c r="AL657" s="123"/>
      <c r="AM657" s="160"/>
      <c r="AN657" s="160"/>
    </row>
    <row r="658" spans="3:40" x14ac:dyDescent="0.3">
      <c r="C658" s="42"/>
      <c r="D658" s="42"/>
      <c r="E658" s="42"/>
      <c r="F658" s="123"/>
      <c r="H658" s="123"/>
      <c r="I658" s="123"/>
      <c r="J658" s="219"/>
      <c r="K658" s="219"/>
      <c r="L658" s="123"/>
      <c r="M658" s="123"/>
      <c r="N658" s="219"/>
      <c r="O658" s="219"/>
      <c r="P658" s="123"/>
      <c r="Q658" s="123"/>
      <c r="R658" s="123"/>
      <c r="T658" s="42"/>
      <c r="U658" s="42"/>
      <c r="V658" s="123"/>
      <c r="Y658" s="123"/>
      <c r="Z658" s="219"/>
      <c r="AA658" s="123"/>
      <c r="AB658" s="123"/>
      <c r="AC658" s="219"/>
      <c r="AD658" s="219"/>
      <c r="AE658" s="123"/>
      <c r="AF658" s="123"/>
      <c r="AH658" s="236"/>
      <c r="AI658" s="123"/>
      <c r="AJ658" s="123"/>
      <c r="AL658" s="123"/>
      <c r="AM658" s="160"/>
      <c r="AN658" s="160"/>
    </row>
    <row r="659" spans="3:40" x14ac:dyDescent="0.3">
      <c r="C659" s="42"/>
      <c r="D659" s="42"/>
      <c r="E659" s="42"/>
      <c r="F659" s="123"/>
      <c r="H659" s="123"/>
      <c r="I659" s="123"/>
      <c r="J659" s="219"/>
      <c r="K659" s="219"/>
      <c r="L659" s="123"/>
      <c r="M659" s="123"/>
      <c r="N659" s="219"/>
      <c r="O659" s="219"/>
      <c r="P659" s="123"/>
      <c r="Q659" s="123"/>
      <c r="R659" s="123"/>
      <c r="T659" s="42"/>
      <c r="U659" s="42"/>
      <c r="V659" s="123"/>
      <c r="Y659" s="123"/>
      <c r="Z659" s="219"/>
      <c r="AA659" s="123"/>
      <c r="AB659" s="123"/>
      <c r="AC659" s="219"/>
      <c r="AD659" s="219"/>
      <c r="AE659" s="123"/>
      <c r="AF659" s="123"/>
      <c r="AH659" s="236"/>
      <c r="AI659" s="123"/>
      <c r="AJ659" s="123"/>
      <c r="AL659" s="123"/>
      <c r="AM659" s="160"/>
      <c r="AN659" s="160"/>
    </row>
    <row r="660" spans="3:40" x14ac:dyDescent="0.3">
      <c r="F660" s="210"/>
      <c r="H660" s="210"/>
      <c r="I660" s="210"/>
      <c r="J660" s="213"/>
      <c r="K660" s="213"/>
      <c r="L660" s="210"/>
      <c r="M660" s="210"/>
      <c r="N660" s="210"/>
      <c r="O660" s="210"/>
      <c r="P660" s="210"/>
      <c r="Q660" s="210"/>
      <c r="R660" s="210"/>
      <c r="V660" s="210"/>
      <c r="Y660" s="210"/>
      <c r="Z660" s="213"/>
      <c r="AA660" s="210"/>
      <c r="AB660" s="210"/>
      <c r="AC660" s="210"/>
      <c r="AD660" s="210"/>
      <c r="AE660" s="210"/>
      <c r="AF660" s="210"/>
      <c r="AI660" s="210"/>
      <c r="AJ660" s="210"/>
      <c r="AK660" s="214"/>
      <c r="AL660" s="210"/>
      <c r="AM660" s="160"/>
      <c r="AN660" s="160"/>
    </row>
    <row r="661" spans="3:40" x14ac:dyDescent="0.3">
      <c r="C661" s="42"/>
      <c r="F661" s="123"/>
      <c r="H661" s="123"/>
      <c r="I661" s="123"/>
      <c r="J661" s="219"/>
      <c r="K661" s="219"/>
      <c r="L661" s="123"/>
      <c r="M661" s="123"/>
      <c r="N661" s="219"/>
      <c r="O661" s="219"/>
      <c r="P661" s="123"/>
      <c r="Q661" s="123"/>
      <c r="R661" s="123"/>
      <c r="T661" s="42"/>
      <c r="V661" s="123"/>
      <c r="Y661" s="123"/>
      <c r="Z661" s="219"/>
      <c r="AA661" s="123"/>
      <c r="AB661" s="123"/>
      <c r="AC661" s="219"/>
      <c r="AD661" s="219"/>
      <c r="AE661" s="123"/>
      <c r="AF661" s="123"/>
      <c r="AH661" s="236"/>
      <c r="AI661" s="123"/>
      <c r="AJ661" s="123"/>
      <c r="AL661" s="123"/>
      <c r="AM661" s="160"/>
      <c r="AN661" s="160"/>
    </row>
    <row r="662" spans="3:40" x14ac:dyDescent="0.3">
      <c r="F662" s="123"/>
      <c r="H662" s="123"/>
      <c r="I662" s="123"/>
      <c r="J662" s="219"/>
      <c r="K662" s="219"/>
      <c r="L662" s="123"/>
      <c r="M662" s="123"/>
      <c r="N662" s="219"/>
      <c r="O662" s="219"/>
      <c r="P662" s="123"/>
      <c r="Q662" s="123"/>
      <c r="R662" s="123"/>
      <c r="V662" s="123"/>
      <c r="Y662" s="123"/>
      <c r="Z662" s="219"/>
      <c r="AA662" s="123"/>
      <c r="AB662" s="123"/>
      <c r="AC662" s="219"/>
      <c r="AD662" s="219"/>
      <c r="AH662" s="236"/>
      <c r="AI662" s="123"/>
      <c r="AJ662" s="123"/>
      <c r="AL662" s="123"/>
      <c r="AM662" s="160"/>
      <c r="AN662" s="160"/>
    </row>
    <row r="663" spans="3:40" x14ac:dyDescent="0.3">
      <c r="C663" s="42"/>
      <c r="D663" s="42"/>
      <c r="E663" s="42"/>
      <c r="F663" s="123"/>
      <c r="H663" s="123"/>
      <c r="I663" s="123"/>
      <c r="J663" s="219"/>
      <c r="K663" s="219"/>
      <c r="L663" s="123"/>
      <c r="M663" s="123"/>
      <c r="N663" s="219"/>
      <c r="O663" s="219"/>
      <c r="P663" s="123"/>
      <c r="Q663" s="123"/>
      <c r="R663" s="123"/>
      <c r="T663" s="42"/>
      <c r="U663" s="42"/>
      <c r="V663" s="123"/>
      <c r="Y663" s="123"/>
      <c r="Z663" s="219"/>
      <c r="AA663" s="123"/>
      <c r="AB663" s="123"/>
      <c r="AC663" s="219"/>
      <c r="AD663" s="219"/>
      <c r="AE663" s="123"/>
      <c r="AF663" s="123"/>
      <c r="AH663" s="236"/>
      <c r="AI663" s="123"/>
      <c r="AJ663" s="123"/>
      <c r="AL663" s="123"/>
      <c r="AM663" s="160"/>
      <c r="AN663" s="160"/>
    </row>
    <row r="664" spans="3:40" x14ac:dyDescent="0.3">
      <c r="F664" s="210"/>
      <c r="H664" s="210"/>
      <c r="I664" s="210"/>
      <c r="J664" s="213"/>
      <c r="K664" s="213"/>
      <c r="L664" s="210"/>
      <c r="M664" s="210"/>
      <c r="N664" s="210"/>
      <c r="O664" s="210"/>
      <c r="P664" s="210"/>
      <c r="Q664" s="210"/>
      <c r="R664" s="210"/>
      <c r="V664" s="210"/>
      <c r="Y664" s="210"/>
      <c r="Z664" s="213"/>
      <c r="AA664" s="210"/>
      <c r="AB664" s="210"/>
      <c r="AC664" s="210"/>
      <c r="AD664" s="210"/>
      <c r="AE664" s="210"/>
      <c r="AF664" s="210"/>
      <c r="AI664" s="210"/>
      <c r="AJ664" s="210"/>
      <c r="AK664" s="214"/>
      <c r="AL664" s="210"/>
      <c r="AM664" s="160"/>
      <c r="AN664" s="160"/>
    </row>
    <row r="665" spans="3:40" x14ac:dyDescent="0.3">
      <c r="C665" s="42"/>
      <c r="F665" s="123"/>
      <c r="H665" s="123"/>
      <c r="I665" s="123"/>
      <c r="J665" s="219"/>
      <c r="K665" s="219"/>
      <c r="L665" s="123"/>
      <c r="M665" s="123"/>
      <c r="N665" s="219"/>
      <c r="O665" s="219"/>
      <c r="P665" s="123"/>
      <c r="Q665" s="123"/>
      <c r="R665" s="123"/>
      <c r="T665" s="42"/>
      <c r="V665" s="123"/>
      <c r="Y665" s="123"/>
      <c r="Z665" s="219"/>
      <c r="AA665" s="123"/>
      <c r="AB665" s="123"/>
      <c r="AC665" s="219"/>
      <c r="AD665" s="219"/>
      <c r="AE665" s="123"/>
      <c r="AF665" s="123"/>
      <c r="AH665" s="236"/>
      <c r="AI665" s="123"/>
      <c r="AJ665" s="123"/>
      <c r="AL665" s="123"/>
      <c r="AM665" s="160"/>
      <c r="AN665" s="160"/>
    </row>
    <row r="666" spans="3:40" x14ac:dyDescent="0.3">
      <c r="F666" s="123"/>
      <c r="H666" s="123"/>
      <c r="I666" s="123"/>
      <c r="J666" s="219"/>
      <c r="K666" s="219"/>
      <c r="L666" s="123"/>
      <c r="M666" s="123"/>
      <c r="N666" s="219"/>
      <c r="O666" s="219"/>
      <c r="P666" s="123"/>
      <c r="Q666" s="123"/>
      <c r="R666" s="123"/>
      <c r="V666" s="123"/>
      <c r="Y666" s="123"/>
      <c r="Z666" s="219"/>
      <c r="AA666" s="123"/>
      <c r="AB666" s="123"/>
      <c r="AC666" s="219"/>
      <c r="AD666" s="219"/>
      <c r="AH666" s="236"/>
      <c r="AI666" s="123"/>
      <c r="AJ666" s="123"/>
      <c r="AL666" s="123"/>
      <c r="AM666" s="160"/>
      <c r="AN666" s="160"/>
    </row>
    <row r="667" spans="3:40" x14ac:dyDescent="0.3">
      <c r="C667" s="42"/>
      <c r="D667" s="42"/>
      <c r="E667" s="42"/>
      <c r="F667" s="123"/>
      <c r="H667" s="123"/>
      <c r="I667" s="123"/>
      <c r="J667" s="219"/>
      <c r="K667" s="219"/>
      <c r="L667" s="123"/>
      <c r="M667" s="123"/>
      <c r="N667" s="219"/>
      <c r="O667" s="219"/>
      <c r="P667" s="123"/>
      <c r="Q667" s="123"/>
      <c r="R667" s="123"/>
      <c r="T667" s="42"/>
      <c r="U667" s="42"/>
      <c r="V667" s="123"/>
      <c r="Y667" s="123"/>
      <c r="Z667" s="219"/>
      <c r="AA667" s="123"/>
      <c r="AB667" s="123"/>
      <c r="AC667" s="219"/>
      <c r="AD667" s="219"/>
      <c r="AE667" s="123"/>
      <c r="AF667" s="123"/>
      <c r="AH667" s="236"/>
      <c r="AI667" s="123"/>
      <c r="AJ667" s="123"/>
      <c r="AL667" s="123"/>
      <c r="AM667" s="160"/>
      <c r="AN667" s="160"/>
    </row>
    <row r="668" spans="3:40" x14ac:dyDescent="0.3">
      <c r="C668" s="42"/>
      <c r="D668" s="42"/>
      <c r="E668" s="42"/>
      <c r="F668" s="123"/>
      <c r="G668" s="123"/>
      <c r="H668" s="123"/>
      <c r="I668" s="123"/>
      <c r="J668" s="219"/>
      <c r="K668" s="219"/>
      <c r="L668" s="123"/>
      <c r="M668" s="123"/>
      <c r="N668" s="219"/>
      <c r="O668" s="219"/>
      <c r="P668" s="123"/>
      <c r="Q668" s="123"/>
      <c r="R668" s="123"/>
      <c r="T668" s="42"/>
      <c r="U668" s="42"/>
      <c r="V668" s="123"/>
      <c r="W668" s="123"/>
      <c r="X668" s="123"/>
      <c r="Y668" s="123"/>
      <c r="Z668" s="219"/>
      <c r="AA668" s="123"/>
      <c r="AB668" s="123"/>
      <c r="AC668" s="219"/>
      <c r="AD668" s="219"/>
      <c r="AE668" s="123"/>
      <c r="AF668" s="123"/>
      <c r="AH668" s="236"/>
      <c r="AI668" s="123"/>
      <c r="AJ668" s="123"/>
      <c r="AL668" s="123"/>
      <c r="AM668" s="160"/>
      <c r="AN668" s="160"/>
    </row>
    <row r="669" spans="3:40" x14ac:dyDescent="0.3">
      <c r="C669" s="42"/>
      <c r="D669" s="42"/>
      <c r="E669" s="42"/>
      <c r="F669" s="123"/>
      <c r="G669" s="123"/>
      <c r="H669" s="123"/>
      <c r="I669" s="123"/>
      <c r="J669" s="219"/>
      <c r="K669" s="219"/>
      <c r="L669" s="123"/>
      <c r="M669" s="123"/>
      <c r="N669" s="219"/>
      <c r="O669" s="219"/>
      <c r="P669" s="123"/>
      <c r="Q669" s="123"/>
      <c r="R669" s="123"/>
      <c r="T669" s="42"/>
      <c r="U669" s="42"/>
      <c r="V669" s="123"/>
      <c r="W669" s="123"/>
      <c r="X669" s="123"/>
      <c r="Y669" s="123"/>
      <c r="Z669" s="219"/>
      <c r="AA669" s="123"/>
      <c r="AB669" s="123"/>
      <c r="AC669" s="219"/>
      <c r="AD669" s="219"/>
      <c r="AE669" s="123"/>
      <c r="AF669" s="123"/>
      <c r="AH669" s="236"/>
      <c r="AI669" s="123"/>
      <c r="AJ669" s="123"/>
      <c r="AL669" s="123"/>
      <c r="AM669" s="160"/>
      <c r="AN669" s="160"/>
    </row>
    <row r="670" spans="3:40" x14ac:dyDescent="0.3">
      <c r="C670" s="42"/>
      <c r="D670" s="42"/>
      <c r="E670" s="42"/>
      <c r="F670" s="123"/>
      <c r="H670" s="123"/>
      <c r="I670" s="123"/>
      <c r="J670" s="219"/>
      <c r="K670" s="219"/>
      <c r="L670" s="123"/>
      <c r="M670" s="123"/>
      <c r="N670" s="219"/>
      <c r="O670" s="219"/>
      <c r="P670" s="123"/>
      <c r="Q670" s="123"/>
      <c r="R670" s="123"/>
      <c r="T670" s="42"/>
      <c r="U670" s="42"/>
      <c r="V670" s="123"/>
      <c r="Y670" s="123"/>
      <c r="Z670" s="219"/>
      <c r="AA670" s="123"/>
      <c r="AB670" s="123"/>
      <c r="AC670" s="219"/>
      <c r="AD670" s="219"/>
      <c r="AE670" s="123"/>
      <c r="AF670" s="123"/>
      <c r="AH670" s="236"/>
      <c r="AI670" s="123"/>
      <c r="AJ670" s="123"/>
      <c r="AL670" s="123"/>
      <c r="AM670" s="160"/>
      <c r="AN670" s="160"/>
    </row>
    <row r="671" spans="3:40" x14ac:dyDescent="0.3">
      <c r="C671" s="42"/>
      <c r="D671" s="42"/>
      <c r="E671" s="42"/>
      <c r="F671" s="123"/>
      <c r="H671" s="123"/>
      <c r="I671" s="123"/>
      <c r="J671" s="219"/>
      <c r="K671" s="219"/>
      <c r="L671" s="123"/>
      <c r="M671" s="123"/>
      <c r="N671" s="219"/>
      <c r="O671" s="219"/>
      <c r="P671" s="123"/>
      <c r="Q671" s="123"/>
      <c r="R671" s="123"/>
      <c r="T671" s="42"/>
      <c r="U671" s="42"/>
      <c r="V671" s="123"/>
      <c r="Y671" s="123"/>
      <c r="Z671" s="219"/>
      <c r="AA671" s="123"/>
      <c r="AB671" s="123"/>
      <c r="AC671" s="219"/>
      <c r="AD671" s="219"/>
      <c r="AE671" s="123"/>
      <c r="AF671" s="123"/>
      <c r="AH671" s="236"/>
      <c r="AI671" s="123"/>
      <c r="AJ671" s="123"/>
      <c r="AL671" s="123"/>
      <c r="AM671" s="160"/>
      <c r="AN671" s="160"/>
    </row>
    <row r="672" spans="3:40" x14ac:dyDescent="0.3">
      <c r="C672" s="42"/>
      <c r="D672" s="42"/>
      <c r="E672" s="42"/>
      <c r="F672" s="123"/>
      <c r="H672" s="123"/>
      <c r="I672" s="123"/>
      <c r="J672" s="219"/>
      <c r="K672" s="219"/>
      <c r="L672" s="123"/>
      <c r="M672" s="123"/>
      <c r="N672" s="219"/>
      <c r="O672" s="219"/>
      <c r="P672" s="123"/>
      <c r="Q672" s="123"/>
      <c r="R672" s="123"/>
      <c r="T672" s="42"/>
      <c r="U672" s="42"/>
      <c r="V672" s="123"/>
      <c r="Y672" s="123"/>
      <c r="Z672" s="219"/>
      <c r="AA672" s="123"/>
      <c r="AB672" s="123"/>
      <c r="AC672" s="219"/>
      <c r="AD672" s="219"/>
      <c r="AE672" s="123"/>
      <c r="AF672" s="123"/>
      <c r="AH672" s="236"/>
      <c r="AI672" s="123"/>
      <c r="AJ672" s="123"/>
      <c r="AL672" s="123"/>
      <c r="AM672" s="160"/>
      <c r="AN672" s="160"/>
    </row>
    <row r="673" spans="3:40" x14ac:dyDescent="0.3">
      <c r="C673" s="42"/>
      <c r="D673" s="42"/>
      <c r="E673" s="42"/>
      <c r="F673" s="123"/>
      <c r="H673" s="123"/>
      <c r="I673" s="123"/>
      <c r="J673" s="219"/>
      <c r="K673" s="219"/>
      <c r="L673" s="123"/>
      <c r="M673" s="123"/>
      <c r="N673" s="219"/>
      <c r="O673" s="219"/>
      <c r="P673" s="123"/>
      <c r="Q673" s="123"/>
      <c r="R673" s="123"/>
      <c r="T673" s="42"/>
      <c r="U673" s="42"/>
      <c r="V673" s="123"/>
      <c r="Y673" s="123"/>
      <c r="Z673" s="219"/>
      <c r="AA673" s="123"/>
      <c r="AB673" s="123"/>
      <c r="AC673" s="219"/>
      <c r="AD673" s="219"/>
      <c r="AE673" s="123"/>
      <c r="AF673" s="123"/>
      <c r="AH673" s="236"/>
      <c r="AI673" s="123"/>
      <c r="AJ673" s="123"/>
      <c r="AL673" s="123"/>
      <c r="AM673" s="160"/>
      <c r="AN673" s="160"/>
    </row>
    <row r="674" spans="3:40" x14ac:dyDescent="0.3">
      <c r="F674" s="210"/>
      <c r="H674" s="210"/>
      <c r="I674" s="210"/>
      <c r="J674" s="213"/>
      <c r="K674" s="213"/>
      <c r="L674" s="210"/>
      <c r="M674" s="210"/>
      <c r="N674" s="210"/>
      <c r="O674" s="210"/>
      <c r="P674" s="210"/>
      <c r="Q674" s="210"/>
      <c r="R674" s="210"/>
      <c r="V674" s="210"/>
      <c r="Y674" s="210"/>
      <c r="Z674" s="213"/>
      <c r="AA674" s="210"/>
      <c r="AB674" s="210"/>
      <c r="AC674" s="210"/>
      <c r="AD674" s="210"/>
      <c r="AE674" s="210"/>
      <c r="AF674" s="210"/>
      <c r="AI674" s="210"/>
      <c r="AJ674" s="210"/>
      <c r="AK674" s="214"/>
      <c r="AL674" s="210"/>
      <c r="AM674" s="160"/>
      <c r="AN674" s="160"/>
    </row>
    <row r="675" spans="3:40" x14ac:dyDescent="0.3">
      <c r="C675" s="42"/>
      <c r="F675" s="123"/>
      <c r="H675" s="123"/>
      <c r="I675" s="123"/>
      <c r="J675" s="219"/>
      <c r="K675" s="219"/>
      <c r="L675" s="123"/>
      <c r="M675" s="123"/>
      <c r="N675" s="219"/>
      <c r="O675" s="219"/>
      <c r="P675" s="123"/>
      <c r="Q675" s="123"/>
      <c r="R675" s="123"/>
      <c r="T675" s="42"/>
      <c r="V675" s="123"/>
      <c r="Y675" s="123"/>
      <c r="Z675" s="219"/>
      <c r="AA675" s="123"/>
      <c r="AB675" s="123"/>
      <c r="AC675" s="219"/>
      <c r="AD675" s="219"/>
      <c r="AE675" s="123"/>
      <c r="AF675" s="123"/>
      <c r="AH675" s="236"/>
      <c r="AI675" s="123"/>
      <c r="AJ675" s="123"/>
      <c r="AL675" s="123"/>
      <c r="AM675" s="160"/>
      <c r="AN675" s="160"/>
    </row>
    <row r="676" spans="3:40" x14ac:dyDescent="0.3">
      <c r="V676" s="123"/>
      <c r="Y676" s="123"/>
      <c r="Z676" s="213"/>
      <c r="AA676" s="123"/>
      <c r="AB676" s="123"/>
      <c r="AC676" s="123"/>
      <c r="AD676" s="123"/>
      <c r="AE676" s="123"/>
      <c r="AF676" s="123"/>
      <c r="AI676" s="123"/>
      <c r="AJ676" s="123"/>
      <c r="AL676" s="123"/>
      <c r="AM676" s="160"/>
      <c r="AN676" s="160"/>
    </row>
    <row r="677" spans="3:40" x14ac:dyDescent="0.3">
      <c r="C677" s="42"/>
      <c r="D677" s="42"/>
      <c r="E677" s="42"/>
      <c r="L677" s="123"/>
      <c r="M677" s="123"/>
      <c r="N677" s="219"/>
      <c r="O677" s="219"/>
      <c r="R677" s="123"/>
      <c r="T677" s="42"/>
      <c r="U677" s="42"/>
      <c r="AA677" s="123"/>
      <c r="AB677" s="123"/>
      <c r="AC677" s="219"/>
      <c r="AD677" s="219"/>
      <c r="AE677" s="123"/>
      <c r="AF677" s="123"/>
      <c r="AH677" s="236"/>
      <c r="AL677" s="123"/>
      <c r="AM677" s="160"/>
      <c r="AN677" s="160"/>
    </row>
    <row r="678" spans="3:40" x14ac:dyDescent="0.3">
      <c r="D678" s="42"/>
      <c r="E678" s="42"/>
      <c r="F678" s="184"/>
      <c r="H678" s="184"/>
      <c r="I678" s="184"/>
      <c r="J678" s="219"/>
      <c r="K678" s="219"/>
      <c r="L678" s="123"/>
      <c r="M678" s="123"/>
      <c r="N678" s="219"/>
      <c r="O678" s="219"/>
      <c r="P678" s="184"/>
      <c r="Q678" s="184"/>
      <c r="R678" s="123"/>
      <c r="U678" s="42"/>
      <c r="V678" s="123"/>
      <c r="Y678" s="123"/>
      <c r="Z678" s="219"/>
      <c r="AA678" s="123"/>
      <c r="AB678" s="123"/>
      <c r="AC678" s="219"/>
      <c r="AD678" s="219"/>
      <c r="AE678" s="123"/>
      <c r="AF678" s="123"/>
      <c r="AH678" s="236"/>
      <c r="AI678" s="123"/>
      <c r="AJ678" s="123"/>
      <c r="AL678" s="123"/>
      <c r="AM678" s="160"/>
      <c r="AN678" s="160"/>
    </row>
    <row r="679" spans="3:40" x14ac:dyDescent="0.3">
      <c r="F679" s="210"/>
      <c r="H679" s="210"/>
      <c r="I679" s="210"/>
      <c r="J679" s="213"/>
      <c r="K679" s="213"/>
      <c r="L679" s="210"/>
      <c r="M679" s="210"/>
      <c r="N679" s="210"/>
      <c r="O679" s="210"/>
      <c r="P679" s="210"/>
      <c r="Q679" s="210"/>
      <c r="R679" s="210"/>
      <c r="V679" s="210"/>
      <c r="Y679" s="210"/>
      <c r="Z679" s="213"/>
      <c r="AA679" s="210"/>
      <c r="AB679" s="210"/>
      <c r="AC679" s="210"/>
      <c r="AD679" s="210"/>
      <c r="AE679" s="210"/>
      <c r="AF679" s="210"/>
      <c r="AI679" s="210"/>
      <c r="AJ679" s="210"/>
      <c r="AK679" s="214"/>
      <c r="AL679" s="210"/>
      <c r="AM679" s="160"/>
      <c r="AN679" s="160"/>
    </row>
    <row r="680" spans="3:40" x14ac:dyDescent="0.3">
      <c r="C680" s="42"/>
      <c r="F680" s="123"/>
      <c r="H680" s="123"/>
      <c r="I680" s="123"/>
      <c r="J680" s="219"/>
      <c r="K680" s="219"/>
      <c r="L680" s="123"/>
      <c r="M680" s="123"/>
      <c r="N680" s="219"/>
      <c r="O680" s="219"/>
      <c r="P680" s="123"/>
      <c r="Q680" s="123"/>
      <c r="R680" s="123"/>
      <c r="T680" s="42"/>
      <c r="V680" s="123"/>
      <c r="Y680" s="123"/>
      <c r="Z680" s="219"/>
      <c r="AA680" s="123"/>
      <c r="AB680" s="123"/>
      <c r="AC680" s="219"/>
      <c r="AD680" s="219"/>
      <c r="AE680" s="123"/>
      <c r="AF680" s="123"/>
      <c r="AH680" s="236"/>
      <c r="AI680" s="123"/>
      <c r="AJ680" s="123"/>
      <c r="AL680" s="123"/>
      <c r="AM680" s="160"/>
      <c r="AN680" s="160"/>
    </row>
    <row r="681" spans="3:40" x14ac:dyDescent="0.3">
      <c r="F681" s="123"/>
      <c r="H681" s="123"/>
      <c r="I681" s="123"/>
      <c r="J681" s="219"/>
      <c r="K681" s="219"/>
      <c r="L681" s="123"/>
      <c r="M681" s="123"/>
      <c r="N681" s="219"/>
      <c r="O681" s="219"/>
      <c r="P681" s="123"/>
      <c r="Q681" s="123"/>
      <c r="R681" s="123"/>
      <c r="V681" s="123"/>
      <c r="Y681" s="123"/>
      <c r="Z681" s="219"/>
      <c r="AA681" s="123"/>
      <c r="AB681" s="123"/>
      <c r="AC681" s="219"/>
      <c r="AD681" s="219"/>
      <c r="AH681" s="236"/>
      <c r="AI681" s="123"/>
      <c r="AJ681" s="123"/>
      <c r="AL681" s="123"/>
      <c r="AM681" s="160"/>
      <c r="AN681" s="160"/>
    </row>
    <row r="682" spans="3:40" x14ac:dyDescent="0.3">
      <c r="D682" s="42"/>
      <c r="E682" s="42"/>
      <c r="F682" s="123"/>
      <c r="H682" s="123"/>
      <c r="I682" s="123"/>
      <c r="J682" s="219"/>
      <c r="K682" s="219"/>
      <c r="L682" s="184"/>
      <c r="M682" s="184"/>
      <c r="N682" s="219"/>
      <c r="O682" s="219"/>
      <c r="P682" s="123"/>
      <c r="Q682" s="123"/>
      <c r="R682" s="123"/>
      <c r="U682" s="42"/>
      <c r="V682" s="123"/>
      <c r="Y682" s="123"/>
      <c r="Z682" s="219"/>
      <c r="AA682" s="184"/>
      <c r="AB682" s="184"/>
      <c r="AC682" s="219"/>
      <c r="AD682" s="219"/>
      <c r="AE682" s="123"/>
      <c r="AF682" s="123"/>
      <c r="AH682" s="236"/>
      <c r="AI682" s="123"/>
      <c r="AJ682" s="123"/>
      <c r="AL682" s="123"/>
      <c r="AM682" s="160"/>
      <c r="AN682" s="160"/>
    </row>
    <row r="683" spans="3:40" x14ac:dyDescent="0.3">
      <c r="D683" s="42"/>
      <c r="E683" s="42"/>
      <c r="F683" s="123"/>
      <c r="H683" s="123"/>
      <c r="I683" s="123"/>
      <c r="J683" s="219"/>
      <c r="K683" s="219"/>
      <c r="L683" s="184"/>
      <c r="M683" s="184"/>
      <c r="N683" s="219"/>
      <c r="O683" s="219"/>
      <c r="P683" s="123"/>
      <c r="Q683" s="123"/>
      <c r="R683" s="123"/>
      <c r="U683" s="42"/>
      <c r="V683" s="123"/>
      <c r="Y683" s="123"/>
      <c r="Z683" s="219"/>
      <c r="AA683" s="184"/>
      <c r="AB683" s="184"/>
      <c r="AC683" s="219"/>
      <c r="AD683" s="219"/>
      <c r="AE683" s="123"/>
      <c r="AF683" s="123"/>
      <c r="AH683" s="236"/>
      <c r="AI683" s="123"/>
      <c r="AJ683" s="123"/>
      <c r="AL683" s="123"/>
      <c r="AM683" s="160"/>
      <c r="AN683" s="160"/>
    </row>
    <row r="684" spans="3:40" x14ac:dyDescent="0.3">
      <c r="D684" s="42"/>
      <c r="E684" s="42"/>
      <c r="F684" s="123"/>
      <c r="H684" s="123"/>
      <c r="I684" s="123"/>
      <c r="J684" s="219"/>
      <c r="K684" s="219"/>
      <c r="L684" s="184"/>
      <c r="M684" s="184"/>
      <c r="N684" s="219"/>
      <c r="O684" s="219"/>
      <c r="P684" s="123"/>
      <c r="Q684" s="123"/>
      <c r="R684" s="123"/>
      <c r="U684" s="42"/>
      <c r="V684" s="123"/>
      <c r="Y684" s="123"/>
      <c r="Z684" s="219"/>
      <c r="AA684" s="184"/>
      <c r="AB684" s="184"/>
      <c r="AC684" s="219"/>
      <c r="AD684" s="219"/>
      <c r="AE684" s="123"/>
      <c r="AF684" s="123"/>
      <c r="AH684" s="236"/>
      <c r="AI684" s="123"/>
      <c r="AJ684" s="123"/>
      <c r="AL684" s="123"/>
      <c r="AM684" s="160"/>
      <c r="AN684" s="160"/>
    </row>
    <row r="685" spans="3:40" x14ac:dyDescent="0.3">
      <c r="F685" s="210"/>
      <c r="H685" s="210"/>
      <c r="I685" s="210"/>
      <c r="J685" s="213"/>
      <c r="K685" s="213"/>
      <c r="L685" s="210"/>
      <c r="M685" s="210"/>
      <c r="N685" s="210"/>
      <c r="O685" s="210"/>
      <c r="P685" s="210"/>
      <c r="Q685" s="210"/>
      <c r="R685" s="210"/>
      <c r="V685" s="210"/>
      <c r="Y685" s="210"/>
      <c r="Z685" s="213"/>
      <c r="AA685" s="210"/>
      <c r="AB685" s="210"/>
      <c r="AC685" s="210"/>
      <c r="AD685" s="210"/>
      <c r="AE685" s="210"/>
      <c r="AF685" s="210"/>
      <c r="AI685" s="210"/>
      <c r="AJ685" s="210"/>
      <c r="AK685" s="214"/>
      <c r="AL685" s="210"/>
      <c r="AM685" s="160"/>
      <c r="AN685" s="160"/>
    </row>
    <row r="686" spans="3:40" x14ac:dyDescent="0.3">
      <c r="C686" s="42"/>
      <c r="F686" s="123"/>
      <c r="H686" s="123"/>
      <c r="I686" s="123"/>
      <c r="J686" s="219"/>
      <c r="K686" s="219"/>
      <c r="L686" s="123"/>
      <c r="M686" s="123"/>
      <c r="N686" s="219"/>
      <c r="O686" s="219"/>
      <c r="P686" s="123"/>
      <c r="Q686" s="123"/>
      <c r="R686" s="123"/>
      <c r="T686" s="42"/>
      <c r="V686" s="123"/>
      <c r="Y686" s="123"/>
      <c r="Z686" s="219"/>
      <c r="AA686" s="123"/>
      <c r="AB686" s="123"/>
      <c r="AC686" s="219"/>
      <c r="AD686" s="219"/>
      <c r="AE686" s="123"/>
      <c r="AF686" s="123"/>
      <c r="AH686" s="236"/>
      <c r="AI686" s="123"/>
      <c r="AJ686" s="123"/>
      <c r="AL686" s="123"/>
      <c r="AM686" s="160"/>
      <c r="AN686" s="160"/>
    </row>
    <row r="687" spans="3:40" x14ac:dyDescent="0.3">
      <c r="F687" s="123"/>
      <c r="H687" s="123"/>
      <c r="I687" s="123"/>
      <c r="J687" s="219"/>
      <c r="K687" s="219"/>
      <c r="L687" s="123"/>
      <c r="M687" s="123"/>
      <c r="N687" s="219"/>
      <c r="O687" s="219"/>
      <c r="P687" s="123"/>
      <c r="Q687" s="123"/>
      <c r="R687" s="123"/>
      <c r="V687" s="123"/>
      <c r="Y687" s="123"/>
      <c r="Z687" s="219"/>
      <c r="AA687" s="123"/>
      <c r="AB687" s="123"/>
      <c r="AC687" s="219"/>
      <c r="AD687" s="219"/>
      <c r="AH687" s="236"/>
      <c r="AI687" s="123"/>
      <c r="AJ687" s="123"/>
      <c r="AL687" s="123"/>
      <c r="AM687" s="160"/>
      <c r="AN687" s="160"/>
    </row>
    <row r="688" spans="3:40" x14ac:dyDescent="0.3">
      <c r="C688" s="42"/>
      <c r="F688" s="123"/>
      <c r="H688" s="123"/>
      <c r="I688" s="123"/>
      <c r="J688" s="219"/>
      <c r="K688" s="219"/>
      <c r="L688" s="123"/>
      <c r="M688" s="123"/>
      <c r="N688" s="219"/>
      <c r="O688" s="219"/>
      <c r="P688" s="123"/>
      <c r="Q688" s="123"/>
      <c r="R688" s="123"/>
      <c r="T688" s="42"/>
      <c r="V688" s="123"/>
      <c r="Y688" s="123"/>
      <c r="Z688" s="219"/>
      <c r="AA688" s="123"/>
      <c r="AB688" s="123"/>
      <c r="AC688" s="219"/>
      <c r="AD688" s="219"/>
      <c r="AE688" s="123"/>
      <c r="AF688" s="123"/>
      <c r="AH688" s="236"/>
      <c r="AI688" s="123"/>
      <c r="AJ688" s="123"/>
      <c r="AL688" s="123"/>
      <c r="AM688" s="160"/>
      <c r="AN688" s="160"/>
    </row>
    <row r="689" spans="1:38" x14ac:dyDescent="0.3">
      <c r="F689" s="210"/>
      <c r="H689" s="210"/>
      <c r="I689" s="210"/>
      <c r="J689" s="213"/>
      <c r="K689" s="213"/>
      <c r="L689" s="210"/>
      <c r="M689" s="210"/>
      <c r="N689" s="210"/>
      <c r="O689" s="210"/>
      <c r="P689" s="210"/>
      <c r="Q689" s="210"/>
      <c r="R689" s="210"/>
      <c r="V689" s="210"/>
      <c r="Y689" s="210"/>
      <c r="Z689" s="213"/>
      <c r="AA689" s="210"/>
      <c r="AB689" s="210"/>
      <c r="AC689" s="210"/>
      <c r="AD689" s="210"/>
      <c r="AE689" s="210"/>
      <c r="AF689" s="210"/>
      <c r="AI689" s="210"/>
      <c r="AJ689" s="210"/>
      <c r="AK689" s="214"/>
      <c r="AL689" s="210"/>
    </row>
    <row r="691" spans="1:38" x14ac:dyDescent="0.3">
      <c r="C691" s="42"/>
      <c r="L691" s="123"/>
      <c r="M691" s="123"/>
      <c r="P691" s="123"/>
      <c r="Q691" s="123"/>
      <c r="R691" s="123"/>
      <c r="T691" s="42"/>
    </row>
    <row r="692" spans="1:38" x14ac:dyDescent="0.3">
      <c r="A692" s="42"/>
      <c r="L692" s="123"/>
      <c r="M692" s="123"/>
      <c r="P692" s="123"/>
      <c r="Q692" s="123"/>
      <c r="R692" s="123"/>
    </row>
    <row r="693" spans="1:38" x14ac:dyDescent="0.3">
      <c r="L693" s="123"/>
      <c r="M693" s="123"/>
      <c r="P693" s="123"/>
      <c r="Q693" s="123"/>
      <c r="R693" s="123"/>
    </row>
    <row r="694" spans="1:38" x14ac:dyDescent="0.3">
      <c r="L694" s="123"/>
      <c r="M694" s="123"/>
      <c r="P694" s="123"/>
      <c r="Q694" s="123"/>
      <c r="R694" s="123"/>
    </row>
    <row r="695" spans="1:38" x14ac:dyDescent="0.3">
      <c r="L695" s="123"/>
      <c r="M695" s="123"/>
      <c r="P695" s="123"/>
      <c r="Q695" s="123"/>
      <c r="R695" s="123"/>
    </row>
    <row r="696" spans="1:38" x14ac:dyDescent="0.3">
      <c r="L696" s="123"/>
      <c r="M696" s="123"/>
      <c r="P696" s="123"/>
      <c r="Q696" s="123"/>
      <c r="R696" s="123"/>
    </row>
    <row r="697" spans="1:38" x14ac:dyDescent="0.3">
      <c r="L697" s="123"/>
      <c r="M697" s="123"/>
      <c r="P697" s="123"/>
      <c r="Q697" s="123"/>
      <c r="R697" s="123"/>
    </row>
    <row r="730" spans="49:49" x14ac:dyDescent="0.3">
      <c r="AW730" s="123"/>
    </row>
    <row r="731" spans="49:49" x14ac:dyDescent="0.3">
      <c r="AW731" s="123"/>
    </row>
    <row r="732" spans="49:49" x14ac:dyDescent="0.3">
      <c r="AW732" s="123"/>
    </row>
    <row r="733" spans="49:49" x14ac:dyDescent="0.3">
      <c r="AW733" s="123"/>
    </row>
    <row r="734" spans="49:49" x14ac:dyDescent="0.3">
      <c r="AW734" s="123"/>
    </row>
    <row r="735" spans="49:49" x14ac:dyDescent="0.3">
      <c r="AW735" s="123"/>
    </row>
    <row r="738" spans="49:49" x14ac:dyDescent="0.3">
      <c r="AW738" s="123"/>
    </row>
    <row r="739" spans="49:49" x14ac:dyDescent="0.3">
      <c r="AW739" s="123"/>
    </row>
    <row r="740" spans="49:49" x14ac:dyDescent="0.3">
      <c r="AW740" s="123"/>
    </row>
    <row r="741" spans="49:49" x14ac:dyDescent="0.3">
      <c r="AW741" s="123"/>
    </row>
    <row r="742" spans="49:49" x14ac:dyDescent="0.3">
      <c r="AW742" s="123"/>
    </row>
    <row r="743" spans="49:49" x14ac:dyDescent="0.3">
      <c r="AW743" s="123"/>
    </row>
    <row r="744" spans="49:49" x14ac:dyDescent="0.3">
      <c r="AW744" s="123"/>
    </row>
    <row r="745" spans="49:49" x14ac:dyDescent="0.3">
      <c r="AW745" s="123"/>
    </row>
    <row r="748" spans="49:49" x14ac:dyDescent="0.3">
      <c r="AW748" s="123"/>
    </row>
    <row r="749" spans="49:49" x14ac:dyDescent="0.3">
      <c r="AW749" s="123"/>
    </row>
    <row r="752" spans="49:49" x14ac:dyDescent="0.3">
      <c r="AW752" s="123"/>
    </row>
    <row r="753" spans="45:56" x14ac:dyDescent="0.3">
      <c r="AW753" s="123"/>
    </row>
    <row r="754" spans="45:56" x14ac:dyDescent="0.3">
      <c r="AW754" s="123"/>
    </row>
    <row r="755" spans="45:56" x14ac:dyDescent="0.3">
      <c r="AW755" s="123"/>
    </row>
    <row r="763" spans="45:56" x14ac:dyDescent="0.3">
      <c r="AY763" s="42"/>
    </row>
    <row r="764" spans="45:56" x14ac:dyDescent="0.3">
      <c r="AY764" s="42"/>
    </row>
    <row r="765" spans="45:56" x14ac:dyDescent="0.3">
      <c r="BD765" s="42"/>
    </row>
    <row r="766" spans="45:56" x14ac:dyDescent="0.3">
      <c r="BD766" s="42"/>
    </row>
    <row r="767" spans="45:56" x14ac:dyDescent="0.3">
      <c r="AS767" s="42"/>
      <c r="BD767" s="42"/>
    </row>
    <row r="769" spans="45:69" x14ac:dyDescent="0.3">
      <c r="AS769" s="135"/>
      <c r="AT769" s="135"/>
      <c r="AU769" s="135"/>
      <c r="AV769" s="135"/>
      <c r="AW769" s="135"/>
      <c r="AX769" s="135"/>
      <c r="AY769" s="135"/>
      <c r="AZ769" s="135"/>
      <c r="BA769" s="135"/>
      <c r="BB769" s="135"/>
      <c r="BC769" s="135"/>
      <c r="BD769" s="135"/>
      <c r="BE769" s="135"/>
    </row>
    <row r="770" spans="45:69" x14ac:dyDescent="0.3">
      <c r="AX770" s="42"/>
    </row>
    <row r="771" spans="45:69" x14ac:dyDescent="0.3">
      <c r="AX771" s="135"/>
      <c r="AY771" s="135"/>
      <c r="AZ771" s="135"/>
      <c r="BA771" s="135"/>
      <c r="BC771" s="44"/>
      <c r="BD771" s="44"/>
    </row>
    <row r="772" spans="45:69" x14ac:dyDescent="0.3">
      <c r="AV772" s="44"/>
      <c r="AW772" s="44"/>
      <c r="AZ772" s="44"/>
      <c r="BA772" s="44"/>
      <c r="BC772" s="44"/>
      <c r="BD772" s="44"/>
      <c r="BE772" s="44"/>
      <c r="BG772" s="135"/>
      <c r="BH772" s="42"/>
      <c r="BK772" s="135"/>
      <c r="BM772" s="135"/>
      <c r="BN772" s="42"/>
      <c r="BQ772" s="135"/>
    </row>
    <row r="773" spans="45:69" x14ac:dyDescent="0.3"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H773" s="44"/>
      <c r="BI773" s="44"/>
      <c r="BJ773" s="44"/>
      <c r="BN773" s="44"/>
      <c r="BO773" s="44"/>
      <c r="BP773" s="44"/>
    </row>
    <row r="774" spans="45:69" x14ac:dyDescent="0.3">
      <c r="AS774" s="44"/>
      <c r="AU774" s="42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G774" s="44"/>
      <c r="BH774" s="44"/>
      <c r="BI774" s="44"/>
      <c r="BJ774" s="44"/>
      <c r="BK774" s="44"/>
      <c r="BM774" s="44"/>
      <c r="BN774" s="44"/>
      <c r="BO774" s="44"/>
      <c r="BP774" s="44"/>
      <c r="BQ774" s="44"/>
    </row>
    <row r="775" spans="45:69" x14ac:dyDescent="0.3">
      <c r="AS775" s="44"/>
      <c r="AU775" s="42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G775" s="44"/>
      <c r="BH775" s="44"/>
      <c r="BI775" s="44"/>
      <c r="BJ775" s="44"/>
      <c r="BK775" s="44"/>
      <c r="BM775" s="44"/>
      <c r="BN775" s="44"/>
      <c r="BO775" s="44"/>
      <c r="BP775" s="44"/>
      <c r="BQ775" s="44"/>
    </row>
    <row r="776" spans="45:69" x14ac:dyDescent="0.3">
      <c r="AS776" s="135"/>
      <c r="AT776" s="135"/>
      <c r="AU776" s="135"/>
      <c r="AV776" s="135"/>
      <c r="AW776" s="135"/>
      <c r="AX776" s="135"/>
      <c r="AY776" s="135"/>
      <c r="AZ776" s="135"/>
      <c r="BA776" s="135"/>
      <c r="BB776" s="135"/>
      <c r="BC776" s="135"/>
      <c r="BD776" s="135"/>
      <c r="BE776" s="135"/>
      <c r="BG776" s="135"/>
      <c r="BH776" s="135"/>
      <c r="BI776" s="135"/>
      <c r="BJ776" s="135"/>
      <c r="BK776" s="135"/>
      <c r="BM776" s="135"/>
      <c r="BN776" s="135"/>
      <c r="BO776" s="135"/>
      <c r="BP776" s="135"/>
      <c r="BQ776" s="135"/>
    </row>
    <row r="777" spans="45:69" x14ac:dyDescent="0.3"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</row>
    <row r="778" spans="45:69" x14ac:dyDescent="0.3">
      <c r="AU778" s="42"/>
      <c r="AV778" s="44"/>
      <c r="AY778" s="219"/>
    </row>
    <row r="779" spans="45:69" x14ac:dyDescent="0.3">
      <c r="AV779" s="44"/>
      <c r="AW779" s="123"/>
      <c r="AX779" s="188"/>
      <c r="AY779" s="188"/>
      <c r="AZ779" s="188"/>
      <c r="BA779" s="160"/>
      <c r="BB779" s="188"/>
      <c r="BC779" s="219"/>
      <c r="BD779" s="219"/>
      <c r="BE779" s="160"/>
      <c r="BG779" s="188"/>
      <c r="BH779" s="188"/>
      <c r="BI779" s="188"/>
      <c r="BJ779" s="188"/>
      <c r="BK779" s="188"/>
      <c r="BM779" s="188"/>
      <c r="BN779" s="188"/>
      <c r="BO779" s="188"/>
      <c r="BP779" s="188"/>
      <c r="BQ779" s="188"/>
    </row>
    <row r="780" spans="45:69" x14ac:dyDescent="0.3">
      <c r="AV780" s="44"/>
      <c r="AW780" s="123"/>
      <c r="AX780" s="188"/>
      <c r="AY780" s="188"/>
      <c r="AZ780" s="188"/>
      <c r="BA780" s="160"/>
      <c r="BB780" s="188"/>
      <c r="BC780" s="219"/>
      <c r="BD780" s="219"/>
      <c r="BE780" s="160"/>
      <c r="BG780" s="188"/>
      <c r="BH780" s="188"/>
      <c r="BI780" s="188"/>
      <c r="BJ780" s="188"/>
      <c r="BK780" s="188"/>
      <c r="BM780" s="188"/>
      <c r="BN780" s="188"/>
      <c r="BO780" s="188"/>
      <c r="BP780" s="188"/>
      <c r="BQ780" s="188"/>
    </row>
    <row r="781" spans="45:69" x14ac:dyDescent="0.3">
      <c r="AV781" s="44"/>
      <c r="AW781" s="123"/>
      <c r="AX781" s="188"/>
      <c r="AY781" s="188"/>
      <c r="AZ781" s="188"/>
      <c r="BA781" s="160"/>
      <c r="BB781" s="188"/>
      <c r="BC781" s="219"/>
      <c r="BD781" s="219"/>
      <c r="BE781" s="160"/>
      <c r="BG781" s="188"/>
      <c r="BH781" s="188"/>
      <c r="BI781" s="188"/>
      <c r="BJ781" s="188"/>
      <c r="BK781" s="188"/>
      <c r="BM781" s="188"/>
      <c r="BN781" s="188"/>
      <c r="BO781" s="188"/>
      <c r="BP781" s="188"/>
      <c r="BQ781" s="188"/>
    </row>
    <row r="782" spans="45:69" x14ac:dyDescent="0.3">
      <c r="AV782" s="44"/>
      <c r="AW782" s="123"/>
      <c r="AX782" s="188"/>
      <c r="AY782" s="188"/>
      <c r="AZ782" s="188"/>
      <c r="BA782" s="160"/>
      <c r="BB782" s="188"/>
      <c r="BC782" s="219"/>
      <c r="BD782" s="219"/>
      <c r="BE782" s="160"/>
      <c r="BG782" s="188"/>
      <c r="BH782" s="188"/>
      <c r="BI782" s="188"/>
      <c r="BJ782" s="188"/>
      <c r="BK782" s="188"/>
      <c r="BM782" s="188"/>
      <c r="BN782" s="188"/>
      <c r="BO782" s="188"/>
      <c r="BP782" s="188"/>
      <c r="BQ782" s="188"/>
    </row>
    <row r="783" spans="45:69" x14ac:dyDescent="0.3">
      <c r="AV783" s="44"/>
      <c r="AW783" s="123"/>
      <c r="AX783" s="188"/>
      <c r="AY783" s="188"/>
      <c r="AZ783" s="188"/>
      <c r="BA783" s="160"/>
      <c r="BB783" s="188"/>
      <c r="BC783" s="219"/>
      <c r="BD783" s="219"/>
      <c r="BE783" s="160"/>
      <c r="BG783" s="188"/>
      <c r="BH783" s="188"/>
      <c r="BI783" s="188"/>
      <c r="BJ783" s="188"/>
      <c r="BK783" s="188"/>
      <c r="BM783" s="188"/>
      <c r="BN783" s="188"/>
      <c r="BO783" s="188"/>
      <c r="BP783" s="188"/>
      <c r="BQ783" s="188"/>
    </row>
    <row r="784" spans="45:69" x14ac:dyDescent="0.3">
      <c r="AV784" s="44"/>
      <c r="AW784" s="123"/>
      <c r="AX784" s="188"/>
      <c r="AY784" s="188"/>
      <c r="AZ784" s="188"/>
      <c r="BA784" s="160"/>
      <c r="BB784" s="188"/>
      <c r="BC784" s="219"/>
      <c r="BD784" s="219"/>
      <c r="BE784" s="160"/>
      <c r="BG784" s="188"/>
      <c r="BH784" s="188"/>
      <c r="BI784" s="188"/>
      <c r="BJ784" s="188"/>
      <c r="BK784" s="188"/>
      <c r="BM784" s="188"/>
      <c r="BN784" s="188"/>
      <c r="BO784" s="188"/>
      <c r="BP784" s="188"/>
      <c r="BQ784" s="188"/>
    </row>
    <row r="785" spans="45:69" x14ac:dyDescent="0.3">
      <c r="AV785" s="44"/>
      <c r="AW785" s="123"/>
      <c r="AX785" s="188"/>
      <c r="AY785" s="188"/>
      <c r="AZ785" s="188"/>
      <c r="BA785" s="160"/>
      <c r="BB785" s="188"/>
      <c r="BC785" s="219"/>
      <c r="BD785" s="219"/>
      <c r="BE785" s="160"/>
      <c r="BG785" s="188"/>
      <c r="BH785" s="188"/>
      <c r="BI785" s="188"/>
      <c r="BJ785" s="188"/>
      <c r="BK785" s="188"/>
      <c r="BM785" s="188"/>
      <c r="BN785" s="188"/>
      <c r="BO785" s="188"/>
      <c r="BP785" s="188"/>
      <c r="BQ785" s="188"/>
    </row>
    <row r="786" spans="45:69" x14ac:dyDescent="0.3">
      <c r="AY786" s="219"/>
      <c r="AZ786" s="188"/>
      <c r="BA786" s="160"/>
      <c r="BB786" s="188"/>
      <c r="BC786" s="219"/>
      <c r="BD786" s="219"/>
      <c r="BE786" s="160"/>
      <c r="BK786" s="188"/>
      <c r="BQ786" s="188"/>
    </row>
    <row r="787" spans="45:69" x14ac:dyDescent="0.3">
      <c r="AV787" s="44"/>
      <c r="AY787" s="219"/>
      <c r="AZ787" s="188"/>
      <c r="BA787" s="160"/>
      <c r="BB787" s="188"/>
      <c r="BC787" s="219"/>
      <c r="BD787" s="219"/>
      <c r="BE787" s="160"/>
      <c r="BK787" s="188"/>
      <c r="BQ787" s="188"/>
    </row>
    <row r="788" spans="45:69" x14ac:dyDescent="0.3">
      <c r="AV788" s="44"/>
      <c r="AW788" s="123"/>
      <c r="AX788" s="188"/>
      <c r="AY788" s="188"/>
      <c r="AZ788" s="188"/>
      <c r="BA788" s="160"/>
      <c r="BB788" s="188"/>
      <c r="BC788" s="219"/>
      <c r="BD788" s="219"/>
      <c r="BE788" s="160"/>
      <c r="BG788" s="188"/>
      <c r="BH788" s="188"/>
      <c r="BI788" s="188"/>
      <c r="BJ788" s="188"/>
      <c r="BK788" s="188"/>
      <c r="BM788" s="188"/>
      <c r="BN788" s="188"/>
      <c r="BO788" s="188"/>
      <c r="BP788" s="188"/>
      <c r="BQ788" s="188"/>
    </row>
    <row r="789" spans="45:69" x14ac:dyDescent="0.3">
      <c r="AV789" s="44"/>
      <c r="AW789" s="123"/>
      <c r="AX789" s="188"/>
      <c r="AY789" s="188"/>
      <c r="AZ789" s="188"/>
      <c r="BA789" s="160"/>
      <c r="BB789" s="188"/>
      <c r="BC789" s="219"/>
      <c r="BD789" s="219"/>
      <c r="BE789" s="160"/>
      <c r="BG789" s="188"/>
      <c r="BH789" s="188"/>
      <c r="BI789" s="188"/>
      <c r="BJ789" s="188"/>
      <c r="BK789" s="188"/>
      <c r="BM789" s="188"/>
      <c r="BN789" s="188"/>
      <c r="BO789" s="188"/>
      <c r="BP789" s="188"/>
      <c r="BQ789" s="188"/>
    </row>
    <row r="790" spans="45:69" x14ac:dyDescent="0.3">
      <c r="AV790" s="44"/>
      <c r="AW790" s="123"/>
      <c r="AX790" s="188"/>
      <c r="AY790" s="188"/>
      <c r="AZ790" s="188"/>
      <c r="BA790" s="160"/>
      <c r="BB790" s="188"/>
      <c r="BC790" s="219"/>
      <c r="BD790" s="219"/>
      <c r="BE790" s="160"/>
      <c r="BG790" s="188"/>
      <c r="BH790" s="188"/>
      <c r="BI790" s="188"/>
      <c r="BJ790" s="188"/>
      <c r="BK790" s="188"/>
      <c r="BM790" s="188"/>
      <c r="BN790" s="188"/>
      <c r="BO790" s="188"/>
      <c r="BP790" s="188"/>
      <c r="BQ790" s="188"/>
    </row>
    <row r="791" spans="45:69" x14ac:dyDescent="0.3">
      <c r="AV791" s="44"/>
      <c r="AW791" s="123"/>
      <c r="AX791" s="188"/>
      <c r="AY791" s="188"/>
      <c r="AZ791" s="188"/>
      <c r="BA791" s="160"/>
      <c r="BB791" s="188"/>
      <c r="BC791" s="219"/>
      <c r="BD791" s="219"/>
      <c r="BE791" s="160"/>
      <c r="BG791" s="188"/>
      <c r="BH791" s="188"/>
      <c r="BI791" s="188"/>
      <c r="BJ791" s="188"/>
      <c r="BK791" s="188"/>
      <c r="BM791" s="188"/>
      <c r="BN791" s="188"/>
      <c r="BO791" s="188"/>
      <c r="BP791" s="188"/>
      <c r="BQ791" s="188"/>
    </row>
    <row r="792" spans="45:69" x14ac:dyDescent="0.3">
      <c r="AV792" s="44"/>
      <c r="AW792" s="123"/>
      <c r="AX792" s="188"/>
      <c r="AY792" s="188"/>
      <c r="AZ792" s="188"/>
      <c r="BA792" s="160"/>
      <c r="BB792" s="188"/>
      <c r="BC792" s="219"/>
      <c r="BD792" s="219"/>
      <c r="BE792" s="160"/>
      <c r="BG792" s="188"/>
      <c r="BH792" s="188"/>
      <c r="BI792" s="188"/>
      <c r="BJ792" s="188"/>
      <c r="BK792" s="188"/>
      <c r="BM792" s="188"/>
      <c r="BN792" s="188"/>
      <c r="BO792" s="188"/>
      <c r="BP792" s="188"/>
      <c r="BQ792" s="188"/>
    </row>
    <row r="793" spans="45:69" x14ac:dyDescent="0.3">
      <c r="AV793" s="44"/>
      <c r="AW793" s="123"/>
      <c r="AX793" s="188"/>
      <c r="AY793" s="188"/>
      <c r="AZ793" s="188"/>
      <c r="BA793" s="160"/>
      <c r="BB793" s="188"/>
      <c r="BC793" s="219"/>
      <c r="BD793" s="219"/>
      <c r="BE793" s="160"/>
      <c r="BG793" s="188"/>
      <c r="BH793" s="188"/>
      <c r="BI793" s="188"/>
      <c r="BJ793" s="188"/>
      <c r="BK793" s="188"/>
      <c r="BM793" s="188"/>
      <c r="BN793" s="188"/>
      <c r="BO793" s="188"/>
      <c r="BP793" s="188"/>
      <c r="BQ793" s="188"/>
    </row>
    <row r="794" spans="45:69" x14ac:dyDescent="0.3">
      <c r="AV794" s="44"/>
      <c r="AW794" s="123"/>
      <c r="AX794" s="188"/>
      <c r="AY794" s="188"/>
      <c r="AZ794" s="188"/>
      <c r="BA794" s="160"/>
      <c r="BB794" s="188"/>
      <c r="BC794" s="219"/>
      <c r="BD794" s="219"/>
      <c r="BE794" s="160"/>
      <c r="BG794" s="188"/>
      <c r="BH794" s="188"/>
      <c r="BI794" s="188"/>
      <c r="BJ794" s="188"/>
      <c r="BK794" s="188"/>
      <c r="BM794" s="188"/>
      <c r="BN794" s="188"/>
      <c r="BO794" s="188"/>
      <c r="BP794" s="188"/>
      <c r="BQ794" s="188"/>
    </row>
    <row r="795" spans="45:69" x14ac:dyDescent="0.3">
      <c r="AV795" s="44"/>
      <c r="AW795" s="123"/>
      <c r="AX795" s="188"/>
      <c r="AY795" s="188"/>
      <c r="AZ795" s="188"/>
      <c r="BA795" s="160"/>
      <c r="BB795" s="188"/>
      <c r="BC795" s="219"/>
      <c r="BD795" s="219"/>
      <c r="BE795" s="160"/>
      <c r="BG795" s="188"/>
      <c r="BH795" s="188"/>
      <c r="BI795" s="188"/>
      <c r="BJ795" s="188"/>
      <c r="BK795" s="188"/>
      <c r="BM795" s="188"/>
      <c r="BN795" s="188"/>
      <c r="BO795" s="188"/>
      <c r="BP795" s="188"/>
      <c r="BQ795" s="188"/>
    </row>
    <row r="796" spans="45:69" x14ac:dyDescent="0.3">
      <c r="AY796" s="219"/>
      <c r="AZ796" s="188"/>
      <c r="BA796" s="160"/>
      <c r="BB796" s="188"/>
      <c r="BC796" s="219"/>
      <c r="BD796" s="219"/>
      <c r="BE796" s="160"/>
      <c r="BK796" s="188"/>
      <c r="BQ796" s="188"/>
    </row>
    <row r="797" spans="45:69" x14ac:dyDescent="0.3">
      <c r="AU797" s="42"/>
      <c r="AZ797" s="188"/>
      <c r="BB797" s="188"/>
      <c r="BG797" s="188"/>
      <c r="BH797" s="188"/>
      <c r="BJ797" s="188"/>
      <c r="BK797" s="188"/>
    </row>
    <row r="798" spans="45:69" x14ac:dyDescent="0.3">
      <c r="AZ798" s="188"/>
      <c r="BB798" s="188"/>
    </row>
    <row r="799" spans="45:69" x14ac:dyDescent="0.3">
      <c r="AS799" s="42"/>
      <c r="AZ799" s="188"/>
      <c r="BB799" s="188"/>
      <c r="BI799" s="188"/>
    </row>
    <row r="800" spans="45:69" x14ac:dyDescent="0.3">
      <c r="AZ800" s="188"/>
      <c r="BB800" s="188"/>
    </row>
    <row r="801" spans="45:75" x14ac:dyDescent="0.3">
      <c r="AY801" s="188"/>
      <c r="BB801" s="188"/>
    </row>
    <row r="802" spans="45:75" x14ac:dyDescent="0.3">
      <c r="AY802" s="42"/>
      <c r="AZ802" s="188"/>
      <c r="BB802" s="188"/>
    </row>
    <row r="803" spans="45:75" x14ac:dyDescent="0.3">
      <c r="AY803" s="42"/>
      <c r="AZ803" s="188"/>
      <c r="BB803" s="188"/>
    </row>
    <row r="804" spans="45:75" x14ac:dyDescent="0.3">
      <c r="AZ804" s="188"/>
      <c r="BB804" s="188"/>
      <c r="BD804" s="42"/>
    </row>
    <row r="805" spans="45:75" x14ac:dyDescent="0.3">
      <c r="AZ805" s="188"/>
      <c r="BB805" s="188"/>
      <c r="BD805" s="42"/>
    </row>
    <row r="806" spans="45:75" x14ac:dyDescent="0.3">
      <c r="AS806" s="42"/>
      <c r="AZ806" s="188"/>
      <c r="BB806" s="188"/>
      <c r="BD806" s="42"/>
    </row>
    <row r="807" spans="45:75" x14ac:dyDescent="0.3">
      <c r="AZ807" s="188"/>
      <c r="BB807" s="188"/>
    </row>
    <row r="808" spans="45:75" x14ac:dyDescent="0.3">
      <c r="AS808" s="135"/>
      <c r="AT808" s="135"/>
      <c r="AU808" s="135"/>
      <c r="AV808" s="135"/>
      <c r="AW808" s="135"/>
      <c r="AX808" s="135"/>
      <c r="AY808" s="135"/>
      <c r="AZ808" s="244"/>
      <c r="BA808" s="135"/>
      <c r="BB808" s="244"/>
      <c r="BC808" s="135"/>
      <c r="BD808" s="135"/>
      <c r="BE808" s="135"/>
    </row>
    <row r="809" spans="45:75" x14ac:dyDescent="0.3">
      <c r="AX809" s="42"/>
      <c r="AZ809" s="188"/>
      <c r="BB809" s="188"/>
    </row>
    <row r="810" spans="45:75" x14ac:dyDescent="0.3">
      <c r="AX810" s="135"/>
      <c r="AY810" s="135"/>
      <c r="AZ810" s="244"/>
      <c r="BA810" s="135"/>
      <c r="BB810" s="188"/>
      <c r="BC810" s="44"/>
      <c r="BD810" s="44"/>
    </row>
    <row r="811" spans="45:75" x14ac:dyDescent="0.3">
      <c r="AV811" s="44"/>
      <c r="AW811" s="44"/>
      <c r="AZ811" s="245"/>
      <c r="BA811" s="44"/>
      <c r="BB811" s="188"/>
      <c r="BC811" s="44"/>
      <c r="BD811" s="44"/>
      <c r="BE811" s="44"/>
      <c r="BG811" s="135"/>
      <c r="BH811" s="135"/>
      <c r="BI811" s="42"/>
      <c r="BM811" s="135"/>
      <c r="BN811" s="135"/>
      <c r="BP811" s="135"/>
      <c r="BQ811" s="135"/>
      <c r="BR811" s="42"/>
      <c r="BV811" s="135"/>
      <c r="BW811" s="135"/>
    </row>
    <row r="812" spans="45:75" x14ac:dyDescent="0.3">
      <c r="AV812" s="44"/>
      <c r="AW812" s="44"/>
      <c r="AX812" s="44"/>
      <c r="AY812" s="44"/>
      <c r="AZ812" s="245"/>
      <c r="BA812" s="44"/>
      <c r="BB812" s="245"/>
      <c r="BC812" s="44"/>
      <c r="BD812" s="44"/>
      <c r="BE812" s="44"/>
      <c r="BH812" s="44"/>
      <c r="BI812" s="44"/>
      <c r="BJ812" s="44"/>
      <c r="BK812" s="44"/>
      <c r="BL812" s="44"/>
      <c r="BM812" s="44"/>
      <c r="BQ812" s="44"/>
      <c r="BR812" s="44"/>
      <c r="BS812" s="44"/>
      <c r="BT812" s="44"/>
      <c r="BU812" s="44"/>
      <c r="BV812" s="44"/>
    </row>
    <row r="813" spans="45:75" x14ac:dyDescent="0.3">
      <c r="AS813" s="44"/>
      <c r="AU813" s="42"/>
      <c r="AV813" s="44"/>
      <c r="AW813" s="44"/>
      <c r="AX813" s="44"/>
      <c r="AY813" s="44"/>
      <c r="AZ813" s="245"/>
      <c r="BA813" s="44"/>
      <c r="BB813" s="245"/>
      <c r="BC813" s="44"/>
      <c r="BD813" s="44"/>
      <c r="BE813" s="44"/>
      <c r="BG813" s="44"/>
      <c r="BH813" s="44"/>
      <c r="BI813" s="44"/>
      <c r="BJ813" s="44"/>
      <c r="BK813" s="44"/>
      <c r="BL813" s="44"/>
      <c r="BM813" s="44"/>
      <c r="BN813" s="44"/>
      <c r="BP813" s="44"/>
      <c r="BQ813" s="44"/>
      <c r="BR813" s="44"/>
      <c r="BS813" s="44"/>
      <c r="BT813" s="44"/>
      <c r="BU813" s="44"/>
      <c r="BV813" s="44"/>
      <c r="BW813" s="44"/>
    </row>
    <row r="814" spans="45:75" x14ac:dyDescent="0.3">
      <c r="AS814" s="44"/>
      <c r="AU814" s="42"/>
      <c r="AV814" s="44"/>
      <c r="AW814" s="44"/>
      <c r="AX814" s="44"/>
      <c r="AY814" s="44"/>
      <c r="AZ814" s="245"/>
      <c r="BA814" s="44"/>
      <c r="BB814" s="245"/>
      <c r="BC814" s="44"/>
      <c r="BD814" s="44"/>
      <c r="BE814" s="44"/>
      <c r="BG814" s="44"/>
      <c r="BH814" s="44"/>
      <c r="BI814" s="44"/>
      <c r="BJ814" s="44"/>
      <c r="BK814" s="44"/>
      <c r="BL814" s="44"/>
      <c r="BM814" s="44"/>
      <c r="BN814" s="44"/>
      <c r="BP814" s="44"/>
      <c r="BQ814" s="44"/>
      <c r="BR814" s="44"/>
      <c r="BS814" s="44"/>
      <c r="BT814" s="44"/>
      <c r="BU814" s="44"/>
      <c r="BV814" s="44"/>
      <c r="BW814" s="44"/>
    </row>
    <row r="815" spans="45:75" x14ac:dyDescent="0.3">
      <c r="AS815" s="135"/>
      <c r="AT815" s="135"/>
      <c r="AU815" s="135"/>
      <c r="AV815" s="135"/>
      <c r="AW815" s="135"/>
      <c r="AX815" s="135"/>
      <c r="AY815" s="135"/>
      <c r="AZ815" s="244"/>
      <c r="BA815" s="135"/>
      <c r="BB815" s="244"/>
      <c r="BC815" s="135"/>
      <c r="BD815" s="135"/>
      <c r="BE815" s="135"/>
      <c r="BG815" s="135"/>
      <c r="BH815" s="135"/>
      <c r="BI815" s="135"/>
      <c r="BJ815" s="135"/>
      <c r="BK815" s="135"/>
      <c r="BL815" s="135"/>
      <c r="BM815" s="135"/>
      <c r="BN815" s="135"/>
      <c r="BP815" s="135"/>
      <c r="BQ815" s="135"/>
      <c r="BR815" s="135"/>
      <c r="BS815" s="135"/>
      <c r="BT815" s="135"/>
      <c r="BU815" s="135"/>
      <c r="BV815" s="135"/>
      <c r="BW815" s="135"/>
    </row>
    <row r="816" spans="45:75" x14ac:dyDescent="0.3">
      <c r="AV816" s="44"/>
      <c r="AW816" s="44"/>
      <c r="AX816" s="44"/>
      <c r="AY816" s="44"/>
      <c r="AZ816" s="245"/>
      <c r="BA816" s="44"/>
      <c r="BB816" s="245"/>
      <c r="BC816" s="44"/>
      <c r="BD816" s="44"/>
      <c r="BE816" s="44"/>
      <c r="BG816" s="188"/>
      <c r="BH816" s="188"/>
      <c r="BI816" s="188"/>
      <c r="BJ816" s="188"/>
      <c r="BK816" s="188"/>
      <c r="BL816" s="188"/>
      <c r="BM816" s="188"/>
      <c r="BN816" s="188"/>
      <c r="BO816" s="188"/>
      <c r="BP816" s="188"/>
      <c r="BQ816" s="188"/>
      <c r="BR816" s="188"/>
      <c r="BS816" s="188"/>
      <c r="BT816" s="188"/>
      <c r="BU816" s="188"/>
      <c r="BV816" s="188"/>
      <c r="BW816" s="188"/>
    </row>
    <row r="817" spans="47:75" x14ac:dyDescent="0.3">
      <c r="AU817" s="42"/>
      <c r="AW817" s="123"/>
      <c r="AX817" s="188"/>
      <c r="AY817" s="188"/>
      <c r="AZ817" s="188"/>
      <c r="BA817" s="236"/>
      <c r="BB817" s="188"/>
      <c r="BC817" s="188"/>
      <c r="BD817" s="188"/>
      <c r="BE817" s="236"/>
      <c r="BG817" s="188"/>
      <c r="BH817" s="188"/>
      <c r="BI817" s="188"/>
      <c r="BJ817" s="188"/>
      <c r="BK817" s="188"/>
      <c r="BL817" s="188"/>
      <c r="BM817" s="188"/>
      <c r="BN817" s="188"/>
      <c r="BO817" s="188"/>
      <c r="BP817" s="188"/>
      <c r="BQ817" s="188"/>
      <c r="BR817" s="188"/>
      <c r="BS817" s="188"/>
      <c r="BT817" s="188"/>
      <c r="BU817" s="188"/>
      <c r="BV817" s="188"/>
      <c r="BW817" s="188"/>
    </row>
    <row r="818" spans="47:75" x14ac:dyDescent="0.3">
      <c r="AW818" s="123"/>
      <c r="AX818" s="188"/>
      <c r="AY818" s="188"/>
      <c r="AZ818" s="188"/>
      <c r="BA818" s="236"/>
      <c r="BB818" s="188"/>
      <c r="BC818" s="188"/>
      <c r="BD818" s="188"/>
      <c r="BE818" s="236"/>
      <c r="BG818" s="188"/>
      <c r="BH818" s="188"/>
      <c r="BI818" s="188"/>
      <c r="BJ818" s="188"/>
      <c r="BK818" s="188"/>
      <c r="BL818" s="188"/>
      <c r="BM818" s="188"/>
      <c r="BN818" s="188"/>
      <c r="BO818" s="188"/>
      <c r="BP818" s="188"/>
      <c r="BQ818" s="188"/>
      <c r="BR818" s="188"/>
      <c r="BS818" s="188"/>
      <c r="BT818" s="188"/>
      <c r="BU818" s="188"/>
      <c r="BV818" s="188"/>
      <c r="BW818" s="188"/>
    </row>
    <row r="819" spans="47:75" x14ac:dyDescent="0.3">
      <c r="AW819" s="123"/>
      <c r="AX819" s="188"/>
      <c r="AY819" s="188"/>
      <c r="AZ819" s="188"/>
      <c r="BA819" s="236"/>
      <c r="BB819" s="188"/>
      <c r="BC819" s="188"/>
      <c r="BD819" s="188"/>
      <c r="BE819" s="236"/>
      <c r="BG819" s="188"/>
      <c r="BH819" s="188"/>
      <c r="BI819" s="188"/>
      <c r="BJ819" s="188"/>
      <c r="BK819" s="188"/>
      <c r="BL819" s="188"/>
      <c r="BM819" s="188"/>
      <c r="BN819" s="188"/>
      <c r="BO819" s="188"/>
      <c r="BP819" s="188"/>
      <c r="BQ819" s="188"/>
      <c r="BR819" s="188"/>
      <c r="BS819" s="188"/>
      <c r="BT819" s="188"/>
      <c r="BU819" s="188"/>
      <c r="BV819" s="188"/>
      <c r="BW819" s="188"/>
    </row>
    <row r="820" spans="47:75" x14ac:dyDescent="0.3">
      <c r="AW820" s="123"/>
      <c r="AX820" s="188"/>
      <c r="AY820" s="188"/>
      <c r="AZ820" s="188"/>
      <c r="BA820" s="236"/>
      <c r="BB820" s="188"/>
      <c r="BC820" s="188"/>
      <c r="BD820" s="188"/>
      <c r="BE820" s="236"/>
      <c r="BG820" s="188"/>
      <c r="BH820" s="188"/>
      <c r="BI820" s="188"/>
      <c r="BJ820" s="188"/>
      <c r="BK820" s="188"/>
      <c r="BL820" s="188"/>
      <c r="BM820" s="188"/>
      <c r="BN820" s="188"/>
      <c r="BO820" s="188"/>
      <c r="BP820" s="188"/>
      <c r="BQ820" s="188"/>
      <c r="BR820" s="188"/>
      <c r="BS820" s="188"/>
      <c r="BT820" s="188"/>
      <c r="BU820" s="188"/>
      <c r="BV820" s="188"/>
      <c r="BW820" s="188"/>
    </row>
    <row r="821" spans="47:75" x14ac:dyDescent="0.3">
      <c r="AW821" s="123"/>
      <c r="AX821" s="188"/>
      <c r="AY821" s="188"/>
      <c r="AZ821" s="188"/>
      <c r="BA821" s="236"/>
      <c r="BB821" s="188"/>
      <c r="BC821" s="188"/>
      <c r="BD821" s="188"/>
      <c r="BE821" s="236"/>
      <c r="BG821" s="188"/>
      <c r="BH821" s="188"/>
      <c r="BI821" s="188"/>
      <c r="BJ821" s="188"/>
      <c r="BK821" s="188"/>
      <c r="BL821" s="188"/>
      <c r="BM821" s="188"/>
      <c r="BN821" s="188"/>
      <c r="BO821" s="188"/>
      <c r="BP821" s="188"/>
      <c r="BQ821" s="188"/>
      <c r="BR821" s="188"/>
      <c r="BS821" s="188"/>
      <c r="BT821" s="188"/>
      <c r="BU821" s="188"/>
      <c r="BV821" s="188"/>
      <c r="BW821" s="188"/>
    </row>
    <row r="822" spans="47:75" x14ac:dyDescent="0.3">
      <c r="AW822" s="123"/>
      <c r="AX822" s="188"/>
      <c r="AY822" s="188"/>
      <c r="AZ822" s="188"/>
      <c r="BA822" s="236"/>
      <c r="BB822" s="188"/>
      <c r="BC822" s="188"/>
      <c r="BD822" s="188"/>
      <c r="BE822" s="236"/>
      <c r="BG822" s="188"/>
      <c r="BH822" s="188"/>
      <c r="BI822" s="188"/>
      <c r="BJ822" s="188"/>
      <c r="BK822" s="188"/>
      <c r="BL822" s="188"/>
      <c r="BM822" s="188"/>
      <c r="BN822" s="188"/>
      <c r="BO822" s="188"/>
      <c r="BP822" s="188"/>
      <c r="BQ822" s="188"/>
      <c r="BR822" s="188"/>
      <c r="BS822" s="188"/>
      <c r="BT822" s="188"/>
      <c r="BU822" s="188"/>
      <c r="BV822" s="188"/>
      <c r="BW822" s="188"/>
    </row>
    <row r="823" spans="47:75" x14ac:dyDescent="0.3">
      <c r="AW823" s="123"/>
      <c r="AX823" s="188"/>
      <c r="AY823" s="188"/>
      <c r="AZ823" s="188"/>
      <c r="BA823" s="236"/>
      <c r="BB823" s="188"/>
      <c r="BC823" s="188"/>
      <c r="BD823" s="188"/>
      <c r="BE823" s="236"/>
      <c r="BG823" s="188"/>
      <c r="BH823" s="188"/>
      <c r="BI823" s="188"/>
      <c r="BJ823" s="188"/>
      <c r="BK823" s="188"/>
      <c r="BL823" s="188"/>
      <c r="BM823" s="188"/>
      <c r="BN823" s="188"/>
      <c r="BO823" s="188"/>
      <c r="BP823" s="188"/>
      <c r="BQ823" s="188"/>
      <c r="BR823" s="188"/>
      <c r="BS823" s="188"/>
      <c r="BT823" s="188"/>
      <c r="BU823" s="188"/>
      <c r="BV823" s="188"/>
      <c r="BW823" s="188"/>
    </row>
    <row r="824" spans="47:75" x14ac:dyDescent="0.3">
      <c r="AW824" s="123"/>
      <c r="AX824" s="188"/>
      <c r="AY824" s="188"/>
      <c r="AZ824" s="188"/>
      <c r="BA824" s="236"/>
      <c r="BB824" s="188"/>
      <c r="BC824" s="188"/>
      <c r="BD824" s="188"/>
      <c r="BE824" s="236"/>
      <c r="BG824" s="188"/>
      <c r="BH824" s="188"/>
      <c r="BI824" s="188"/>
      <c r="BJ824" s="188"/>
      <c r="BK824" s="188"/>
      <c r="BL824" s="188"/>
      <c r="BM824" s="188"/>
      <c r="BN824" s="188"/>
      <c r="BO824" s="188"/>
      <c r="BP824" s="188"/>
      <c r="BQ824" s="188"/>
      <c r="BR824" s="188"/>
      <c r="BS824" s="188"/>
      <c r="BT824" s="188"/>
      <c r="BU824" s="188"/>
      <c r="BV824" s="188"/>
      <c r="BW824" s="188"/>
    </row>
    <row r="825" spans="47:75" x14ac:dyDescent="0.3">
      <c r="AW825" s="123"/>
      <c r="AX825" s="188"/>
      <c r="AY825" s="188"/>
      <c r="AZ825" s="188"/>
      <c r="BA825" s="236"/>
      <c r="BB825" s="188"/>
      <c r="BC825" s="188"/>
      <c r="BD825" s="188"/>
      <c r="BE825" s="236"/>
      <c r="BG825" s="188"/>
      <c r="BH825" s="188"/>
      <c r="BI825" s="188"/>
      <c r="BJ825" s="188"/>
      <c r="BK825" s="188"/>
      <c r="BL825" s="188"/>
      <c r="BM825" s="188"/>
      <c r="BN825" s="188"/>
      <c r="BO825" s="188"/>
      <c r="BP825" s="188"/>
      <c r="BQ825" s="188"/>
      <c r="BR825" s="188"/>
      <c r="BS825" s="188"/>
      <c r="BT825" s="188"/>
      <c r="BU825" s="188"/>
      <c r="BV825" s="188"/>
      <c r="BW825" s="188"/>
    </row>
    <row r="826" spans="47:75" x14ac:dyDescent="0.3">
      <c r="AW826" s="123"/>
      <c r="AX826" s="188"/>
      <c r="AY826" s="188"/>
      <c r="AZ826" s="188"/>
      <c r="BA826" s="236"/>
      <c r="BB826" s="188"/>
      <c r="BC826" s="188"/>
      <c r="BD826" s="188"/>
      <c r="BE826" s="236"/>
      <c r="BG826" s="188"/>
      <c r="BH826" s="188"/>
      <c r="BI826" s="188"/>
      <c r="BJ826" s="188"/>
      <c r="BK826" s="188"/>
      <c r="BL826" s="188"/>
      <c r="BM826" s="188"/>
      <c r="BN826" s="188"/>
      <c r="BO826" s="188"/>
      <c r="BP826" s="188"/>
      <c r="BQ826" s="188"/>
      <c r="BR826" s="188"/>
      <c r="BS826" s="188"/>
      <c r="BT826" s="188"/>
      <c r="BU826" s="188"/>
      <c r="BV826" s="188"/>
      <c r="BW826" s="188"/>
    </row>
    <row r="827" spans="47:75" x14ac:dyDescent="0.3">
      <c r="AW827" s="123"/>
      <c r="AX827" s="188"/>
      <c r="AY827" s="188"/>
      <c r="AZ827" s="188"/>
      <c r="BA827" s="236"/>
      <c r="BB827" s="188"/>
      <c r="BC827" s="188"/>
      <c r="BD827" s="188"/>
      <c r="BE827" s="236"/>
      <c r="BG827" s="188"/>
      <c r="BH827" s="188"/>
      <c r="BI827" s="188"/>
      <c r="BJ827" s="188"/>
      <c r="BK827" s="188"/>
      <c r="BL827" s="188"/>
      <c r="BM827" s="188"/>
      <c r="BN827" s="188"/>
      <c r="BO827" s="188"/>
      <c r="BP827" s="188"/>
      <c r="BQ827" s="188"/>
      <c r="BR827" s="188"/>
      <c r="BS827" s="188"/>
      <c r="BT827" s="188"/>
      <c r="BU827" s="188"/>
      <c r="BV827" s="188"/>
      <c r="BW827" s="188"/>
    </row>
    <row r="828" spans="47:75" x14ac:dyDescent="0.3">
      <c r="AW828" s="123"/>
      <c r="AX828" s="188"/>
      <c r="AY828" s="188"/>
      <c r="AZ828" s="188"/>
      <c r="BA828" s="236"/>
      <c r="BB828" s="188"/>
      <c r="BC828" s="188"/>
      <c r="BD828" s="188"/>
      <c r="BE828" s="236"/>
      <c r="BG828" s="188"/>
      <c r="BH828" s="188"/>
      <c r="BI828" s="188"/>
      <c r="BJ828" s="188"/>
      <c r="BK828" s="188"/>
      <c r="BL828" s="188"/>
      <c r="BM828" s="188"/>
      <c r="BN828" s="188"/>
      <c r="BO828" s="188"/>
      <c r="BP828" s="188"/>
      <c r="BQ828" s="188"/>
      <c r="BR828" s="188"/>
      <c r="BS828" s="188"/>
      <c r="BT828" s="188"/>
      <c r="BU828" s="188"/>
      <c r="BV828" s="188"/>
      <c r="BW828" s="188"/>
    </row>
    <row r="829" spans="47:75" x14ac:dyDescent="0.3">
      <c r="AW829" s="123"/>
      <c r="AX829" s="188"/>
      <c r="AY829" s="188"/>
      <c r="AZ829" s="188"/>
      <c r="BA829" s="236"/>
      <c r="BB829" s="188"/>
      <c r="BC829" s="188"/>
      <c r="BD829" s="188"/>
      <c r="BE829" s="236"/>
      <c r="BG829" s="188"/>
      <c r="BH829" s="188"/>
      <c r="BI829" s="188"/>
      <c r="BJ829" s="188"/>
      <c r="BK829" s="188"/>
      <c r="BL829" s="188"/>
      <c r="BM829" s="188"/>
      <c r="BN829" s="188"/>
      <c r="BO829" s="188"/>
      <c r="BP829" s="188"/>
      <c r="BQ829" s="188"/>
      <c r="BR829" s="188"/>
      <c r="BS829" s="188"/>
      <c r="BT829" s="188"/>
      <c r="BU829" s="188"/>
      <c r="BV829" s="188"/>
      <c r="BW829" s="188"/>
    </row>
    <row r="830" spans="47:75" x14ac:dyDescent="0.3">
      <c r="AW830" s="123"/>
      <c r="AX830" s="188"/>
      <c r="AY830" s="188"/>
      <c r="AZ830" s="188"/>
      <c r="BA830" s="236"/>
      <c r="BB830" s="188"/>
      <c r="BC830" s="188"/>
      <c r="BD830" s="188"/>
      <c r="BE830" s="236"/>
      <c r="BG830" s="188"/>
      <c r="BH830" s="188"/>
      <c r="BI830" s="188"/>
      <c r="BJ830" s="188"/>
      <c r="BK830" s="188"/>
      <c r="BL830" s="188"/>
      <c r="BM830" s="188"/>
      <c r="BN830" s="188"/>
      <c r="BO830" s="188"/>
      <c r="BP830" s="188"/>
      <c r="BQ830" s="188"/>
      <c r="BR830" s="188"/>
      <c r="BS830" s="188"/>
      <c r="BT830" s="188"/>
      <c r="BU830" s="188"/>
      <c r="BV830" s="188"/>
      <c r="BW830" s="188"/>
    </row>
    <row r="831" spans="47:75" x14ac:dyDescent="0.3">
      <c r="AW831" s="123"/>
      <c r="AX831" s="188"/>
      <c r="AY831" s="188"/>
      <c r="AZ831" s="188"/>
      <c r="BA831" s="236"/>
      <c r="BB831" s="188"/>
      <c r="BC831" s="188"/>
      <c r="BD831" s="188"/>
      <c r="BE831" s="236"/>
      <c r="BG831" s="188"/>
      <c r="BH831" s="188"/>
      <c r="BI831" s="188"/>
      <c r="BJ831" s="188"/>
      <c r="BK831" s="188"/>
      <c r="BL831" s="188"/>
      <c r="BM831" s="188"/>
      <c r="BN831" s="188"/>
      <c r="BO831" s="188"/>
      <c r="BP831" s="188"/>
      <c r="BQ831" s="188"/>
      <c r="BR831" s="188"/>
      <c r="BS831" s="188"/>
      <c r="BT831" s="188"/>
      <c r="BU831" s="188"/>
      <c r="BV831" s="188"/>
      <c r="BW831" s="188"/>
    </row>
    <row r="832" spans="47:75" x14ac:dyDescent="0.3">
      <c r="AW832" s="123"/>
      <c r="AX832" s="188"/>
      <c r="AY832" s="188"/>
      <c r="AZ832" s="188"/>
      <c r="BA832" s="236"/>
      <c r="BB832" s="188"/>
      <c r="BC832" s="188"/>
      <c r="BD832" s="188"/>
      <c r="BE832" s="236"/>
      <c r="BG832" s="188"/>
      <c r="BH832" s="188"/>
      <c r="BI832" s="188"/>
      <c r="BJ832" s="188"/>
      <c r="BK832" s="188"/>
      <c r="BL832" s="188"/>
      <c r="BM832" s="188"/>
      <c r="BN832" s="188"/>
      <c r="BO832" s="188"/>
      <c r="BP832" s="188"/>
      <c r="BQ832" s="188"/>
      <c r="BR832" s="188"/>
      <c r="BS832" s="188"/>
      <c r="BT832" s="188"/>
      <c r="BU832" s="188"/>
      <c r="BV832" s="188"/>
      <c r="BW832" s="188"/>
    </row>
    <row r="833" spans="45:75" x14ac:dyDescent="0.3">
      <c r="AW833" s="123"/>
      <c r="AX833" s="188"/>
      <c r="AY833" s="188"/>
      <c r="AZ833" s="188"/>
      <c r="BA833" s="236"/>
      <c r="BB833" s="188"/>
      <c r="BC833" s="188"/>
      <c r="BD833" s="188"/>
      <c r="BE833" s="236"/>
      <c r="BG833" s="188"/>
      <c r="BH833" s="188"/>
      <c r="BI833" s="188"/>
      <c r="BJ833" s="188"/>
      <c r="BK833" s="188"/>
      <c r="BL833" s="188"/>
      <c r="BM833" s="188"/>
      <c r="BN833" s="188"/>
      <c r="BO833" s="188"/>
      <c r="BP833" s="188"/>
      <c r="BQ833" s="188"/>
      <c r="BR833" s="188"/>
      <c r="BS833" s="188"/>
      <c r="BT833" s="188"/>
      <c r="BU833" s="188"/>
      <c r="BV833" s="188"/>
      <c r="BW833" s="188"/>
    </row>
    <row r="834" spans="45:75" x14ac:dyDescent="0.3">
      <c r="AW834" s="123"/>
      <c r="AX834" s="188"/>
      <c r="AY834" s="188"/>
      <c r="AZ834" s="188"/>
      <c r="BA834" s="236"/>
      <c r="BB834" s="188"/>
      <c r="BC834" s="188"/>
      <c r="BD834" s="188"/>
      <c r="BE834" s="236"/>
      <c r="BG834" s="188"/>
      <c r="BH834" s="188"/>
      <c r="BI834" s="188"/>
      <c r="BJ834" s="188"/>
      <c r="BK834" s="188"/>
      <c r="BL834" s="188"/>
      <c r="BM834" s="188"/>
      <c r="BN834" s="188"/>
      <c r="BO834" s="188"/>
      <c r="BP834" s="188"/>
      <c r="BQ834" s="188"/>
      <c r="BR834" s="188"/>
      <c r="BS834" s="188"/>
      <c r="BT834" s="188"/>
      <c r="BU834" s="188"/>
      <c r="BV834" s="188"/>
      <c r="BW834" s="188"/>
    </row>
    <row r="835" spans="45:75" x14ac:dyDescent="0.3">
      <c r="AW835" s="123"/>
      <c r="AX835" s="188"/>
      <c r="AY835" s="188"/>
      <c r="AZ835" s="188"/>
      <c r="BA835" s="236"/>
      <c r="BB835" s="188"/>
      <c r="BC835" s="188"/>
      <c r="BD835" s="188"/>
      <c r="BE835" s="236"/>
      <c r="BG835" s="188"/>
      <c r="BH835" s="188"/>
      <c r="BI835" s="188"/>
      <c r="BJ835" s="188"/>
      <c r="BK835" s="188"/>
      <c r="BL835" s="188"/>
      <c r="BM835" s="188"/>
      <c r="BN835" s="188"/>
      <c r="BO835" s="188"/>
      <c r="BP835" s="188"/>
      <c r="BQ835" s="188"/>
      <c r="BR835" s="188"/>
      <c r="BS835" s="188"/>
      <c r="BT835" s="188"/>
      <c r="BU835" s="188"/>
      <c r="BV835" s="188"/>
      <c r="BW835" s="188"/>
    </row>
    <row r="836" spans="45:75" x14ac:dyDescent="0.3">
      <c r="AW836" s="123"/>
      <c r="AX836" s="188"/>
      <c r="AY836" s="188"/>
      <c r="AZ836" s="188"/>
      <c r="BA836" s="236"/>
      <c r="BB836" s="188"/>
      <c r="BC836" s="188"/>
      <c r="BD836" s="188"/>
      <c r="BE836" s="236"/>
      <c r="BG836" s="188"/>
      <c r="BH836" s="188"/>
      <c r="BI836" s="188"/>
      <c r="BJ836" s="188"/>
      <c r="BK836" s="188"/>
      <c r="BL836" s="188"/>
      <c r="BM836" s="188"/>
      <c r="BN836" s="188"/>
      <c r="BO836" s="188"/>
      <c r="BP836" s="188"/>
      <c r="BQ836" s="188"/>
      <c r="BR836" s="188"/>
      <c r="BS836" s="188"/>
      <c r="BT836" s="188"/>
      <c r="BU836" s="188"/>
      <c r="BV836" s="188"/>
      <c r="BW836" s="188"/>
    </row>
    <row r="837" spans="45:75" x14ac:dyDescent="0.3">
      <c r="AW837" s="123"/>
      <c r="AX837" s="188"/>
      <c r="AY837" s="188"/>
      <c r="AZ837" s="188"/>
      <c r="BA837" s="236"/>
      <c r="BB837" s="188"/>
      <c r="BC837" s="188"/>
      <c r="BD837" s="188"/>
      <c r="BE837" s="236"/>
      <c r="BG837" s="188"/>
      <c r="BH837" s="188"/>
      <c r="BI837" s="188"/>
      <c r="BJ837" s="188"/>
      <c r="BK837" s="188"/>
      <c r="BL837" s="188"/>
      <c r="BM837" s="188"/>
      <c r="BN837" s="188"/>
      <c r="BO837" s="188"/>
      <c r="BP837" s="188"/>
      <c r="BQ837" s="188"/>
      <c r="BR837" s="188"/>
      <c r="BS837" s="188"/>
      <c r="BT837" s="188"/>
      <c r="BU837" s="188"/>
      <c r="BV837" s="188"/>
      <c r="BW837" s="188"/>
    </row>
    <row r="838" spans="45:75" x14ac:dyDescent="0.3">
      <c r="AW838" s="123"/>
      <c r="AX838" s="188"/>
      <c r="AY838" s="188"/>
      <c r="AZ838" s="188"/>
      <c r="BA838" s="236"/>
      <c r="BB838" s="188"/>
      <c r="BC838" s="188"/>
      <c r="BD838" s="188"/>
      <c r="BE838" s="236"/>
      <c r="BG838" s="135"/>
      <c r="BH838" s="135"/>
      <c r="BI838" s="42"/>
      <c r="BM838" s="135"/>
      <c r="BN838" s="135"/>
      <c r="BO838" s="188"/>
      <c r="BP838" s="135"/>
      <c r="BQ838" s="135"/>
      <c r="BR838" s="42"/>
      <c r="BV838" s="135"/>
      <c r="BW838" s="135"/>
    </row>
    <row r="839" spans="45:75" x14ac:dyDescent="0.3">
      <c r="AU839" s="42"/>
      <c r="AV839" s="44"/>
      <c r="AW839" s="123"/>
      <c r="AX839" s="188"/>
      <c r="AY839" s="188"/>
      <c r="AZ839" s="188"/>
      <c r="BA839" s="236"/>
      <c r="BB839" s="188"/>
      <c r="BC839" s="188"/>
      <c r="BD839" s="188"/>
      <c r="BE839" s="236"/>
      <c r="BG839" s="245"/>
      <c r="BH839" s="188"/>
      <c r="BI839" s="188"/>
      <c r="BJ839" s="188"/>
      <c r="BK839" s="245"/>
      <c r="BL839" s="246"/>
      <c r="BM839" s="188"/>
      <c r="BN839" s="245"/>
      <c r="BO839" s="188"/>
      <c r="BP839" s="245"/>
      <c r="BQ839" s="188"/>
      <c r="BR839" s="188"/>
      <c r="BS839" s="188"/>
      <c r="BT839" s="245"/>
      <c r="BU839" s="246"/>
      <c r="BV839" s="188"/>
      <c r="BW839" s="245"/>
    </row>
    <row r="840" spans="45:75" x14ac:dyDescent="0.3">
      <c r="AV840" s="44"/>
      <c r="AW840" s="123"/>
      <c r="AX840" s="188"/>
      <c r="AY840" s="188"/>
      <c r="AZ840" s="188"/>
      <c r="BA840" s="236"/>
      <c r="BB840" s="188"/>
      <c r="BC840" s="188"/>
      <c r="BD840" s="188"/>
      <c r="BE840" s="236"/>
      <c r="BG840" s="188"/>
      <c r="BH840" s="188"/>
      <c r="BI840" s="188"/>
      <c r="BJ840" s="188"/>
      <c r="BK840" s="188"/>
      <c r="BL840" s="246"/>
      <c r="BM840" s="188"/>
      <c r="BN840" s="188"/>
      <c r="BO840" s="188"/>
      <c r="BP840" s="188"/>
      <c r="BQ840" s="188"/>
      <c r="BR840" s="188"/>
      <c r="BS840" s="188"/>
      <c r="BT840" s="188"/>
      <c r="BU840" s="246"/>
      <c r="BV840" s="188"/>
      <c r="BW840" s="188"/>
    </row>
    <row r="841" spans="45:75" x14ac:dyDescent="0.3">
      <c r="AV841" s="44"/>
      <c r="AW841" s="123"/>
      <c r="AX841" s="188"/>
      <c r="AY841" s="188"/>
      <c r="AZ841" s="188"/>
      <c r="BA841" s="236"/>
      <c r="BB841" s="188"/>
      <c r="BC841" s="188"/>
      <c r="BD841" s="188"/>
      <c r="BE841" s="236"/>
      <c r="BG841" s="188"/>
      <c r="BH841" s="188"/>
      <c r="BI841" s="188"/>
      <c r="BJ841" s="188"/>
      <c r="BK841" s="188"/>
      <c r="BL841" s="246"/>
      <c r="BM841" s="188"/>
      <c r="BN841" s="188"/>
      <c r="BO841" s="188"/>
      <c r="BP841" s="188"/>
      <c r="BQ841" s="188"/>
      <c r="BR841" s="188"/>
      <c r="BS841" s="188"/>
      <c r="BT841" s="188"/>
      <c r="BU841" s="246"/>
      <c r="BV841" s="188"/>
      <c r="BW841" s="188"/>
    </row>
    <row r="842" spans="45:75" x14ac:dyDescent="0.3">
      <c r="AV842" s="44"/>
      <c r="AW842" s="123"/>
      <c r="AX842" s="188"/>
      <c r="AY842" s="188"/>
      <c r="AZ842" s="188"/>
      <c r="BA842" s="236"/>
      <c r="BB842" s="188"/>
      <c r="BC842" s="188"/>
      <c r="BD842" s="188"/>
      <c r="BE842" s="236"/>
      <c r="BG842" s="188"/>
      <c r="BH842" s="188"/>
      <c r="BI842" s="188"/>
      <c r="BJ842" s="188"/>
      <c r="BK842" s="188"/>
      <c r="BL842" s="246"/>
      <c r="BM842" s="188"/>
      <c r="BN842" s="188"/>
      <c r="BO842" s="188"/>
      <c r="BP842" s="188"/>
      <c r="BQ842" s="188"/>
      <c r="BR842" s="188"/>
      <c r="BS842" s="188"/>
      <c r="BT842" s="188"/>
      <c r="BU842" s="246"/>
      <c r="BV842" s="188"/>
      <c r="BW842" s="188"/>
    </row>
    <row r="843" spans="45:75" x14ac:dyDescent="0.3">
      <c r="AX843" s="188"/>
      <c r="AY843" s="188"/>
      <c r="AZ843" s="188"/>
      <c r="BA843" s="236"/>
      <c r="BB843" s="188"/>
      <c r="BC843" s="188"/>
      <c r="BD843" s="188"/>
      <c r="BE843" s="236"/>
      <c r="BG843" s="188"/>
      <c r="BH843" s="188"/>
      <c r="BI843" s="188"/>
      <c r="BJ843" s="188"/>
      <c r="BK843" s="188"/>
      <c r="BL843" s="188"/>
      <c r="BM843" s="188"/>
      <c r="BN843" s="188"/>
      <c r="BO843" s="188"/>
      <c r="BP843" s="188"/>
      <c r="BQ843" s="188"/>
      <c r="BR843" s="188"/>
      <c r="BS843" s="188"/>
      <c r="BT843" s="188"/>
      <c r="BU843" s="188"/>
      <c r="BV843" s="188"/>
    </row>
    <row r="844" spans="45:75" x14ac:dyDescent="0.3">
      <c r="AU844" s="42"/>
    </row>
    <row r="845" spans="45:75" x14ac:dyDescent="0.3">
      <c r="AU845" s="42"/>
      <c r="AZ845" s="188"/>
      <c r="BA845" s="236"/>
      <c r="BB845" s="188"/>
      <c r="BC845" s="188"/>
      <c r="BD845" s="188"/>
      <c r="BE845" s="236"/>
      <c r="BG845" s="188"/>
      <c r="BH845" s="188"/>
      <c r="BI845" s="188"/>
      <c r="BJ845" s="188"/>
      <c r="BK845" s="188"/>
      <c r="BL845" s="188"/>
      <c r="BM845" s="188"/>
      <c r="BN845" s="188"/>
      <c r="BO845" s="188"/>
      <c r="BP845" s="188"/>
      <c r="BQ845" s="188"/>
      <c r="BR845" s="188"/>
      <c r="BS845" s="188"/>
      <c r="BT845" s="188"/>
      <c r="BU845" s="188"/>
      <c r="BV845" s="188"/>
    </row>
    <row r="846" spans="45:75" x14ac:dyDescent="0.3">
      <c r="AS846" s="42"/>
      <c r="AZ846" s="188"/>
      <c r="BB846" s="188"/>
    </row>
    <row r="847" spans="45:75" x14ac:dyDescent="0.3">
      <c r="AZ847" s="188"/>
      <c r="BB847" s="188"/>
      <c r="BO847" s="188"/>
      <c r="BP847" s="188"/>
      <c r="BQ847" s="188"/>
      <c r="BR847" s="188"/>
      <c r="BS847" s="188"/>
      <c r="BT847" s="188"/>
      <c r="BU847" s="188"/>
      <c r="BV847" s="188"/>
    </row>
    <row r="848" spans="45:75" x14ac:dyDescent="0.3">
      <c r="AY848" s="188"/>
      <c r="AZ848" s="188"/>
      <c r="BB848" s="188"/>
      <c r="BO848" s="188"/>
      <c r="BP848" s="188"/>
      <c r="BQ848" s="188"/>
      <c r="BR848" s="188"/>
      <c r="BS848" s="188"/>
      <c r="BT848" s="188"/>
      <c r="BU848" s="188"/>
      <c r="BV848" s="188"/>
    </row>
    <row r="849" spans="45:74" x14ac:dyDescent="0.3">
      <c r="AY849" s="42"/>
      <c r="AZ849" s="188"/>
      <c r="BB849" s="188"/>
      <c r="BO849" s="188"/>
      <c r="BP849" s="188"/>
      <c r="BQ849" s="188"/>
      <c r="BR849" s="188"/>
      <c r="BS849" s="188"/>
      <c r="BT849" s="188"/>
      <c r="BU849" s="188"/>
      <c r="BV849" s="188"/>
    </row>
    <row r="850" spans="45:74" x14ac:dyDescent="0.3">
      <c r="AY850" s="42"/>
      <c r="AZ850" s="188"/>
      <c r="BB850" s="188"/>
      <c r="BO850" s="188"/>
      <c r="BP850" s="188"/>
      <c r="BQ850" s="188"/>
      <c r="BR850" s="188"/>
      <c r="BS850" s="188"/>
      <c r="BT850" s="188"/>
      <c r="BU850" s="188"/>
      <c r="BV850" s="188"/>
    </row>
    <row r="851" spans="45:74" x14ac:dyDescent="0.3">
      <c r="AZ851" s="188"/>
      <c r="BB851" s="188"/>
      <c r="BD851" s="42"/>
      <c r="BO851" s="188"/>
      <c r="BP851" s="188"/>
      <c r="BQ851" s="188"/>
      <c r="BR851" s="188"/>
      <c r="BS851" s="188"/>
      <c r="BT851" s="188"/>
      <c r="BU851" s="188"/>
      <c r="BV851" s="188"/>
    </row>
    <row r="852" spans="45:74" x14ac:dyDescent="0.3">
      <c r="AZ852" s="188"/>
      <c r="BB852" s="188"/>
      <c r="BD852" s="42"/>
      <c r="BO852" s="188"/>
      <c r="BP852" s="188"/>
      <c r="BQ852" s="188"/>
      <c r="BR852" s="188"/>
      <c r="BS852" s="188"/>
      <c r="BT852" s="188"/>
      <c r="BU852" s="188"/>
      <c r="BV852" s="188"/>
    </row>
    <row r="853" spans="45:74" x14ac:dyDescent="0.3">
      <c r="AS853" s="42"/>
      <c r="AZ853" s="188"/>
      <c r="BB853" s="188"/>
      <c r="BD853" s="42"/>
      <c r="BO853" s="188"/>
      <c r="BP853" s="188"/>
      <c r="BQ853" s="188"/>
      <c r="BR853" s="188"/>
      <c r="BS853" s="188"/>
      <c r="BT853" s="188"/>
      <c r="BU853" s="188"/>
      <c r="BV853" s="188"/>
    </row>
    <row r="854" spans="45:74" x14ac:dyDescent="0.3">
      <c r="AZ854" s="188"/>
      <c r="BB854" s="188"/>
      <c r="BO854" s="188"/>
      <c r="BP854" s="188"/>
      <c r="BQ854" s="188"/>
      <c r="BR854" s="188"/>
      <c r="BS854" s="188"/>
      <c r="BT854" s="188"/>
      <c r="BU854" s="188"/>
      <c r="BV854" s="188"/>
    </row>
    <row r="855" spans="45:74" x14ac:dyDescent="0.3">
      <c r="AS855" s="135"/>
      <c r="AT855" s="135"/>
      <c r="AU855" s="135"/>
      <c r="AV855" s="135"/>
      <c r="AW855" s="135"/>
      <c r="AX855" s="135"/>
      <c r="AY855" s="135"/>
      <c r="AZ855" s="244"/>
      <c r="BA855" s="135"/>
      <c r="BB855" s="244"/>
      <c r="BC855" s="135"/>
      <c r="BD855" s="135"/>
      <c r="BE855" s="135"/>
      <c r="BO855" s="188"/>
      <c r="BP855" s="188"/>
      <c r="BQ855" s="188"/>
      <c r="BR855" s="188"/>
      <c r="BS855" s="188"/>
      <c r="BT855" s="188"/>
      <c r="BU855" s="188"/>
      <c r="BV855" s="188"/>
    </row>
    <row r="856" spans="45:74" x14ac:dyDescent="0.3">
      <c r="AX856" s="42"/>
      <c r="AZ856" s="188"/>
      <c r="BB856" s="188"/>
      <c r="BO856" s="188"/>
      <c r="BP856" s="188"/>
      <c r="BQ856" s="188"/>
      <c r="BR856" s="188"/>
      <c r="BS856" s="188"/>
      <c r="BT856" s="188"/>
      <c r="BU856" s="188"/>
      <c r="BV856" s="188"/>
    </row>
    <row r="857" spans="45:74" x14ac:dyDescent="0.3">
      <c r="AX857" s="135"/>
      <c r="AY857" s="135"/>
      <c r="AZ857" s="244"/>
      <c r="BA857" s="135"/>
      <c r="BB857" s="188"/>
      <c r="BC857" s="44"/>
      <c r="BD857" s="44"/>
      <c r="BO857" s="188"/>
      <c r="BP857" s="188"/>
      <c r="BQ857" s="188"/>
      <c r="BR857" s="188"/>
      <c r="BS857" s="188"/>
      <c r="BT857" s="188"/>
      <c r="BU857" s="188"/>
      <c r="BV857" s="188"/>
    </row>
    <row r="858" spans="45:74" x14ac:dyDescent="0.3">
      <c r="AV858" s="44"/>
      <c r="AW858" s="44"/>
      <c r="AZ858" s="245"/>
      <c r="BA858" s="44"/>
      <c r="BB858" s="188"/>
      <c r="BC858" s="44"/>
      <c r="BD858" s="44"/>
      <c r="BE858" s="44"/>
      <c r="BG858" s="135"/>
      <c r="BH858" s="42"/>
      <c r="BK858" s="135"/>
      <c r="BM858" s="135"/>
      <c r="BN858" s="42"/>
      <c r="BQ858" s="135"/>
    </row>
    <row r="859" spans="45:74" x14ac:dyDescent="0.3">
      <c r="AV859" s="44"/>
      <c r="AW859" s="44"/>
      <c r="AX859" s="44"/>
      <c r="AY859" s="44"/>
      <c r="AZ859" s="245"/>
      <c r="BA859" s="44"/>
      <c r="BB859" s="245"/>
      <c r="BC859" s="44"/>
      <c r="BD859" s="44"/>
      <c r="BE859" s="44"/>
      <c r="BH859" s="44"/>
      <c r="BI859" s="44"/>
      <c r="BN859" s="44"/>
      <c r="BO859" s="44"/>
    </row>
    <row r="860" spans="45:74" x14ac:dyDescent="0.3">
      <c r="AS860" s="44"/>
      <c r="AU860" s="42"/>
      <c r="AV860" s="44"/>
      <c r="AW860" s="44"/>
      <c r="AX860" s="44"/>
      <c r="AY860" s="44"/>
      <c r="AZ860" s="245"/>
      <c r="BA860" s="44"/>
      <c r="BB860" s="245"/>
      <c r="BC860" s="44"/>
      <c r="BD860" s="44"/>
      <c r="BE860" s="44"/>
      <c r="BG860" s="44"/>
      <c r="BH860" s="44"/>
      <c r="BI860" s="44"/>
      <c r="BJ860" s="44"/>
      <c r="BK860" s="44"/>
      <c r="BM860" s="44"/>
      <c r="BN860" s="44"/>
      <c r="BO860" s="44"/>
      <c r="BP860" s="44"/>
      <c r="BQ860" s="44"/>
    </row>
    <row r="861" spans="45:74" x14ac:dyDescent="0.3">
      <c r="AS861" s="44"/>
      <c r="AU861" s="42"/>
      <c r="AV861" s="44"/>
      <c r="AW861" s="44"/>
      <c r="AX861" s="44"/>
      <c r="AY861" s="44"/>
      <c r="AZ861" s="245"/>
      <c r="BA861" s="44"/>
      <c r="BB861" s="245"/>
      <c r="BC861" s="44"/>
      <c r="BD861" s="44"/>
      <c r="BE861" s="44"/>
      <c r="BG861" s="44"/>
      <c r="BH861" s="44"/>
      <c r="BI861" s="44"/>
      <c r="BJ861" s="44"/>
      <c r="BK861" s="44"/>
      <c r="BM861" s="44"/>
      <c r="BN861" s="44"/>
      <c r="BO861" s="44"/>
      <c r="BP861" s="44"/>
      <c r="BQ861" s="44"/>
    </row>
    <row r="862" spans="45:74" x14ac:dyDescent="0.3">
      <c r="AS862" s="135"/>
      <c r="AT862" s="135"/>
      <c r="AU862" s="135"/>
      <c r="AV862" s="135"/>
      <c r="AW862" s="135"/>
      <c r="AX862" s="135"/>
      <c r="AY862" s="135"/>
      <c r="AZ862" s="244"/>
      <c r="BA862" s="135"/>
      <c r="BB862" s="244"/>
      <c r="BC862" s="135"/>
      <c r="BD862" s="135"/>
      <c r="BE862" s="135"/>
      <c r="BG862" s="135"/>
      <c r="BH862" s="135"/>
      <c r="BI862" s="135"/>
      <c r="BJ862" s="135"/>
      <c r="BK862" s="135"/>
      <c r="BM862" s="135"/>
      <c r="BN862" s="135"/>
      <c r="BO862" s="135"/>
      <c r="BP862" s="135"/>
      <c r="BQ862" s="135"/>
    </row>
    <row r="863" spans="45:74" x14ac:dyDescent="0.3">
      <c r="AV863" s="44"/>
      <c r="AW863" s="44"/>
      <c r="AX863" s="44"/>
      <c r="AY863" s="44"/>
      <c r="AZ863" s="245"/>
      <c r="BA863" s="44"/>
      <c r="BB863" s="245"/>
      <c r="BC863" s="44"/>
      <c r="BD863" s="44"/>
      <c r="BE863" s="44"/>
      <c r="BG863" s="188"/>
      <c r="BH863" s="188"/>
      <c r="BI863" s="188"/>
      <c r="BJ863" s="188"/>
      <c r="BK863" s="188"/>
      <c r="BL863" s="188"/>
      <c r="BM863" s="188"/>
      <c r="BN863" s="188"/>
      <c r="BO863" s="188"/>
      <c r="BP863" s="188"/>
      <c r="BQ863" s="188"/>
    </row>
    <row r="864" spans="45:74" x14ac:dyDescent="0.3">
      <c r="AT864" s="42"/>
      <c r="AV864" s="123"/>
      <c r="AW864" s="123"/>
      <c r="AX864" s="188"/>
      <c r="AY864" s="188"/>
      <c r="AZ864" s="188"/>
      <c r="BA864" s="236"/>
      <c r="BB864" s="188"/>
      <c r="BC864" s="188"/>
      <c r="BD864" s="188"/>
      <c r="BE864" s="236"/>
      <c r="BG864" s="188"/>
      <c r="BH864" s="188"/>
      <c r="BI864" s="188"/>
      <c r="BJ864" s="188"/>
      <c r="BK864" s="188"/>
      <c r="BL864" s="188"/>
      <c r="BM864" s="188"/>
      <c r="BN864" s="188"/>
      <c r="BO864" s="188"/>
      <c r="BP864" s="188"/>
      <c r="BQ864" s="188"/>
      <c r="BR864" s="188"/>
      <c r="BS864" s="188"/>
    </row>
    <row r="865" spans="48:71" x14ac:dyDescent="0.3">
      <c r="AV865" s="123"/>
      <c r="AW865" s="123"/>
      <c r="AX865" s="188"/>
      <c r="AY865" s="188"/>
      <c r="AZ865" s="188"/>
      <c r="BA865" s="236"/>
      <c r="BB865" s="188"/>
      <c r="BC865" s="188"/>
      <c r="BD865" s="188"/>
      <c r="BE865" s="236"/>
      <c r="BG865" s="188"/>
      <c r="BH865" s="188"/>
      <c r="BI865" s="188"/>
      <c r="BJ865" s="188"/>
      <c r="BK865" s="188"/>
      <c r="BL865" s="188"/>
      <c r="BM865" s="188"/>
      <c r="BN865" s="188"/>
      <c r="BO865" s="188"/>
      <c r="BP865" s="188"/>
      <c r="BQ865" s="188"/>
      <c r="BR865" s="188"/>
      <c r="BS865" s="188"/>
    </row>
    <row r="866" spans="48:71" x14ac:dyDescent="0.3">
      <c r="AV866" s="123"/>
      <c r="AW866" s="123"/>
      <c r="AX866" s="188"/>
      <c r="AY866" s="188"/>
      <c r="AZ866" s="188"/>
      <c r="BA866" s="236"/>
      <c r="BB866" s="188"/>
      <c r="BC866" s="188"/>
      <c r="BD866" s="188"/>
      <c r="BE866" s="236"/>
      <c r="BG866" s="188"/>
      <c r="BH866" s="188"/>
      <c r="BI866" s="188"/>
      <c r="BJ866" s="188"/>
      <c r="BK866" s="188"/>
      <c r="BL866" s="188"/>
      <c r="BM866" s="188"/>
      <c r="BN866" s="188"/>
      <c r="BO866" s="188"/>
      <c r="BP866" s="188"/>
      <c r="BQ866" s="188"/>
      <c r="BR866" s="188"/>
      <c r="BS866" s="188"/>
    </row>
    <row r="867" spans="48:71" x14ac:dyDescent="0.3">
      <c r="AV867" s="123"/>
      <c r="AW867" s="123"/>
      <c r="AX867" s="188"/>
      <c r="AY867" s="188"/>
      <c r="AZ867" s="188"/>
      <c r="BA867" s="236"/>
      <c r="BB867" s="188"/>
      <c r="BC867" s="188"/>
      <c r="BD867" s="188"/>
      <c r="BE867" s="236"/>
      <c r="BG867" s="188"/>
      <c r="BH867" s="188"/>
      <c r="BI867" s="188"/>
      <c r="BJ867" s="188"/>
      <c r="BK867" s="188"/>
      <c r="BL867" s="188"/>
      <c r="BM867" s="188"/>
      <c r="BN867" s="188"/>
      <c r="BO867" s="188"/>
      <c r="BP867" s="188"/>
      <c r="BQ867" s="188"/>
      <c r="BR867" s="188"/>
      <c r="BS867" s="188"/>
    </row>
    <row r="868" spans="48:71" x14ac:dyDescent="0.3">
      <c r="AV868" s="123"/>
      <c r="AW868" s="123"/>
      <c r="AX868" s="188"/>
      <c r="AY868" s="188"/>
      <c r="AZ868" s="188"/>
      <c r="BA868" s="236"/>
      <c r="BB868" s="188"/>
      <c r="BC868" s="188"/>
      <c r="BD868" s="188"/>
      <c r="BE868" s="236"/>
      <c r="BG868" s="188"/>
      <c r="BH868" s="188"/>
      <c r="BI868" s="188"/>
      <c r="BJ868" s="188"/>
      <c r="BK868" s="188"/>
      <c r="BL868" s="188"/>
      <c r="BM868" s="188"/>
      <c r="BN868" s="188"/>
      <c r="BO868" s="188"/>
      <c r="BP868" s="188"/>
      <c r="BQ868" s="188"/>
      <c r="BR868" s="188"/>
      <c r="BS868" s="188"/>
    </row>
    <row r="869" spans="48:71" x14ac:dyDescent="0.3">
      <c r="AV869" s="123"/>
      <c r="AW869" s="123"/>
      <c r="AX869" s="188"/>
      <c r="AY869" s="188"/>
      <c r="AZ869" s="188"/>
      <c r="BA869" s="236"/>
      <c r="BB869" s="188"/>
      <c r="BC869" s="188"/>
      <c r="BD869" s="188"/>
      <c r="BE869" s="236"/>
      <c r="BG869" s="188"/>
      <c r="BH869" s="188"/>
      <c r="BI869" s="188"/>
      <c r="BJ869" s="188"/>
      <c r="BK869" s="188"/>
      <c r="BL869" s="188"/>
      <c r="BM869" s="188"/>
      <c r="BN869" s="188"/>
      <c r="BO869" s="188"/>
      <c r="BP869" s="188"/>
      <c r="BQ869" s="188"/>
      <c r="BR869" s="188"/>
      <c r="BS869" s="188"/>
    </row>
    <row r="870" spans="48:71" x14ac:dyDescent="0.3">
      <c r="AV870" s="123"/>
      <c r="AW870" s="123"/>
      <c r="AX870" s="188"/>
      <c r="AY870" s="188"/>
      <c r="AZ870" s="188"/>
      <c r="BA870" s="236"/>
      <c r="BB870" s="188"/>
      <c r="BC870" s="188"/>
      <c r="BD870" s="188"/>
      <c r="BE870" s="236"/>
      <c r="BG870" s="188"/>
      <c r="BH870" s="188"/>
      <c r="BI870" s="188"/>
      <c r="BJ870" s="188"/>
      <c r="BK870" s="188"/>
      <c r="BL870" s="188"/>
      <c r="BM870" s="188"/>
      <c r="BN870" s="188"/>
      <c r="BO870" s="188"/>
      <c r="BP870" s="188"/>
      <c r="BQ870" s="188"/>
      <c r="BR870" s="188"/>
      <c r="BS870" s="188"/>
    </row>
    <row r="871" spans="48:71" x14ac:dyDescent="0.3">
      <c r="AV871" s="123"/>
      <c r="AW871" s="123"/>
      <c r="AX871" s="188"/>
      <c r="AY871" s="188"/>
      <c r="AZ871" s="188"/>
      <c r="BA871" s="236"/>
      <c r="BB871" s="188"/>
      <c r="BC871" s="188"/>
      <c r="BD871" s="188"/>
      <c r="BE871" s="236"/>
      <c r="BG871" s="188"/>
      <c r="BH871" s="188"/>
      <c r="BI871" s="188"/>
      <c r="BJ871" s="188"/>
      <c r="BK871" s="188"/>
      <c r="BL871" s="188"/>
      <c r="BM871" s="188"/>
      <c r="BN871" s="188"/>
      <c r="BO871" s="188"/>
      <c r="BP871" s="188"/>
      <c r="BQ871" s="188"/>
      <c r="BR871" s="188"/>
      <c r="BS871" s="188"/>
    </row>
    <row r="872" spans="48:71" x14ac:dyDescent="0.3">
      <c r="AV872" s="123"/>
      <c r="AW872" s="123"/>
      <c r="AX872" s="188"/>
      <c r="AY872" s="188"/>
      <c r="AZ872" s="188"/>
      <c r="BA872" s="236"/>
      <c r="BB872" s="188"/>
      <c r="BC872" s="188"/>
      <c r="BD872" s="188"/>
      <c r="BE872" s="236"/>
      <c r="BG872" s="188"/>
      <c r="BH872" s="188"/>
      <c r="BI872" s="188"/>
      <c r="BJ872" s="188"/>
      <c r="BK872" s="188"/>
      <c r="BL872" s="188"/>
      <c r="BM872" s="188"/>
      <c r="BN872" s="188"/>
      <c r="BO872" s="188"/>
      <c r="BP872" s="188"/>
      <c r="BQ872" s="188"/>
      <c r="BR872" s="188"/>
      <c r="BS872" s="188"/>
    </row>
    <row r="873" spans="48:71" x14ac:dyDescent="0.3">
      <c r="AV873" s="123"/>
      <c r="AW873" s="123"/>
      <c r="AX873" s="188"/>
      <c r="AY873" s="188"/>
      <c r="AZ873" s="188"/>
      <c r="BA873" s="236"/>
      <c r="BB873" s="188"/>
      <c r="BC873" s="188"/>
      <c r="BD873" s="188"/>
      <c r="BE873" s="236"/>
      <c r="BG873" s="188"/>
      <c r="BH873" s="188"/>
      <c r="BI873" s="188"/>
      <c r="BJ873" s="188"/>
      <c r="BK873" s="188"/>
      <c r="BL873" s="188"/>
      <c r="BM873" s="188"/>
      <c r="BN873" s="188"/>
      <c r="BO873" s="188"/>
      <c r="BP873" s="188"/>
      <c r="BQ873" s="188"/>
      <c r="BR873" s="188"/>
      <c r="BS873" s="188"/>
    </row>
    <row r="874" spans="48:71" x14ac:dyDescent="0.3">
      <c r="AV874" s="123"/>
      <c r="AW874" s="123"/>
      <c r="AX874" s="188"/>
      <c r="AY874" s="188"/>
      <c r="AZ874" s="188"/>
      <c r="BA874" s="236"/>
      <c r="BB874" s="188"/>
      <c r="BC874" s="188"/>
      <c r="BD874" s="188"/>
      <c r="BE874" s="236"/>
      <c r="BG874" s="188"/>
      <c r="BH874" s="188"/>
      <c r="BI874" s="188"/>
      <c r="BJ874" s="188"/>
      <c r="BK874" s="188"/>
      <c r="BL874" s="188"/>
      <c r="BM874" s="188"/>
      <c r="BN874" s="188"/>
      <c r="BO874" s="188"/>
      <c r="BP874" s="188"/>
      <c r="BQ874" s="188"/>
      <c r="BR874" s="188"/>
      <c r="BS874" s="188"/>
    </row>
    <row r="875" spans="48:71" x14ac:dyDescent="0.3">
      <c r="AV875" s="123"/>
      <c r="AW875" s="123"/>
      <c r="AX875" s="188"/>
      <c r="AY875" s="188"/>
      <c r="AZ875" s="188"/>
      <c r="BA875" s="236"/>
      <c r="BB875" s="188"/>
      <c r="BC875" s="188"/>
      <c r="BD875" s="188"/>
      <c r="BE875" s="236"/>
      <c r="BG875" s="188"/>
      <c r="BH875" s="188"/>
      <c r="BI875" s="188"/>
      <c r="BJ875" s="188"/>
      <c r="BK875" s="188"/>
      <c r="BL875" s="188"/>
      <c r="BM875" s="188"/>
      <c r="BN875" s="188"/>
      <c r="BO875" s="188"/>
      <c r="BP875" s="188"/>
      <c r="BQ875" s="188"/>
      <c r="BR875" s="188"/>
      <c r="BS875" s="188"/>
    </row>
    <row r="876" spans="48:71" x14ac:dyDescent="0.3">
      <c r="AV876" s="123"/>
      <c r="AW876" s="123"/>
      <c r="AX876" s="188"/>
      <c r="AY876" s="188"/>
      <c r="AZ876" s="188"/>
      <c r="BA876" s="236"/>
      <c r="BB876" s="188"/>
      <c r="BC876" s="188"/>
      <c r="BD876" s="188"/>
      <c r="BE876" s="236"/>
      <c r="BG876" s="188"/>
      <c r="BH876" s="188"/>
      <c r="BI876" s="188"/>
      <c r="BJ876" s="188"/>
      <c r="BK876" s="188"/>
      <c r="BL876" s="188"/>
      <c r="BM876" s="188"/>
      <c r="BN876" s="188"/>
      <c r="BO876" s="188"/>
      <c r="BP876" s="188"/>
      <c r="BQ876" s="188"/>
      <c r="BR876" s="188"/>
      <c r="BS876" s="188"/>
    </row>
    <row r="877" spans="48:71" x14ac:dyDescent="0.3">
      <c r="AV877" s="123"/>
      <c r="AW877" s="123"/>
      <c r="AX877" s="188"/>
      <c r="AY877" s="188"/>
      <c r="AZ877" s="188"/>
      <c r="BA877" s="236"/>
      <c r="BB877" s="188"/>
      <c r="BC877" s="188"/>
      <c r="BD877" s="188"/>
      <c r="BE877" s="236"/>
      <c r="BG877" s="188"/>
      <c r="BH877" s="188"/>
      <c r="BI877" s="188"/>
      <c r="BJ877" s="188"/>
      <c r="BK877" s="188"/>
      <c r="BL877" s="188"/>
      <c r="BM877" s="188"/>
      <c r="BN877" s="188"/>
      <c r="BO877" s="188"/>
      <c r="BP877" s="188"/>
      <c r="BQ877" s="188"/>
      <c r="BR877" s="188"/>
      <c r="BS877" s="188"/>
    </row>
    <row r="878" spans="48:71" x14ac:dyDescent="0.3">
      <c r="AV878" s="123"/>
      <c r="AW878" s="123"/>
      <c r="AX878" s="188"/>
      <c r="AY878" s="188"/>
      <c r="AZ878" s="188"/>
      <c r="BA878" s="236"/>
      <c r="BB878" s="188"/>
      <c r="BC878" s="188"/>
      <c r="BD878" s="188"/>
      <c r="BE878" s="236"/>
      <c r="BG878" s="188"/>
      <c r="BH878" s="188"/>
      <c r="BI878" s="188"/>
      <c r="BJ878" s="188"/>
      <c r="BK878" s="188"/>
      <c r="BL878" s="188"/>
      <c r="BM878" s="188"/>
      <c r="BN878" s="188"/>
      <c r="BO878" s="188"/>
      <c r="BP878" s="188"/>
      <c r="BQ878" s="188"/>
      <c r="BR878" s="188"/>
      <c r="BS878" s="188"/>
    </row>
    <row r="879" spans="48:71" x14ac:dyDescent="0.3">
      <c r="AV879" s="123"/>
      <c r="AW879" s="123"/>
      <c r="AX879" s="188"/>
      <c r="AY879" s="188"/>
      <c r="AZ879" s="188"/>
      <c r="BA879" s="236"/>
      <c r="BB879" s="188"/>
      <c r="BC879" s="188"/>
      <c r="BD879" s="188"/>
      <c r="BE879" s="236"/>
      <c r="BG879" s="188"/>
      <c r="BH879" s="188"/>
      <c r="BI879" s="188"/>
      <c r="BJ879" s="188"/>
      <c r="BK879" s="188"/>
      <c r="BL879" s="188"/>
      <c r="BM879" s="188"/>
      <c r="BN879" s="188"/>
      <c r="BO879" s="188"/>
      <c r="BP879" s="188"/>
      <c r="BQ879" s="188"/>
      <c r="BR879" s="188"/>
      <c r="BS879" s="188"/>
    </row>
    <row r="880" spans="48:71" x14ac:dyDescent="0.3">
      <c r="AV880" s="123"/>
      <c r="AW880" s="123"/>
      <c r="AX880" s="188"/>
      <c r="AY880" s="188"/>
      <c r="AZ880" s="188"/>
      <c r="BA880" s="236"/>
      <c r="BB880" s="188"/>
      <c r="BC880" s="188"/>
      <c r="BD880" s="188"/>
      <c r="BE880" s="236"/>
      <c r="BG880" s="188"/>
      <c r="BH880" s="188"/>
      <c r="BI880" s="188"/>
      <c r="BJ880" s="188"/>
      <c r="BK880" s="188"/>
      <c r="BL880" s="188"/>
      <c r="BM880" s="188"/>
      <c r="BN880" s="188"/>
      <c r="BO880" s="188"/>
      <c r="BP880" s="188"/>
      <c r="BQ880" s="188"/>
      <c r="BR880" s="188"/>
      <c r="BS880" s="188"/>
    </row>
    <row r="881" spans="46:71" x14ac:dyDescent="0.3">
      <c r="AV881" s="123"/>
      <c r="AW881" s="123"/>
      <c r="AX881" s="188"/>
      <c r="AY881" s="188"/>
      <c r="AZ881" s="188"/>
      <c r="BA881" s="236"/>
      <c r="BB881" s="188"/>
      <c r="BC881" s="188"/>
      <c r="BD881" s="188"/>
      <c r="BE881" s="236"/>
      <c r="BG881" s="188"/>
      <c r="BH881" s="188"/>
      <c r="BI881" s="188"/>
      <c r="BJ881" s="188"/>
      <c r="BK881" s="188"/>
      <c r="BL881" s="188"/>
      <c r="BM881" s="188"/>
      <c r="BN881" s="188"/>
      <c r="BO881" s="188"/>
      <c r="BP881" s="188"/>
      <c r="BQ881" s="188"/>
      <c r="BR881" s="188"/>
      <c r="BS881" s="188"/>
    </row>
    <row r="882" spans="46:71" x14ac:dyDescent="0.3">
      <c r="AZ882" s="188"/>
      <c r="BB882" s="188"/>
      <c r="BC882" s="188"/>
      <c r="BD882" s="188"/>
      <c r="BG882" s="188"/>
      <c r="BH882" s="188"/>
      <c r="BI882" s="188"/>
      <c r="BJ882" s="188"/>
      <c r="BK882" s="188"/>
      <c r="BL882" s="188"/>
      <c r="BM882" s="188"/>
      <c r="BN882" s="188"/>
      <c r="BO882" s="188"/>
      <c r="BP882" s="188"/>
      <c r="BQ882" s="188"/>
      <c r="BR882" s="188"/>
      <c r="BS882" s="188"/>
    </row>
    <row r="883" spans="46:71" x14ac:dyDescent="0.3">
      <c r="AT883" s="42"/>
      <c r="AV883" s="123"/>
      <c r="AW883" s="123"/>
      <c r="AX883" s="188"/>
      <c r="AY883" s="188"/>
      <c r="AZ883" s="188"/>
      <c r="BA883" s="236"/>
      <c r="BB883" s="188"/>
      <c r="BC883" s="188"/>
      <c r="BD883" s="188"/>
      <c r="BE883" s="236"/>
    </row>
    <row r="884" spans="46:71" x14ac:dyDescent="0.3">
      <c r="AV884" s="123"/>
      <c r="AW884" s="123"/>
      <c r="AX884" s="188"/>
      <c r="AY884" s="188"/>
      <c r="AZ884" s="188"/>
      <c r="BA884" s="236"/>
      <c r="BB884" s="188"/>
      <c r="BC884" s="188"/>
      <c r="BD884" s="188"/>
      <c r="BE884" s="236"/>
    </row>
    <row r="885" spans="46:71" x14ac:dyDescent="0.3">
      <c r="AV885" s="123"/>
      <c r="AW885" s="123"/>
      <c r="AX885" s="188"/>
      <c r="AY885" s="188"/>
      <c r="AZ885" s="188"/>
      <c r="BA885" s="236"/>
      <c r="BB885" s="188"/>
      <c r="BC885" s="188"/>
      <c r="BD885" s="188"/>
      <c r="BE885" s="236"/>
    </row>
    <row r="886" spans="46:71" x14ac:dyDescent="0.3">
      <c r="AV886" s="123"/>
      <c r="AW886" s="123"/>
      <c r="AX886" s="188"/>
      <c r="AY886" s="188"/>
      <c r="AZ886" s="188"/>
      <c r="BA886" s="236"/>
      <c r="BB886" s="188"/>
      <c r="BC886" s="188"/>
      <c r="BD886" s="188"/>
      <c r="BE886" s="236"/>
    </row>
    <row r="887" spans="46:71" x14ac:dyDescent="0.3">
      <c r="AV887" s="123"/>
      <c r="AW887" s="123"/>
      <c r="AX887" s="188"/>
      <c r="AY887" s="188"/>
      <c r="AZ887" s="188"/>
      <c r="BA887" s="236"/>
      <c r="BB887" s="188"/>
      <c r="BC887" s="188"/>
      <c r="BD887" s="188"/>
      <c r="BE887" s="236"/>
    </row>
    <row r="888" spans="46:71" x14ac:dyDescent="0.3">
      <c r="AV888" s="123"/>
      <c r="AW888" s="123"/>
      <c r="AX888" s="188"/>
      <c r="AY888" s="188"/>
      <c r="AZ888" s="188"/>
      <c r="BA888" s="236"/>
      <c r="BB888" s="188"/>
      <c r="BC888" s="188"/>
      <c r="BD888" s="188"/>
      <c r="BE888" s="236"/>
    </row>
    <row r="889" spans="46:71" x14ac:dyDescent="0.3">
      <c r="AV889" s="123"/>
      <c r="AW889" s="123"/>
      <c r="AX889" s="188"/>
      <c r="AY889" s="188"/>
      <c r="AZ889" s="188"/>
      <c r="BA889" s="236"/>
      <c r="BB889" s="188"/>
      <c r="BC889" s="188"/>
      <c r="BD889" s="188"/>
      <c r="BE889" s="236"/>
    </row>
    <row r="890" spans="46:71" x14ac:dyDescent="0.3">
      <c r="AV890" s="123"/>
      <c r="AW890" s="123"/>
      <c r="AX890" s="188"/>
      <c r="AY890" s="188"/>
      <c r="AZ890" s="188"/>
      <c r="BA890" s="236"/>
      <c r="BB890" s="188"/>
      <c r="BC890" s="188"/>
      <c r="BD890" s="188"/>
      <c r="BE890" s="236"/>
    </row>
    <row r="891" spans="46:71" x14ac:dyDescent="0.3">
      <c r="AV891" s="123"/>
      <c r="AW891" s="123"/>
      <c r="AX891" s="188"/>
      <c r="AY891" s="188"/>
      <c r="AZ891" s="188"/>
      <c r="BA891" s="236"/>
      <c r="BB891" s="188"/>
      <c r="BC891" s="188"/>
      <c r="BD891" s="188"/>
      <c r="BE891" s="236"/>
    </row>
    <row r="892" spans="46:71" x14ac:dyDescent="0.3">
      <c r="AV892" s="123"/>
      <c r="AW892" s="123"/>
      <c r="AX892" s="188"/>
      <c r="AY892" s="188"/>
      <c r="AZ892" s="188"/>
      <c r="BA892" s="236"/>
      <c r="BB892" s="188"/>
      <c r="BC892" s="188"/>
      <c r="BD892" s="188"/>
      <c r="BE892" s="236"/>
    </row>
    <row r="893" spans="46:71" x14ac:dyDescent="0.3">
      <c r="AV893" s="123"/>
      <c r="AW893" s="123"/>
      <c r="AX893" s="188"/>
      <c r="AY893" s="188"/>
      <c r="AZ893" s="188"/>
      <c r="BA893" s="236"/>
      <c r="BB893" s="188"/>
      <c r="BC893" s="188"/>
      <c r="BD893" s="188"/>
      <c r="BE893" s="236"/>
    </row>
    <row r="894" spans="46:71" x14ac:dyDescent="0.3">
      <c r="AV894" s="123"/>
      <c r="AW894" s="123"/>
      <c r="AX894" s="188"/>
      <c r="AY894" s="188"/>
      <c r="AZ894" s="188"/>
      <c r="BA894" s="236"/>
      <c r="BB894" s="188"/>
      <c r="BC894" s="188"/>
      <c r="BD894" s="188"/>
      <c r="BE894" s="236"/>
    </row>
    <row r="895" spans="46:71" x14ac:dyDescent="0.3">
      <c r="AV895" s="123"/>
      <c r="AW895" s="123"/>
      <c r="AX895" s="188"/>
      <c r="AY895" s="188"/>
      <c r="AZ895" s="188"/>
      <c r="BA895" s="236"/>
      <c r="BB895" s="188"/>
      <c r="BC895" s="188"/>
      <c r="BD895" s="188"/>
      <c r="BE895" s="236"/>
    </row>
    <row r="896" spans="46:71" x14ac:dyDescent="0.3">
      <c r="AV896" s="123"/>
      <c r="AW896" s="123"/>
      <c r="AX896" s="188"/>
      <c r="AY896" s="188"/>
      <c r="AZ896" s="188"/>
      <c r="BA896" s="236"/>
      <c r="BB896" s="188"/>
      <c r="BC896" s="188"/>
      <c r="BD896" s="188"/>
      <c r="BE896" s="236"/>
    </row>
    <row r="897" spans="45:57" x14ac:dyDescent="0.3">
      <c r="AV897" s="123"/>
      <c r="AW897" s="123"/>
      <c r="AX897" s="188"/>
      <c r="AY897" s="188"/>
      <c r="AZ897" s="188"/>
      <c r="BA897" s="236"/>
      <c r="BB897" s="188"/>
      <c r="BC897" s="188"/>
      <c r="BD897" s="188"/>
      <c r="BE897" s="236"/>
    </row>
    <row r="898" spans="45:57" x14ac:dyDescent="0.3">
      <c r="AV898" s="123"/>
      <c r="AW898" s="123"/>
      <c r="AX898" s="188"/>
      <c r="AY898" s="188"/>
      <c r="AZ898" s="188"/>
      <c r="BA898" s="236"/>
      <c r="BB898" s="188"/>
      <c r="BC898" s="188"/>
      <c r="BD898" s="188"/>
      <c r="BE898" s="236"/>
    </row>
    <row r="899" spans="45:57" x14ac:dyDescent="0.3">
      <c r="AV899" s="123"/>
      <c r="AW899" s="123"/>
      <c r="AX899" s="188"/>
      <c r="AY899" s="188"/>
      <c r="AZ899" s="188"/>
      <c r="BA899" s="236"/>
      <c r="BB899" s="188"/>
      <c r="BC899" s="188"/>
      <c r="BD899" s="188"/>
      <c r="BE899" s="236"/>
    </row>
    <row r="900" spans="45:57" x14ac:dyDescent="0.3">
      <c r="AV900" s="123"/>
      <c r="AW900" s="123"/>
      <c r="AX900" s="188"/>
      <c r="AY900" s="188"/>
      <c r="AZ900" s="188"/>
      <c r="BA900" s="236"/>
      <c r="BB900" s="188"/>
      <c r="BC900" s="188"/>
      <c r="BD900" s="188"/>
      <c r="BE900" s="236"/>
    </row>
    <row r="901" spans="45:57" x14ac:dyDescent="0.3">
      <c r="BB901" s="188"/>
    </row>
    <row r="902" spans="45:57" x14ac:dyDescent="0.3">
      <c r="AU902" s="42"/>
      <c r="BB902" s="188"/>
    </row>
    <row r="903" spans="45:57" x14ac:dyDescent="0.3">
      <c r="AU903" s="42"/>
    </row>
    <row r="904" spans="45:57" x14ac:dyDescent="0.3">
      <c r="AU904" s="42"/>
      <c r="BB904" s="188"/>
    </row>
    <row r="905" spans="45:57" x14ac:dyDescent="0.3">
      <c r="AS905" s="42"/>
      <c r="AZ905" s="188"/>
      <c r="BB905" s="188"/>
    </row>
    <row r="906" spans="45:57" x14ac:dyDescent="0.3">
      <c r="AZ906" s="188"/>
      <c r="BB906" s="188"/>
    </row>
    <row r="907" spans="45:57" x14ac:dyDescent="0.3">
      <c r="AY907" s="188"/>
      <c r="AZ907" s="188"/>
      <c r="BB907" s="188"/>
    </row>
    <row r="908" spans="45:57" x14ac:dyDescent="0.3">
      <c r="AY908" s="42"/>
      <c r="AZ908" s="188"/>
      <c r="BB908" s="188"/>
    </row>
    <row r="909" spans="45:57" x14ac:dyDescent="0.3">
      <c r="AY909" s="42"/>
      <c r="AZ909" s="188"/>
      <c r="BB909" s="188"/>
    </row>
    <row r="910" spans="45:57" x14ac:dyDescent="0.3">
      <c r="AZ910" s="188"/>
      <c r="BB910" s="188"/>
      <c r="BD910" s="42"/>
    </row>
    <row r="911" spans="45:57" x14ac:dyDescent="0.3">
      <c r="AZ911" s="188"/>
      <c r="BB911" s="188"/>
      <c r="BD911" s="42"/>
    </row>
    <row r="912" spans="45:57" x14ac:dyDescent="0.3">
      <c r="AS912" s="42"/>
      <c r="AZ912" s="188"/>
      <c r="BB912" s="188"/>
      <c r="BD912" s="42"/>
    </row>
    <row r="913" spans="45:57" x14ac:dyDescent="0.3">
      <c r="AZ913" s="188"/>
      <c r="BB913" s="188"/>
    </row>
    <row r="914" spans="45:57" x14ac:dyDescent="0.3">
      <c r="AS914" s="135"/>
      <c r="AT914" s="135"/>
      <c r="AU914" s="135"/>
      <c r="AV914" s="135"/>
      <c r="AW914" s="135"/>
      <c r="AX914" s="135"/>
      <c r="AY914" s="135"/>
      <c r="AZ914" s="244"/>
      <c r="BA914" s="135"/>
      <c r="BB914" s="244"/>
      <c r="BC914" s="135"/>
      <c r="BD914" s="135"/>
      <c r="BE914" s="135"/>
    </row>
    <row r="915" spans="45:57" x14ac:dyDescent="0.3">
      <c r="AX915" s="42"/>
      <c r="AZ915" s="188"/>
      <c r="BB915" s="188"/>
    </row>
    <row r="916" spans="45:57" x14ac:dyDescent="0.3">
      <c r="AX916" s="135"/>
      <c r="AY916" s="135"/>
      <c r="AZ916" s="244"/>
      <c r="BA916" s="135"/>
      <c r="BB916" s="188"/>
      <c r="BC916" s="44"/>
      <c r="BD916" s="44"/>
    </row>
    <row r="917" spans="45:57" x14ac:dyDescent="0.3">
      <c r="AV917" s="44"/>
      <c r="AW917" s="44"/>
      <c r="AZ917" s="245"/>
      <c r="BA917" s="44"/>
      <c r="BB917" s="188"/>
      <c r="BC917" s="44"/>
      <c r="BD917" s="44"/>
      <c r="BE917" s="44"/>
    </row>
    <row r="918" spans="45:57" x14ac:dyDescent="0.3">
      <c r="AV918" s="44"/>
      <c r="AW918" s="44"/>
      <c r="AX918" s="44"/>
      <c r="AY918" s="44"/>
      <c r="AZ918" s="245"/>
      <c r="BA918" s="44"/>
      <c r="BB918" s="245"/>
      <c r="BC918" s="44"/>
      <c r="BD918" s="44"/>
      <c r="BE918" s="44"/>
    </row>
    <row r="919" spans="45:57" x14ac:dyDescent="0.3">
      <c r="AS919" s="44"/>
      <c r="AU919" s="42"/>
      <c r="AV919" s="44"/>
      <c r="AW919" s="44"/>
      <c r="AX919" s="44"/>
      <c r="AY919" s="44"/>
      <c r="AZ919" s="245"/>
      <c r="BA919" s="44"/>
      <c r="BB919" s="245"/>
      <c r="BC919" s="44"/>
      <c r="BD919" s="44"/>
      <c r="BE919" s="44"/>
    </row>
    <row r="920" spans="45:57" x14ac:dyDescent="0.3">
      <c r="AS920" s="44"/>
      <c r="AU920" s="42"/>
      <c r="AV920" s="44"/>
      <c r="AW920" s="44"/>
      <c r="AX920" s="44"/>
      <c r="AY920" s="44"/>
      <c r="AZ920" s="245"/>
      <c r="BA920" s="44"/>
      <c r="BB920" s="245"/>
      <c r="BC920" s="44"/>
      <c r="BD920" s="44"/>
      <c r="BE920" s="44"/>
    </row>
    <row r="921" spans="45:57" x14ac:dyDescent="0.3">
      <c r="AS921" s="135"/>
      <c r="AT921" s="135"/>
      <c r="AU921" s="135"/>
      <c r="AV921" s="135"/>
      <c r="AW921" s="135"/>
      <c r="AX921" s="135"/>
      <c r="AY921" s="135"/>
      <c r="AZ921" s="244"/>
      <c r="BA921" s="135"/>
      <c r="BB921" s="244"/>
      <c r="BC921" s="135"/>
      <c r="BD921" s="135"/>
      <c r="BE921" s="135"/>
    </row>
    <row r="922" spans="45:57" x14ac:dyDescent="0.3">
      <c r="AV922" s="44"/>
      <c r="AW922" s="44"/>
      <c r="AX922" s="44"/>
      <c r="AY922" s="44"/>
      <c r="AZ922" s="245"/>
      <c r="BA922" s="44"/>
      <c r="BB922" s="245"/>
      <c r="BC922" s="44"/>
      <c r="BD922" s="44"/>
      <c r="BE922" s="44"/>
    </row>
    <row r="923" spans="45:57" x14ac:dyDescent="0.3">
      <c r="AT923" s="42"/>
      <c r="AV923" s="123"/>
      <c r="AW923" s="123"/>
      <c r="AX923" s="188"/>
      <c r="AY923" s="188"/>
      <c r="AZ923" s="188"/>
      <c r="BA923" s="236"/>
      <c r="BB923" s="188"/>
      <c r="BC923" s="188"/>
      <c r="BD923" s="188"/>
      <c r="BE923" s="236"/>
    </row>
    <row r="924" spans="45:57" x14ac:dyDescent="0.3">
      <c r="AV924" s="123"/>
      <c r="AW924" s="123"/>
      <c r="AX924" s="188"/>
      <c r="AY924" s="188"/>
      <c r="AZ924" s="188"/>
      <c r="BA924" s="236"/>
      <c r="BB924" s="188"/>
      <c r="BC924" s="188"/>
      <c r="BD924" s="188"/>
      <c r="BE924" s="236"/>
    </row>
    <row r="925" spans="45:57" x14ac:dyDescent="0.3">
      <c r="AV925" s="123"/>
      <c r="AW925" s="123"/>
      <c r="AX925" s="188"/>
      <c r="AY925" s="188"/>
      <c r="AZ925" s="188"/>
      <c r="BA925" s="236"/>
      <c r="BB925" s="188"/>
      <c r="BC925" s="188"/>
      <c r="BD925" s="188"/>
      <c r="BE925" s="236"/>
    </row>
    <row r="926" spans="45:57" x14ac:dyDescent="0.3">
      <c r="AV926" s="123"/>
      <c r="AW926" s="123"/>
      <c r="AX926" s="188"/>
      <c r="AY926" s="188"/>
      <c r="AZ926" s="188"/>
      <c r="BA926" s="236"/>
      <c r="BB926" s="188"/>
      <c r="BC926" s="188"/>
      <c r="BD926" s="188"/>
      <c r="BE926" s="236"/>
    </row>
    <row r="927" spans="45:57" x14ac:dyDescent="0.3">
      <c r="AV927" s="123"/>
      <c r="AW927" s="123"/>
      <c r="AX927" s="188"/>
      <c r="AY927" s="188"/>
      <c r="AZ927" s="188"/>
      <c r="BA927" s="236"/>
      <c r="BB927" s="188"/>
      <c r="BC927" s="188"/>
      <c r="BD927" s="188"/>
      <c r="BE927" s="236"/>
    </row>
    <row r="928" spans="45:57" x14ac:dyDescent="0.3">
      <c r="AV928" s="123"/>
      <c r="AW928" s="123"/>
      <c r="AX928" s="188"/>
      <c r="AY928" s="188"/>
      <c r="AZ928" s="188"/>
      <c r="BA928" s="236"/>
      <c r="BB928" s="188"/>
      <c r="BC928" s="188"/>
      <c r="BD928" s="188"/>
      <c r="BE928" s="236"/>
    </row>
    <row r="929" spans="46:57" x14ac:dyDescent="0.3">
      <c r="AV929" s="123"/>
      <c r="AW929" s="123"/>
      <c r="AX929" s="188"/>
      <c r="AY929" s="188"/>
      <c r="AZ929" s="188"/>
      <c r="BA929" s="236"/>
      <c r="BB929" s="188"/>
      <c r="BC929" s="188"/>
      <c r="BD929" s="188"/>
      <c r="BE929" s="236"/>
    </row>
    <row r="930" spans="46:57" x14ac:dyDescent="0.3">
      <c r="AV930" s="123"/>
      <c r="AW930" s="123"/>
      <c r="AX930" s="188"/>
      <c r="AY930" s="188"/>
      <c r="AZ930" s="188"/>
      <c r="BA930" s="236"/>
      <c r="BB930" s="188"/>
      <c r="BC930" s="188"/>
      <c r="BD930" s="188"/>
      <c r="BE930" s="236"/>
    </row>
    <row r="931" spans="46:57" x14ac:dyDescent="0.3">
      <c r="AV931" s="123"/>
      <c r="AW931" s="123"/>
      <c r="AX931" s="188"/>
      <c r="AY931" s="188"/>
      <c r="AZ931" s="188"/>
      <c r="BA931" s="236"/>
      <c r="BB931" s="188"/>
      <c r="BC931" s="188"/>
      <c r="BD931" s="188"/>
      <c r="BE931" s="236"/>
    </row>
    <row r="932" spans="46:57" x14ac:dyDescent="0.3">
      <c r="AV932" s="123"/>
      <c r="AW932" s="123"/>
      <c r="AX932" s="188"/>
      <c r="AY932" s="188"/>
      <c r="AZ932" s="188"/>
      <c r="BA932" s="236"/>
      <c r="BB932" s="188"/>
      <c r="BC932" s="188"/>
      <c r="BD932" s="188"/>
      <c r="BE932" s="236"/>
    </row>
    <row r="933" spans="46:57" x14ac:dyDescent="0.3">
      <c r="AV933" s="123"/>
      <c r="AW933" s="123"/>
      <c r="BB933" s="188"/>
    </row>
    <row r="934" spans="46:57" x14ac:dyDescent="0.3">
      <c r="AT934" s="42"/>
      <c r="AV934" s="123"/>
      <c r="AW934" s="123"/>
      <c r="AX934" s="188"/>
      <c r="AY934" s="188"/>
      <c r="AZ934" s="188"/>
      <c r="BA934" s="236"/>
      <c r="BB934" s="188"/>
      <c r="BC934" s="188"/>
      <c r="BD934" s="188"/>
      <c r="BE934" s="236"/>
    </row>
    <row r="935" spans="46:57" x14ac:dyDescent="0.3">
      <c r="AV935" s="123"/>
      <c r="AW935" s="123"/>
      <c r="AX935" s="188"/>
      <c r="AY935" s="188"/>
      <c r="AZ935" s="188"/>
      <c r="BA935" s="236"/>
      <c r="BB935" s="188"/>
      <c r="BC935" s="188"/>
      <c r="BD935" s="188"/>
      <c r="BE935" s="236"/>
    </row>
    <row r="936" spans="46:57" x14ac:dyDescent="0.3">
      <c r="AV936" s="123"/>
      <c r="AW936" s="123"/>
      <c r="AX936" s="188"/>
      <c r="AY936" s="188"/>
      <c r="AZ936" s="188"/>
      <c r="BA936" s="236"/>
      <c r="BB936" s="188"/>
      <c r="BC936" s="188"/>
      <c r="BD936" s="188"/>
      <c r="BE936" s="236"/>
    </row>
    <row r="937" spans="46:57" x14ac:dyDescent="0.3">
      <c r="AV937" s="123"/>
      <c r="AW937" s="123"/>
      <c r="AX937" s="188"/>
      <c r="AY937" s="188"/>
      <c r="AZ937" s="188"/>
      <c r="BA937" s="236"/>
      <c r="BB937" s="188"/>
      <c r="BC937" s="188"/>
      <c r="BD937" s="188"/>
      <c r="BE937" s="236"/>
    </row>
    <row r="938" spans="46:57" x14ac:dyDescent="0.3">
      <c r="AV938" s="123"/>
      <c r="AW938" s="123"/>
      <c r="AX938" s="188"/>
      <c r="AY938" s="188"/>
      <c r="AZ938" s="188"/>
      <c r="BA938" s="236"/>
      <c r="BB938" s="188"/>
      <c r="BC938" s="188"/>
      <c r="BD938" s="188"/>
      <c r="BE938" s="236"/>
    </row>
    <row r="939" spans="46:57" x14ac:dyDescent="0.3">
      <c r="AV939" s="123"/>
      <c r="AW939" s="123"/>
      <c r="AX939" s="188"/>
      <c r="AY939" s="188"/>
      <c r="AZ939" s="188"/>
      <c r="BA939" s="236"/>
      <c r="BB939" s="188"/>
      <c r="BC939" s="188"/>
      <c r="BD939" s="188"/>
      <c r="BE939" s="236"/>
    </row>
    <row r="940" spans="46:57" x14ac:dyDescent="0.3">
      <c r="AV940" s="123"/>
      <c r="AW940" s="123"/>
      <c r="AX940" s="188"/>
      <c r="AY940" s="188"/>
      <c r="AZ940" s="188"/>
      <c r="BA940" s="236"/>
      <c r="BB940" s="188"/>
      <c r="BC940" s="188"/>
      <c r="BD940" s="188"/>
      <c r="BE940" s="236"/>
    </row>
    <row r="941" spans="46:57" x14ac:dyDescent="0.3">
      <c r="AV941" s="123"/>
      <c r="AW941" s="123"/>
      <c r="AX941" s="188"/>
      <c r="AY941" s="188"/>
      <c r="AZ941" s="188"/>
      <c r="BA941" s="236"/>
      <c r="BB941" s="188"/>
      <c r="BC941" s="188"/>
      <c r="BD941" s="188"/>
      <c r="BE941" s="236"/>
    </row>
    <row r="942" spans="46:57" x14ac:dyDescent="0.3">
      <c r="AV942" s="123"/>
      <c r="AW942" s="123"/>
      <c r="AX942" s="188"/>
      <c r="AY942" s="188"/>
      <c r="AZ942" s="188"/>
      <c r="BA942" s="236"/>
      <c r="BB942" s="188"/>
      <c r="BC942" s="188"/>
      <c r="BD942" s="188"/>
      <c r="BE942" s="236"/>
    </row>
    <row r="943" spans="46:57" x14ac:dyDescent="0.3">
      <c r="AV943" s="123"/>
      <c r="AW943" s="123"/>
      <c r="AX943" s="188"/>
      <c r="AY943" s="188"/>
      <c r="AZ943" s="188"/>
      <c r="BA943" s="236"/>
      <c r="BB943" s="188"/>
      <c r="BC943" s="188"/>
      <c r="BD943" s="188"/>
      <c r="BE943" s="236"/>
    </row>
    <row r="945" spans="45:47" x14ac:dyDescent="0.3">
      <c r="AU945" s="42"/>
    </row>
    <row r="946" spans="45:47" x14ac:dyDescent="0.3">
      <c r="AU946" s="42"/>
    </row>
    <row r="947" spans="45:47" x14ac:dyDescent="0.3">
      <c r="AU947" s="42"/>
    </row>
    <row r="948" spans="45:47" x14ac:dyDescent="0.3">
      <c r="AS948" s="42"/>
    </row>
    <row r="969" spans="52:71" x14ac:dyDescent="0.3">
      <c r="AZ969" s="188"/>
      <c r="BB969" s="188"/>
      <c r="BC969" s="188"/>
      <c r="BD969" s="188"/>
      <c r="BG969" s="188"/>
      <c r="BH969" s="188"/>
      <c r="BI969" s="188"/>
      <c r="BJ969" s="188"/>
      <c r="BK969" s="188"/>
      <c r="BL969" s="188"/>
      <c r="BM969" s="188"/>
      <c r="BN969" s="188"/>
      <c r="BO969" s="188"/>
      <c r="BP969" s="188"/>
      <c r="BQ969" s="188"/>
      <c r="BR969" s="188"/>
      <c r="BS969" s="188"/>
    </row>
    <row r="970" spans="52:71" x14ac:dyDescent="0.3">
      <c r="AZ970" s="188"/>
      <c r="BB970" s="188"/>
      <c r="BC970" s="188"/>
      <c r="BD970" s="188"/>
      <c r="BG970" s="188"/>
      <c r="BH970" s="188"/>
      <c r="BI970" s="188"/>
      <c r="BJ970" s="188"/>
      <c r="BK970" s="188"/>
      <c r="BL970" s="188"/>
      <c r="BM970" s="188"/>
      <c r="BN970" s="188"/>
      <c r="BO970" s="188"/>
      <c r="BP970" s="188"/>
      <c r="BQ970" s="188"/>
      <c r="BR970" s="188"/>
      <c r="BS970" s="188"/>
    </row>
    <row r="971" spans="52:71" x14ac:dyDescent="0.3">
      <c r="AZ971" s="188"/>
      <c r="BB971" s="188"/>
      <c r="BC971" s="188"/>
      <c r="BD971" s="188"/>
      <c r="BG971" s="188"/>
      <c r="BH971" s="188"/>
      <c r="BI971" s="188"/>
      <c r="BJ971" s="188"/>
      <c r="BK971" s="188"/>
      <c r="BL971" s="188"/>
      <c r="BM971" s="188"/>
      <c r="BN971" s="188"/>
      <c r="BO971" s="188"/>
      <c r="BP971" s="188"/>
      <c r="BQ971" s="188"/>
      <c r="BR971" s="188"/>
      <c r="BS971" s="188"/>
    </row>
    <row r="972" spans="52:71" x14ac:dyDescent="0.3">
      <c r="AZ972" s="188"/>
      <c r="BB972" s="188"/>
      <c r="BC972" s="188"/>
      <c r="BD972" s="188"/>
      <c r="BG972" s="188"/>
      <c r="BH972" s="188"/>
      <c r="BI972" s="188"/>
      <c r="BJ972" s="188"/>
      <c r="BK972" s="188"/>
      <c r="BL972" s="188"/>
      <c r="BM972" s="188"/>
      <c r="BN972" s="188"/>
      <c r="BO972" s="188"/>
      <c r="BP972" s="188"/>
      <c r="BQ972" s="188"/>
      <c r="BR972" s="188"/>
      <c r="BS972" s="188"/>
    </row>
    <row r="973" spans="52:71" x14ac:dyDescent="0.3">
      <c r="AZ973" s="188"/>
      <c r="BB973" s="188"/>
      <c r="BC973" s="188"/>
      <c r="BD973" s="188"/>
      <c r="BG973" s="188"/>
      <c r="BH973" s="188"/>
      <c r="BI973" s="188"/>
      <c r="BJ973" s="188"/>
      <c r="BK973" s="188"/>
      <c r="BL973" s="188"/>
      <c r="BM973" s="188"/>
      <c r="BN973" s="188"/>
      <c r="BO973" s="188"/>
      <c r="BP973" s="188"/>
      <c r="BQ973" s="188"/>
      <c r="BR973" s="188"/>
      <c r="BS973" s="188"/>
    </row>
    <row r="974" spans="52:71" x14ac:dyDescent="0.3">
      <c r="AZ974" s="188"/>
      <c r="BB974" s="188"/>
      <c r="BC974" s="188"/>
      <c r="BD974" s="188"/>
      <c r="BG974" s="188"/>
      <c r="BH974" s="188"/>
      <c r="BI974" s="188"/>
      <c r="BJ974" s="188"/>
      <c r="BK974" s="188"/>
      <c r="BL974" s="188"/>
      <c r="BM974" s="188"/>
      <c r="BN974" s="188"/>
      <c r="BO974" s="188"/>
      <c r="BP974" s="188"/>
      <c r="BQ974" s="188"/>
      <c r="BR974" s="188"/>
      <c r="BS974" s="188"/>
    </row>
    <row r="975" spans="52:71" x14ac:dyDescent="0.3">
      <c r="AZ975" s="188"/>
      <c r="BB975" s="188"/>
      <c r="BC975" s="188"/>
      <c r="BD975" s="188"/>
      <c r="BG975" s="188"/>
      <c r="BH975" s="188"/>
      <c r="BI975" s="188"/>
      <c r="BJ975" s="188"/>
      <c r="BK975" s="188"/>
      <c r="BL975" s="188"/>
      <c r="BM975" s="188"/>
      <c r="BN975" s="188"/>
      <c r="BO975" s="188"/>
      <c r="BP975" s="188"/>
      <c r="BQ975" s="188"/>
      <c r="BR975" s="188"/>
      <c r="BS975" s="188"/>
    </row>
    <row r="976" spans="52:71" x14ac:dyDescent="0.3">
      <c r="AZ976" s="188"/>
      <c r="BB976" s="188"/>
      <c r="BC976" s="188"/>
      <c r="BD976" s="188"/>
      <c r="BG976" s="188"/>
      <c r="BH976" s="188"/>
      <c r="BI976" s="188"/>
      <c r="BJ976" s="188"/>
      <c r="BK976" s="188"/>
      <c r="BL976" s="188"/>
      <c r="BM976" s="188"/>
      <c r="BN976" s="188"/>
      <c r="BO976" s="188"/>
      <c r="BP976" s="188"/>
      <c r="BQ976" s="188"/>
      <c r="BR976" s="188"/>
      <c r="BS976" s="188"/>
    </row>
    <row r="977" spans="52:71" x14ac:dyDescent="0.3">
      <c r="AZ977" s="188"/>
      <c r="BB977" s="188"/>
      <c r="BC977" s="188"/>
      <c r="BD977" s="188"/>
      <c r="BG977" s="188"/>
      <c r="BH977" s="188"/>
      <c r="BI977" s="188"/>
      <c r="BJ977" s="188"/>
      <c r="BK977" s="188"/>
      <c r="BL977" s="188"/>
      <c r="BM977" s="188"/>
      <c r="BN977" s="188"/>
      <c r="BO977" s="188"/>
      <c r="BP977" s="188"/>
      <c r="BQ977" s="188"/>
      <c r="BR977" s="188"/>
      <c r="BS977" s="188"/>
    </row>
    <row r="978" spans="52:71" x14ac:dyDescent="0.3">
      <c r="AZ978" s="188"/>
      <c r="BB978" s="188"/>
      <c r="BC978" s="188"/>
      <c r="BD978" s="188"/>
      <c r="BG978" s="188"/>
      <c r="BH978" s="188"/>
      <c r="BI978" s="188"/>
      <c r="BJ978" s="188"/>
      <c r="BK978" s="188"/>
      <c r="BL978" s="188"/>
      <c r="BM978" s="188"/>
      <c r="BN978" s="188"/>
      <c r="BO978" s="188"/>
      <c r="BP978" s="188"/>
      <c r="BQ978" s="188"/>
      <c r="BR978" s="188"/>
      <c r="BS978" s="188"/>
    </row>
    <row r="979" spans="52:71" x14ac:dyDescent="0.3">
      <c r="AZ979" s="188"/>
      <c r="BB979" s="188"/>
      <c r="BC979" s="188"/>
      <c r="BD979" s="188"/>
      <c r="BG979" s="188"/>
      <c r="BH979" s="188"/>
      <c r="BI979" s="188"/>
      <c r="BJ979" s="188"/>
      <c r="BK979" s="188"/>
      <c r="BL979" s="188"/>
      <c r="BM979" s="188"/>
      <c r="BN979" s="188"/>
      <c r="BO979" s="188"/>
      <c r="BP979" s="188"/>
      <c r="BQ979" s="188"/>
      <c r="BR979" s="188"/>
      <c r="BS979" s="188"/>
    </row>
    <row r="980" spans="52:71" x14ac:dyDescent="0.3">
      <c r="AZ980" s="188"/>
      <c r="BB980" s="188"/>
      <c r="BC980" s="188"/>
      <c r="BD980" s="188"/>
      <c r="BG980" s="188"/>
      <c r="BH980" s="188"/>
      <c r="BI980" s="188"/>
      <c r="BJ980" s="188"/>
      <c r="BK980" s="188"/>
      <c r="BL980" s="188"/>
      <c r="BM980" s="188"/>
      <c r="BN980" s="188"/>
      <c r="BO980" s="188"/>
      <c r="BP980" s="188"/>
      <c r="BQ980" s="188"/>
      <c r="BR980" s="188"/>
      <c r="BS980" s="188"/>
    </row>
    <row r="981" spans="52:71" x14ac:dyDescent="0.3">
      <c r="AZ981" s="188"/>
      <c r="BG981" s="188"/>
      <c r="BH981" s="188"/>
      <c r="BI981" s="188"/>
      <c r="BJ981" s="188"/>
      <c r="BK981" s="188"/>
      <c r="BL981" s="188"/>
      <c r="BM981" s="188"/>
      <c r="BN981" s="188"/>
      <c r="BO981" s="188"/>
      <c r="BP981" s="188"/>
      <c r="BQ981" s="188"/>
      <c r="BR981" s="188"/>
      <c r="BS981" s="188"/>
    </row>
    <row r="982" spans="52:71" x14ac:dyDescent="0.3">
      <c r="AZ982" s="188"/>
      <c r="BG982" s="188"/>
      <c r="BH982" s="188"/>
      <c r="BI982" s="188"/>
      <c r="BJ982" s="188"/>
      <c r="BK982" s="188"/>
      <c r="BL982" s="188"/>
      <c r="BM982" s="188"/>
      <c r="BN982" s="188"/>
      <c r="BO982" s="188"/>
      <c r="BP982" s="188"/>
      <c r="BQ982" s="188"/>
      <c r="BR982" s="188"/>
      <c r="BS982" s="188"/>
    </row>
    <row r="983" spans="52:71" x14ac:dyDescent="0.3">
      <c r="AZ983" s="188"/>
      <c r="BG983" s="188"/>
      <c r="BH983" s="188"/>
      <c r="BI983" s="188"/>
      <c r="BJ983" s="188"/>
      <c r="BK983" s="188"/>
      <c r="BL983" s="188"/>
      <c r="BM983" s="188"/>
      <c r="BN983" s="188"/>
      <c r="BO983" s="188"/>
      <c r="BP983" s="188"/>
      <c r="BQ983" s="188"/>
      <c r="BR983" s="188"/>
      <c r="BS983" s="188"/>
    </row>
    <row r="984" spans="52:71" x14ac:dyDescent="0.3">
      <c r="AZ984" s="188"/>
      <c r="BG984" s="188"/>
      <c r="BH984" s="188"/>
      <c r="BI984" s="188"/>
      <c r="BJ984" s="188"/>
      <c r="BK984" s="188"/>
      <c r="BL984" s="188"/>
      <c r="BM984" s="188"/>
      <c r="BN984" s="188"/>
      <c r="BO984" s="188"/>
      <c r="BP984" s="188"/>
      <c r="BQ984" s="188"/>
      <c r="BR984" s="188"/>
      <c r="BS984" s="188"/>
    </row>
    <row r="985" spans="52:71" x14ac:dyDescent="0.3">
      <c r="AZ985" s="188"/>
      <c r="BG985" s="188"/>
      <c r="BH985" s="188"/>
      <c r="BI985" s="188"/>
      <c r="BJ985" s="188"/>
      <c r="BK985" s="188"/>
      <c r="BL985" s="188"/>
      <c r="BM985" s="188"/>
      <c r="BN985" s="188"/>
      <c r="BO985" s="188"/>
      <c r="BP985" s="188"/>
      <c r="BQ985" s="188"/>
      <c r="BR985" s="188"/>
      <c r="BS985" s="188"/>
    </row>
    <row r="986" spans="52:71" x14ac:dyDescent="0.3">
      <c r="AZ986" s="188"/>
      <c r="BG986" s="188"/>
      <c r="BH986" s="188"/>
      <c r="BI986" s="188"/>
      <c r="BJ986" s="188"/>
      <c r="BK986" s="188"/>
      <c r="BL986" s="188"/>
      <c r="BM986" s="188"/>
      <c r="BN986" s="188"/>
      <c r="BO986" s="188"/>
      <c r="BP986" s="188"/>
      <c r="BQ986" s="188"/>
      <c r="BR986" s="188"/>
      <c r="BS986" s="188"/>
    </row>
    <row r="987" spans="52:71" x14ac:dyDescent="0.3">
      <c r="AZ987" s="188"/>
      <c r="BG987" s="188"/>
      <c r="BH987" s="188"/>
      <c r="BI987" s="188"/>
      <c r="BJ987" s="188"/>
      <c r="BK987" s="188"/>
      <c r="BL987" s="188"/>
      <c r="BM987" s="188"/>
      <c r="BN987" s="188"/>
      <c r="BO987" s="188"/>
      <c r="BP987" s="188"/>
      <c r="BQ987" s="188"/>
      <c r="BR987" s="188"/>
      <c r="BS987" s="188"/>
    </row>
    <row r="988" spans="52:71" x14ac:dyDescent="0.3">
      <c r="AZ988" s="188"/>
    </row>
    <row r="989" spans="52:71" x14ac:dyDescent="0.3">
      <c r="AZ989" s="188"/>
    </row>
    <row r="1003" spans="1:28" x14ac:dyDescent="0.3">
      <c r="A1003" s="42"/>
    </row>
    <row r="1006" spans="1:28" x14ac:dyDescent="0.3">
      <c r="Y1006" s="42"/>
    </row>
    <row r="1007" spans="1:28" x14ac:dyDescent="0.3">
      <c r="A1007" s="42"/>
      <c r="H1007" s="42"/>
      <c r="I1007" s="42"/>
    </row>
    <row r="1008" spans="1:28" x14ac:dyDescent="0.3">
      <c r="A1008" s="42"/>
      <c r="V1008" s="44"/>
      <c r="AA1008" s="44"/>
      <c r="AB1008" s="44"/>
    </row>
    <row r="1009" spans="1:28" x14ac:dyDescent="0.3">
      <c r="A1009" s="42"/>
      <c r="V1009" s="135"/>
      <c r="AA1009" s="135"/>
      <c r="AB1009" s="135"/>
    </row>
    <row r="1010" spans="1:28" x14ac:dyDescent="0.3">
      <c r="A1010" s="42"/>
      <c r="U1010" s="42"/>
      <c r="AA1010" s="44"/>
      <c r="AB1010" s="44"/>
    </row>
    <row r="1011" spans="1:28" x14ac:dyDescent="0.3">
      <c r="A1011" s="42"/>
    </row>
    <row r="1012" spans="1:28" x14ac:dyDescent="0.3">
      <c r="A1012" s="42"/>
      <c r="U1012" s="42"/>
      <c r="AA1012" s="44"/>
      <c r="AB1012" s="44"/>
    </row>
    <row r="1013" spans="1:28" x14ac:dyDescent="0.3">
      <c r="A1013" s="42"/>
    </row>
    <row r="1014" spans="1:28" x14ac:dyDescent="0.3">
      <c r="A1014" s="42"/>
      <c r="U1014" s="42"/>
      <c r="V1014" s="247"/>
      <c r="AA1014" s="44"/>
      <c r="AB1014" s="44"/>
    </row>
    <row r="1015" spans="1:28" x14ac:dyDescent="0.3">
      <c r="A1015" s="42"/>
    </row>
    <row r="1016" spans="1:28" x14ac:dyDescent="0.3">
      <c r="A1016" s="42"/>
      <c r="U1016" s="42"/>
      <c r="AA1016" s="44"/>
      <c r="AB1016" s="44"/>
    </row>
    <row r="1017" spans="1:28" x14ac:dyDescent="0.3">
      <c r="A1017" s="42"/>
    </row>
    <row r="1018" spans="1:28" x14ac:dyDescent="0.3">
      <c r="A1018" s="42"/>
      <c r="U1018" s="42"/>
      <c r="AA1018" s="44"/>
      <c r="AB1018" s="44"/>
    </row>
    <row r="1019" spans="1:28" x14ac:dyDescent="0.3">
      <c r="A1019" s="42"/>
    </row>
    <row r="1020" spans="1:28" x14ac:dyDescent="0.3">
      <c r="A1020" s="42"/>
    </row>
    <row r="1021" spans="1:28" x14ac:dyDescent="0.3">
      <c r="A1021" s="42"/>
    </row>
    <row r="1022" spans="1:28" x14ac:dyDescent="0.3">
      <c r="A1022" s="42"/>
    </row>
    <row r="1023" spans="1:28" x14ac:dyDescent="0.3">
      <c r="A1023" s="42"/>
    </row>
    <row r="1024" spans="1:28" x14ac:dyDescent="0.3">
      <c r="A1024" s="42"/>
    </row>
    <row r="1025" spans="1:9" x14ac:dyDescent="0.3">
      <c r="A1025" s="42"/>
    </row>
    <row r="1026" spans="1:9" x14ac:dyDescent="0.3">
      <c r="A1026" s="42"/>
    </row>
    <row r="1027" spans="1:9" x14ac:dyDescent="0.3">
      <c r="A1027" s="42"/>
    </row>
    <row r="1028" spans="1:9" x14ac:dyDescent="0.3">
      <c r="A1028" s="42"/>
    </row>
    <row r="1029" spans="1:9" x14ac:dyDescent="0.3">
      <c r="A1029" s="42"/>
      <c r="H1029" s="42"/>
      <c r="I1029" s="42"/>
    </row>
    <row r="1032" spans="1:9" x14ac:dyDescent="0.3">
      <c r="A1032" s="42"/>
    </row>
    <row r="1035" spans="1:9" x14ac:dyDescent="0.3">
      <c r="A1035" s="42"/>
    </row>
    <row r="1038" spans="1:9" x14ac:dyDescent="0.3">
      <c r="A1038" s="42"/>
    </row>
    <row r="1039" spans="1:9" x14ac:dyDescent="0.3">
      <c r="A1039" s="42"/>
    </row>
    <row r="1040" spans="1:9" x14ac:dyDescent="0.3">
      <c r="A1040" s="42"/>
    </row>
    <row r="1041" spans="1:1" x14ac:dyDescent="0.3">
      <c r="A1041" s="42"/>
    </row>
    <row r="1042" spans="1:1" x14ac:dyDescent="0.3">
      <c r="A1042" s="42"/>
    </row>
    <row r="1043" spans="1:1" x14ac:dyDescent="0.3">
      <c r="A1043" s="42"/>
    </row>
    <row r="1044" spans="1:1" x14ac:dyDescent="0.3">
      <c r="A1044" s="42"/>
    </row>
    <row r="1045" spans="1:1" x14ac:dyDescent="0.3">
      <c r="A1045" s="42"/>
    </row>
    <row r="1046" spans="1:1" x14ac:dyDescent="0.3">
      <c r="A1046" s="42"/>
    </row>
    <row r="1047" spans="1:1" x14ac:dyDescent="0.3">
      <c r="A1047" s="42"/>
    </row>
    <row r="1048" spans="1:1" x14ac:dyDescent="0.3">
      <c r="A1048" s="42"/>
    </row>
    <row r="1049" spans="1:1" x14ac:dyDescent="0.3">
      <c r="A1049" s="42"/>
    </row>
    <row r="1050" spans="1:1" x14ac:dyDescent="0.3">
      <c r="A1050" s="42"/>
    </row>
    <row r="1051" spans="1:1" x14ac:dyDescent="0.3">
      <c r="A1051" s="42"/>
    </row>
    <row r="1052" spans="1:1" x14ac:dyDescent="0.3">
      <c r="A1052" s="42"/>
    </row>
    <row r="1053" spans="1:1" x14ac:dyDescent="0.3">
      <c r="A1053" s="42"/>
    </row>
    <row r="1054" spans="1:1" x14ac:dyDescent="0.3">
      <c r="A1054" s="42"/>
    </row>
    <row r="1055" spans="1:1" x14ac:dyDescent="0.3">
      <c r="A1055" s="42"/>
    </row>
    <row r="1056" spans="1:1" x14ac:dyDescent="0.3">
      <c r="A1056" s="42"/>
    </row>
    <row r="1057" spans="1:1" x14ac:dyDescent="0.3">
      <c r="A1057" s="42"/>
    </row>
    <row r="1058" spans="1:1" x14ac:dyDescent="0.3">
      <c r="A1058" s="42"/>
    </row>
    <row r="1059" spans="1:1" x14ac:dyDescent="0.3">
      <c r="A1059" s="42"/>
    </row>
    <row r="1060" spans="1:1" x14ac:dyDescent="0.3">
      <c r="A1060" s="42"/>
    </row>
    <row r="1061" spans="1:1" x14ac:dyDescent="0.3">
      <c r="A1061" s="42"/>
    </row>
    <row r="1062" spans="1:1" x14ac:dyDescent="0.3">
      <c r="A1062" s="42"/>
    </row>
    <row r="1063" spans="1:1" x14ac:dyDescent="0.3">
      <c r="A1063" s="42"/>
    </row>
    <row r="1064" spans="1:1" x14ac:dyDescent="0.3">
      <c r="A1064" s="42"/>
    </row>
    <row r="1065" spans="1:1" x14ac:dyDescent="0.3">
      <c r="A1065" s="42"/>
    </row>
    <row r="1066" spans="1:1" x14ac:dyDescent="0.3">
      <c r="A1066" s="42"/>
    </row>
    <row r="1067" spans="1:1" x14ac:dyDescent="0.3">
      <c r="A1067" s="42"/>
    </row>
    <row r="1068" spans="1:1" x14ac:dyDescent="0.3">
      <c r="A1068" s="42"/>
    </row>
    <row r="1069" spans="1:1" x14ac:dyDescent="0.3">
      <c r="A1069" s="42"/>
    </row>
    <row r="1070" spans="1:1" x14ac:dyDescent="0.3">
      <c r="A1070" s="42"/>
    </row>
    <row r="1071" spans="1:1" x14ac:dyDescent="0.3">
      <c r="A1071" s="42"/>
    </row>
    <row r="1072" spans="1:1" x14ac:dyDescent="0.3">
      <c r="A1072" s="42"/>
    </row>
    <row r="1077" spans="1:1" x14ac:dyDescent="0.3">
      <c r="A1077" s="42"/>
    </row>
    <row r="1078" spans="1:1" x14ac:dyDescent="0.3">
      <c r="A1078" s="42"/>
    </row>
    <row r="1081" spans="1:1" x14ac:dyDescent="0.3">
      <c r="A1081" s="42"/>
    </row>
    <row r="1083" spans="1:1" x14ac:dyDescent="0.3">
      <c r="A1083" s="42"/>
    </row>
    <row r="1085" spans="1:1" x14ac:dyDescent="0.3">
      <c r="A1085" s="42"/>
    </row>
    <row r="1087" spans="1:1" x14ac:dyDescent="0.3">
      <c r="A1087" s="42"/>
    </row>
    <row r="1090" spans="1:1" x14ac:dyDescent="0.3">
      <c r="A1090" s="42"/>
    </row>
    <row r="1091" spans="1:1" x14ac:dyDescent="0.3">
      <c r="A1091" s="42"/>
    </row>
    <row r="1092" spans="1:1" x14ac:dyDescent="0.3">
      <c r="A1092" s="42"/>
    </row>
    <row r="1093" spans="1:1" x14ac:dyDescent="0.3">
      <c r="A1093" s="42"/>
    </row>
    <row r="1094" spans="1:1" x14ac:dyDescent="0.3">
      <c r="A1094" s="42"/>
    </row>
    <row r="1095" spans="1:1" x14ac:dyDescent="0.3">
      <c r="A1095" s="42"/>
    </row>
    <row r="1096" spans="1:1" x14ac:dyDescent="0.3">
      <c r="A1096" s="42"/>
    </row>
    <row r="1097" spans="1:1" x14ac:dyDescent="0.3">
      <c r="A1097" s="42"/>
    </row>
  </sheetData>
  <customSheetViews>
    <customSheetView guid="{195DF303-1BBD-4236-94B5-47432850B006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1"/>
      <headerFooter alignWithMargins="0"/>
    </customSheetView>
    <customSheetView guid="{0C49E549-011E-46F4-A82E-2CC8951A9C1E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2"/>
      <headerFooter alignWithMargins="0"/>
    </customSheetView>
    <customSheetView guid="{4BC93440-BA85-4935-A8C9-66DC6AE5DE5E}" scale="75" fitToPage="1" showRuler="0" topLeftCell="Y82">
      <selection activeCell="Y119" sqref="Y119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9" orientation="landscape" r:id="rId3"/>
      <headerFooter alignWithMargins="0"/>
    </customSheetView>
    <customSheetView guid="{2431C9E5-7CC2-4B8D-99C3-962247B1DBF5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9" orientation="landscape" r:id="rId4"/>
      <headerFooter alignWithMargins="0"/>
    </customSheetView>
    <customSheetView guid="{2EA35095-1ADC-4CC7-8C3C-B487D65FA247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5"/>
      <headerFooter alignWithMargins="0"/>
    </customSheetView>
    <customSheetView guid="{8FC77C99-DBF7-40B8-99B8-01B75826CDCB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7"/>
      <headerFooter alignWithMargins="0"/>
    </customSheetView>
    <customSheetView guid="{6B3D5C27-2FDE-4561-9575-1E98BFB869D0}" scale="75" fitToPage="1" showRuler="0" topLeftCell="A30">
      <selection activeCell="L60" sqref="L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0" orientation="landscape" r:id="rId8"/>
      <headerFooter alignWithMargins="0"/>
    </customSheetView>
    <customSheetView guid="{0BC1F393-8A13-47D5-BC6C-0C99615B5AB9}" scale="75" fitToPage="1" showRuler="0" topLeftCell="A30">
      <selection activeCell="L60" sqref="L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9"/>
      <headerFooter alignWithMargins="0"/>
    </customSheetView>
    <customSheetView guid="{18BDED73-BFA0-442E-87EC-CED86EE4CF94}" scale="75" fitToPage="1" showRuler="0" topLeftCell="A83">
      <selection activeCell="AA97" sqref="AA97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10"/>
      <headerFooter alignWithMargins="0"/>
    </customSheetView>
    <customSheetView guid="{35F19056-2E6F-4935-B863-78836FE990BF}" scale="75" fitToPage="1" showRuler="0">
      <selection activeCell="H21" sqref="H2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11"/>
      <headerFooter alignWithMargins="0"/>
    </customSheetView>
    <customSheetView guid="{F562D92E-120C-4AE9-9663-89E64D41DC53}" scale="75" fitToPage="1" topLeftCell="W89">
      <selection activeCell="P58" sqref="P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12"/>
      <headerFooter alignWithMargins="0"/>
    </customSheetView>
  </customSheetViews>
  <phoneticPr fontId="11" type="noConversion"/>
  <printOptions horizontalCentered="1"/>
  <pageMargins left="0.5" right="0.5" top="0.5" bottom="0" header="0" footer="0"/>
  <pageSetup scale="49" orientation="landscape" r:id="rId13"/>
  <headerFooter alignWithMargins="0"/>
  <rowBreaks count="15" manualBreakCount="15"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syncVertical="1" syncRef="A1" transitionEvaluation="1" transitionEntry="1" codeName="Sheet11">
    <pageSetUpPr fitToPage="1"/>
  </sheetPr>
  <dimension ref="A1:BX1109"/>
  <sheetViews>
    <sheetView zoomScale="75" workbookViewId="0"/>
  </sheetViews>
  <sheetFormatPr defaultColWidth="9.75" defaultRowHeight="15.6" x14ac:dyDescent="0.3"/>
  <cols>
    <col min="1" max="1" width="5.25" style="41" customWidth="1"/>
    <col min="2" max="2" width="0.4140625" style="41" customWidth="1"/>
    <col min="3" max="3" width="6.75" style="41" customWidth="1"/>
    <col min="4" max="4" width="31" style="41" customWidth="1"/>
    <col min="5" max="5" width="0.41406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2.332031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7.9140625" style="41" customWidth="1"/>
    <col min="19" max="19" width="6.75" style="41" customWidth="1"/>
    <col min="20" max="20" width="5.4140625" style="41" customWidth="1"/>
    <col min="21" max="21" width="0.58203125" style="41" customWidth="1"/>
    <col min="22" max="22" width="4.58203125" style="41" customWidth="1"/>
    <col min="23" max="23" width="41.9140625" style="41" customWidth="1"/>
    <col min="24" max="24" width="0.414062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2.25" style="41" customWidth="1"/>
    <col min="30" max="30" width="0.9140625" style="41" customWidth="1"/>
    <col min="31" max="31" width="12.9140625" style="41" customWidth="1"/>
    <col min="32" max="32" width="0.75" style="41" customWidth="1"/>
    <col min="33" max="33" width="13.6640625" style="165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165" customWidth="1"/>
    <col min="38" max="38" width="0.582031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165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REHEARING ORDER CALCULATED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157</v>
      </c>
      <c r="AK6" s="206"/>
      <c r="AL6" s="42"/>
    </row>
    <row r="7" spans="1:40" x14ac:dyDescent="0.3">
      <c r="A7" s="41" t="str">
        <f>TYPE</f>
        <v>TYPE OF FILING: _X_ ORIGINAL   ___UPDATED  ___ REVISED</v>
      </c>
      <c r="R7" s="45" t="str">
        <f>"PAGE 6 OF "&amp;TEXT(Page_Num_2.3,"00")</f>
        <v>PAGE 6 OF 24</v>
      </c>
      <c r="AK7" s="206"/>
      <c r="AL7" s="42"/>
    </row>
    <row r="8" spans="1:40" x14ac:dyDescent="0.3">
      <c r="A8" s="42" t="s">
        <v>171</v>
      </c>
      <c r="R8" s="42" t="s">
        <v>3</v>
      </c>
      <c r="AK8" s="206"/>
      <c r="AL8" s="42"/>
    </row>
    <row r="9" spans="1:40" x14ac:dyDescent="0.3">
      <c r="A9" s="132" t="str">
        <f>TIME</f>
        <v>12 Months Projected with Riders</v>
      </c>
      <c r="R9" s="41" t="str">
        <f>WIT</f>
        <v>B. L. Sailers</v>
      </c>
      <c r="AK9" s="206"/>
      <c r="AL9" s="42"/>
    </row>
    <row r="10" spans="1:40" x14ac:dyDescent="0.3">
      <c r="A10" s="132" t="str">
        <f>INPUT!B5</f>
        <v xml:space="preserve"> </v>
      </c>
      <c r="AK10" s="206"/>
      <c r="AL10" s="42"/>
    </row>
    <row r="11" spans="1:40" x14ac:dyDescent="0.3">
      <c r="A11" s="40" t="s">
        <v>130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207"/>
      <c r="AH12" s="135"/>
      <c r="AI12" s="135"/>
      <c r="AJ12" s="135"/>
      <c r="AK12" s="207"/>
      <c r="AL12" s="135"/>
      <c r="AM12" s="135"/>
      <c r="AN12" s="135"/>
    </row>
    <row r="13" spans="1:40" ht="18" customHeight="1" x14ac:dyDescent="0.3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68"/>
      <c r="AH13" s="44"/>
      <c r="AK13" s="168"/>
      <c r="AL13" s="44"/>
      <c r="AM13" s="44"/>
      <c r="AN13" s="44"/>
    </row>
    <row r="14" spans="1:40" x14ac:dyDescent="0.3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68"/>
      <c r="AH14" s="44"/>
      <c r="AK14" s="168"/>
      <c r="AL14" s="44"/>
      <c r="AM14" s="44"/>
      <c r="AN14" s="44"/>
    </row>
    <row r="15" spans="1:4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842</v>
      </c>
      <c r="M15" s="44"/>
      <c r="N15" s="44" t="s">
        <v>842</v>
      </c>
      <c r="O15" s="44"/>
      <c r="P15" s="44" t="s">
        <v>842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68"/>
      <c r="AH15" s="44"/>
      <c r="AI15" s="44"/>
      <c r="AJ15" s="44"/>
      <c r="AK15" s="168"/>
      <c r="AL15" s="44"/>
      <c r="AM15" s="44"/>
      <c r="AN15" s="44"/>
    </row>
    <row r="16" spans="1:40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324</v>
      </c>
      <c r="Q16" s="44"/>
      <c r="R16" s="141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68"/>
      <c r="AH16" s="44"/>
      <c r="AI16" s="44"/>
      <c r="AJ16" s="44"/>
      <c r="AK16" s="168"/>
      <c r="AL16" s="44"/>
      <c r="AM16" s="44"/>
      <c r="AN16" s="44"/>
    </row>
    <row r="17" spans="1:40" x14ac:dyDescent="0.3">
      <c r="C17" s="141" t="s">
        <v>33</v>
      </c>
      <c r="D17" s="141" t="s">
        <v>34</v>
      </c>
      <c r="E17" s="141"/>
      <c r="F17" s="141" t="s">
        <v>35</v>
      </c>
      <c r="G17" s="153"/>
      <c r="H17" s="141" t="s">
        <v>36</v>
      </c>
      <c r="I17" s="141"/>
      <c r="J17" s="141" t="s">
        <v>37</v>
      </c>
      <c r="K17" s="141"/>
      <c r="L17" s="141" t="s">
        <v>38</v>
      </c>
      <c r="M17" s="141"/>
      <c r="N17" s="141" t="s">
        <v>39</v>
      </c>
      <c r="O17" s="141"/>
      <c r="P17" s="141" t="s">
        <v>40</v>
      </c>
      <c r="Q17" s="141"/>
      <c r="R17" s="141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68"/>
      <c r="AH17" s="44"/>
      <c r="AI17" s="44"/>
      <c r="AJ17" s="44"/>
      <c r="AK17" s="168"/>
      <c r="AL17" s="44"/>
      <c r="AM17" s="44"/>
      <c r="AN17" s="44"/>
    </row>
    <row r="18" spans="1:40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207"/>
      <c r="AH18" s="135"/>
      <c r="AI18" s="135"/>
      <c r="AJ18" s="135"/>
      <c r="AK18" s="207"/>
      <c r="AL18" s="135"/>
      <c r="AM18" s="135"/>
      <c r="AN18" s="135"/>
    </row>
    <row r="19" spans="1:40" ht="17.100000000000001" customHeight="1" x14ac:dyDescent="0.3">
      <c r="H19" s="172" t="s">
        <v>197</v>
      </c>
      <c r="I19" s="171"/>
      <c r="J19" s="172" t="s">
        <v>313</v>
      </c>
      <c r="K19" s="171"/>
      <c r="L19" s="171" t="s">
        <v>50</v>
      </c>
      <c r="M19" s="171"/>
      <c r="N19" s="171" t="s">
        <v>51</v>
      </c>
      <c r="O19" s="171"/>
      <c r="P19" s="171" t="s">
        <v>50</v>
      </c>
      <c r="Q19" s="171"/>
      <c r="R19" s="171" t="s">
        <v>50</v>
      </c>
      <c r="Y19" s="44"/>
      <c r="Z19" s="44"/>
      <c r="AA19" s="44"/>
      <c r="AB19" s="44"/>
      <c r="AC19" s="44"/>
      <c r="AD19" s="44"/>
      <c r="AE19" s="44"/>
      <c r="AF19" s="44"/>
      <c r="AG19" s="168"/>
      <c r="AH19" s="44"/>
      <c r="AI19" s="44"/>
      <c r="AJ19" s="44"/>
      <c r="AK19" s="168"/>
      <c r="AL19" s="44"/>
      <c r="AM19" s="44"/>
      <c r="AN19" s="44"/>
    </row>
    <row r="20" spans="1:40" x14ac:dyDescent="0.3">
      <c r="A20" s="41">
        <v>1</v>
      </c>
      <c r="C20" s="132" t="s">
        <v>94</v>
      </c>
      <c r="D20" s="132" t="s">
        <v>155</v>
      </c>
      <c r="E20" s="42"/>
      <c r="F20" s="1"/>
      <c r="G20" s="1"/>
      <c r="H20" s="208"/>
      <c r="I20" s="208"/>
      <c r="J20" s="172" t="s">
        <v>329</v>
      </c>
      <c r="K20" s="208"/>
      <c r="L20" s="208"/>
      <c r="M20" s="208"/>
      <c r="N20" s="208"/>
      <c r="O20" s="208"/>
      <c r="P20" s="208"/>
      <c r="Q20" s="208"/>
      <c r="R20" s="208"/>
      <c r="T20" s="42"/>
      <c r="U20" s="42"/>
    </row>
    <row r="21" spans="1:40" x14ac:dyDescent="0.3">
      <c r="A21" s="41">
        <v>2</v>
      </c>
      <c r="C21" s="153"/>
      <c r="D21" s="132" t="s">
        <v>156</v>
      </c>
      <c r="E21" s="4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 x14ac:dyDescent="0.3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 x14ac:dyDescent="0.3">
      <c r="A23" s="41">
        <v>3</v>
      </c>
      <c r="C23" s="132" t="s">
        <v>134</v>
      </c>
      <c r="F23" s="3"/>
      <c r="G23" s="1"/>
      <c r="H23" s="1"/>
      <c r="I23" s="1"/>
      <c r="J23" s="261"/>
      <c r="K23" s="261"/>
      <c r="L23" s="3"/>
      <c r="M23" s="3"/>
      <c r="N23" s="1"/>
      <c r="O23" s="1"/>
      <c r="P23" s="1"/>
      <c r="Q23" s="1"/>
      <c r="R23" s="3"/>
      <c r="S23" s="123"/>
      <c r="T23" s="42"/>
      <c r="V23" s="123"/>
      <c r="Y23" s="123"/>
      <c r="Z23" s="193"/>
      <c r="AA23" s="123"/>
      <c r="AB23" s="123"/>
      <c r="AC23" s="160"/>
      <c r="AD23" s="160"/>
      <c r="AE23" s="123"/>
      <c r="AF23" s="123"/>
      <c r="AH23" s="160"/>
      <c r="AI23" s="123"/>
      <c r="AJ23" s="123"/>
      <c r="AL23" s="123"/>
      <c r="AM23" s="160"/>
      <c r="AN23" s="160"/>
    </row>
    <row r="24" spans="1:40" x14ac:dyDescent="0.3">
      <c r="A24" s="41">
        <v>4</v>
      </c>
      <c r="C24" s="42" t="s">
        <v>135</v>
      </c>
      <c r="F24" s="184">
        <v>204</v>
      </c>
      <c r="G24" s="1"/>
      <c r="H24" s="159"/>
      <c r="I24" s="159"/>
      <c r="J24" s="193">
        <f>INPUT!D86</f>
        <v>15</v>
      </c>
      <c r="K24" s="194"/>
      <c r="L24" s="3">
        <f>ROUND(F24*J24,0)</f>
        <v>3060</v>
      </c>
      <c r="M24" s="3"/>
      <c r="N24" s="4">
        <f>ROUND((L24/L$43)*100,1)</f>
        <v>0.1</v>
      </c>
      <c r="O24" s="4"/>
      <c r="P24" s="3"/>
      <c r="Q24" s="3"/>
      <c r="R24" s="3">
        <f>L24+P24</f>
        <v>3060</v>
      </c>
      <c r="S24" s="123"/>
      <c r="V24" s="210"/>
      <c r="Y24" s="210"/>
      <c r="Z24" s="213"/>
      <c r="AA24" s="210"/>
      <c r="AB24" s="210"/>
      <c r="AC24" s="210"/>
      <c r="AD24" s="210"/>
      <c r="AE24" s="210"/>
      <c r="AF24" s="210"/>
      <c r="AI24" s="210"/>
      <c r="AJ24" s="210"/>
      <c r="AK24" s="214"/>
      <c r="AL24" s="210"/>
      <c r="AM24" s="160"/>
      <c r="AN24" s="160"/>
    </row>
    <row r="25" spans="1:40" x14ac:dyDescent="0.3">
      <c r="A25" s="41">
        <v>5</v>
      </c>
      <c r="C25" s="42" t="s">
        <v>136</v>
      </c>
      <c r="F25" s="184">
        <v>802</v>
      </c>
      <c r="G25" s="1"/>
      <c r="H25" s="195"/>
      <c r="I25" s="195"/>
      <c r="J25" s="193">
        <f>INPUT!D87</f>
        <v>30</v>
      </c>
      <c r="K25" s="194"/>
      <c r="L25" s="3">
        <f>ROUND(F25*J25,0)</f>
        <v>24060</v>
      </c>
      <c r="M25" s="3"/>
      <c r="N25" s="4">
        <f>ROUND((L25/L$43)*100,1)</f>
        <v>1.1000000000000001</v>
      </c>
      <c r="O25" s="4"/>
      <c r="P25" s="3"/>
      <c r="Q25" s="3"/>
      <c r="R25" s="3">
        <f>L25+P25</f>
        <v>24060</v>
      </c>
      <c r="S25" s="123"/>
      <c r="V25" s="184"/>
      <c r="Y25" s="184"/>
      <c r="Z25" s="213"/>
      <c r="AA25" s="123"/>
      <c r="AB25" s="123"/>
      <c r="AC25" s="160"/>
      <c r="AD25" s="160"/>
      <c r="AE25" s="123"/>
      <c r="AF25" s="123"/>
      <c r="AI25" s="123"/>
      <c r="AJ25" s="123"/>
      <c r="AL25" s="123"/>
      <c r="AM25" s="160"/>
      <c r="AN25" s="160"/>
    </row>
    <row r="26" spans="1:40" x14ac:dyDescent="0.3">
      <c r="A26" s="41">
        <v>6</v>
      </c>
      <c r="C26" s="45" t="s">
        <v>145</v>
      </c>
      <c r="F26" s="184">
        <v>0</v>
      </c>
      <c r="G26" s="1"/>
      <c r="H26" s="195"/>
      <c r="I26" s="195"/>
      <c r="J26" s="193">
        <f>INPUT!D88</f>
        <v>120</v>
      </c>
      <c r="K26" s="194"/>
      <c r="L26" s="3">
        <f>ROUND(F26*J26,0)</f>
        <v>0</v>
      </c>
      <c r="M26" s="3"/>
      <c r="N26" s="253">
        <f>ROUND((L26/L$43)*100,1)</f>
        <v>0</v>
      </c>
      <c r="O26" s="4"/>
      <c r="P26" s="3"/>
      <c r="Q26" s="3"/>
      <c r="R26" s="49">
        <f>L26+P26</f>
        <v>0</v>
      </c>
      <c r="S26" s="123"/>
      <c r="V26" s="184"/>
      <c r="Y26" s="184"/>
      <c r="Z26" s="213"/>
      <c r="AA26" s="123"/>
      <c r="AB26" s="123"/>
      <c r="AC26" s="160"/>
      <c r="AD26" s="160"/>
      <c r="AE26" s="123"/>
      <c r="AF26" s="123"/>
      <c r="AI26" s="123"/>
      <c r="AJ26" s="123"/>
      <c r="AL26" s="123"/>
      <c r="AM26" s="160"/>
      <c r="AN26" s="160"/>
    </row>
    <row r="27" spans="1:40" ht="20.100000000000001" customHeight="1" x14ac:dyDescent="0.3">
      <c r="A27" s="41">
        <v>7</v>
      </c>
      <c r="C27" s="132" t="s">
        <v>137</v>
      </c>
      <c r="F27" s="145">
        <f>SUM(F24:F26)</f>
        <v>1006</v>
      </c>
      <c r="G27" s="1"/>
      <c r="H27" s="3"/>
      <c r="I27" s="3"/>
      <c r="J27" s="7"/>
      <c r="K27" s="7"/>
      <c r="L27" s="145">
        <f>SUM(L24:L26)</f>
        <v>27120</v>
      </c>
      <c r="M27" s="3"/>
      <c r="N27" s="211">
        <f>ROUND((L27/L$43)*100,1)</f>
        <v>1.3</v>
      </c>
      <c r="O27" s="4"/>
      <c r="P27" s="145"/>
      <c r="Q27" s="3"/>
      <c r="R27" s="145">
        <f>SUM(R24:R26)</f>
        <v>27120</v>
      </c>
      <c r="S27" s="123"/>
      <c r="V27" s="210"/>
      <c r="Y27" s="210"/>
      <c r="Z27" s="213"/>
      <c r="AA27" s="210"/>
      <c r="AB27" s="210"/>
      <c r="AC27" s="210"/>
      <c r="AD27" s="210"/>
      <c r="AE27" s="210"/>
      <c r="AF27" s="210"/>
      <c r="AI27" s="210"/>
      <c r="AJ27" s="210"/>
      <c r="AK27" s="214"/>
      <c r="AL27" s="210"/>
      <c r="AM27" s="160"/>
      <c r="AN27" s="160"/>
    </row>
    <row r="28" spans="1:40" x14ac:dyDescent="0.3">
      <c r="C28" s="42"/>
      <c r="F28" s="3"/>
      <c r="G28" s="1"/>
      <c r="H28" s="3"/>
      <c r="I28" s="3"/>
      <c r="J28" s="7"/>
      <c r="K28" s="7"/>
      <c r="L28" s="3"/>
      <c r="M28" s="3"/>
      <c r="N28" s="4"/>
      <c r="O28" s="4"/>
      <c r="P28" s="3"/>
      <c r="Q28" s="3"/>
      <c r="R28" s="3"/>
      <c r="S28" s="123"/>
      <c r="V28" s="210"/>
      <c r="Y28" s="210"/>
      <c r="Z28" s="213"/>
      <c r="AA28" s="210"/>
      <c r="AB28" s="210"/>
      <c r="AC28" s="210"/>
      <c r="AD28" s="210"/>
      <c r="AE28" s="210"/>
      <c r="AF28" s="210"/>
      <c r="AI28" s="210"/>
      <c r="AJ28" s="210"/>
      <c r="AK28" s="214"/>
      <c r="AL28" s="210"/>
      <c r="AM28" s="160"/>
      <c r="AN28" s="160"/>
    </row>
    <row r="29" spans="1:40" x14ac:dyDescent="0.3">
      <c r="A29" s="41">
        <v>8</v>
      </c>
      <c r="C29" s="132" t="s">
        <v>63</v>
      </c>
      <c r="F29" s="3"/>
      <c r="G29" s="1"/>
      <c r="H29" s="3"/>
      <c r="I29" s="3"/>
      <c r="J29" s="7"/>
      <c r="K29" s="7"/>
      <c r="L29" s="3"/>
      <c r="M29" s="3"/>
      <c r="N29" s="4"/>
      <c r="O29" s="4"/>
      <c r="P29" s="3"/>
      <c r="Q29" s="3"/>
      <c r="R29" s="3"/>
      <c r="S29" s="123"/>
      <c r="V29" s="210"/>
      <c r="Y29" s="210"/>
      <c r="Z29" s="213"/>
      <c r="AA29" s="210"/>
      <c r="AB29" s="210"/>
      <c r="AC29" s="210"/>
      <c r="AD29" s="210"/>
      <c r="AE29" s="210"/>
      <c r="AF29" s="210"/>
      <c r="AI29" s="210"/>
      <c r="AJ29" s="210"/>
      <c r="AK29" s="214"/>
      <c r="AL29" s="210"/>
      <c r="AM29" s="160"/>
      <c r="AN29" s="160"/>
    </row>
    <row r="30" spans="1:40" x14ac:dyDescent="0.3">
      <c r="A30" s="41">
        <v>9</v>
      </c>
      <c r="C30" s="42"/>
      <c r="F30" s="3"/>
      <c r="G30" s="1"/>
      <c r="H30" s="259"/>
      <c r="I30" s="3"/>
      <c r="J30" s="209"/>
      <c r="K30" s="7"/>
      <c r="L30" s="49"/>
      <c r="M30" s="3"/>
      <c r="N30" s="253"/>
      <c r="O30" s="4"/>
      <c r="P30" s="49"/>
      <c r="Q30" s="3"/>
      <c r="R30" s="49"/>
      <c r="S30" s="123"/>
      <c r="V30" s="210"/>
      <c r="Y30" s="210"/>
      <c r="Z30" s="213"/>
      <c r="AA30" s="210"/>
      <c r="AB30" s="210"/>
      <c r="AC30" s="210"/>
      <c r="AD30" s="210"/>
      <c r="AE30" s="210"/>
      <c r="AF30" s="210"/>
      <c r="AI30" s="210"/>
      <c r="AJ30" s="210"/>
      <c r="AK30" s="214"/>
      <c r="AL30" s="210"/>
      <c r="AM30" s="160"/>
      <c r="AN30" s="160"/>
    </row>
    <row r="31" spans="1:40" x14ac:dyDescent="0.3">
      <c r="C31" s="42"/>
      <c r="F31" s="3"/>
      <c r="G31" s="1"/>
      <c r="H31" s="123"/>
      <c r="I31" s="3"/>
      <c r="J31" s="209"/>
      <c r="K31" s="7"/>
      <c r="L31" s="3"/>
      <c r="M31" s="3"/>
      <c r="N31" s="4"/>
      <c r="O31" s="4"/>
      <c r="P31" s="3"/>
      <c r="Q31" s="3"/>
      <c r="R31" s="3"/>
      <c r="S31" s="123"/>
      <c r="V31" s="210"/>
      <c r="Y31" s="210"/>
      <c r="Z31" s="213"/>
      <c r="AA31" s="210"/>
      <c r="AB31" s="210"/>
      <c r="AC31" s="210"/>
      <c r="AD31" s="210"/>
      <c r="AE31" s="210"/>
      <c r="AF31" s="210"/>
      <c r="AI31" s="210"/>
      <c r="AJ31" s="210"/>
      <c r="AK31" s="214"/>
      <c r="AL31" s="210"/>
      <c r="AM31" s="160"/>
      <c r="AN31" s="160"/>
    </row>
    <row r="32" spans="1:40" x14ac:dyDescent="0.3">
      <c r="A32" s="41">
        <v>10</v>
      </c>
      <c r="C32" s="132" t="s">
        <v>374</v>
      </c>
      <c r="F32" s="3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3"/>
      <c r="S32" s="123"/>
      <c r="T32" s="42"/>
      <c r="Z32" s="213"/>
      <c r="AA32" s="123"/>
      <c r="AB32" s="123"/>
      <c r="AC32" s="160"/>
      <c r="AD32" s="160"/>
      <c r="AE32" s="123"/>
      <c r="AF32" s="123"/>
      <c r="AH32" s="160"/>
      <c r="AI32" s="123"/>
      <c r="AJ32" s="123"/>
      <c r="AL32" s="123"/>
      <c r="AM32" s="160"/>
      <c r="AN32" s="160"/>
    </row>
    <row r="33" spans="1:18" x14ac:dyDescent="0.3">
      <c r="A33" s="41">
        <v>11</v>
      </c>
      <c r="C33" s="42" t="s">
        <v>68</v>
      </c>
      <c r="F33" s="49"/>
      <c r="G33" s="1"/>
      <c r="H33" s="197">
        <v>19145457</v>
      </c>
      <c r="I33" s="159"/>
      <c r="J33" s="205">
        <f>INPUT!D90</f>
        <v>0.104842</v>
      </c>
      <c r="K33" s="199"/>
      <c r="L33" s="49">
        <f>ROUND((H33*J33),0)</f>
        <v>2007248</v>
      </c>
      <c r="M33" s="3"/>
      <c r="N33" s="253">
        <f>ROUND((L33/L$43)*100,1)</f>
        <v>93</v>
      </c>
      <c r="O33" s="4"/>
      <c r="P33" s="196"/>
      <c r="Q33" s="159"/>
      <c r="R33" s="49">
        <f>L33+P33</f>
        <v>2007248</v>
      </c>
    </row>
    <row r="34" spans="1:18" ht="18" customHeight="1" x14ac:dyDescent="0.3">
      <c r="A34" s="41">
        <v>12</v>
      </c>
      <c r="C34" s="178" t="s">
        <v>445</v>
      </c>
      <c r="F34" s="49">
        <f>F27</f>
        <v>1006</v>
      </c>
      <c r="G34" s="1"/>
      <c r="H34" s="262">
        <f>H33</f>
        <v>19145457</v>
      </c>
      <c r="I34" s="159"/>
      <c r="J34" s="205"/>
      <c r="K34" s="199"/>
      <c r="L34" s="145">
        <f>L27+L30+L33</f>
        <v>2034368</v>
      </c>
      <c r="M34" s="3"/>
      <c r="N34" s="211">
        <f>ROUND((L34/L$43)*100,1)</f>
        <v>94.3</v>
      </c>
      <c r="O34" s="4"/>
      <c r="P34" s="262"/>
      <c r="Q34" s="159"/>
      <c r="R34" s="145">
        <f>R33+R30+R27</f>
        <v>2034368</v>
      </c>
    </row>
    <row r="35" spans="1:18" x14ac:dyDescent="0.3">
      <c r="C35" s="42"/>
      <c r="F35" s="3"/>
      <c r="G35" s="1"/>
      <c r="H35" s="184"/>
      <c r="I35" s="159"/>
      <c r="J35" s="205"/>
      <c r="K35" s="199"/>
      <c r="L35" s="3"/>
      <c r="M35" s="3"/>
      <c r="N35" s="4"/>
      <c r="O35" s="4"/>
      <c r="P35" s="159"/>
      <c r="Q35" s="159"/>
      <c r="R35" s="3"/>
    </row>
    <row r="36" spans="1:18" x14ac:dyDescent="0.3">
      <c r="A36" s="41">
        <v>13</v>
      </c>
      <c r="C36" s="132" t="s">
        <v>432</v>
      </c>
      <c r="F36" s="3"/>
      <c r="G36" s="1"/>
      <c r="H36" s="3"/>
      <c r="I36" s="3"/>
      <c r="J36" s="257"/>
      <c r="K36" s="199"/>
      <c r="L36" s="3"/>
      <c r="M36" s="3"/>
      <c r="N36" s="4"/>
      <c r="O36" s="4"/>
      <c r="P36" s="159"/>
      <c r="Q36" s="159"/>
      <c r="R36" s="3"/>
    </row>
    <row r="37" spans="1:18" x14ac:dyDescent="0.3">
      <c r="A37" s="41">
        <v>14</v>
      </c>
      <c r="C37" s="192" t="str">
        <f>DSMR_Name</f>
        <v>DEMAND SIDE MANAGEMENT RIDER (DSMR)</v>
      </c>
      <c r="F37" s="3"/>
      <c r="G37" s="1"/>
      <c r="H37" s="3"/>
      <c r="I37" s="3"/>
      <c r="J37" s="217">
        <f>PRO_DSM_DIST</f>
        <v>3.503E-3</v>
      </c>
      <c r="K37" s="199"/>
      <c r="L37" s="3">
        <f>ROUND($H$34*J37,0)</f>
        <v>67067</v>
      </c>
      <c r="M37" s="3"/>
      <c r="N37" s="175">
        <f>ROUND((L37/L$43)*100,1)</f>
        <v>3.1</v>
      </c>
      <c r="O37" s="4"/>
      <c r="P37" s="159"/>
      <c r="Q37" s="159"/>
      <c r="R37" s="3">
        <f>L37+P37</f>
        <v>67067</v>
      </c>
    </row>
    <row r="38" spans="1:18" x14ac:dyDescent="0.3">
      <c r="A38" s="41">
        <v>15</v>
      </c>
      <c r="C38" s="192" t="str">
        <f>ESM_Name</f>
        <v>ENVIRONMENTAL SURCHARGE MECHANISM RIDER (ESM)</v>
      </c>
      <c r="F38" s="3"/>
      <c r="G38" s="1"/>
      <c r="H38" s="3"/>
      <c r="I38" s="3"/>
      <c r="J38" s="201">
        <f>PRO_ESM_NONRES</f>
        <v>5.7995821086186533E-3</v>
      </c>
      <c r="K38" s="199"/>
      <c r="L38" s="3">
        <f>ROUND((R34-(PRO_BASE_FUEL*H34)+R37+R40)*J38,0)</f>
        <v>8711</v>
      </c>
      <c r="M38" s="3"/>
      <c r="N38" s="175">
        <f>ROUND((L38/L$43)*100,1)</f>
        <v>0.4</v>
      </c>
      <c r="O38" s="4"/>
      <c r="P38" s="159"/>
      <c r="Q38" s="159"/>
      <c r="R38" s="3">
        <f>L38+P38</f>
        <v>8711</v>
      </c>
    </row>
    <row r="39" spans="1:18" x14ac:dyDescent="0.3">
      <c r="A39" s="41">
        <v>16</v>
      </c>
      <c r="C39" s="192" t="str">
        <f>FAC_Name</f>
        <v>FUEL ADJUSTMENT CLAUSE (FAC)</v>
      </c>
      <c r="F39" s="3"/>
      <c r="G39" s="1"/>
      <c r="H39" s="3"/>
      <c r="I39" s="3"/>
      <c r="J39" s="217">
        <f>PRO_FAC</f>
        <v>3.4872127999999998E-3</v>
      </c>
      <c r="K39" s="199"/>
      <c r="L39" s="3"/>
      <c r="M39" s="3"/>
      <c r="N39" s="175">
        <f>ROUND((L39/L$43)*100,1)</f>
        <v>0</v>
      </c>
      <c r="O39" s="4"/>
      <c r="P39" s="159">
        <f>ROUND(H34*PRO_FAC,0)</f>
        <v>66764</v>
      </c>
      <c r="Q39" s="159"/>
      <c r="R39" s="3">
        <f>L39+P39</f>
        <v>66764</v>
      </c>
    </row>
    <row r="40" spans="1:18" x14ac:dyDescent="0.3">
      <c r="A40" s="41">
        <v>17</v>
      </c>
      <c r="C40" s="192" t="str">
        <f>PSM_Name</f>
        <v>PROFIT SHARING MECHANISM (PSM)</v>
      </c>
      <c r="F40" s="3"/>
      <c r="G40" s="1"/>
      <c r="H40" s="3"/>
      <c r="I40" s="3"/>
      <c r="J40" s="217">
        <f>PRO_PSM</f>
        <v>2.4750000000000002E-3</v>
      </c>
      <c r="K40" s="199"/>
      <c r="L40" s="49">
        <f>ROUND(H34*PRO_PSM,0)</f>
        <v>47385</v>
      </c>
      <c r="M40" s="3"/>
      <c r="N40" s="175">
        <f>ROUND((L40/L$43)*100,1)</f>
        <v>2.2000000000000002</v>
      </c>
      <c r="O40" s="4"/>
      <c r="P40" s="196"/>
      <c r="Q40" s="159"/>
      <c r="R40" s="3">
        <f>L40+P40</f>
        <v>47385</v>
      </c>
    </row>
    <row r="41" spans="1:18" ht="18" customHeight="1" x14ac:dyDescent="0.3">
      <c r="A41" s="41">
        <v>18</v>
      </c>
      <c r="C41" s="132" t="s">
        <v>437</v>
      </c>
      <c r="F41" s="49"/>
      <c r="G41" s="1"/>
      <c r="H41" s="49"/>
      <c r="I41" s="3"/>
      <c r="J41" s="183"/>
      <c r="K41" s="199"/>
      <c r="L41" s="145">
        <f>SUM(L37:L40)</f>
        <v>123163</v>
      </c>
      <c r="M41" s="3"/>
      <c r="N41" s="180">
        <f>ROUND((L41/L$43)*100,1)</f>
        <v>5.7</v>
      </c>
      <c r="O41" s="4"/>
      <c r="P41" s="262">
        <f>SUM(P37:P40)</f>
        <v>66764</v>
      </c>
      <c r="Q41" s="159"/>
      <c r="R41" s="145">
        <f>SUM(R37:R40)</f>
        <v>189927</v>
      </c>
    </row>
    <row r="42" spans="1:18" x14ac:dyDescent="0.3">
      <c r="C42" s="42"/>
      <c r="F42" s="3"/>
      <c r="G42" s="1"/>
      <c r="H42" s="184"/>
      <c r="I42" s="159"/>
      <c r="J42" s="200"/>
      <c r="K42" s="199"/>
      <c r="L42" s="3"/>
      <c r="M42" s="3"/>
      <c r="N42" s="4"/>
      <c r="O42" s="4"/>
      <c r="P42" s="159"/>
      <c r="Q42" s="159"/>
      <c r="R42" s="3"/>
    </row>
    <row r="43" spans="1:18" ht="20.100000000000001" customHeight="1" thickBot="1" x14ac:dyDescent="0.35">
      <c r="A43" s="41">
        <v>19</v>
      </c>
      <c r="C43" s="132" t="s">
        <v>446</v>
      </c>
      <c r="F43" s="151">
        <f>F34</f>
        <v>1006</v>
      </c>
      <c r="G43" s="1"/>
      <c r="H43" s="151">
        <f>H34</f>
        <v>19145457</v>
      </c>
      <c r="I43" s="3"/>
      <c r="J43" s="261"/>
      <c r="K43" s="261"/>
      <c r="L43" s="151">
        <f>L34+L41</f>
        <v>2157531</v>
      </c>
      <c r="M43" s="3"/>
      <c r="N43" s="218">
        <v>100</v>
      </c>
      <c r="O43" s="4"/>
      <c r="P43" s="151">
        <f>P41+P34</f>
        <v>66764</v>
      </c>
      <c r="Q43" s="3"/>
      <c r="R43" s="151">
        <f>R41+R34</f>
        <v>2224295</v>
      </c>
    </row>
    <row r="44" spans="1:18" ht="16.2" thickTop="1" x14ac:dyDescent="0.3"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3"/>
    </row>
    <row r="45" spans="1:18" x14ac:dyDescent="0.3">
      <c r="C45" s="202" t="s">
        <v>59</v>
      </c>
      <c r="F45" s="123"/>
      <c r="H45" s="123"/>
      <c r="I45" s="123"/>
      <c r="J45" s="219"/>
      <c r="K45" s="219"/>
      <c r="L45" s="123"/>
      <c r="M45" s="123"/>
      <c r="N45" s="123"/>
      <c r="O45" s="123"/>
      <c r="P45" s="123"/>
      <c r="Q45" s="123"/>
      <c r="R45" s="123"/>
    </row>
    <row r="46" spans="1:18" x14ac:dyDescent="0.3">
      <c r="C46" s="202" t="str">
        <f>"(2) REFLECTS FUEL COMPONENT OF "&amp;TEXT(PRO_FAC,"$0.000000;($0.000000)")&amp;"  PER KWH."</f>
        <v>(2) REFLECTS FUEL COMPONENT OF $0.003487  PER KWH.</v>
      </c>
      <c r="F46" s="123"/>
      <c r="H46" s="123"/>
      <c r="I46" s="123"/>
      <c r="J46" s="219"/>
      <c r="K46" s="219"/>
      <c r="L46" s="123"/>
      <c r="M46" s="123"/>
      <c r="N46" s="123"/>
      <c r="O46" s="123"/>
      <c r="P46" s="123"/>
      <c r="Q46" s="123"/>
      <c r="R46" s="123"/>
    </row>
    <row r="47" spans="1:18" x14ac:dyDescent="0.3">
      <c r="A47" s="44"/>
      <c r="C47" s="202" t="str">
        <f>"(3) REFLECTS FUEL COST RECOVERY INCLUDED IN BASE RATES OF "&amp;TEXT(PRO_BASE_FUEL,"$0.000000;($0.000000)")&amp;"  PER KWH."</f>
        <v>(3) REFLECTS FUEL COST RECOVERY INCLUDED IN BASE RATES OF $0.033780  PER KWH.</v>
      </c>
      <c r="D47" s="44"/>
      <c r="E47" s="44"/>
      <c r="F47" s="44"/>
      <c r="J47" s="44"/>
      <c r="K47" s="44"/>
      <c r="L47" s="44"/>
      <c r="M47" s="44"/>
      <c r="N47" s="44"/>
      <c r="O47" s="44"/>
      <c r="P47" s="44"/>
      <c r="Q47" s="44"/>
      <c r="R47" s="44"/>
    </row>
    <row r="48" spans="1:18" x14ac:dyDescent="0.3">
      <c r="A48" s="44"/>
      <c r="C48" s="44"/>
      <c r="D48" s="44"/>
      <c r="E48" s="44"/>
      <c r="F48" s="44"/>
      <c r="J48" s="44"/>
      <c r="K48" s="44"/>
      <c r="L48" s="44"/>
      <c r="M48" s="44"/>
      <c r="N48" s="44"/>
      <c r="O48" s="44"/>
      <c r="P48" s="44"/>
      <c r="Q48" s="44"/>
      <c r="R48" s="44"/>
    </row>
    <row r="49" spans="1:76" x14ac:dyDescent="0.3">
      <c r="A49" s="44"/>
      <c r="C49" s="44"/>
      <c r="D49" s="44"/>
      <c r="E49" s="44"/>
      <c r="F49"/>
      <c r="G49"/>
      <c r="H49"/>
      <c r="I49"/>
      <c r="J49"/>
      <c r="K49" s="44"/>
      <c r="L49" s="44"/>
      <c r="M49" s="44"/>
      <c r="N49" s="44"/>
      <c r="O49" s="44"/>
      <c r="P49" s="44"/>
      <c r="Q49" s="44"/>
      <c r="R49" s="44"/>
      <c r="T49" s="40" t="str">
        <f>NAME</f>
        <v>DUKE ENERGY KENTUCKY, INC.</v>
      </c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166"/>
      <c r="AH49" s="40"/>
      <c r="AI49" s="40"/>
      <c r="AJ49" s="40"/>
      <c r="AK49" s="166"/>
      <c r="AL49" s="40"/>
      <c r="AM49" s="40"/>
      <c r="AN49" s="40"/>
      <c r="AO49" s="40"/>
      <c r="AP49" s="40"/>
      <c r="AQ49" s="166"/>
    </row>
    <row r="50" spans="1:76" x14ac:dyDescent="0.3">
      <c r="A50" s="44"/>
      <c r="C50" s="44"/>
      <c r="D50" s="44"/>
      <c r="E50" s="44"/>
      <c r="F50"/>
      <c r="G50"/>
      <c r="H50"/>
      <c r="I50"/>
      <c r="J50"/>
      <c r="K50" s="44"/>
      <c r="L50" s="44"/>
      <c r="M50" s="44"/>
      <c r="N50" s="44"/>
      <c r="O50" s="44"/>
      <c r="P50" s="44"/>
      <c r="Q50" s="44"/>
      <c r="R50" s="44"/>
      <c r="T50" s="40" t="str">
        <f>CASE_NO</f>
        <v>CASE NO.   2024-00354</v>
      </c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166"/>
      <c r="AH50" s="40"/>
      <c r="AI50" s="40"/>
      <c r="AJ50" s="40"/>
      <c r="AK50" s="166"/>
      <c r="AL50" s="40"/>
      <c r="AM50" s="40"/>
      <c r="AN50" s="40"/>
      <c r="AO50" s="40"/>
      <c r="AP50" s="40"/>
      <c r="AQ50" s="166"/>
    </row>
    <row r="51" spans="1:76" x14ac:dyDescent="0.3">
      <c r="C51" s="44"/>
      <c r="D51" s="44"/>
      <c r="E51" s="44"/>
      <c r="F51"/>
      <c r="G51"/>
      <c r="H51"/>
      <c r="I51"/>
      <c r="J51"/>
      <c r="K51" s="44"/>
      <c r="L51" s="44"/>
      <c r="M51" s="44"/>
      <c r="N51" s="44"/>
      <c r="O51" s="44"/>
      <c r="P51" s="44"/>
      <c r="Q51" s="44"/>
      <c r="R51" s="44"/>
      <c r="T51" s="40" t="str">
        <f>TITLE</f>
        <v>ANNUALIZED TEST YEAR REVENUES AT REHEARING ORDER CALCULATED VS. MOST CURRENT RATES</v>
      </c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166"/>
      <c r="AH51" s="40"/>
      <c r="AI51" s="40"/>
      <c r="AJ51" s="40"/>
      <c r="AK51" s="166"/>
      <c r="AL51" s="40"/>
      <c r="AM51" s="40"/>
      <c r="AN51" s="40"/>
      <c r="AO51" s="40"/>
      <c r="AP51" s="40"/>
      <c r="AQ51" s="166"/>
    </row>
    <row r="52" spans="1:76" x14ac:dyDescent="0.3">
      <c r="A52" s="135"/>
      <c r="B52" s="135"/>
      <c r="C52" s="135"/>
      <c r="D52" s="135"/>
      <c r="E52" s="135"/>
      <c r="F52"/>
      <c r="G52"/>
      <c r="H52"/>
      <c r="I52"/>
      <c r="J52"/>
      <c r="K52" s="135"/>
      <c r="L52" s="135"/>
      <c r="M52" s="135"/>
      <c r="N52" s="135"/>
      <c r="O52" s="135"/>
      <c r="P52" s="135"/>
      <c r="Q52" s="135"/>
      <c r="R52" s="135"/>
      <c r="T52" s="40" t="str">
        <f>DATE</f>
        <v>FOR THE TWELVE MONTHS ENDED June 30, 2026</v>
      </c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166"/>
      <c r="AH52" s="40"/>
      <c r="AI52" s="40"/>
      <c r="AJ52" s="40"/>
      <c r="AK52" s="166"/>
      <c r="AL52" s="40"/>
      <c r="AM52" s="40"/>
      <c r="AN52" s="40"/>
      <c r="AO52" s="40"/>
      <c r="AP52" s="40"/>
      <c r="AQ52" s="166"/>
    </row>
    <row r="53" spans="1:76" x14ac:dyDescent="0.3">
      <c r="F53"/>
      <c r="G53"/>
      <c r="H53"/>
      <c r="I53"/>
      <c r="J53"/>
      <c r="K53" s="44"/>
      <c r="L53" s="44"/>
      <c r="M53" s="44"/>
      <c r="N53" s="44"/>
      <c r="O53" s="44"/>
      <c r="P53" s="44"/>
      <c r="Q53" s="44"/>
      <c r="R53" s="44"/>
      <c r="T53" s="40" t="str">
        <f>SERVICE</f>
        <v>(ELECTRIC SERVICE)</v>
      </c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166"/>
      <c r="AH53" s="40"/>
      <c r="AI53" s="40"/>
      <c r="AJ53" s="40"/>
      <c r="AK53" s="166"/>
      <c r="AL53" s="40"/>
      <c r="AM53" s="40"/>
      <c r="AN53" s="40"/>
      <c r="AO53" s="40"/>
      <c r="AP53" s="40"/>
      <c r="AQ53" s="166"/>
    </row>
    <row r="54" spans="1:76" x14ac:dyDescent="0.3">
      <c r="C54" s="42"/>
      <c r="D54" s="42"/>
      <c r="E54" s="42"/>
      <c r="F54"/>
      <c r="G54"/>
      <c r="H54"/>
      <c r="I54"/>
      <c r="J54"/>
      <c r="T54" s="41" t="str">
        <f>DATA_PERIOD</f>
        <v>DATA: ____ BASE PERIOD   __X__FORECASTED PERIOD</v>
      </c>
      <c r="AO54" s="42" t="s">
        <v>158</v>
      </c>
      <c r="AP54" s="42"/>
    </row>
    <row r="55" spans="1:76" x14ac:dyDescent="0.3">
      <c r="D55" s="42"/>
      <c r="E55" s="42"/>
      <c r="T55" s="41" t="str">
        <f>TYPE</f>
        <v>TYPE OF FILING: _X_ ORIGINAL   ___UPDATED  ___ REVISED</v>
      </c>
      <c r="AO55" s="45" t="str">
        <f>"PAGE 6 OF "&amp;TEXT(Page_Num_2.2,"00")</f>
        <v>PAGE 6 OF 24</v>
      </c>
      <c r="AP55" s="42"/>
    </row>
    <row r="56" spans="1:76" x14ac:dyDescent="0.3">
      <c r="T56" s="42" t="s">
        <v>171</v>
      </c>
      <c r="AO56" s="42" t="s">
        <v>3</v>
      </c>
      <c r="AP56" s="42"/>
    </row>
    <row r="57" spans="1:76" x14ac:dyDescent="0.3">
      <c r="C57" s="42"/>
      <c r="T57" s="132" t="str">
        <f>TIME</f>
        <v>12 Months Projected with Riders</v>
      </c>
      <c r="AO57" s="41" t="str">
        <f>WIT</f>
        <v>B. L. Sailers</v>
      </c>
    </row>
    <row r="58" spans="1:76" x14ac:dyDescent="0.3">
      <c r="C58" s="42"/>
      <c r="T58" s="132" t="str">
        <f>INPUT!B5</f>
        <v xml:space="preserve"> </v>
      </c>
    </row>
    <row r="59" spans="1:76" x14ac:dyDescent="0.3">
      <c r="C59" s="42"/>
      <c r="F59" s="184"/>
      <c r="H59" s="184"/>
      <c r="I59" s="184"/>
      <c r="J59" s="193"/>
      <c r="K59" s="193"/>
      <c r="L59" s="123"/>
      <c r="M59" s="123"/>
      <c r="N59" s="160"/>
      <c r="O59" s="160"/>
      <c r="R59" s="123"/>
      <c r="T59" s="40" t="s">
        <v>131</v>
      </c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166"/>
      <c r="AH59" s="40"/>
      <c r="AI59" s="40"/>
      <c r="AJ59" s="40"/>
      <c r="AK59" s="166"/>
      <c r="AL59" s="40"/>
      <c r="AM59" s="40"/>
      <c r="AN59" s="40"/>
      <c r="AO59" s="40"/>
      <c r="AP59" s="40"/>
      <c r="AQ59" s="166"/>
    </row>
    <row r="60" spans="1:76" x14ac:dyDescent="0.3">
      <c r="C60" s="42"/>
      <c r="F60" s="184"/>
      <c r="H60" s="184"/>
      <c r="I60" s="184"/>
      <c r="J60" s="193"/>
      <c r="K60" s="193"/>
      <c r="L60" s="123"/>
      <c r="M60" s="123"/>
      <c r="N60" s="160"/>
      <c r="O60" s="160"/>
      <c r="R60" s="12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167"/>
      <c r="AH60" s="43"/>
      <c r="AI60" s="43"/>
      <c r="AJ60" s="43"/>
      <c r="AK60" s="167"/>
      <c r="AL60" s="43"/>
      <c r="AM60" s="43"/>
      <c r="AN60" s="43"/>
      <c r="AO60" s="43"/>
      <c r="AP60" s="43"/>
      <c r="AQ60" s="167"/>
    </row>
    <row r="61" spans="1:76" ht="18" customHeight="1" x14ac:dyDescent="0.3">
      <c r="F61" s="210"/>
      <c r="H61" s="123"/>
      <c r="I61" s="123"/>
      <c r="J61" s="213"/>
      <c r="K61" s="213"/>
      <c r="L61" s="210"/>
      <c r="M61" s="210"/>
      <c r="N61" s="210"/>
      <c r="O61" s="210"/>
      <c r="P61" s="210"/>
      <c r="Q61" s="210"/>
      <c r="R61" s="210"/>
      <c r="AE61" s="44" t="s">
        <v>8</v>
      </c>
      <c r="AF61" s="44"/>
      <c r="AG61" s="168" t="s">
        <v>7</v>
      </c>
      <c r="AH61" s="44"/>
      <c r="AI61" s="44" t="s">
        <v>9</v>
      </c>
      <c r="AJ61" s="44"/>
      <c r="AK61" s="168" t="s">
        <v>10</v>
      </c>
      <c r="AL61" s="44"/>
      <c r="AO61" s="44" t="s">
        <v>8</v>
      </c>
      <c r="AP61" s="44"/>
      <c r="AQ61" s="168" t="s">
        <v>11</v>
      </c>
    </row>
    <row r="62" spans="1:76" x14ac:dyDescent="0.3">
      <c r="C62" s="42"/>
      <c r="F62" s="123"/>
      <c r="H62" s="123"/>
      <c r="I62" s="123"/>
      <c r="J62" s="213"/>
      <c r="K62" s="213"/>
      <c r="L62" s="123"/>
      <c r="M62" s="123"/>
      <c r="N62" s="160"/>
      <c r="O62" s="160"/>
      <c r="P62" s="123"/>
      <c r="Q62" s="123"/>
      <c r="R62" s="123"/>
      <c r="AC62" s="44" t="s">
        <v>14</v>
      </c>
      <c r="AD62" s="44"/>
      <c r="AE62" s="44" t="s">
        <v>12</v>
      </c>
      <c r="AF62" s="44"/>
      <c r="AG62" s="168" t="s">
        <v>13</v>
      </c>
      <c r="AH62" s="44"/>
      <c r="AI62" s="44" t="s">
        <v>15</v>
      </c>
      <c r="AJ62" s="44"/>
      <c r="AK62" s="168" t="s">
        <v>16</v>
      </c>
      <c r="AL62" s="44"/>
      <c r="AO62" s="44" t="s">
        <v>11</v>
      </c>
      <c r="AP62" s="44"/>
      <c r="AQ62" s="168" t="s">
        <v>9</v>
      </c>
    </row>
    <row r="63" spans="1:76" x14ac:dyDescent="0.3">
      <c r="F63" s="210"/>
      <c r="H63" s="123"/>
      <c r="I63" s="123"/>
      <c r="J63" s="213"/>
      <c r="K63" s="213"/>
      <c r="L63" s="210"/>
      <c r="M63" s="210"/>
      <c r="N63" s="210"/>
      <c r="O63" s="210"/>
      <c r="P63" s="210"/>
      <c r="Q63" s="210"/>
      <c r="R63" s="210"/>
      <c r="T63" s="44" t="s">
        <v>17</v>
      </c>
      <c r="V63" s="44" t="s">
        <v>18</v>
      </c>
      <c r="W63" s="44" t="s">
        <v>19</v>
      </c>
      <c r="X63" s="44"/>
      <c r="Y63" s="44" t="s">
        <v>20</v>
      </c>
      <c r="AC63" s="44" t="s">
        <v>8</v>
      </c>
      <c r="AD63" s="44"/>
      <c r="AE63" s="44" t="s">
        <v>842</v>
      </c>
      <c r="AF63" s="44"/>
      <c r="AG63" s="168" t="s">
        <v>842</v>
      </c>
      <c r="AH63" s="44"/>
      <c r="AI63" s="46" t="s">
        <v>965</v>
      </c>
      <c r="AJ63" s="44"/>
      <c r="AK63" s="169" t="s">
        <v>965</v>
      </c>
      <c r="AL63" s="44"/>
      <c r="AM63" s="44" t="s">
        <v>842</v>
      </c>
      <c r="AN63" s="44"/>
      <c r="AO63" s="44" t="s">
        <v>9</v>
      </c>
      <c r="AP63" s="44"/>
      <c r="AQ63" s="168" t="s">
        <v>21</v>
      </c>
      <c r="AS63" s="123"/>
      <c r="AT63" s="123"/>
      <c r="AU63" s="235"/>
    </row>
    <row r="64" spans="1:76" x14ac:dyDescent="0.3">
      <c r="F64" s="123"/>
      <c r="H64" s="123"/>
      <c r="I64" s="123"/>
      <c r="J64" s="213"/>
      <c r="K64" s="213"/>
      <c r="L64" s="123"/>
      <c r="M64" s="123"/>
      <c r="N64" s="160"/>
      <c r="O64" s="160"/>
      <c r="P64" s="123"/>
      <c r="Q64" s="123"/>
      <c r="R64" s="123"/>
      <c r="T64" s="44" t="s">
        <v>22</v>
      </c>
      <c r="V64" s="44" t="s">
        <v>23</v>
      </c>
      <c r="W64" s="44" t="s">
        <v>24</v>
      </c>
      <c r="X64" s="44"/>
      <c r="Y64" s="44" t="s">
        <v>25</v>
      </c>
      <c r="AA64" s="44" t="s">
        <v>26</v>
      </c>
      <c r="AB64" s="44"/>
      <c r="AC64" s="44" t="s">
        <v>27</v>
      </c>
      <c r="AD64" s="44"/>
      <c r="AE64" s="44" t="s">
        <v>9</v>
      </c>
      <c r="AF64" s="44"/>
      <c r="AG64" s="168" t="s">
        <v>9</v>
      </c>
      <c r="AH64" s="44"/>
      <c r="AI64" s="141" t="s">
        <v>29</v>
      </c>
      <c r="AJ64" s="141"/>
      <c r="AK64" s="170" t="s">
        <v>30</v>
      </c>
      <c r="AL64" s="44"/>
      <c r="AM64" s="44" t="s">
        <v>324</v>
      </c>
      <c r="AN64" s="44"/>
      <c r="AO64" s="141" t="s">
        <v>31</v>
      </c>
      <c r="AP64" s="141"/>
      <c r="AQ64" s="170" t="s">
        <v>32</v>
      </c>
      <c r="AS64" s="123"/>
      <c r="AT64" s="123"/>
      <c r="AU64" s="160"/>
      <c r="BX64" s="222"/>
    </row>
    <row r="65" spans="1:47" x14ac:dyDescent="0.3">
      <c r="C65" s="42"/>
      <c r="F65" s="184"/>
      <c r="H65" s="184"/>
      <c r="I65" s="184"/>
      <c r="J65" s="193"/>
      <c r="K65" s="193"/>
      <c r="L65" s="123"/>
      <c r="M65" s="123"/>
      <c r="N65" s="160"/>
      <c r="O65" s="160"/>
      <c r="P65" s="123"/>
      <c r="Q65" s="123"/>
      <c r="R65" s="123"/>
      <c r="V65" s="141" t="s">
        <v>33</v>
      </c>
      <c r="W65" s="141" t="s">
        <v>34</v>
      </c>
      <c r="X65" s="141"/>
      <c r="Y65" s="141" t="s">
        <v>35</v>
      </c>
      <c r="Z65" s="153"/>
      <c r="AA65" s="141" t="s">
        <v>36</v>
      </c>
      <c r="AB65" s="141"/>
      <c r="AC65" s="141" t="s">
        <v>42</v>
      </c>
      <c r="AD65" s="141"/>
      <c r="AE65" s="141" t="s">
        <v>43</v>
      </c>
      <c r="AF65" s="141"/>
      <c r="AG65" s="170" t="s">
        <v>44</v>
      </c>
      <c r="AH65" s="141"/>
      <c r="AI65" s="141" t="s">
        <v>45</v>
      </c>
      <c r="AJ65" s="141"/>
      <c r="AK65" s="170" t="s">
        <v>46</v>
      </c>
      <c r="AL65" s="141"/>
      <c r="AM65" s="141" t="s">
        <v>40</v>
      </c>
      <c r="AN65" s="141"/>
      <c r="AO65" s="141" t="s">
        <v>47</v>
      </c>
      <c r="AP65" s="141"/>
      <c r="AQ65" s="170" t="s">
        <v>48</v>
      </c>
      <c r="AS65" s="123"/>
      <c r="AT65" s="123"/>
      <c r="AU65" s="160"/>
    </row>
    <row r="66" spans="1:47" x14ac:dyDescent="0.3">
      <c r="F66" s="123"/>
      <c r="H66" s="210"/>
      <c r="I66" s="210"/>
      <c r="J66" s="213"/>
      <c r="K66" s="213"/>
      <c r="L66" s="210"/>
      <c r="M66" s="210"/>
      <c r="N66" s="210"/>
      <c r="O66" s="210"/>
      <c r="P66" s="210"/>
      <c r="Q66" s="210"/>
      <c r="R66" s="210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167"/>
      <c r="AH66" s="43"/>
      <c r="AI66" s="43"/>
      <c r="AJ66" s="43"/>
      <c r="AK66" s="167"/>
      <c r="AL66" s="43"/>
      <c r="AM66" s="43"/>
      <c r="AN66" s="43"/>
      <c r="AO66" s="43"/>
      <c r="AP66" s="43"/>
      <c r="AQ66" s="167"/>
      <c r="AS66" s="123"/>
      <c r="AT66" s="123"/>
      <c r="AU66" s="160"/>
    </row>
    <row r="67" spans="1:47" ht="17.100000000000001" customHeight="1" x14ac:dyDescent="0.3">
      <c r="C67" s="42"/>
      <c r="F67" s="123"/>
      <c r="H67" s="123"/>
      <c r="I67" s="123"/>
      <c r="J67" s="219"/>
      <c r="K67" s="219"/>
      <c r="L67" s="123"/>
      <c r="M67" s="123"/>
      <c r="N67" s="160"/>
      <c r="O67" s="160"/>
      <c r="P67" s="123"/>
      <c r="Q67" s="123"/>
      <c r="R67" s="123"/>
      <c r="AA67" s="172" t="s">
        <v>197</v>
      </c>
      <c r="AB67" s="171"/>
      <c r="AC67" s="172" t="s">
        <v>332</v>
      </c>
      <c r="AD67" s="171"/>
      <c r="AE67" s="171" t="s">
        <v>50</v>
      </c>
      <c r="AF67" s="171"/>
      <c r="AG67" s="173" t="s">
        <v>51</v>
      </c>
      <c r="AH67" s="171"/>
      <c r="AI67" s="171" t="s">
        <v>50</v>
      </c>
      <c r="AJ67" s="171"/>
      <c r="AK67" s="173" t="s">
        <v>51</v>
      </c>
      <c r="AL67" s="171"/>
      <c r="AM67" s="171" t="s">
        <v>50</v>
      </c>
      <c r="AN67" s="171"/>
      <c r="AO67" s="171" t="s">
        <v>50</v>
      </c>
      <c r="AP67" s="171"/>
      <c r="AQ67" s="173" t="s">
        <v>51</v>
      </c>
      <c r="AS67" s="123"/>
      <c r="AT67" s="123"/>
      <c r="AU67" s="235"/>
    </row>
    <row r="68" spans="1:47" x14ac:dyDescent="0.3">
      <c r="C68" s="42"/>
      <c r="F68" s="184"/>
      <c r="H68" s="184"/>
      <c r="I68" s="184"/>
      <c r="J68" s="227"/>
      <c r="K68" s="227"/>
      <c r="L68" s="123"/>
      <c r="M68" s="123"/>
      <c r="N68" s="160"/>
      <c r="O68" s="160"/>
      <c r="P68" s="184"/>
      <c r="Q68" s="184"/>
      <c r="R68" s="123"/>
      <c r="T68" s="41">
        <v>1</v>
      </c>
      <c r="V68" s="132" t="s">
        <v>94</v>
      </c>
      <c r="W68" s="132" t="s">
        <v>155</v>
      </c>
      <c r="X68" s="42"/>
      <c r="Y68" s="1"/>
      <c r="Z68" s="1"/>
      <c r="AA68" s="208"/>
      <c r="AB68" s="208"/>
      <c r="AC68" s="172" t="s">
        <v>329</v>
      </c>
      <c r="AD68" s="208"/>
      <c r="AE68" s="208"/>
      <c r="AF68" s="208"/>
      <c r="AG68" s="221"/>
      <c r="AH68" s="208"/>
      <c r="AI68" s="208"/>
      <c r="AJ68" s="208"/>
      <c r="AK68" s="221"/>
      <c r="AL68" s="208"/>
      <c r="AM68" s="208"/>
      <c r="AN68" s="208"/>
      <c r="AO68" s="208"/>
      <c r="AP68" s="208"/>
      <c r="AQ68" s="221"/>
      <c r="AS68" s="123"/>
      <c r="AT68" s="123"/>
      <c r="AU68" s="160"/>
    </row>
    <row r="69" spans="1:47" x14ac:dyDescent="0.3">
      <c r="C69" s="42"/>
      <c r="H69" s="184"/>
      <c r="I69" s="184"/>
      <c r="J69" s="227"/>
      <c r="K69" s="227"/>
      <c r="L69" s="123"/>
      <c r="M69" s="123"/>
      <c r="N69" s="160"/>
      <c r="O69" s="160"/>
      <c r="P69" s="184"/>
      <c r="Q69" s="184"/>
      <c r="R69" s="123"/>
      <c r="T69" s="41">
        <v>2</v>
      </c>
      <c r="V69" s="153"/>
      <c r="W69" s="132" t="s">
        <v>156</v>
      </c>
      <c r="X69" s="42"/>
      <c r="Y69" s="1"/>
      <c r="Z69" s="1"/>
      <c r="AA69" s="1"/>
      <c r="AB69" s="1"/>
      <c r="AC69" s="1"/>
      <c r="AD69" s="1"/>
      <c r="AE69" s="1"/>
      <c r="AF69" s="1"/>
      <c r="AG69" s="175"/>
      <c r="AH69" s="1"/>
      <c r="AI69" s="1"/>
      <c r="AJ69" s="1"/>
      <c r="AK69" s="175"/>
      <c r="AL69" s="1"/>
      <c r="AM69" s="1"/>
      <c r="AN69" s="1"/>
      <c r="AO69" s="1"/>
      <c r="AP69" s="1"/>
      <c r="AQ69" s="175"/>
      <c r="AS69" s="123"/>
      <c r="AT69" s="123"/>
      <c r="AU69" s="160"/>
    </row>
    <row r="70" spans="1:47" x14ac:dyDescent="0.3">
      <c r="C70" s="42"/>
      <c r="F70" s="123"/>
      <c r="H70" s="123"/>
      <c r="I70" s="123"/>
      <c r="J70" s="219"/>
      <c r="K70" s="219"/>
      <c r="L70" s="123"/>
      <c r="M70" s="123"/>
      <c r="N70" s="160"/>
      <c r="O70" s="160"/>
      <c r="P70" s="123"/>
      <c r="Q70" s="123"/>
      <c r="R70" s="123"/>
      <c r="Y70" s="1"/>
      <c r="Z70" s="1"/>
      <c r="AA70" s="1"/>
      <c r="AB70" s="1"/>
      <c r="AC70" s="1"/>
      <c r="AD70" s="1"/>
      <c r="AE70" s="1"/>
      <c r="AF70" s="1"/>
      <c r="AG70" s="175"/>
      <c r="AH70" s="1"/>
      <c r="AI70" s="1"/>
      <c r="AJ70" s="1"/>
      <c r="AK70" s="175"/>
      <c r="AL70" s="1"/>
      <c r="AM70" s="1"/>
      <c r="AN70" s="1"/>
      <c r="AO70" s="1"/>
      <c r="AP70" s="1"/>
      <c r="AQ70" s="175"/>
      <c r="AS70" s="123"/>
      <c r="AT70" s="123"/>
      <c r="AU70" s="160"/>
    </row>
    <row r="71" spans="1:47" x14ac:dyDescent="0.3">
      <c r="F71" s="210"/>
      <c r="H71" s="210"/>
      <c r="I71" s="210"/>
      <c r="J71" s="213"/>
      <c r="K71" s="213"/>
      <c r="L71" s="210"/>
      <c r="M71" s="210"/>
      <c r="N71" s="210"/>
      <c r="O71" s="210"/>
      <c r="P71" s="210"/>
      <c r="Q71" s="210"/>
      <c r="R71" s="210"/>
      <c r="T71" s="41">
        <v>3</v>
      </c>
      <c r="V71" s="132" t="s">
        <v>134</v>
      </c>
      <c r="Y71" s="3"/>
      <c r="Z71" s="1"/>
      <c r="AA71" s="1"/>
      <c r="AB71" s="1"/>
      <c r="AC71" s="261"/>
      <c r="AD71" s="261"/>
      <c r="AE71" s="3"/>
      <c r="AF71" s="3"/>
      <c r="AG71" s="175"/>
      <c r="AH71" s="1"/>
      <c r="AI71" s="1"/>
      <c r="AJ71" s="1"/>
      <c r="AK71" s="175"/>
      <c r="AL71" s="1"/>
      <c r="AM71" s="1"/>
      <c r="AN71" s="1"/>
      <c r="AO71" s="3"/>
      <c r="AP71" s="3"/>
      <c r="AQ71" s="175"/>
      <c r="AS71" s="123"/>
      <c r="AT71" s="123"/>
      <c r="AU71" s="160"/>
    </row>
    <row r="72" spans="1:47" x14ac:dyDescent="0.3">
      <c r="A72" s="42"/>
      <c r="F72" s="123"/>
      <c r="H72" s="123"/>
      <c r="I72" s="123"/>
      <c r="J72" s="219"/>
      <c r="K72" s="219"/>
      <c r="L72" s="123"/>
      <c r="M72" s="123"/>
      <c r="N72" s="123"/>
      <c r="O72" s="123"/>
      <c r="P72" s="123"/>
      <c r="Q72" s="123"/>
      <c r="R72" s="123"/>
      <c r="T72" s="41">
        <v>4</v>
      </c>
      <c r="V72" s="42" t="s">
        <v>135</v>
      </c>
      <c r="Y72" s="3">
        <f>F24</f>
        <v>204</v>
      </c>
      <c r="Z72" s="1"/>
      <c r="AA72" s="3"/>
      <c r="AB72" s="3"/>
      <c r="AC72" s="193">
        <f>INPUT!C86</f>
        <v>15</v>
      </c>
      <c r="AD72" s="194"/>
      <c r="AE72" s="3">
        <f>ROUND(Y72*AC72,0)</f>
        <v>3060</v>
      </c>
      <c r="AF72" s="3"/>
      <c r="AG72" s="175">
        <f>ROUND((AE72/AE$91)*100,1)</f>
        <v>0.2</v>
      </c>
      <c r="AH72" s="4"/>
      <c r="AI72" s="3">
        <f>L24-AE72</f>
        <v>0</v>
      </c>
      <c r="AJ72" s="3"/>
      <c r="AK72" s="181">
        <f>IF(AE72=0,"0.0 ",ROUND((AI72/AE72)*100,1))</f>
        <v>0</v>
      </c>
      <c r="AL72" s="6"/>
      <c r="AM72" s="3"/>
      <c r="AN72" s="3"/>
      <c r="AO72" s="3">
        <f>AE72+AM72</f>
        <v>3060</v>
      </c>
      <c r="AP72" s="3"/>
      <c r="AQ72" s="181">
        <f>IF(AO72=0,"0.0 ",ROUND((AI72/AO72)*100,1))</f>
        <v>0</v>
      </c>
      <c r="AR72" s="123"/>
      <c r="AS72" s="123"/>
      <c r="AT72" s="123"/>
      <c r="AU72" s="160"/>
    </row>
    <row r="73" spans="1:47" x14ac:dyDescent="0.3">
      <c r="L73" s="123"/>
      <c r="M73" s="123"/>
      <c r="N73" s="123"/>
      <c r="O73" s="123"/>
      <c r="P73" s="123"/>
      <c r="Q73" s="123"/>
      <c r="R73" s="123"/>
      <c r="T73" s="41">
        <v>5</v>
      </c>
      <c r="V73" s="42" t="s">
        <v>136</v>
      </c>
      <c r="Y73" s="3">
        <f>F25</f>
        <v>802</v>
      </c>
      <c r="Z73" s="1"/>
      <c r="AA73" s="3"/>
      <c r="AB73" s="3"/>
      <c r="AC73" s="193">
        <f>INPUT!C87</f>
        <v>30</v>
      </c>
      <c r="AD73" s="194"/>
      <c r="AE73" s="3">
        <f>ROUND(Y73*AC73,0)</f>
        <v>24060</v>
      </c>
      <c r="AF73" s="3"/>
      <c r="AG73" s="175">
        <f>ROUND((AE73/AE$91)*100,1)+0.1</f>
        <v>1.4000000000000001</v>
      </c>
      <c r="AH73" s="4"/>
      <c r="AI73" s="3">
        <f>L25-AE73</f>
        <v>0</v>
      </c>
      <c r="AJ73" s="3"/>
      <c r="AK73" s="175">
        <f>IF(AE73=0,"0.0 ",ROUND((AI73/AE73)*100,1))</f>
        <v>0</v>
      </c>
      <c r="AL73" s="6"/>
      <c r="AM73" s="3"/>
      <c r="AN73" s="3"/>
      <c r="AO73" s="3">
        <f>AE73+AM73</f>
        <v>24060</v>
      </c>
      <c r="AP73" s="3"/>
      <c r="AQ73" s="181">
        <f>IF(AO73=0,"0.0 ",ROUND((AI73/AO73)*100,1))</f>
        <v>0</v>
      </c>
      <c r="AR73" s="123"/>
      <c r="AS73" s="123"/>
      <c r="AT73" s="123"/>
      <c r="AU73" s="160"/>
    </row>
    <row r="74" spans="1:47" x14ac:dyDescent="0.3">
      <c r="L74" s="123"/>
      <c r="M74" s="123"/>
      <c r="N74" s="123"/>
      <c r="O74" s="123"/>
      <c r="P74" s="123"/>
      <c r="Q74" s="123"/>
      <c r="R74" s="123"/>
      <c r="T74" s="41">
        <v>6</v>
      </c>
      <c r="V74" s="42" t="s">
        <v>145</v>
      </c>
      <c r="Y74" s="3">
        <f>F26</f>
        <v>0</v>
      </c>
      <c r="Z74" s="1"/>
      <c r="AA74" s="3"/>
      <c r="AB74" s="3"/>
      <c r="AC74" s="193">
        <f>INPUT!C88</f>
        <v>117</v>
      </c>
      <c r="AD74" s="194"/>
      <c r="AE74" s="49">
        <f>ROUND(Y74*AC74,0)</f>
        <v>0</v>
      </c>
      <c r="AF74" s="3"/>
      <c r="AG74" s="177">
        <f>ROUND((AE74/AE$91)*100,1)</f>
        <v>0</v>
      </c>
      <c r="AH74" s="4"/>
      <c r="AI74" s="3">
        <f>L26-AE74</f>
        <v>0</v>
      </c>
      <c r="AJ74" s="3"/>
      <c r="AK74" s="223" t="str">
        <f>IF(AE74=0,"0.0 ",ROUND((AI74/AE74)*100,1))</f>
        <v xml:space="preserve">0.0 </v>
      </c>
      <c r="AL74" s="6"/>
      <c r="AM74" s="3"/>
      <c r="AN74" s="3"/>
      <c r="AO74" s="3">
        <f>AE74+AM74</f>
        <v>0</v>
      </c>
      <c r="AP74" s="3"/>
      <c r="AQ74" s="181" t="str">
        <f>IF(AO74=0,"0.0 ",ROUND((AI74/AO74)*100,1))</f>
        <v xml:space="preserve">0.0 </v>
      </c>
      <c r="AR74" s="123"/>
      <c r="AS74" s="123"/>
      <c r="AT74" s="123"/>
      <c r="AU74" s="160"/>
    </row>
    <row r="75" spans="1:47" ht="20.100000000000001" customHeight="1" x14ac:dyDescent="0.3">
      <c r="H75" s="42"/>
      <c r="I75" s="42"/>
      <c r="T75" s="41">
        <v>7</v>
      </c>
      <c r="V75" s="132" t="s">
        <v>137</v>
      </c>
      <c r="Y75" s="145">
        <f>F27</f>
        <v>1006</v>
      </c>
      <c r="Z75" s="1"/>
      <c r="AA75" s="3"/>
      <c r="AB75" s="3"/>
      <c r="AC75" s="7"/>
      <c r="AD75" s="7"/>
      <c r="AE75" s="145">
        <f>SUM(AE72:AE74)</f>
        <v>27120</v>
      </c>
      <c r="AF75" s="3"/>
      <c r="AG75" s="177">
        <f>ROUND((AE75/AE$91)*100,1)</f>
        <v>1.4</v>
      </c>
      <c r="AH75" s="4"/>
      <c r="AI75" s="145">
        <f>SUM(AI72:AI74)</f>
        <v>0</v>
      </c>
      <c r="AJ75" s="3"/>
      <c r="AK75" s="224">
        <f>IF(AE75=0,"0.0 ",ROUND((AI75/AE75)*100,1))</f>
        <v>0</v>
      </c>
      <c r="AL75" s="6"/>
      <c r="AM75" s="145"/>
      <c r="AN75" s="3"/>
      <c r="AO75" s="145">
        <f>SUM(AO72:AO74)</f>
        <v>27120</v>
      </c>
      <c r="AP75" s="3"/>
      <c r="AQ75" s="181">
        <f>IF(AO75=0,"0.0 ",ROUND((AI75/AO75)*100,1))</f>
        <v>0</v>
      </c>
      <c r="AR75" s="123"/>
    </row>
    <row r="76" spans="1:47" x14ac:dyDescent="0.3">
      <c r="L76" s="42"/>
      <c r="M76" s="42"/>
      <c r="Y76" s="3"/>
      <c r="Z76" s="1"/>
      <c r="AA76" s="1"/>
      <c r="AB76" s="1"/>
      <c r="AC76" s="1"/>
      <c r="AD76" s="1"/>
      <c r="AE76" s="1"/>
      <c r="AF76" s="1"/>
      <c r="AG76" s="175"/>
      <c r="AH76" s="1"/>
      <c r="AI76" s="1"/>
      <c r="AJ76" s="1"/>
      <c r="AK76" s="175"/>
      <c r="AL76" s="1"/>
      <c r="AM76" s="1"/>
      <c r="AN76" s="1"/>
      <c r="AO76" s="3"/>
      <c r="AP76" s="3"/>
      <c r="AQ76" s="175"/>
      <c r="AR76" s="184"/>
    </row>
    <row r="77" spans="1:47" x14ac:dyDescent="0.3">
      <c r="L77" s="42"/>
      <c r="M77" s="42"/>
      <c r="T77" s="41">
        <v>8</v>
      </c>
      <c r="V77" s="153" t="s">
        <v>63</v>
      </c>
      <c r="Y77" s="3"/>
      <c r="Z77" s="1"/>
      <c r="AA77" s="1"/>
      <c r="AB77" s="1"/>
      <c r="AC77" s="1"/>
      <c r="AD77" s="1"/>
      <c r="AE77" s="1"/>
      <c r="AF77" s="1"/>
      <c r="AG77" s="175"/>
      <c r="AH77" s="1"/>
      <c r="AI77" s="1"/>
      <c r="AJ77" s="1"/>
      <c r="AK77" s="175"/>
      <c r="AL77" s="1"/>
      <c r="AM77" s="1"/>
      <c r="AN77" s="1"/>
      <c r="AO77" s="3"/>
      <c r="AP77" s="3"/>
      <c r="AQ77" s="175"/>
      <c r="AR77" s="184"/>
    </row>
    <row r="78" spans="1:47" x14ac:dyDescent="0.3">
      <c r="L78" s="42"/>
      <c r="M78" s="42"/>
      <c r="T78" s="41">
        <v>9</v>
      </c>
      <c r="V78" s="41" t="s">
        <v>151</v>
      </c>
      <c r="Y78" s="3"/>
      <c r="Z78" s="1"/>
      <c r="AA78" s="49">
        <f>H30</f>
        <v>0</v>
      </c>
      <c r="AB78" s="1"/>
      <c r="AC78" s="193">
        <f>INPUT!C92</f>
        <v>0</v>
      </c>
      <c r="AD78" s="1"/>
      <c r="AE78" s="49">
        <f>ROUND(Y78*AC78,0)</f>
        <v>0</v>
      </c>
      <c r="AF78" s="1"/>
      <c r="AG78" s="177">
        <f>ROUND((AE78/AE$91)*100,1)</f>
        <v>0</v>
      </c>
      <c r="AH78" s="1"/>
      <c r="AI78" s="49">
        <f>L30-AE78</f>
        <v>0</v>
      </c>
      <c r="AJ78" s="1"/>
      <c r="AK78" s="223" t="str">
        <f>IF(AE78=0,"0.0 ",ROUND((AI78/AE78)*100,1))</f>
        <v xml:space="preserve">0.0 </v>
      </c>
      <c r="AL78" s="1"/>
      <c r="AM78" s="8"/>
      <c r="AN78" s="1"/>
      <c r="AO78" s="49">
        <f>AE78+AM78</f>
        <v>0</v>
      </c>
      <c r="AP78" s="3"/>
      <c r="AQ78" s="181" t="str">
        <f>IF(AO78=0,"0.0 ",ROUND((AI78/AO78)*100,1))</f>
        <v xml:space="preserve">0.0 </v>
      </c>
      <c r="AR78" s="184"/>
    </row>
    <row r="79" spans="1:47" x14ac:dyDescent="0.3">
      <c r="L79" s="42"/>
      <c r="M79" s="42"/>
      <c r="Y79" s="3"/>
      <c r="Z79" s="1"/>
      <c r="AA79" s="1"/>
      <c r="AB79" s="1"/>
      <c r="AC79" s="1"/>
      <c r="AD79" s="1"/>
      <c r="AE79" s="1"/>
      <c r="AF79" s="1"/>
      <c r="AG79" s="175"/>
      <c r="AH79" s="1"/>
      <c r="AI79" s="1"/>
      <c r="AJ79" s="1"/>
      <c r="AK79" s="175"/>
      <c r="AL79" s="1"/>
      <c r="AM79" s="1"/>
      <c r="AN79" s="1"/>
      <c r="AO79" s="3"/>
      <c r="AP79" s="3"/>
      <c r="AQ79" s="175"/>
      <c r="AR79" s="184"/>
    </row>
    <row r="80" spans="1:47" x14ac:dyDescent="0.3">
      <c r="R80" s="42"/>
      <c r="T80" s="41">
        <v>10</v>
      </c>
      <c r="V80" s="132" t="s">
        <v>374</v>
      </c>
      <c r="Y80" s="3"/>
      <c r="Z80" s="1"/>
      <c r="AA80" s="1"/>
      <c r="AB80" s="1"/>
      <c r="AC80" s="1"/>
      <c r="AD80" s="1"/>
      <c r="AE80" s="1"/>
      <c r="AF80" s="1"/>
      <c r="AG80" s="175"/>
      <c r="AH80" s="1"/>
      <c r="AI80" s="1"/>
      <c r="AJ80" s="1"/>
      <c r="AK80" s="175"/>
      <c r="AL80" s="1"/>
      <c r="AM80" s="1"/>
      <c r="AN80" s="1"/>
      <c r="AO80" s="3"/>
      <c r="AP80" s="3"/>
      <c r="AQ80" s="175"/>
      <c r="AR80" s="184"/>
    </row>
    <row r="81" spans="1:44" x14ac:dyDescent="0.3">
      <c r="A81" s="42"/>
      <c r="R81" s="42"/>
      <c r="T81" s="41">
        <v>11</v>
      </c>
      <c r="V81" s="42" t="s">
        <v>85</v>
      </c>
      <c r="Y81" s="3"/>
      <c r="Z81" s="1"/>
      <c r="AA81" s="49">
        <f>H33</f>
        <v>19145457</v>
      </c>
      <c r="AB81" s="3"/>
      <c r="AC81" s="198">
        <f>INPUT!C90</f>
        <v>9.0635999999999994E-2</v>
      </c>
      <c r="AD81" s="204"/>
      <c r="AE81" s="49">
        <f>ROUND((AA81*AC81),0)</f>
        <v>1735268</v>
      </c>
      <c r="AF81" s="3"/>
      <c r="AG81" s="177">
        <f>ROUND((AE81/AE$91)*100,1)</f>
        <v>92.1</v>
      </c>
      <c r="AH81" s="4"/>
      <c r="AI81" s="49">
        <f>L33-AE81</f>
        <v>271980</v>
      </c>
      <c r="AJ81" s="3"/>
      <c r="AK81" s="223">
        <f>IF(AE81=0,"0.0 ",ROUND((AI81/AE81)*100,1))</f>
        <v>15.7</v>
      </c>
      <c r="AL81" s="6"/>
      <c r="AM81" s="196"/>
      <c r="AN81" s="159"/>
      <c r="AO81" s="49">
        <f>AE81+AM81</f>
        <v>1735268</v>
      </c>
      <c r="AP81" s="3"/>
      <c r="AQ81" s="181">
        <f>IF(AO81=0,"0.0 ",ROUND((AI81/AO81)*100,1))</f>
        <v>15.7</v>
      </c>
      <c r="AR81" s="123"/>
    </row>
    <row r="82" spans="1:44" ht="20.100000000000001" customHeight="1" x14ac:dyDescent="0.3">
      <c r="A82" s="42"/>
      <c r="R82" s="42"/>
      <c r="T82" s="41">
        <v>12</v>
      </c>
      <c r="V82" s="178" t="s">
        <v>445</v>
      </c>
      <c r="Y82" s="49">
        <f>Y75</f>
        <v>1006</v>
      </c>
      <c r="Z82" s="1"/>
      <c r="AA82" s="145">
        <f>AA81</f>
        <v>19145457</v>
      </c>
      <c r="AB82" s="3"/>
      <c r="AC82" s="200"/>
      <c r="AD82" s="204"/>
      <c r="AE82" s="145">
        <f>AE75+AE78+AE81</f>
        <v>1762388</v>
      </c>
      <c r="AF82" s="3"/>
      <c r="AG82" s="180">
        <f>ROUND((AE82/AE$91)*100,1)</f>
        <v>93.5</v>
      </c>
      <c r="AH82" s="4"/>
      <c r="AI82" s="145">
        <f>AI75+AI78+AI81</f>
        <v>271980</v>
      </c>
      <c r="AJ82" s="3"/>
      <c r="AK82" s="224">
        <f>IF(AE82=0,"0.0 ",ROUND((AI82/AE82)*100,1))</f>
        <v>15.4</v>
      </c>
      <c r="AL82" s="6"/>
      <c r="AM82" s="262"/>
      <c r="AN82" s="159"/>
      <c r="AO82" s="145">
        <f>AO75+AO78+AO81</f>
        <v>1762388</v>
      </c>
      <c r="AP82" s="3"/>
      <c r="AQ82" s="181">
        <f>IF(AO82=0,"0.0 ",ROUND((AI82/AO82)*100,1))</f>
        <v>15.4</v>
      </c>
      <c r="AR82" s="123"/>
    </row>
    <row r="83" spans="1:44" x14ac:dyDescent="0.3">
      <c r="A83" s="42"/>
      <c r="R83" s="42"/>
      <c r="V83" s="42"/>
      <c r="Y83" s="3"/>
      <c r="Z83" s="1"/>
      <c r="AA83" s="3"/>
      <c r="AB83" s="3"/>
      <c r="AC83" s="200"/>
      <c r="AD83" s="204"/>
      <c r="AE83" s="3"/>
      <c r="AF83" s="3"/>
      <c r="AG83" s="175"/>
      <c r="AH83" s="4"/>
      <c r="AI83" s="3"/>
      <c r="AJ83" s="3"/>
      <c r="AK83" s="181"/>
      <c r="AL83" s="6"/>
      <c r="AM83" s="159"/>
      <c r="AN83" s="159"/>
      <c r="AO83" s="3"/>
      <c r="AP83" s="3"/>
      <c r="AQ83" s="181"/>
      <c r="AR83" s="123"/>
    </row>
    <row r="84" spans="1:44" x14ac:dyDescent="0.3">
      <c r="A84" s="42"/>
      <c r="R84" s="42"/>
      <c r="T84" s="41">
        <f t="shared" ref="T84:T89" si="0">A36</f>
        <v>13</v>
      </c>
      <c r="V84" s="132" t="s">
        <v>432</v>
      </c>
      <c r="Y84" s="3"/>
      <c r="Z84" s="1"/>
      <c r="AA84" s="3"/>
      <c r="AB84" s="3"/>
      <c r="AC84" s="200"/>
      <c r="AD84" s="204"/>
      <c r="AE84" s="3"/>
      <c r="AF84" s="3"/>
      <c r="AG84" s="175"/>
      <c r="AH84" s="4"/>
      <c r="AI84" s="3"/>
      <c r="AJ84" s="3"/>
      <c r="AK84" s="181"/>
      <c r="AL84" s="6"/>
      <c r="AM84" s="159"/>
      <c r="AN84" s="159"/>
      <c r="AO84" s="3"/>
      <c r="AP84" s="3"/>
      <c r="AQ84" s="181"/>
      <c r="AR84" s="123"/>
    </row>
    <row r="85" spans="1:44" x14ac:dyDescent="0.3">
      <c r="A85" s="42"/>
      <c r="R85" s="42"/>
      <c r="T85" s="41">
        <f t="shared" si="0"/>
        <v>14</v>
      </c>
      <c r="V85" s="192" t="str">
        <f>C37</f>
        <v>DEMAND SIDE MANAGEMENT RIDER (DSMR)</v>
      </c>
      <c r="Y85" s="3"/>
      <c r="Z85" s="1"/>
      <c r="AA85" s="3"/>
      <c r="AB85" s="3"/>
      <c r="AC85" s="217">
        <f>DSM_DIST</f>
        <v>3.503E-3</v>
      </c>
      <c r="AD85" s="204"/>
      <c r="AE85" s="3">
        <f>ROUND($AA$82*AC85,0)</f>
        <v>67067</v>
      </c>
      <c r="AF85" s="3"/>
      <c r="AG85" s="175">
        <f>ROUND((AE85/AE$91)*100,1)</f>
        <v>3.6</v>
      </c>
      <c r="AH85" s="4"/>
      <c r="AI85" s="3">
        <f>L37-AE85</f>
        <v>0</v>
      </c>
      <c r="AJ85" s="3"/>
      <c r="AK85" s="181">
        <f>IF(AE85=0,"0.0 ",ROUND((AI85/AE85)*100,1))</f>
        <v>0</v>
      </c>
      <c r="AL85" s="6"/>
      <c r="AM85" s="159"/>
      <c r="AN85" s="159"/>
      <c r="AO85" s="3">
        <f>AE85+AM85</f>
        <v>67067</v>
      </c>
      <c r="AP85" s="3"/>
      <c r="AQ85" s="181">
        <f>IF(AO85=0,"0.0 ",ROUND((AI85/AO85)*100,1))</f>
        <v>0</v>
      </c>
      <c r="AR85" s="123"/>
    </row>
    <row r="86" spans="1:44" x14ac:dyDescent="0.3">
      <c r="A86" s="42"/>
      <c r="R86" s="42"/>
      <c r="T86" s="41">
        <f t="shared" si="0"/>
        <v>15</v>
      </c>
      <c r="V86" s="192" t="str">
        <f>C38</f>
        <v>ENVIRONMENTAL SURCHARGE MECHANISM RIDER (ESM)</v>
      </c>
      <c r="Y86" s="3"/>
      <c r="Z86" s="1"/>
      <c r="AA86" s="3"/>
      <c r="AB86" s="3"/>
      <c r="AC86" s="231">
        <f>CUR_ESM_NonRes</f>
        <v>6.4941608437496566E-3</v>
      </c>
      <c r="AD86" s="204"/>
      <c r="AE86" s="3">
        <f>ROUND((AO82-(CUR_BASE_FUEL*AA82)+AO85+AO88)*AC86,0)</f>
        <v>7989</v>
      </c>
      <c r="AF86" s="3"/>
      <c r="AG86" s="175">
        <f>ROUND((AE86/AE$91)*100,1)</f>
        <v>0.4</v>
      </c>
      <c r="AH86" s="4"/>
      <c r="AI86" s="3">
        <f>L38-AE86</f>
        <v>722</v>
      </c>
      <c r="AJ86" s="3"/>
      <c r="AK86" s="181">
        <f>IF(AE86=0,"0.0 ",ROUND((AI86/AE86)*100,1))</f>
        <v>9</v>
      </c>
      <c r="AL86" s="6"/>
      <c r="AM86" s="159"/>
      <c r="AN86" s="159"/>
      <c r="AO86" s="3">
        <f>AE86+AM86</f>
        <v>7989</v>
      </c>
      <c r="AP86" s="3"/>
      <c r="AQ86" s="181">
        <f>IF(AO86=0,"0.0 ",ROUND((AI86/AO86)*100,1))</f>
        <v>9</v>
      </c>
      <c r="AR86" s="123"/>
    </row>
    <row r="87" spans="1:44" x14ac:dyDescent="0.3">
      <c r="A87" s="42"/>
      <c r="R87" s="42"/>
      <c r="T87" s="41">
        <f t="shared" si="0"/>
        <v>16</v>
      </c>
      <c r="V87" s="192" t="str">
        <f>C39</f>
        <v>FUEL ADJUSTMENT CLAUSE (FAC)</v>
      </c>
      <c r="Y87" s="3"/>
      <c r="Z87" s="1"/>
      <c r="AA87" s="3"/>
      <c r="AB87" s="3"/>
      <c r="AC87" s="217">
        <f>CUR_FAC</f>
        <v>3.4872127999999998E-3</v>
      </c>
      <c r="AD87" s="204"/>
      <c r="AE87" s="3"/>
      <c r="AF87" s="3"/>
      <c r="AG87" s="175"/>
      <c r="AH87" s="4"/>
      <c r="AI87" s="3"/>
      <c r="AJ87" s="3"/>
      <c r="AK87" s="181"/>
      <c r="AL87" s="6"/>
      <c r="AM87" s="159">
        <f>ROUND(AA82*CUR_FAC,0)</f>
        <v>66764</v>
      </c>
      <c r="AN87" s="159"/>
      <c r="AO87" s="3">
        <f>AE87+AM87</f>
        <v>66764</v>
      </c>
      <c r="AP87" s="3"/>
      <c r="AQ87" s="181">
        <f>IF(AO87=0,"0.0 ",ROUND(((R39-AO87)/AO87)*100,1))</f>
        <v>0</v>
      </c>
      <c r="AR87" s="123"/>
    </row>
    <row r="88" spans="1:44" x14ac:dyDescent="0.3">
      <c r="A88" s="42"/>
      <c r="R88" s="42"/>
      <c r="T88" s="41">
        <f t="shared" si="0"/>
        <v>17</v>
      </c>
      <c r="V88" s="192" t="str">
        <f>C40</f>
        <v>PROFIT SHARING MECHANISM (PSM)</v>
      </c>
      <c r="Y88" s="3"/>
      <c r="Z88" s="1"/>
      <c r="AA88" s="3"/>
      <c r="AB88" s="3"/>
      <c r="AC88" s="217">
        <f>RS_PSM</f>
        <v>2.4750000000000002E-3</v>
      </c>
      <c r="AD88" s="204"/>
      <c r="AE88" s="49">
        <f>ROUND(AA82*RS_PSM,0)</f>
        <v>47385</v>
      </c>
      <c r="AF88" s="3"/>
      <c r="AG88" s="177">
        <f>ROUND((AE88/AE$91)*100,1)</f>
        <v>2.5</v>
      </c>
      <c r="AH88" s="4"/>
      <c r="AI88" s="3">
        <f>L40-AE88</f>
        <v>0</v>
      </c>
      <c r="AJ88" s="3"/>
      <c r="AK88" s="223">
        <f>IF(AE88=0,"0.0 ",ROUND((AI88/AE88)*100,1))</f>
        <v>0</v>
      </c>
      <c r="AL88" s="6"/>
      <c r="AM88" s="196"/>
      <c r="AN88" s="159"/>
      <c r="AO88" s="49">
        <f>AE88+AM88</f>
        <v>47385</v>
      </c>
      <c r="AP88" s="3"/>
      <c r="AQ88" s="181">
        <f>IF(AO88=0,"0.0 ",ROUND((AI88/AO88)*100,1))</f>
        <v>0</v>
      </c>
      <c r="AR88" s="123"/>
    </row>
    <row r="89" spans="1:44" ht="20.100000000000001" customHeight="1" x14ac:dyDescent="0.3">
      <c r="A89" s="42"/>
      <c r="R89" s="42"/>
      <c r="T89" s="41">
        <f t="shared" si="0"/>
        <v>18</v>
      </c>
      <c r="V89" s="132" t="s">
        <v>437</v>
      </c>
      <c r="Y89" s="49"/>
      <c r="Z89" s="1"/>
      <c r="AA89" s="49"/>
      <c r="AB89" s="3"/>
      <c r="AC89" s="200"/>
      <c r="AD89" s="204"/>
      <c r="AE89" s="145">
        <f>SUM(AE85:AE88)</f>
        <v>122441</v>
      </c>
      <c r="AF89" s="3"/>
      <c r="AG89" s="180">
        <f>ROUND((AE89/AE$91)*100,1)</f>
        <v>6.5</v>
      </c>
      <c r="AH89" s="4"/>
      <c r="AI89" s="145">
        <f>SUM(AI85:AI88)</f>
        <v>722</v>
      </c>
      <c r="AJ89" s="3"/>
      <c r="AK89" s="224">
        <f>IF(AE89=0,"0.0 ",ROUND((AI89/AE89)*100,1))</f>
        <v>0.6</v>
      </c>
      <c r="AL89" s="6"/>
      <c r="AM89" s="262">
        <f>SUM(AM85:AM88)</f>
        <v>66764</v>
      </c>
      <c r="AN89" s="159"/>
      <c r="AO89" s="145">
        <f>SUM(AO85:AO88)</f>
        <v>189205</v>
      </c>
      <c r="AP89" s="3"/>
      <c r="AQ89" s="181">
        <f>IF(AO89=0,"0.0 ",ROUND((AI89/AO89)*100,1))</f>
        <v>0.4</v>
      </c>
      <c r="AR89" s="123"/>
    </row>
    <row r="90" spans="1:44" x14ac:dyDescent="0.3">
      <c r="A90" s="42"/>
      <c r="R90" s="42"/>
      <c r="V90" s="42"/>
      <c r="Y90" s="3"/>
      <c r="Z90" s="1"/>
      <c r="AA90" s="3"/>
      <c r="AB90" s="3"/>
      <c r="AC90" s="200"/>
      <c r="AD90" s="204"/>
      <c r="AE90" s="3"/>
      <c r="AF90" s="3"/>
      <c r="AG90" s="175"/>
      <c r="AH90" s="4"/>
      <c r="AI90" s="3"/>
      <c r="AJ90" s="3"/>
      <c r="AK90" s="181"/>
      <c r="AL90" s="6"/>
      <c r="AM90" s="159"/>
      <c r="AN90" s="159"/>
      <c r="AO90" s="3"/>
      <c r="AP90" s="3"/>
      <c r="AQ90" s="181"/>
      <c r="AR90" s="123"/>
    </row>
    <row r="91" spans="1:44" ht="20.100000000000001" customHeight="1" thickBot="1" x14ac:dyDescent="0.35">
      <c r="L91" s="44"/>
      <c r="M91" s="44"/>
      <c r="N91" s="44"/>
      <c r="O91" s="44"/>
      <c r="R91" s="44"/>
      <c r="T91" s="41">
        <f>A43</f>
        <v>19</v>
      </c>
      <c r="V91" s="132" t="s">
        <v>446</v>
      </c>
      <c r="Y91" s="151">
        <f>Y82</f>
        <v>1006</v>
      </c>
      <c r="Z91" s="1"/>
      <c r="AA91" s="151">
        <f>AA82</f>
        <v>19145457</v>
      </c>
      <c r="AB91" s="3"/>
      <c r="AC91" s="261"/>
      <c r="AD91" s="261"/>
      <c r="AE91" s="151">
        <f>AE89+AE82</f>
        <v>1884829</v>
      </c>
      <c r="AF91" s="3"/>
      <c r="AG91" s="187">
        <v>100</v>
      </c>
      <c r="AH91" s="4"/>
      <c r="AI91" s="151">
        <f>AI89+AI82</f>
        <v>272702</v>
      </c>
      <c r="AJ91" s="3"/>
      <c r="AK91" s="232">
        <f>IF(AE91=0,"0.0 ",ROUND((AI91/AE91)*100,1))</f>
        <v>14.5</v>
      </c>
      <c r="AL91" s="6"/>
      <c r="AM91" s="151">
        <f>AM89+AM82</f>
        <v>66764</v>
      </c>
      <c r="AN91" s="3"/>
      <c r="AO91" s="151">
        <f>AO89+AO82</f>
        <v>1951593</v>
      </c>
      <c r="AP91" s="3"/>
      <c r="AQ91" s="181">
        <f>IF(AO91=0,"0.0 ",ROUND((AI91/AO91)*100,1))</f>
        <v>14</v>
      </c>
    </row>
    <row r="92" spans="1:44" ht="16.2" thickTop="1" x14ac:dyDescent="0.3">
      <c r="C92" s="44"/>
      <c r="D92" s="44"/>
      <c r="E92" s="44"/>
      <c r="F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Y92" s="1"/>
      <c r="Z92" s="1"/>
      <c r="AA92" s="1"/>
      <c r="AB92" s="1"/>
      <c r="AC92" s="1"/>
      <c r="AD92" s="1"/>
      <c r="AE92" s="1"/>
      <c r="AF92" s="1"/>
      <c r="AG92" s="175"/>
      <c r="AH92" s="1"/>
      <c r="AI92" s="1"/>
      <c r="AJ92" s="1"/>
      <c r="AK92" s="175"/>
      <c r="AL92" s="3"/>
      <c r="AM92" s="1"/>
      <c r="AN92" s="1"/>
      <c r="AO92" s="1"/>
      <c r="AP92" s="1"/>
      <c r="AQ92" s="175"/>
    </row>
    <row r="93" spans="1:44" x14ac:dyDescent="0.3"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V93" s="202" t="s">
        <v>59</v>
      </c>
      <c r="Y93" s="123"/>
      <c r="AA93" s="123"/>
      <c r="AB93" s="123"/>
      <c r="AC93" s="219"/>
      <c r="AD93" s="219"/>
      <c r="AE93" s="123"/>
      <c r="AF93" s="123"/>
      <c r="AH93" s="123"/>
      <c r="AI93" s="123"/>
      <c r="AJ93" s="123"/>
      <c r="AL93" s="123"/>
    </row>
    <row r="94" spans="1:44" x14ac:dyDescent="0.3"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V94" s="202" t="str">
        <f>"(2) REFLECTS FUEL COMPONENT OF "&amp;TEXT(CUR_FAC,"$0.000000;($0.000000)")&amp;"  PER KWH."</f>
        <v>(2) REFLECTS FUEL COMPONENT OF $0.003487  PER KWH.</v>
      </c>
      <c r="Y94" s="123"/>
      <c r="AA94" s="123"/>
      <c r="AB94" s="123"/>
      <c r="AC94" s="219"/>
      <c r="AD94" s="219"/>
      <c r="AE94" s="123"/>
      <c r="AF94" s="123"/>
      <c r="AH94" s="123"/>
      <c r="AI94" s="123"/>
      <c r="AJ94" s="123"/>
      <c r="AL94" s="123"/>
    </row>
    <row r="95" spans="1:44" x14ac:dyDescent="0.3">
      <c r="C95" s="42"/>
      <c r="D95" s="42"/>
      <c r="E95" s="42"/>
      <c r="T95" s="135"/>
      <c r="U95" s="135"/>
      <c r="V95" s="202" t="str">
        <f>"(3) REFLECTS FUEL COST RECOVERY INCLUDED IN BASE RATES OF "&amp;TEXT(CUR_BASE_FUEL,"$0.000000;($0.000000)")&amp;"  PER KWH."</f>
        <v>(3) REFLECTS FUEL COST RECOVERY INCLUDED IN BASE RATES OF $0.033780  PER KWH.</v>
      </c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207"/>
      <c r="AH95" s="135"/>
      <c r="AI95" s="135"/>
      <c r="AJ95" s="135"/>
      <c r="AK95" s="207"/>
      <c r="AL95" s="135"/>
      <c r="AM95" s="135"/>
      <c r="AN95" s="135"/>
    </row>
    <row r="96" spans="1:44" x14ac:dyDescent="0.3">
      <c r="C96" s="42"/>
      <c r="AA96" s="44"/>
      <c r="AB96" s="44"/>
      <c r="AC96" s="44"/>
      <c r="AD96" s="44"/>
      <c r="AE96" s="44"/>
      <c r="AF96" s="44"/>
      <c r="AG96" s="168"/>
      <c r="AH96" s="44"/>
      <c r="AK96" s="168"/>
      <c r="AL96" s="44"/>
      <c r="AM96" s="44"/>
      <c r="AN96" s="44"/>
    </row>
    <row r="97" spans="3:40" x14ac:dyDescent="0.3">
      <c r="Z97" s="44"/>
      <c r="AA97" s="44"/>
      <c r="AB97" s="44"/>
      <c r="AC97" s="44"/>
      <c r="AD97" s="44"/>
      <c r="AE97" s="44"/>
      <c r="AF97" s="44"/>
      <c r="AG97" s="168"/>
      <c r="AH97" s="44"/>
      <c r="AK97" s="168"/>
      <c r="AL97" s="44"/>
      <c r="AM97" s="44"/>
      <c r="AN97" s="44"/>
    </row>
    <row r="98" spans="3:40" x14ac:dyDescent="0.3">
      <c r="C98" s="42"/>
      <c r="T98" s="44"/>
      <c r="U98" s="44"/>
      <c r="V98" s="44"/>
      <c r="Z98" s="44"/>
      <c r="AA98" s="44"/>
      <c r="AB98" s="44"/>
      <c r="AC98" s="44"/>
      <c r="AD98" s="44"/>
      <c r="AE98" s="44"/>
      <c r="AF98" s="44"/>
      <c r="AG98" s="168"/>
      <c r="AH98" s="44"/>
      <c r="AI98" s="44"/>
      <c r="AJ98" s="44"/>
      <c r="AK98" s="168"/>
      <c r="AL98" s="44"/>
      <c r="AM98" s="44"/>
      <c r="AN98" s="44"/>
    </row>
    <row r="99" spans="3:40" x14ac:dyDescent="0.3">
      <c r="C99" s="42"/>
      <c r="F99" s="184"/>
      <c r="H99" s="184"/>
      <c r="I99" s="184"/>
      <c r="J99" s="193"/>
      <c r="K99" s="193"/>
      <c r="L99" s="123"/>
      <c r="M99" s="123"/>
      <c r="N99" s="160"/>
      <c r="O99" s="160"/>
      <c r="R99" s="123"/>
      <c r="T99" s="44"/>
      <c r="U99" s="44"/>
      <c r="V99" s="44"/>
      <c r="Y99" s="44"/>
      <c r="Z99" s="44"/>
      <c r="AA99" s="44"/>
      <c r="AB99" s="44"/>
      <c r="AC99" s="44"/>
      <c r="AD99" s="44"/>
      <c r="AE99" s="44"/>
      <c r="AF99" s="44"/>
      <c r="AG99" s="168"/>
      <c r="AH99" s="44"/>
      <c r="AI99" s="44"/>
      <c r="AJ99" s="44"/>
      <c r="AK99" s="168"/>
      <c r="AL99" s="44"/>
      <c r="AM99" s="44"/>
      <c r="AN99" s="44"/>
    </row>
    <row r="100" spans="3:40" x14ac:dyDescent="0.3">
      <c r="C100" s="42"/>
      <c r="F100" s="184"/>
      <c r="H100" s="184"/>
      <c r="I100" s="184"/>
      <c r="J100" s="193"/>
      <c r="K100" s="193"/>
      <c r="L100" s="123"/>
      <c r="M100" s="123"/>
      <c r="N100" s="160"/>
      <c r="O100" s="160"/>
      <c r="R100" s="123"/>
      <c r="T100" s="44"/>
      <c r="U100" s="44"/>
      <c r="V100" s="44"/>
      <c r="Y100" s="44"/>
      <c r="Z100" s="44"/>
      <c r="AA100" s="44"/>
      <c r="AB100" s="44"/>
      <c r="AC100" s="44"/>
      <c r="AD100" s="44"/>
      <c r="AE100" s="44"/>
      <c r="AF100" s="44"/>
      <c r="AG100" s="168"/>
      <c r="AH100" s="44"/>
      <c r="AI100" s="44"/>
      <c r="AJ100" s="44"/>
      <c r="AK100" s="168"/>
      <c r="AL100" s="44"/>
      <c r="AM100" s="44"/>
      <c r="AN100" s="44"/>
    </row>
    <row r="101" spans="3:40" x14ac:dyDescent="0.3">
      <c r="C101" s="42"/>
      <c r="F101" s="184"/>
      <c r="H101" s="184"/>
      <c r="I101" s="184"/>
      <c r="J101" s="193"/>
      <c r="K101" s="193"/>
      <c r="L101" s="123"/>
      <c r="M101" s="123"/>
      <c r="N101" s="160"/>
      <c r="O101" s="160"/>
      <c r="R101" s="123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207"/>
      <c r="AH101" s="135"/>
      <c r="AI101" s="135"/>
      <c r="AJ101" s="135"/>
      <c r="AK101" s="207"/>
      <c r="AL101" s="135"/>
      <c r="AM101" s="135"/>
      <c r="AN101" s="135"/>
    </row>
    <row r="102" spans="3:40" x14ac:dyDescent="0.3">
      <c r="F102" s="210"/>
      <c r="H102" s="123"/>
      <c r="I102" s="123"/>
      <c r="J102" s="213"/>
      <c r="K102" s="213"/>
      <c r="L102" s="210"/>
      <c r="M102" s="210"/>
      <c r="N102" s="210"/>
      <c r="O102" s="210"/>
      <c r="P102" s="210"/>
      <c r="Q102" s="210"/>
      <c r="R102" s="210"/>
      <c r="Y102" s="44"/>
      <c r="Z102" s="44"/>
      <c r="AA102" s="44"/>
      <c r="AB102" s="44"/>
      <c r="AC102" s="44"/>
      <c r="AD102" s="44"/>
      <c r="AE102" s="44"/>
      <c r="AF102" s="44"/>
      <c r="AG102" s="168"/>
      <c r="AH102" s="44"/>
      <c r="AI102" s="44"/>
      <c r="AJ102" s="44"/>
      <c r="AK102" s="168"/>
      <c r="AL102" s="44"/>
      <c r="AM102" s="44"/>
      <c r="AN102" s="44"/>
    </row>
    <row r="103" spans="3:40" x14ac:dyDescent="0.3">
      <c r="C103" s="42"/>
      <c r="F103" s="123"/>
      <c r="H103" s="123"/>
      <c r="I103" s="123"/>
      <c r="J103" s="213"/>
      <c r="K103" s="213"/>
      <c r="L103" s="123"/>
      <c r="M103" s="123"/>
      <c r="N103" s="160"/>
      <c r="O103" s="160"/>
      <c r="P103" s="123"/>
      <c r="Q103" s="123"/>
      <c r="R103" s="123"/>
      <c r="T103" s="42"/>
      <c r="U103" s="42"/>
    </row>
    <row r="104" spans="3:40" x14ac:dyDescent="0.3">
      <c r="F104" s="210"/>
      <c r="H104" s="123"/>
      <c r="I104" s="123"/>
      <c r="J104" s="213"/>
      <c r="K104" s="213"/>
      <c r="L104" s="210"/>
      <c r="M104" s="210"/>
      <c r="N104" s="210"/>
      <c r="O104" s="210"/>
      <c r="P104" s="210"/>
      <c r="Q104" s="210"/>
      <c r="R104" s="210"/>
      <c r="T104" s="42"/>
    </row>
    <row r="105" spans="3:40" x14ac:dyDescent="0.3">
      <c r="C105" s="42"/>
      <c r="F105" s="184"/>
      <c r="H105" s="184"/>
      <c r="I105" s="184"/>
      <c r="J105" s="237"/>
      <c r="K105" s="237"/>
      <c r="L105" s="123"/>
      <c r="M105" s="123"/>
      <c r="N105" s="160"/>
      <c r="O105" s="160"/>
      <c r="P105" s="123"/>
      <c r="Q105" s="123"/>
      <c r="R105" s="123"/>
      <c r="S105" s="123"/>
    </row>
    <row r="106" spans="3:40" x14ac:dyDescent="0.3">
      <c r="C106" s="42"/>
      <c r="F106" s="184"/>
      <c r="H106" s="184"/>
      <c r="I106" s="184"/>
      <c r="J106" s="193"/>
      <c r="K106" s="193"/>
      <c r="L106" s="123"/>
      <c r="M106" s="123"/>
      <c r="N106" s="160"/>
      <c r="O106" s="160"/>
      <c r="P106" s="123"/>
      <c r="Q106" s="123"/>
      <c r="R106" s="123"/>
      <c r="T106" s="42"/>
    </row>
    <row r="107" spans="3:40" x14ac:dyDescent="0.3">
      <c r="C107" s="42"/>
      <c r="F107" s="184"/>
      <c r="H107" s="184"/>
      <c r="I107" s="184"/>
      <c r="J107" s="193"/>
      <c r="K107" s="193"/>
      <c r="L107" s="123"/>
      <c r="M107" s="123"/>
      <c r="N107" s="160"/>
      <c r="O107" s="160"/>
      <c r="P107" s="123"/>
      <c r="Q107" s="123"/>
      <c r="R107" s="123"/>
      <c r="T107" s="42"/>
      <c r="V107" s="123"/>
      <c r="Y107" s="184"/>
      <c r="Z107" s="193"/>
      <c r="AA107" s="123"/>
      <c r="AB107" s="123"/>
      <c r="AC107" s="160"/>
      <c r="AD107" s="160"/>
      <c r="AE107" s="123"/>
      <c r="AF107" s="123"/>
      <c r="AG107" s="233"/>
      <c r="AH107" s="234"/>
      <c r="AL107" s="123"/>
      <c r="AM107" s="235"/>
      <c r="AN107" s="235"/>
    </row>
    <row r="108" spans="3:40" x14ac:dyDescent="0.3">
      <c r="F108" s="123"/>
      <c r="H108" s="210"/>
      <c r="I108" s="210"/>
      <c r="J108" s="213"/>
      <c r="K108" s="213"/>
      <c r="L108" s="210"/>
      <c r="M108" s="210"/>
      <c r="N108" s="210"/>
      <c r="O108" s="210"/>
      <c r="P108" s="210"/>
      <c r="Q108" s="210"/>
      <c r="R108" s="210"/>
      <c r="T108" s="42"/>
      <c r="V108" s="123"/>
      <c r="Y108" s="184"/>
      <c r="Z108" s="193"/>
      <c r="AA108" s="123"/>
      <c r="AB108" s="123"/>
      <c r="AC108" s="160"/>
      <c r="AD108" s="160"/>
      <c r="AE108" s="123"/>
      <c r="AF108" s="123"/>
      <c r="AH108" s="236"/>
      <c r="AL108" s="123"/>
      <c r="AM108" s="160"/>
      <c r="AN108" s="160"/>
    </row>
    <row r="109" spans="3:40" x14ac:dyDescent="0.3">
      <c r="C109" s="42"/>
      <c r="F109" s="123"/>
      <c r="H109" s="123"/>
      <c r="I109" s="123"/>
      <c r="J109" s="213"/>
      <c r="K109" s="213"/>
      <c r="L109" s="123"/>
      <c r="M109" s="123"/>
      <c r="N109" s="160"/>
      <c r="O109" s="160"/>
      <c r="P109" s="123"/>
      <c r="Q109" s="123"/>
      <c r="R109" s="123"/>
      <c r="T109" s="42"/>
      <c r="V109" s="123"/>
      <c r="Y109" s="184"/>
      <c r="Z109" s="193"/>
      <c r="AA109" s="123"/>
      <c r="AB109" s="123"/>
      <c r="AC109" s="160"/>
      <c r="AD109" s="160"/>
      <c r="AE109" s="123"/>
      <c r="AF109" s="123"/>
      <c r="AH109" s="236"/>
      <c r="AL109" s="123"/>
      <c r="AM109" s="160"/>
      <c r="AN109" s="160"/>
    </row>
    <row r="110" spans="3:40" x14ac:dyDescent="0.3">
      <c r="F110" s="123"/>
      <c r="H110" s="210"/>
      <c r="I110" s="210"/>
      <c r="J110" s="213"/>
      <c r="K110" s="213"/>
      <c r="L110" s="210"/>
      <c r="M110" s="210"/>
      <c r="N110" s="210"/>
      <c r="O110" s="210"/>
      <c r="P110" s="210"/>
      <c r="Q110" s="210"/>
      <c r="R110" s="210"/>
      <c r="V110" s="210"/>
      <c r="Y110" s="123"/>
      <c r="Z110" s="213"/>
      <c r="AA110" s="210"/>
      <c r="AB110" s="210"/>
      <c r="AC110" s="210"/>
      <c r="AD110" s="210"/>
      <c r="AE110" s="210"/>
      <c r="AF110" s="210"/>
      <c r="AI110" s="210"/>
      <c r="AJ110" s="210"/>
      <c r="AK110" s="214"/>
      <c r="AL110" s="210"/>
      <c r="AM110" s="160"/>
      <c r="AN110" s="160"/>
    </row>
    <row r="111" spans="3:40" x14ac:dyDescent="0.3">
      <c r="C111" s="42"/>
      <c r="F111" s="123"/>
      <c r="H111" s="123"/>
      <c r="I111" s="123"/>
      <c r="J111" s="213"/>
      <c r="K111" s="213"/>
      <c r="L111" s="123"/>
      <c r="M111" s="123"/>
      <c r="N111" s="123"/>
      <c r="O111" s="123"/>
      <c r="P111" s="123"/>
      <c r="Q111" s="123"/>
      <c r="R111" s="123"/>
      <c r="T111" s="42"/>
      <c r="V111" s="123"/>
      <c r="Y111" s="123"/>
      <c r="Z111" s="219"/>
      <c r="AA111" s="123"/>
      <c r="AB111" s="123"/>
      <c r="AC111" s="160"/>
      <c r="AD111" s="160"/>
      <c r="AE111" s="123"/>
      <c r="AF111" s="123"/>
      <c r="AH111" s="236"/>
      <c r="AI111" s="123"/>
      <c r="AJ111" s="123"/>
      <c r="AL111" s="123"/>
      <c r="AM111" s="160"/>
      <c r="AN111" s="160"/>
    </row>
    <row r="112" spans="3:40" x14ac:dyDescent="0.3">
      <c r="C112" s="42"/>
      <c r="F112" s="123"/>
      <c r="H112" s="184"/>
      <c r="I112" s="184"/>
      <c r="J112" s="238"/>
      <c r="K112" s="238"/>
      <c r="L112" s="123"/>
      <c r="M112" s="123"/>
      <c r="N112" s="160"/>
      <c r="O112" s="160"/>
      <c r="P112" s="123"/>
      <c r="Q112" s="123"/>
      <c r="R112" s="123"/>
      <c r="V112" s="210"/>
      <c r="Y112" s="123"/>
      <c r="Z112" s="213"/>
      <c r="AA112" s="210"/>
      <c r="AB112" s="210"/>
      <c r="AC112" s="210"/>
      <c r="AD112" s="210"/>
      <c r="AE112" s="210"/>
      <c r="AF112" s="210"/>
      <c r="AI112" s="210"/>
      <c r="AJ112" s="210"/>
      <c r="AK112" s="214"/>
      <c r="AL112" s="210"/>
      <c r="AM112" s="160"/>
      <c r="AN112" s="160"/>
    </row>
    <row r="113" spans="3:40" x14ac:dyDescent="0.3">
      <c r="C113" s="42"/>
      <c r="H113" s="184"/>
      <c r="I113" s="184"/>
      <c r="J113" s="238"/>
      <c r="K113" s="238"/>
      <c r="L113" s="123"/>
      <c r="M113" s="123"/>
      <c r="N113" s="160"/>
      <c r="O113" s="160"/>
      <c r="P113" s="123"/>
      <c r="Q113" s="123"/>
      <c r="R113" s="123"/>
      <c r="T113" s="42"/>
      <c r="V113" s="184"/>
      <c r="Y113" s="184"/>
      <c r="Z113" s="237"/>
      <c r="AA113" s="123"/>
      <c r="AB113" s="123"/>
      <c r="AC113" s="160"/>
      <c r="AD113" s="160"/>
      <c r="AE113" s="123"/>
      <c r="AF113" s="123"/>
      <c r="AH113" s="160"/>
      <c r="AI113" s="123"/>
      <c r="AJ113" s="123"/>
      <c r="AL113" s="123"/>
      <c r="AM113" s="160"/>
      <c r="AN113" s="160"/>
    </row>
    <row r="114" spans="3:40" x14ac:dyDescent="0.3">
      <c r="F114" s="123"/>
      <c r="H114" s="123"/>
      <c r="I114" s="123"/>
      <c r="J114" s="213"/>
      <c r="K114" s="213"/>
      <c r="L114" s="210"/>
      <c r="M114" s="210"/>
      <c r="N114" s="210"/>
      <c r="O114" s="210"/>
      <c r="P114" s="210"/>
      <c r="Q114" s="210"/>
      <c r="R114" s="210"/>
      <c r="T114" s="42"/>
      <c r="V114" s="184"/>
      <c r="Y114" s="123"/>
      <c r="Z114" s="193"/>
      <c r="AA114" s="123"/>
      <c r="AB114" s="123"/>
      <c r="AC114" s="160"/>
      <c r="AD114" s="160"/>
      <c r="AE114" s="123"/>
      <c r="AF114" s="123"/>
      <c r="AH114" s="236"/>
      <c r="AI114" s="123"/>
      <c r="AJ114" s="123"/>
      <c r="AL114" s="123"/>
      <c r="AM114" s="160"/>
      <c r="AN114" s="160"/>
    </row>
    <row r="115" spans="3:40" x14ac:dyDescent="0.3">
      <c r="C115" s="42"/>
      <c r="F115" s="123"/>
      <c r="H115" s="123"/>
      <c r="I115" s="123"/>
      <c r="J115" s="219"/>
      <c r="K115" s="219"/>
      <c r="L115" s="123"/>
      <c r="M115" s="123"/>
      <c r="N115" s="160"/>
      <c r="O115" s="160"/>
      <c r="P115" s="123"/>
      <c r="Q115" s="123"/>
      <c r="R115" s="123"/>
      <c r="T115" s="42"/>
      <c r="V115" s="184"/>
      <c r="Y115" s="123"/>
      <c r="Z115" s="193"/>
      <c r="AA115" s="123"/>
      <c r="AB115" s="123"/>
      <c r="AC115" s="160"/>
      <c r="AD115" s="160"/>
      <c r="AE115" s="123"/>
      <c r="AF115" s="123"/>
      <c r="AH115" s="236"/>
      <c r="AI115" s="123"/>
      <c r="AJ115" s="123"/>
      <c r="AL115" s="123"/>
      <c r="AM115" s="160"/>
      <c r="AN115" s="160"/>
    </row>
    <row r="116" spans="3:40" x14ac:dyDescent="0.3">
      <c r="F116" s="123"/>
      <c r="H116" s="123"/>
      <c r="I116" s="123"/>
      <c r="J116" s="213"/>
      <c r="K116" s="213"/>
      <c r="L116" s="210"/>
      <c r="M116" s="210"/>
      <c r="N116" s="210"/>
      <c r="O116" s="210"/>
      <c r="P116" s="210"/>
      <c r="Q116" s="210"/>
      <c r="R116" s="210"/>
      <c r="V116" s="123"/>
      <c r="Y116" s="210"/>
      <c r="Z116" s="213"/>
      <c r="AA116" s="210"/>
      <c r="AB116" s="210"/>
      <c r="AC116" s="210"/>
      <c r="AD116" s="210"/>
      <c r="AE116" s="210"/>
      <c r="AF116" s="210"/>
      <c r="AI116" s="210"/>
      <c r="AJ116" s="210"/>
      <c r="AK116" s="214"/>
      <c r="AL116" s="210"/>
      <c r="AM116" s="160"/>
      <c r="AN116" s="160"/>
    </row>
    <row r="117" spans="3:40" x14ac:dyDescent="0.3">
      <c r="C117" s="42"/>
      <c r="F117" s="123"/>
      <c r="H117" s="123"/>
      <c r="I117" s="123"/>
      <c r="J117" s="219"/>
      <c r="K117" s="219"/>
      <c r="L117" s="123"/>
      <c r="M117" s="123"/>
      <c r="N117" s="160"/>
      <c r="O117" s="160"/>
      <c r="P117" s="123"/>
      <c r="Q117" s="123"/>
      <c r="R117" s="123"/>
      <c r="T117" s="42"/>
      <c r="V117" s="123"/>
      <c r="Y117" s="123"/>
      <c r="Z117" s="213"/>
      <c r="AA117" s="123"/>
      <c r="AB117" s="123"/>
      <c r="AC117" s="160"/>
      <c r="AD117" s="160"/>
      <c r="AE117" s="123"/>
      <c r="AF117" s="123"/>
      <c r="AH117" s="236"/>
      <c r="AI117" s="123"/>
      <c r="AJ117" s="123"/>
      <c r="AL117" s="123"/>
      <c r="AM117" s="160"/>
      <c r="AN117" s="160"/>
    </row>
    <row r="118" spans="3:40" x14ac:dyDescent="0.3">
      <c r="C118" s="42"/>
      <c r="F118" s="123"/>
      <c r="H118" s="184"/>
      <c r="I118" s="184"/>
      <c r="J118" s="227"/>
      <c r="K118" s="227"/>
      <c r="L118" s="123"/>
      <c r="M118" s="123"/>
      <c r="N118" s="160"/>
      <c r="O118" s="160"/>
      <c r="P118" s="123"/>
      <c r="Q118" s="123"/>
      <c r="R118" s="123"/>
      <c r="V118" s="123"/>
      <c r="Y118" s="210"/>
      <c r="Z118" s="213"/>
      <c r="AA118" s="210"/>
      <c r="AB118" s="210"/>
      <c r="AC118" s="210"/>
      <c r="AD118" s="210"/>
      <c r="AE118" s="210"/>
      <c r="AF118" s="210"/>
      <c r="AI118" s="210"/>
      <c r="AJ118" s="210"/>
      <c r="AK118" s="214"/>
      <c r="AL118" s="210"/>
      <c r="AM118" s="160"/>
      <c r="AN118" s="160"/>
    </row>
    <row r="119" spans="3:40" x14ac:dyDescent="0.3">
      <c r="F119" s="210"/>
      <c r="H119" s="210"/>
      <c r="I119" s="210"/>
      <c r="J119" s="213"/>
      <c r="K119" s="213"/>
      <c r="L119" s="210"/>
      <c r="M119" s="210"/>
      <c r="N119" s="210"/>
      <c r="O119" s="210"/>
      <c r="P119" s="210"/>
      <c r="Q119" s="210"/>
      <c r="R119" s="210"/>
      <c r="T119" s="42"/>
      <c r="V119" s="123"/>
      <c r="Y119" s="123"/>
      <c r="Z119" s="213"/>
      <c r="AA119" s="123"/>
      <c r="AB119" s="123"/>
      <c r="AC119" s="123"/>
      <c r="AD119" s="123"/>
      <c r="AE119" s="123"/>
      <c r="AF119" s="123"/>
      <c r="AH119" s="236"/>
      <c r="AI119" s="123"/>
      <c r="AJ119" s="123"/>
      <c r="AL119" s="123"/>
      <c r="AM119" s="160"/>
      <c r="AN119" s="160"/>
    </row>
    <row r="120" spans="3:40" x14ac:dyDescent="0.3">
      <c r="C120" s="42"/>
      <c r="F120" s="123"/>
      <c r="H120" s="123"/>
      <c r="I120" s="123"/>
      <c r="J120" s="213"/>
      <c r="K120" s="213"/>
      <c r="L120" s="123"/>
      <c r="M120" s="123"/>
      <c r="N120" s="160"/>
      <c r="O120" s="160"/>
      <c r="P120" s="123"/>
      <c r="Q120" s="123"/>
      <c r="R120" s="123"/>
      <c r="S120" s="123"/>
      <c r="T120" s="42"/>
      <c r="V120" s="123"/>
      <c r="Y120" s="123"/>
      <c r="Z120" s="238"/>
      <c r="AA120" s="123"/>
      <c r="AB120" s="123"/>
      <c r="AC120" s="160"/>
      <c r="AD120" s="160"/>
      <c r="AE120" s="123"/>
      <c r="AF120" s="123"/>
      <c r="AH120" s="236"/>
      <c r="AI120" s="123"/>
      <c r="AJ120" s="123"/>
      <c r="AL120" s="123"/>
      <c r="AM120" s="160"/>
      <c r="AN120" s="160"/>
    </row>
    <row r="121" spans="3:40" x14ac:dyDescent="0.3">
      <c r="F121" s="210"/>
      <c r="H121" s="210"/>
      <c r="I121" s="210"/>
      <c r="J121" s="213"/>
      <c r="K121" s="213"/>
      <c r="L121" s="210"/>
      <c r="M121" s="210"/>
      <c r="N121" s="210"/>
      <c r="O121" s="210"/>
      <c r="P121" s="210"/>
      <c r="Q121" s="210"/>
      <c r="R121" s="210"/>
      <c r="S121" s="123"/>
      <c r="T121" s="42"/>
      <c r="Y121" s="123"/>
      <c r="Z121" s="238"/>
      <c r="AA121" s="123"/>
      <c r="AB121" s="123"/>
      <c r="AC121" s="160"/>
      <c r="AD121" s="160"/>
      <c r="AE121" s="123"/>
      <c r="AF121" s="123"/>
      <c r="AH121" s="236"/>
      <c r="AI121" s="123"/>
      <c r="AJ121" s="123"/>
      <c r="AL121" s="123"/>
      <c r="AM121" s="160"/>
      <c r="AN121" s="160"/>
    </row>
    <row r="122" spans="3:40" x14ac:dyDescent="0.3">
      <c r="C122" s="42"/>
      <c r="F122" s="184"/>
      <c r="H122" s="239"/>
      <c r="I122" s="239"/>
      <c r="J122" s="213"/>
      <c r="K122" s="213"/>
      <c r="L122" s="123"/>
      <c r="M122" s="123"/>
      <c r="N122" s="160"/>
      <c r="O122" s="160"/>
      <c r="P122" s="123"/>
      <c r="Q122" s="123"/>
      <c r="R122" s="123"/>
      <c r="S122" s="123"/>
      <c r="V122" s="123"/>
      <c r="Y122" s="123"/>
      <c r="Z122" s="213"/>
      <c r="AA122" s="210"/>
      <c r="AB122" s="210"/>
      <c r="AC122" s="210"/>
      <c r="AD122" s="210"/>
      <c r="AE122" s="210"/>
      <c r="AF122" s="210"/>
      <c r="AI122" s="210"/>
      <c r="AJ122" s="210"/>
      <c r="AK122" s="214"/>
      <c r="AL122" s="210"/>
      <c r="AM122" s="160"/>
      <c r="AN122" s="160"/>
    </row>
    <row r="123" spans="3:40" x14ac:dyDescent="0.3">
      <c r="T123" s="42"/>
      <c r="V123" s="123"/>
      <c r="Y123" s="123"/>
      <c r="Z123" s="219"/>
      <c r="AA123" s="123"/>
      <c r="AB123" s="123"/>
      <c r="AC123" s="160"/>
      <c r="AD123" s="160"/>
      <c r="AE123" s="123"/>
      <c r="AF123" s="123"/>
      <c r="AH123" s="236"/>
      <c r="AI123" s="123"/>
      <c r="AJ123" s="123"/>
      <c r="AL123" s="123"/>
      <c r="AM123" s="160"/>
      <c r="AN123" s="160"/>
    </row>
    <row r="124" spans="3:40" x14ac:dyDescent="0.3">
      <c r="C124" s="42"/>
      <c r="V124" s="123"/>
      <c r="Y124" s="123"/>
      <c r="Z124" s="213"/>
      <c r="AA124" s="210"/>
      <c r="AB124" s="210"/>
      <c r="AC124" s="210"/>
      <c r="AD124" s="210"/>
      <c r="AE124" s="210"/>
      <c r="AF124" s="210"/>
      <c r="AI124" s="210"/>
      <c r="AJ124" s="210"/>
      <c r="AK124" s="214"/>
      <c r="AL124" s="210"/>
      <c r="AM124" s="160"/>
      <c r="AN124" s="160"/>
    </row>
    <row r="125" spans="3:40" x14ac:dyDescent="0.3">
      <c r="C125" s="42"/>
      <c r="F125" s="184"/>
      <c r="H125" s="184"/>
      <c r="I125" s="184"/>
      <c r="J125" s="193"/>
      <c r="K125" s="193"/>
      <c r="L125" s="123"/>
      <c r="M125" s="123"/>
      <c r="N125" s="160"/>
      <c r="O125" s="160"/>
      <c r="R125" s="123"/>
      <c r="T125" s="42"/>
      <c r="V125" s="123"/>
      <c r="Y125" s="123"/>
      <c r="Z125" s="219"/>
      <c r="AA125" s="123"/>
      <c r="AB125" s="123"/>
      <c r="AC125" s="160"/>
      <c r="AD125" s="160"/>
      <c r="AE125" s="123"/>
      <c r="AF125" s="123"/>
      <c r="AH125" s="236"/>
      <c r="AI125" s="123"/>
      <c r="AJ125" s="123"/>
      <c r="AL125" s="123"/>
      <c r="AM125" s="160"/>
      <c r="AN125" s="160"/>
    </row>
    <row r="126" spans="3:40" x14ac:dyDescent="0.3">
      <c r="C126" s="42"/>
      <c r="F126" s="184"/>
      <c r="H126" s="184"/>
      <c r="I126" s="184"/>
      <c r="J126" s="193"/>
      <c r="K126" s="193"/>
      <c r="L126" s="123"/>
      <c r="M126" s="123"/>
      <c r="N126" s="160"/>
      <c r="O126" s="160"/>
      <c r="R126" s="123"/>
      <c r="T126" s="42"/>
      <c r="V126" s="184"/>
      <c r="Y126" s="123"/>
      <c r="Z126" s="227"/>
      <c r="AA126" s="123"/>
      <c r="AB126" s="123"/>
      <c r="AC126" s="160"/>
      <c r="AD126" s="160"/>
      <c r="AE126" s="123"/>
      <c r="AF126" s="123"/>
      <c r="AH126" s="236"/>
      <c r="AI126" s="123"/>
      <c r="AJ126" s="123"/>
      <c r="AL126" s="123"/>
      <c r="AM126" s="160"/>
      <c r="AN126" s="160"/>
    </row>
    <row r="127" spans="3:40" x14ac:dyDescent="0.3">
      <c r="C127" s="42"/>
      <c r="F127" s="184"/>
      <c r="H127" s="184"/>
      <c r="I127" s="184"/>
      <c r="J127" s="193"/>
      <c r="K127" s="193"/>
      <c r="L127" s="123"/>
      <c r="M127" s="123"/>
      <c r="N127" s="160"/>
      <c r="O127" s="160"/>
      <c r="R127" s="123"/>
      <c r="V127" s="210"/>
      <c r="Y127" s="210"/>
      <c r="Z127" s="213"/>
      <c r="AA127" s="210"/>
      <c r="AB127" s="210"/>
      <c r="AC127" s="210"/>
      <c r="AD127" s="210"/>
      <c r="AE127" s="210"/>
      <c r="AF127" s="210"/>
      <c r="AI127" s="210"/>
      <c r="AJ127" s="210"/>
      <c r="AK127" s="214"/>
      <c r="AL127" s="210"/>
      <c r="AM127" s="160"/>
      <c r="AN127" s="160"/>
    </row>
    <row r="128" spans="3:40" x14ac:dyDescent="0.3">
      <c r="F128" s="210"/>
      <c r="H128" s="123"/>
      <c r="I128" s="123"/>
      <c r="J128" s="213"/>
      <c r="K128" s="213"/>
      <c r="L128" s="210"/>
      <c r="M128" s="210"/>
      <c r="N128" s="210"/>
      <c r="O128" s="210"/>
      <c r="P128" s="210"/>
      <c r="Q128" s="210"/>
      <c r="R128" s="210"/>
      <c r="T128" s="42"/>
      <c r="V128" s="123"/>
      <c r="Y128" s="123"/>
      <c r="Z128" s="213"/>
      <c r="AA128" s="123"/>
      <c r="AB128" s="123"/>
      <c r="AC128" s="160"/>
      <c r="AD128" s="160"/>
      <c r="AE128" s="123"/>
      <c r="AF128" s="123"/>
      <c r="AH128" s="160"/>
      <c r="AI128" s="123"/>
      <c r="AJ128" s="123"/>
      <c r="AL128" s="123"/>
      <c r="AM128" s="160"/>
      <c r="AN128" s="160"/>
    </row>
    <row r="129" spans="3:40" x14ac:dyDescent="0.3">
      <c r="C129" s="42"/>
      <c r="F129" s="123"/>
      <c r="H129" s="123"/>
      <c r="I129" s="123"/>
      <c r="J129" s="213"/>
      <c r="K129" s="213"/>
      <c r="L129" s="123"/>
      <c r="M129" s="123"/>
      <c r="N129" s="160"/>
      <c r="O129" s="160"/>
      <c r="P129" s="123"/>
      <c r="Q129" s="123"/>
      <c r="R129" s="123"/>
      <c r="V129" s="210"/>
      <c r="Y129" s="210"/>
      <c r="Z129" s="213"/>
      <c r="AA129" s="210"/>
      <c r="AB129" s="210"/>
      <c r="AC129" s="210"/>
      <c r="AD129" s="210"/>
      <c r="AE129" s="210"/>
      <c r="AF129" s="210"/>
      <c r="AI129" s="210"/>
      <c r="AJ129" s="210"/>
      <c r="AK129" s="214"/>
      <c r="AL129" s="210"/>
      <c r="AM129" s="160"/>
      <c r="AN129" s="160"/>
    </row>
    <row r="130" spans="3:40" x14ac:dyDescent="0.3">
      <c r="F130" s="210"/>
      <c r="H130" s="123"/>
      <c r="I130" s="123"/>
      <c r="J130" s="213"/>
      <c r="K130" s="213"/>
      <c r="L130" s="210"/>
      <c r="M130" s="210"/>
      <c r="N130" s="210"/>
      <c r="O130" s="210"/>
      <c r="P130" s="210"/>
      <c r="Q130" s="210"/>
      <c r="R130" s="210"/>
      <c r="T130" s="42"/>
      <c r="V130" s="184"/>
      <c r="Y130" s="184"/>
      <c r="Z130" s="213"/>
      <c r="AA130" s="123"/>
      <c r="AB130" s="123"/>
      <c r="AC130" s="160"/>
      <c r="AD130" s="160"/>
      <c r="AE130" s="123"/>
      <c r="AF130" s="123"/>
      <c r="AI130" s="123"/>
      <c r="AJ130" s="123"/>
      <c r="AL130" s="123"/>
      <c r="AM130" s="160"/>
      <c r="AN130" s="160"/>
    </row>
    <row r="131" spans="3:40" x14ac:dyDescent="0.3">
      <c r="C131" s="42"/>
      <c r="F131" s="184"/>
      <c r="H131" s="184"/>
      <c r="I131" s="184"/>
      <c r="J131" s="237"/>
      <c r="K131" s="237"/>
      <c r="L131" s="123"/>
      <c r="M131" s="123"/>
      <c r="N131" s="160"/>
      <c r="O131" s="160"/>
      <c r="P131" s="123"/>
      <c r="Q131" s="123"/>
      <c r="R131" s="123"/>
      <c r="S131" s="123"/>
    </row>
    <row r="132" spans="3:40" x14ac:dyDescent="0.3">
      <c r="C132" s="42"/>
      <c r="F132" s="184"/>
      <c r="H132" s="184"/>
      <c r="I132" s="184"/>
      <c r="J132" s="193"/>
      <c r="K132" s="193"/>
      <c r="L132" s="123"/>
      <c r="M132" s="123"/>
      <c r="N132" s="160"/>
      <c r="O132" s="160"/>
      <c r="P132" s="123"/>
      <c r="Q132" s="123"/>
      <c r="R132" s="123"/>
      <c r="T132" s="42"/>
    </row>
    <row r="133" spans="3:40" x14ac:dyDescent="0.3">
      <c r="C133" s="42"/>
      <c r="F133" s="184"/>
      <c r="H133" s="184"/>
      <c r="I133" s="184"/>
      <c r="J133" s="193"/>
      <c r="K133" s="193"/>
      <c r="L133" s="123"/>
      <c r="M133" s="123"/>
      <c r="N133" s="160"/>
      <c r="O133" s="160"/>
      <c r="P133" s="123"/>
      <c r="Q133" s="123"/>
      <c r="R133" s="123"/>
      <c r="T133" s="42"/>
      <c r="V133" s="123"/>
      <c r="Y133" s="184"/>
      <c r="Z133" s="193"/>
      <c r="AA133" s="123"/>
      <c r="AB133" s="123"/>
      <c r="AC133" s="160"/>
      <c r="AD133" s="160"/>
      <c r="AE133" s="123"/>
      <c r="AF133" s="123"/>
      <c r="AG133" s="233"/>
      <c r="AH133" s="234"/>
      <c r="AL133" s="123"/>
      <c r="AM133" s="235"/>
      <c r="AN133" s="235"/>
    </row>
    <row r="134" spans="3:40" x14ac:dyDescent="0.3">
      <c r="F134" s="123"/>
      <c r="H134" s="210"/>
      <c r="I134" s="210"/>
      <c r="J134" s="213"/>
      <c r="K134" s="213"/>
      <c r="L134" s="210"/>
      <c r="M134" s="210"/>
      <c r="N134" s="210"/>
      <c r="O134" s="210"/>
      <c r="P134" s="210"/>
      <c r="Q134" s="210"/>
      <c r="R134" s="210"/>
      <c r="T134" s="42"/>
      <c r="V134" s="123"/>
      <c r="Y134" s="184"/>
      <c r="Z134" s="193"/>
      <c r="AA134" s="123"/>
      <c r="AB134" s="123"/>
      <c r="AC134" s="160"/>
      <c r="AD134" s="160"/>
      <c r="AE134" s="123"/>
      <c r="AF134" s="123"/>
      <c r="AH134" s="236"/>
      <c r="AL134" s="123"/>
      <c r="AM134" s="160"/>
      <c r="AN134" s="160"/>
    </row>
    <row r="135" spans="3:40" x14ac:dyDescent="0.3">
      <c r="C135" s="42"/>
      <c r="F135" s="123"/>
      <c r="H135" s="123"/>
      <c r="I135" s="123"/>
      <c r="J135" s="213"/>
      <c r="K135" s="213"/>
      <c r="L135" s="123"/>
      <c r="M135" s="123"/>
      <c r="N135" s="160"/>
      <c r="O135" s="160"/>
      <c r="P135" s="123"/>
      <c r="Q135" s="123"/>
      <c r="R135" s="123"/>
      <c r="T135" s="42"/>
      <c r="V135" s="123"/>
      <c r="Y135" s="184"/>
      <c r="Z135" s="193"/>
      <c r="AA135" s="123"/>
      <c r="AB135" s="123"/>
      <c r="AC135" s="160"/>
      <c r="AD135" s="160"/>
      <c r="AE135" s="123"/>
      <c r="AF135" s="123"/>
      <c r="AH135" s="236"/>
      <c r="AL135" s="123"/>
      <c r="AM135" s="160"/>
      <c r="AN135" s="160"/>
    </row>
    <row r="136" spans="3:40" x14ac:dyDescent="0.3">
      <c r="F136" s="123"/>
      <c r="H136" s="210"/>
      <c r="I136" s="210"/>
      <c r="J136" s="213"/>
      <c r="K136" s="213"/>
      <c r="L136" s="210"/>
      <c r="M136" s="210"/>
      <c r="N136" s="210"/>
      <c r="O136" s="210"/>
      <c r="P136" s="210"/>
      <c r="Q136" s="210"/>
      <c r="R136" s="210"/>
      <c r="V136" s="210"/>
      <c r="Y136" s="123"/>
      <c r="Z136" s="213"/>
      <c r="AA136" s="210"/>
      <c r="AB136" s="210"/>
      <c r="AC136" s="210"/>
      <c r="AD136" s="210"/>
      <c r="AE136" s="210"/>
      <c r="AF136" s="210"/>
      <c r="AI136" s="210"/>
      <c r="AJ136" s="210"/>
      <c r="AK136" s="214"/>
      <c r="AL136" s="210"/>
      <c r="AM136" s="160"/>
      <c r="AN136" s="160"/>
    </row>
    <row r="137" spans="3:40" x14ac:dyDescent="0.3">
      <c r="C137" s="42"/>
      <c r="F137" s="123"/>
      <c r="H137" s="123"/>
      <c r="I137" s="123"/>
      <c r="J137" s="213"/>
      <c r="K137" s="213"/>
      <c r="L137" s="123"/>
      <c r="M137" s="123"/>
      <c r="N137" s="123"/>
      <c r="O137" s="123"/>
      <c r="P137" s="123"/>
      <c r="Q137" s="123"/>
      <c r="R137" s="123"/>
      <c r="T137" s="42"/>
      <c r="V137" s="123"/>
      <c r="Y137" s="123"/>
      <c r="Z137" s="213"/>
      <c r="AA137" s="123"/>
      <c r="AB137" s="123"/>
      <c r="AC137" s="160"/>
      <c r="AD137" s="160"/>
      <c r="AE137" s="123"/>
      <c r="AF137" s="123"/>
      <c r="AH137" s="236"/>
      <c r="AI137" s="123"/>
      <c r="AJ137" s="123"/>
      <c r="AL137" s="123"/>
      <c r="AM137" s="160"/>
      <c r="AN137" s="160"/>
    </row>
    <row r="138" spans="3:40" x14ac:dyDescent="0.3">
      <c r="C138" s="42"/>
      <c r="F138" s="123"/>
      <c r="H138" s="184"/>
      <c r="I138" s="184"/>
      <c r="J138" s="238"/>
      <c r="K138" s="238"/>
      <c r="L138" s="123"/>
      <c r="M138" s="123"/>
      <c r="N138" s="160"/>
      <c r="O138" s="160"/>
      <c r="P138" s="123"/>
      <c r="Q138" s="123"/>
      <c r="R138" s="123"/>
      <c r="V138" s="210"/>
      <c r="Y138" s="123"/>
      <c r="Z138" s="213"/>
      <c r="AA138" s="210"/>
      <c r="AB138" s="210"/>
      <c r="AC138" s="210"/>
      <c r="AD138" s="210"/>
      <c r="AE138" s="210"/>
      <c r="AF138" s="210"/>
      <c r="AI138" s="210"/>
      <c r="AJ138" s="210"/>
      <c r="AK138" s="214"/>
      <c r="AL138" s="210"/>
      <c r="AM138" s="160"/>
      <c r="AN138" s="160"/>
    </row>
    <row r="139" spans="3:40" x14ac:dyDescent="0.3">
      <c r="C139" s="42"/>
      <c r="H139" s="184"/>
      <c r="I139" s="184"/>
      <c r="J139" s="238"/>
      <c r="K139" s="238"/>
      <c r="L139" s="123"/>
      <c r="M139" s="123"/>
      <c r="N139" s="160"/>
      <c r="O139" s="160"/>
      <c r="P139" s="123"/>
      <c r="Q139" s="123"/>
      <c r="R139" s="123"/>
      <c r="T139" s="42"/>
      <c r="V139" s="184"/>
      <c r="Y139" s="184"/>
      <c r="Z139" s="237"/>
      <c r="AA139" s="123"/>
      <c r="AB139" s="123"/>
      <c r="AC139" s="160"/>
      <c r="AD139" s="160"/>
      <c r="AE139" s="123"/>
      <c r="AF139" s="123"/>
      <c r="AH139" s="160"/>
      <c r="AI139" s="123"/>
      <c r="AJ139" s="123"/>
      <c r="AL139" s="123"/>
      <c r="AM139" s="160"/>
      <c r="AN139" s="160"/>
    </row>
    <row r="140" spans="3:40" x14ac:dyDescent="0.3">
      <c r="F140" s="123"/>
      <c r="H140" s="123"/>
      <c r="I140" s="123"/>
      <c r="J140" s="213"/>
      <c r="K140" s="213"/>
      <c r="L140" s="210"/>
      <c r="M140" s="210"/>
      <c r="N140" s="210"/>
      <c r="O140" s="210"/>
      <c r="P140" s="210"/>
      <c r="Q140" s="210"/>
      <c r="R140" s="210"/>
      <c r="T140" s="42"/>
      <c r="V140" s="184"/>
      <c r="Y140" s="123"/>
      <c r="Z140" s="193"/>
      <c r="AA140" s="123"/>
      <c r="AB140" s="123"/>
      <c r="AC140" s="160"/>
      <c r="AD140" s="160"/>
      <c r="AE140" s="123"/>
      <c r="AF140" s="123"/>
      <c r="AH140" s="236"/>
      <c r="AI140" s="123"/>
      <c r="AJ140" s="123"/>
      <c r="AL140" s="123"/>
      <c r="AM140" s="160"/>
      <c r="AN140" s="160"/>
    </row>
    <row r="141" spans="3:40" x14ac:dyDescent="0.3">
      <c r="C141" s="42"/>
      <c r="F141" s="123"/>
      <c r="H141" s="123"/>
      <c r="I141" s="123"/>
      <c r="J141" s="219"/>
      <c r="K141" s="219"/>
      <c r="L141" s="123"/>
      <c r="M141" s="123"/>
      <c r="N141" s="160"/>
      <c r="O141" s="160"/>
      <c r="P141" s="123"/>
      <c r="Q141" s="123"/>
      <c r="R141" s="123"/>
      <c r="T141" s="42"/>
      <c r="V141" s="184"/>
      <c r="Y141" s="123"/>
      <c r="Z141" s="193"/>
      <c r="AA141" s="123"/>
      <c r="AB141" s="123"/>
      <c r="AC141" s="160"/>
      <c r="AD141" s="160"/>
      <c r="AE141" s="123"/>
      <c r="AF141" s="123"/>
      <c r="AH141" s="236"/>
      <c r="AI141" s="123"/>
      <c r="AJ141" s="123"/>
      <c r="AL141" s="123"/>
      <c r="AM141" s="160"/>
      <c r="AN141" s="160"/>
    </row>
    <row r="142" spans="3:40" x14ac:dyDescent="0.3">
      <c r="F142" s="123"/>
      <c r="H142" s="123"/>
      <c r="I142" s="123"/>
      <c r="J142" s="213"/>
      <c r="K142" s="213"/>
      <c r="L142" s="210"/>
      <c r="M142" s="210"/>
      <c r="N142" s="210"/>
      <c r="O142" s="210"/>
      <c r="P142" s="210"/>
      <c r="Q142" s="210"/>
      <c r="R142" s="210"/>
      <c r="V142" s="123"/>
      <c r="Y142" s="210"/>
      <c r="Z142" s="213"/>
      <c r="AA142" s="210"/>
      <c r="AB142" s="210"/>
      <c r="AC142" s="210"/>
      <c r="AD142" s="210"/>
      <c r="AE142" s="210"/>
      <c r="AF142" s="210"/>
      <c r="AI142" s="210"/>
      <c r="AJ142" s="210"/>
      <c r="AK142" s="214"/>
      <c r="AL142" s="210"/>
      <c r="AM142" s="160"/>
      <c r="AN142" s="160"/>
    </row>
    <row r="143" spans="3:40" x14ac:dyDescent="0.3">
      <c r="C143" s="42"/>
      <c r="F143" s="123"/>
      <c r="H143" s="123"/>
      <c r="I143" s="123"/>
      <c r="J143" s="219"/>
      <c r="K143" s="219"/>
      <c r="L143" s="123"/>
      <c r="M143" s="123"/>
      <c r="N143" s="160"/>
      <c r="O143" s="160"/>
      <c r="P143" s="123"/>
      <c r="Q143" s="123"/>
      <c r="R143" s="123"/>
      <c r="T143" s="42"/>
      <c r="V143" s="123"/>
      <c r="Y143" s="123"/>
      <c r="Z143" s="213"/>
      <c r="AA143" s="123"/>
      <c r="AB143" s="123"/>
      <c r="AC143" s="160"/>
      <c r="AD143" s="160"/>
      <c r="AE143" s="123"/>
      <c r="AF143" s="123"/>
      <c r="AH143" s="236"/>
      <c r="AI143" s="123"/>
      <c r="AJ143" s="123"/>
      <c r="AL143" s="123"/>
      <c r="AM143" s="160"/>
      <c r="AN143" s="160"/>
    </row>
    <row r="144" spans="3:40" x14ac:dyDescent="0.3">
      <c r="C144" s="42"/>
      <c r="F144" s="184"/>
      <c r="H144" s="184"/>
      <c r="I144" s="184"/>
      <c r="J144" s="227"/>
      <c r="K144" s="227"/>
      <c r="L144" s="123"/>
      <c r="M144" s="123"/>
      <c r="N144" s="160"/>
      <c r="O144" s="160"/>
      <c r="P144" s="123"/>
      <c r="Q144" s="123"/>
      <c r="R144" s="123"/>
      <c r="V144" s="123"/>
      <c r="Y144" s="210"/>
      <c r="Z144" s="213"/>
      <c r="AA144" s="210"/>
      <c r="AB144" s="210"/>
      <c r="AC144" s="210"/>
      <c r="AD144" s="210"/>
      <c r="AE144" s="210"/>
      <c r="AF144" s="210"/>
      <c r="AI144" s="210"/>
      <c r="AJ144" s="210"/>
      <c r="AK144" s="214"/>
      <c r="AL144" s="210"/>
      <c r="AM144" s="160"/>
      <c r="AN144" s="160"/>
    </row>
    <row r="145" spans="1:40" x14ac:dyDescent="0.3">
      <c r="F145" s="210"/>
      <c r="H145" s="210"/>
      <c r="I145" s="210"/>
      <c r="J145" s="213"/>
      <c r="K145" s="213"/>
      <c r="L145" s="210"/>
      <c r="M145" s="210"/>
      <c r="N145" s="210"/>
      <c r="O145" s="210"/>
      <c r="P145" s="210"/>
      <c r="Q145" s="210"/>
      <c r="R145" s="210"/>
      <c r="T145" s="42"/>
      <c r="V145" s="123"/>
      <c r="Y145" s="123"/>
      <c r="Z145" s="213"/>
      <c r="AA145" s="123"/>
      <c r="AB145" s="123"/>
      <c r="AC145" s="123"/>
      <c r="AD145" s="123"/>
      <c r="AE145" s="123"/>
      <c r="AF145" s="123"/>
      <c r="AH145" s="236"/>
      <c r="AI145" s="123"/>
      <c r="AJ145" s="123"/>
      <c r="AL145" s="123"/>
      <c r="AM145" s="160"/>
      <c r="AN145" s="160"/>
    </row>
    <row r="146" spans="1:40" x14ac:dyDescent="0.3">
      <c r="C146" s="42"/>
      <c r="F146" s="123"/>
      <c r="H146" s="123"/>
      <c r="I146" s="123"/>
      <c r="J146" s="213"/>
      <c r="K146" s="213"/>
      <c r="L146" s="123"/>
      <c r="M146" s="123"/>
      <c r="N146" s="160"/>
      <c r="O146" s="160"/>
      <c r="P146" s="123"/>
      <c r="Q146" s="123"/>
      <c r="R146" s="123"/>
      <c r="S146" s="123"/>
      <c r="T146" s="42"/>
      <c r="V146" s="123"/>
      <c r="Y146" s="123"/>
      <c r="Z146" s="238"/>
      <c r="AA146" s="123"/>
      <c r="AB146" s="123"/>
      <c r="AC146" s="160"/>
      <c r="AD146" s="160"/>
      <c r="AE146" s="123"/>
      <c r="AF146" s="123"/>
      <c r="AH146" s="236"/>
      <c r="AI146" s="123"/>
      <c r="AJ146" s="123"/>
      <c r="AL146" s="123"/>
      <c r="AM146" s="160"/>
      <c r="AN146" s="160"/>
    </row>
    <row r="147" spans="1:40" x14ac:dyDescent="0.3">
      <c r="F147" s="210"/>
      <c r="H147" s="210"/>
      <c r="I147" s="210"/>
      <c r="J147" s="213"/>
      <c r="K147" s="213"/>
      <c r="L147" s="210"/>
      <c r="M147" s="210"/>
      <c r="N147" s="210"/>
      <c r="O147" s="210"/>
      <c r="P147" s="210"/>
      <c r="Q147" s="210"/>
      <c r="R147" s="210"/>
      <c r="S147" s="123"/>
      <c r="T147" s="42"/>
      <c r="Y147" s="123"/>
      <c r="Z147" s="238"/>
      <c r="AA147" s="123"/>
      <c r="AB147" s="123"/>
      <c r="AC147" s="160"/>
      <c r="AD147" s="160"/>
      <c r="AE147" s="123"/>
      <c r="AF147" s="123"/>
      <c r="AH147" s="236"/>
      <c r="AI147" s="123"/>
      <c r="AJ147" s="123"/>
      <c r="AL147" s="123"/>
      <c r="AM147" s="160"/>
      <c r="AN147" s="160"/>
    </row>
    <row r="148" spans="1:40" x14ac:dyDescent="0.3">
      <c r="C148" s="42"/>
      <c r="V148" s="123"/>
      <c r="Y148" s="123"/>
      <c r="Z148" s="213"/>
      <c r="AA148" s="210"/>
      <c r="AB148" s="210"/>
      <c r="AC148" s="210"/>
      <c r="AD148" s="210"/>
      <c r="AE148" s="210"/>
      <c r="AF148" s="210"/>
      <c r="AI148" s="210"/>
      <c r="AJ148" s="210"/>
      <c r="AK148" s="214"/>
      <c r="AL148" s="210"/>
      <c r="AM148" s="160"/>
      <c r="AN148" s="160"/>
    </row>
    <row r="149" spans="1:40" x14ac:dyDescent="0.3">
      <c r="C149" s="42"/>
      <c r="F149" s="123"/>
      <c r="H149" s="123"/>
      <c r="I149" s="123"/>
      <c r="L149" s="123"/>
      <c r="M149" s="123"/>
      <c r="N149" s="160"/>
      <c r="O149" s="160"/>
      <c r="P149" s="184"/>
      <c r="Q149" s="184"/>
      <c r="R149" s="123"/>
      <c r="T149" s="42"/>
      <c r="V149" s="123"/>
      <c r="Y149" s="123"/>
      <c r="Z149" s="219"/>
      <c r="AA149" s="123"/>
      <c r="AB149" s="123"/>
      <c r="AC149" s="160"/>
      <c r="AD149" s="160"/>
      <c r="AE149" s="123"/>
      <c r="AF149" s="123"/>
      <c r="AH149" s="236"/>
      <c r="AI149" s="123"/>
      <c r="AJ149" s="123"/>
      <c r="AL149" s="123"/>
      <c r="AM149" s="160"/>
      <c r="AN149" s="160"/>
    </row>
    <row r="150" spans="1:40" x14ac:dyDescent="0.3">
      <c r="F150" s="210"/>
      <c r="H150" s="210"/>
      <c r="I150" s="210"/>
      <c r="J150" s="213"/>
      <c r="K150" s="213"/>
      <c r="L150" s="210"/>
      <c r="M150" s="210"/>
      <c r="N150" s="210"/>
      <c r="O150" s="210"/>
      <c r="P150" s="210"/>
      <c r="Q150" s="210"/>
      <c r="R150" s="210"/>
      <c r="V150" s="123"/>
      <c r="Y150" s="123"/>
      <c r="Z150" s="213"/>
      <c r="AA150" s="210"/>
      <c r="AB150" s="210"/>
      <c r="AC150" s="210"/>
      <c r="AD150" s="210"/>
      <c r="AE150" s="210"/>
      <c r="AF150" s="210"/>
      <c r="AI150" s="210"/>
      <c r="AJ150" s="210"/>
      <c r="AK150" s="214"/>
      <c r="AL150" s="210"/>
      <c r="AM150" s="160"/>
      <c r="AN150" s="160"/>
    </row>
    <row r="151" spans="1:40" x14ac:dyDescent="0.3">
      <c r="T151" s="42"/>
      <c r="V151" s="123"/>
      <c r="Y151" s="123"/>
      <c r="Z151" s="219"/>
      <c r="AA151" s="123"/>
      <c r="AB151" s="123"/>
      <c r="AC151" s="160"/>
      <c r="AD151" s="160"/>
      <c r="AE151" s="123"/>
      <c r="AF151" s="123"/>
      <c r="AH151" s="236"/>
      <c r="AI151" s="123"/>
      <c r="AJ151" s="123"/>
      <c r="AL151" s="123"/>
      <c r="AM151" s="160"/>
      <c r="AN151" s="160"/>
    </row>
    <row r="152" spans="1:40" x14ac:dyDescent="0.3">
      <c r="C152" s="42"/>
      <c r="L152" s="123"/>
      <c r="M152" s="123"/>
      <c r="N152" s="123"/>
      <c r="O152" s="123"/>
      <c r="P152" s="123"/>
      <c r="Q152" s="123"/>
      <c r="R152" s="123"/>
      <c r="S152" s="123"/>
      <c r="T152" s="42"/>
      <c r="V152" s="184"/>
      <c r="Y152" s="123"/>
      <c r="Z152" s="227"/>
      <c r="AA152" s="123"/>
      <c r="AB152" s="123"/>
      <c r="AC152" s="160"/>
      <c r="AD152" s="160"/>
      <c r="AE152" s="123"/>
      <c r="AF152" s="123"/>
      <c r="AH152" s="236"/>
      <c r="AI152" s="123"/>
      <c r="AJ152" s="123"/>
      <c r="AL152" s="123"/>
      <c r="AM152" s="160"/>
      <c r="AN152" s="160"/>
    </row>
    <row r="153" spans="1:40" x14ac:dyDescent="0.3">
      <c r="A153" s="42"/>
      <c r="V153" s="210"/>
      <c r="Y153" s="210"/>
      <c r="Z153" s="213"/>
      <c r="AA153" s="210"/>
      <c r="AB153" s="210"/>
      <c r="AC153" s="210"/>
      <c r="AD153" s="210"/>
      <c r="AE153" s="210"/>
      <c r="AF153" s="210"/>
      <c r="AI153" s="210"/>
      <c r="AJ153" s="210"/>
      <c r="AK153" s="214"/>
      <c r="AL153" s="210"/>
      <c r="AM153" s="160"/>
      <c r="AN153" s="160"/>
    </row>
    <row r="154" spans="1:40" x14ac:dyDescent="0.3">
      <c r="T154" s="42"/>
      <c r="V154" s="123"/>
      <c r="Y154" s="123"/>
      <c r="Z154" s="213"/>
      <c r="AA154" s="123"/>
      <c r="AB154" s="123"/>
      <c r="AC154" s="160"/>
      <c r="AD154" s="160"/>
      <c r="AE154" s="123"/>
      <c r="AF154" s="123"/>
      <c r="AH154" s="160"/>
      <c r="AI154" s="123"/>
      <c r="AJ154" s="123"/>
      <c r="AL154" s="123"/>
      <c r="AM154" s="160"/>
      <c r="AN154" s="160"/>
    </row>
    <row r="155" spans="1:40" x14ac:dyDescent="0.3">
      <c r="H155" s="42"/>
      <c r="I155" s="42"/>
      <c r="V155" s="210"/>
      <c r="Y155" s="210"/>
      <c r="Z155" s="213"/>
      <c r="AA155" s="210"/>
      <c r="AB155" s="210"/>
      <c r="AC155" s="210"/>
      <c r="AD155" s="210"/>
      <c r="AE155" s="210"/>
      <c r="AF155" s="210"/>
      <c r="AI155" s="210"/>
      <c r="AJ155" s="210"/>
      <c r="AK155" s="214"/>
      <c r="AL155" s="210"/>
      <c r="AM155" s="160"/>
      <c r="AN155" s="160"/>
    </row>
    <row r="156" spans="1:40" x14ac:dyDescent="0.3">
      <c r="T156" s="42"/>
    </row>
    <row r="157" spans="1:40" x14ac:dyDescent="0.3">
      <c r="L157" s="42"/>
      <c r="M157" s="42"/>
      <c r="AA157" s="42"/>
      <c r="AB157" s="42"/>
    </row>
    <row r="158" spans="1:40" x14ac:dyDescent="0.3">
      <c r="R158" s="42"/>
      <c r="AK158" s="206"/>
      <c r="AL158" s="42"/>
    </row>
    <row r="159" spans="1:40" x14ac:dyDescent="0.3">
      <c r="R159" s="42"/>
      <c r="AK159" s="206"/>
      <c r="AL159" s="42"/>
    </row>
    <row r="160" spans="1:40" x14ac:dyDescent="0.3">
      <c r="A160" s="42"/>
      <c r="R160" s="42"/>
      <c r="AK160" s="206"/>
      <c r="AL160" s="42"/>
    </row>
    <row r="161" spans="1:40" x14ac:dyDescent="0.3">
      <c r="L161" s="42"/>
      <c r="M161" s="42"/>
      <c r="AA161" s="42"/>
      <c r="AB161" s="42"/>
    </row>
    <row r="162" spans="1:40" x14ac:dyDescent="0.3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207"/>
      <c r="AH162" s="135"/>
      <c r="AI162" s="135"/>
      <c r="AJ162" s="135"/>
      <c r="AK162" s="207"/>
      <c r="AL162" s="135"/>
      <c r="AM162" s="135"/>
      <c r="AN162" s="135"/>
    </row>
    <row r="163" spans="1:40" x14ac:dyDescent="0.3">
      <c r="L163" s="44"/>
      <c r="M163" s="44"/>
      <c r="N163" s="44"/>
      <c r="O163" s="44"/>
      <c r="R163" s="44"/>
      <c r="AA163" s="44"/>
      <c r="AB163" s="44"/>
      <c r="AC163" s="44"/>
      <c r="AD163" s="44"/>
      <c r="AE163" s="44"/>
      <c r="AF163" s="44"/>
      <c r="AG163" s="168"/>
      <c r="AH163" s="44"/>
      <c r="AK163" s="168"/>
      <c r="AL163" s="44"/>
      <c r="AM163" s="44"/>
      <c r="AN163" s="44"/>
    </row>
    <row r="164" spans="1:40" x14ac:dyDescent="0.3">
      <c r="L164" s="44"/>
      <c r="M164" s="44"/>
      <c r="N164" s="44"/>
      <c r="O164" s="44"/>
      <c r="R164" s="44"/>
      <c r="Z164" s="44"/>
      <c r="AA164" s="44"/>
      <c r="AB164" s="44"/>
      <c r="AC164" s="44"/>
      <c r="AD164" s="44"/>
      <c r="AE164" s="44"/>
      <c r="AF164" s="44"/>
      <c r="AG164" s="168"/>
      <c r="AH164" s="44"/>
      <c r="AK164" s="168"/>
      <c r="AL164" s="44"/>
      <c r="AM164" s="44"/>
      <c r="AN164" s="44"/>
    </row>
    <row r="165" spans="1:40" x14ac:dyDescent="0.3">
      <c r="A165" s="44"/>
      <c r="C165" s="44"/>
      <c r="D165" s="44"/>
      <c r="E165" s="44"/>
      <c r="F165" s="44"/>
      <c r="J165" s="44"/>
      <c r="K165" s="44"/>
      <c r="L165" s="44"/>
      <c r="M165" s="44"/>
      <c r="N165" s="44"/>
      <c r="O165" s="44"/>
      <c r="P165" s="44"/>
      <c r="Q165" s="44"/>
      <c r="R165" s="44"/>
      <c r="T165" s="44"/>
      <c r="U165" s="44"/>
      <c r="V165" s="44"/>
      <c r="Z165" s="44"/>
      <c r="AA165" s="44"/>
      <c r="AB165" s="44"/>
      <c r="AC165" s="44"/>
      <c r="AD165" s="44"/>
      <c r="AE165" s="44"/>
      <c r="AF165" s="44"/>
      <c r="AG165" s="168"/>
      <c r="AH165" s="44"/>
      <c r="AI165" s="44"/>
      <c r="AJ165" s="44"/>
      <c r="AK165" s="168"/>
      <c r="AL165" s="44"/>
      <c r="AM165" s="44"/>
      <c r="AN165" s="44"/>
    </row>
    <row r="166" spans="1:40" x14ac:dyDescent="0.3">
      <c r="A166" s="44"/>
      <c r="C166" s="44"/>
      <c r="D166" s="44"/>
      <c r="E166" s="44"/>
      <c r="F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T166" s="44"/>
      <c r="U166" s="44"/>
      <c r="V166" s="44"/>
      <c r="Y166" s="44"/>
      <c r="Z166" s="44"/>
      <c r="AA166" s="44"/>
      <c r="AB166" s="44"/>
      <c r="AC166" s="44"/>
      <c r="AD166" s="44"/>
      <c r="AE166" s="44"/>
      <c r="AF166" s="44"/>
      <c r="AG166" s="168"/>
      <c r="AH166" s="44"/>
      <c r="AI166" s="44"/>
      <c r="AJ166" s="44"/>
      <c r="AK166" s="168"/>
      <c r="AL166" s="44"/>
      <c r="AM166" s="44"/>
      <c r="AN166" s="44"/>
    </row>
    <row r="167" spans="1:40" x14ac:dyDescent="0.3">
      <c r="C167" s="44"/>
      <c r="D167" s="44"/>
      <c r="E167" s="44"/>
      <c r="F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T167" s="44"/>
      <c r="U167" s="44"/>
      <c r="V167" s="44"/>
      <c r="Y167" s="44"/>
      <c r="Z167" s="44"/>
      <c r="AA167" s="44"/>
      <c r="AB167" s="44"/>
      <c r="AC167" s="44"/>
      <c r="AD167" s="44"/>
      <c r="AE167" s="44"/>
      <c r="AF167" s="44"/>
      <c r="AG167" s="168"/>
      <c r="AH167" s="44"/>
      <c r="AI167" s="44"/>
      <c r="AJ167" s="44"/>
      <c r="AK167" s="168"/>
      <c r="AL167" s="44"/>
      <c r="AM167" s="44"/>
      <c r="AN167" s="44"/>
    </row>
    <row r="168" spans="1:40" x14ac:dyDescent="0.3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207"/>
      <c r="AH168" s="135"/>
      <c r="AI168" s="135"/>
      <c r="AJ168" s="135"/>
      <c r="AK168" s="207"/>
      <c r="AL168" s="135"/>
      <c r="AM168" s="135"/>
      <c r="AN168" s="135"/>
    </row>
    <row r="169" spans="1:40" x14ac:dyDescent="0.3"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Y169" s="44"/>
      <c r="Z169" s="44"/>
      <c r="AA169" s="44"/>
      <c r="AB169" s="44"/>
      <c r="AC169" s="44"/>
      <c r="AD169" s="44"/>
      <c r="AE169" s="44"/>
      <c r="AF169" s="44"/>
      <c r="AG169" s="168"/>
      <c r="AH169" s="44"/>
      <c r="AI169" s="44"/>
      <c r="AJ169" s="44"/>
      <c r="AK169" s="168"/>
      <c r="AL169" s="44"/>
      <c r="AM169" s="44"/>
      <c r="AN169" s="44"/>
    </row>
    <row r="170" spans="1:40" x14ac:dyDescent="0.3">
      <c r="C170" s="42"/>
      <c r="D170" s="42"/>
      <c r="E170" s="42"/>
      <c r="T170" s="42"/>
      <c r="U170" s="42"/>
    </row>
    <row r="171" spans="1:40" x14ac:dyDescent="0.3">
      <c r="D171" s="42"/>
      <c r="E171" s="42"/>
      <c r="U171" s="42"/>
    </row>
    <row r="173" spans="1:40" x14ac:dyDescent="0.3">
      <c r="C173" s="42"/>
      <c r="F173" s="184"/>
      <c r="H173" s="184"/>
      <c r="I173" s="184"/>
      <c r="J173" s="193"/>
      <c r="K173" s="193"/>
      <c r="L173" s="123"/>
      <c r="M173" s="123"/>
      <c r="N173" s="160"/>
      <c r="O173" s="160"/>
      <c r="R173" s="123"/>
      <c r="T173" s="42"/>
      <c r="V173" s="123"/>
      <c r="Y173" s="184"/>
      <c r="Z173" s="193"/>
      <c r="AA173" s="123"/>
      <c r="AB173" s="123"/>
      <c r="AC173" s="160"/>
      <c r="AD173" s="160"/>
      <c r="AE173" s="123"/>
      <c r="AF173" s="123"/>
      <c r="AG173" s="233"/>
      <c r="AH173" s="234"/>
      <c r="AL173" s="123"/>
      <c r="AM173" s="235"/>
      <c r="AN173" s="235"/>
    </row>
    <row r="174" spans="1:40" x14ac:dyDescent="0.3">
      <c r="C174" s="42"/>
      <c r="F174" s="184"/>
      <c r="H174" s="184"/>
      <c r="I174" s="184"/>
      <c r="J174" s="193"/>
      <c r="K174" s="193"/>
      <c r="L174" s="123"/>
      <c r="M174" s="123"/>
      <c r="N174" s="160"/>
      <c r="O174" s="160"/>
      <c r="R174" s="123"/>
      <c r="T174" s="42"/>
      <c r="V174" s="123"/>
      <c r="Y174" s="184"/>
      <c r="Z174" s="193"/>
      <c r="AA174" s="123"/>
      <c r="AB174" s="123"/>
      <c r="AC174" s="160"/>
      <c r="AD174" s="160"/>
      <c r="AE174" s="123"/>
      <c r="AF174" s="123"/>
      <c r="AH174" s="236"/>
      <c r="AL174" s="123"/>
      <c r="AM174" s="160"/>
      <c r="AN174" s="160"/>
    </row>
    <row r="175" spans="1:40" x14ac:dyDescent="0.3">
      <c r="F175" s="210"/>
      <c r="H175" s="123"/>
      <c r="I175" s="123"/>
      <c r="J175" s="213"/>
      <c r="K175" s="213"/>
      <c r="L175" s="210"/>
      <c r="M175" s="210"/>
      <c r="N175" s="210"/>
      <c r="O175" s="210"/>
      <c r="P175" s="210"/>
      <c r="Q175" s="210"/>
      <c r="R175" s="210"/>
      <c r="V175" s="210"/>
      <c r="Y175" s="123"/>
      <c r="Z175" s="213"/>
      <c r="AA175" s="210"/>
      <c r="AB175" s="210"/>
      <c r="AC175" s="210"/>
      <c r="AD175" s="210"/>
      <c r="AE175" s="210"/>
      <c r="AF175" s="210"/>
      <c r="AI175" s="210"/>
      <c r="AJ175" s="210"/>
      <c r="AK175" s="214"/>
      <c r="AL175" s="210"/>
      <c r="AM175" s="160"/>
      <c r="AN175" s="160"/>
    </row>
    <row r="176" spans="1:40" x14ac:dyDescent="0.3">
      <c r="C176" s="42"/>
      <c r="F176" s="123"/>
      <c r="H176" s="123"/>
      <c r="I176" s="123"/>
      <c r="J176" s="213"/>
      <c r="K176" s="213"/>
      <c r="L176" s="123"/>
      <c r="M176" s="123"/>
      <c r="N176" s="160"/>
      <c r="O176" s="160"/>
      <c r="P176" s="123"/>
      <c r="Q176" s="123"/>
      <c r="R176" s="123"/>
      <c r="T176" s="42"/>
      <c r="V176" s="123"/>
      <c r="Y176" s="123"/>
      <c r="Z176" s="219"/>
      <c r="AA176" s="123"/>
      <c r="AB176" s="123"/>
      <c r="AC176" s="160"/>
      <c r="AD176" s="160"/>
      <c r="AE176" s="123"/>
      <c r="AF176" s="123"/>
      <c r="AH176" s="236"/>
      <c r="AI176" s="123"/>
      <c r="AJ176" s="123"/>
      <c r="AL176" s="123"/>
      <c r="AM176" s="160"/>
      <c r="AN176" s="160"/>
    </row>
    <row r="177" spans="3:40" x14ac:dyDescent="0.3">
      <c r="F177" s="210"/>
      <c r="H177" s="123"/>
      <c r="I177" s="123"/>
      <c r="J177" s="213"/>
      <c r="K177" s="213"/>
      <c r="L177" s="210"/>
      <c r="M177" s="210"/>
      <c r="N177" s="210"/>
      <c r="O177" s="210"/>
      <c r="P177" s="210"/>
      <c r="Q177" s="210"/>
      <c r="R177" s="210"/>
      <c r="V177" s="210"/>
      <c r="Y177" s="123"/>
      <c r="Z177" s="213"/>
      <c r="AA177" s="210"/>
      <c r="AB177" s="210"/>
      <c r="AC177" s="210"/>
      <c r="AD177" s="210"/>
      <c r="AE177" s="210"/>
      <c r="AF177" s="210"/>
      <c r="AI177" s="210"/>
      <c r="AJ177" s="210"/>
      <c r="AK177" s="214"/>
      <c r="AL177" s="210"/>
      <c r="AM177" s="160"/>
      <c r="AN177" s="160"/>
    </row>
    <row r="178" spans="3:40" x14ac:dyDescent="0.3">
      <c r="F178" s="123"/>
      <c r="H178" s="123"/>
      <c r="I178" s="123"/>
      <c r="J178" s="213"/>
      <c r="K178" s="213"/>
      <c r="L178" s="123"/>
      <c r="M178" s="123"/>
      <c r="N178" s="160"/>
      <c r="O178" s="160"/>
      <c r="P178" s="123"/>
      <c r="Q178" s="123"/>
      <c r="R178" s="123"/>
      <c r="V178" s="123"/>
      <c r="Y178" s="123"/>
      <c r="Z178" s="219"/>
      <c r="AA178" s="123"/>
      <c r="AB178" s="123"/>
      <c r="AC178" s="160"/>
      <c r="AD178" s="160"/>
      <c r="AE178" s="123"/>
      <c r="AF178" s="123"/>
      <c r="AH178" s="236"/>
      <c r="AI178" s="123"/>
      <c r="AJ178" s="123"/>
      <c r="AL178" s="123"/>
      <c r="AM178" s="160"/>
      <c r="AN178" s="160"/>
    </row>
    <row r="179" spans="3:40" x14ac:dyDescent="0.3">
      <c r="C179" s="42"/>
      <c r="F179" s="184"/>
      <c r="H179" s="184"/>
      <c r="I179" s="184"/>
      <c r="J179" s="193"/>
      <c r="K179" s="193"/>
      <c r="L179" s="123"/>
      <c r="M179" s="123"/>
      <c r="N179" s="160"/>
      <c r="O179" s="160"/>
      <c r="P179" s="123"/>
      <c r="Q179" s="123"/>
      <c r="R179" s="123"/>
      <c r="T179" s="42"/>
      <c r="V179" s="184"/>
      <c r="Y179" s="123"/>
      <c r="Z179" s="193"/>
      <c r="AA179" s="123"/>
      <c r="AB179" s="123"/>
      <c r="AC179" s="160"/>
      <c r="AD179" s="160"/>
      <c r="AE179" s="123"/>
      <c r="AF179" s="123"/>
      <c r="AG179" s="233"/>
      <c r="AH179" s="234"/>
      <c r="AI179" s="123"/>
      <c r="AJ179" s="123"/>
      <c r="AL179" s="123"/>
      <c r="AM179" s="235"/>
      <c r="AN179" s="235"/>
    </row>
    <row r="180" spans="3:40" x14ac:dyDescent="0.3">
      <c r="C180" s="42"/>
      <c r="F180" s="184"/>
      <c r="H180" s="184"/>
      <c r="I180" s="184"/>
      <c r="J180" s="193"/>
      <c r="K180" s="193"/>
      <c r="L180" s="123"/>
      <c r="M180" s="123"/>
      <c r="N180" s="160"/>
      <c r="O180" s="160"/>
      <c r="P180" s="123"/>
      <c r="Q180" s="123"/>
      <c r="R180" s="123"/>
      <c r="T180" s="42"/>
      <c r="V180" s="184"/>
      <c r="Y180" s="123"/>
      <c r="Z180" s="193"/>
      <c r="AA180" s="123"/>
      <c r="AB180" s="123"/>
      <c r="AC180" s="160"/>
      <c r="AD180" s="160"/>
      <c r="AE180" s="123"/>
      <c r="AF180" s="123"/>
      <c r="AH180" s="236"/>
      <c r="AI180" s="123"/>
      <c r="AJ180" s="123"/>
      <c r="AL180" s="123"/>
      <c r="AM180" s="160"/>
      <c r="AN180" s="160"/>
    </row>
    <row r="181" spans="3:40" x14ac:dyDescent="0.3">
      <c r="F181" s="123"/>
      <c r="H181" s="210"/>
      <c r="I181" s="210"/>
      <c r="J181" s="213"/>
      <c r="K181" s="213"/>
      <c r="L181" s="210"/>
      <c r="M181" s="210"/>
      <c r="N181" s="210"/>
      <c r="O181" s="210"/>
      <c r="P181" s="210"/>
      <c r="Q181" s="210"/>
      <c r="R181" s="210"/>
      <c r="V181" s="123"/>
      <c r="Y181" s="210"/>
      <c r="Z181" s="213"/>
      <c r="AA181" s="210"/>
      <c r="AB181" s="210"/>
      <c r="AC181" s="210"/>
      <c r="AD181" s="210"/>
      <c r="AE181" s="210"/>
      <c r="AF181" s="210"/>
      <c r="AI181" s="210"/>
      <c r="AJ181" s="210"/>
      <c r="AK181" s="214"/>
      <c r="AL181" s="210"/>
      <c r="AM181" s="160"/>
      <c r="AN181" s="160"/>
    </row>
    <row r="182" spans="3:40" x14ac:dyDescent="0.3">
      <c r="C182" s="42"/>
      <c r="F182" s="123"/>
      <c r="H182" s="123"/>
      <c r="I182" s="123"/>
      <c r="J182" s="213"/>
      <c r="K182" s="213"/>
      <c r="L182" s="123"/>
      <c r="M182" s="123"/>
      <c r="N182" s="160"/>
      <c r="O182" s="160"/>
      <c r="P182" s="123"/>
      <c r="Q182" s="123"/>
      <c r="R182" s="123"/>
      <c r="T182" s="42"/>
      <c r="V182" s="123"/>
      <c r="Y182" s="123"/>
      <c r="Z182" s="213"/>
      <c r="AA182" s="123"/>
      <c r="AB182" s="123"/>
      <c r="AC182" s="160"/>
      <c r="AD182" s="160"/>
      <c r="AE182" s="123"/>
      <c r="AF182" s="123"/>
      <c r="AH182" s="236"/>
      <c r="AI182" s="123"/>
      <c r="AJ182" s="123"/>
      <c r="AL182" s="123"/>
      <c r="AM182" s="160"/>
      <c r="AN182" s="160"/>
    </row>
    <row r="183" spans="3:40" x14ac:dyDescent="0.3">
      <c r="F183" s="123"/>
      <c r="H183" s="210"/>
      <c r="I183" s="210"/>
      <c r="J183" s="213"/>
      <c r="K183" s="213"/>
      <c r="L183" s="210"/>
      <c r="M183" s="210"/>
      <c r="N183" s="210"/>
      <c r="O183" s="210"/>
      <c r="P183" s="210"/>
      <c r="Q183" s="210"/>
      <c r="R183" s="210"/>
      <c r="V183" s="123"/>
      <c r="Y183" s="210"/>
      <c r="Z183" s="213"/>
      <c r="AA183" s="210"/>
      <c r="AB183" s="210"/>
      <c r="AC183" s="210"/>
      <c r="AD183" s="210"/>
      <c r="AE183" s="210"/>
      <c r="AF183" s="210"/>
      <c r="AI183" s="210"/>
      <c r="AJ183" s="210"/>
      <c r="AK183" s="214"/>
      <c r="AL183" s="210"/>
      <c r="AM183" s="160"/>
      <c r="AN183" s="160"/>
    </row>
    <row r="184" spans="3:40" x14ac:dyDescent="0.3">
      <c r="F184" s="123"/>
      <c r="H184" s="123"/>
      <c r="I184" s="123"/>
      <c r="J184" s="213"/>
      <c r="K184" s="213"/>
      <c r="L184" s="123"/>
      <c r="M184" s="123"/>
      <c r="N184" s="123"/>
      <c r="O184" s="123"/>
      <c r="P184" s="123"/>
      <c r="Q184" s="123"/>
      <c r="R184" s="123"/>
      <c r="V184" s="123"/>
      <c r="Y184" s="123"/>
      <c r="Z184" s="213"/>
      <c r="AA184" s="123"/>
      <c r="AB184" s="123"/>
      <c r="AC184" s="123"/>
      <c r="AD184" s="123"/>
      <c r="AE184" s="123"/>
      <c r="AF184" s="123"/>
      <c r="AH184" s="236"/>
      <c r="AI184" s="123"/>
      <c r="AJ184" s="123"/>
      <c r="AL184" s="123"/>
      <c r="AM184" s="160"/>
      <c r="AN184" s="160"/>
    </row>
    <row r="185" spans="3:40" x14ac:dyDescent="0.3">
      <c r="C185" s="42"/>
      <c r="F185" s="184"/>
      <c r="H185" s="184"/>
      <c r="I185" s="184"/>
      <c r="J185" s="227"/>
      <c r="K185" s="227"/>
      <c r="L185" s="123"/>
      <c r="M185" s="123"/>
      <c r="N185" s="160"/>
      <c r="O185" s="160"/>
      <c r="P185" s="184"/>
      <c r="Q185" s="184"/>
      <c r="R185" s="123"/>
      <c r="T185" s="42"/>
      <c r="V185" s="184"/>
      <c r="Y185" s="184"/>
      <c r="Z185" s="237"/>
      <c r="AA185" s="123"/>
      <c r="AB185" s="123"/>
      <c r="AC185" s="160"/>
      <c r="AD185" s="160"/>
      <c r="AE185" s="123"/>
      <c r="AF185" s="123"/>
      <c r="AH185" s="236"/>
      <c r="AI185" s="184"/>
      <c r="AJ185" s="184"/>
      <c r="AL185" s="123"/>
      <c r="AM185" s="160"/>
      <c r="AN185" s="160"/>
    </row>
    <row r="186" spans="3:40" x14ac:dyDescent="0.3">
      <c r="C186" s="42"/>
      <c r="F186" s="184"/>
      <c r="H186" s="184"/>
      <c r="I186" s="184"/>
      <c r="J186" s="227"/>
      <c r="K186" s="227"/>
      <c r="L186" s="123"/>
      <c r="M186" s="123"/>
      <c r="N186" s="160"/>
      <c r="O186" s="160"/>
      <c r="P186" s="184"/>
      <c r="Q186" s="184"/>
      <c r="R186" s="123"/>
      <c r="T186" s="42"/>
      <c r="V186" s="184"/>
      <c r="Y186" s="123"/>
      <c r="Z186" s="212"/>
      <c r="AA186" s="123"/>
      <c r="AB186" s="123"/>
      <c r="AC186" s="160"/>
      <c r="AD186" s="160"/>
      <c r="AE186" s="123"/>
      <c r="AF186" s="123"/>
      <c r="AH186" s="236"/>
      <c r="AI186" s="184"/>
      <c r="AJ186" s="184"/>
      <c r="AL186" s="123"/>
      <c r="AM186" s="160"/>
      <c r="AN186" s="160"/>
    </row>
    <row r="187" spans="3:40" x14ac:dyDescent="0.3">
      <c r="C187" s="42"/>
      <c r="F187" s="184"/>
      <c r="H187" s="184"/>
      <c r="I187" s="184"/>
      <c r="J187" s="227"/>
      <c r="K187" s="227"/>
      <c r="L187" s="123"/>
      <c r="M187" s="123"/>
      <c r="N187" s="160"/>
      <c r="O187" s="160"/>
      <c r="P187" s="184"/>
      <c r="Q187" s="184"/>
      <c r="R187" s="123"/>
      <c r="T187" s="42"/>
      <c r="V187" s="184"/>
      <c r="Y187" s="123"/>
      <c r="Z187" s="212"/>
      <c r="AA187" s="123"/>
      <c r="AB187" s="123"/>
      <c r="AC187" s="160"/>
      <c r="AD187" s="160"/>
      <c r="AE187" s="123"/>
      <c r="AF187" s="123"/>
      <c r="AH187" s="236"/>
      <c r="AI187" s="184"/>
      <c r="AJ187" s="184"/>
      <c r="AL187" s="123"/>
      <c r="AM187" s="160"/>
      <c r="AN187" s="160"/>
    </row>
    <row r="188" spans="3:40" x14ac:dyDescent="0.3">
      <c r="F188" s="210"/>
      <c r="H188" s="210"/>
      <c r="I188" s="210"/>
      <c r="J188" s="213"/>
      <c r="K188" s="213"/>
      <c r="L188" s="210"/>
      <c r="M188" s="210"/>
      <c r="N188" s="210"/>
      <c r="O188" s="210"/>
      <c r="P188" s="210"/>
      <c r="Q188" s="210"/>
      <c r="R188" s="210"/>
      <c r="V188" s="210"/>
      <c r="Y188" s="210"/>
      <c r="Z188" s="213"/>
      <c r="AA188" s="210"/>
      <c r="AB188" s="210"/>
      <c r="AC188" s="210"/>
      <c r="AD188" s="210"/>
      <c r="AE188" s="210"/>
      <c r="AF188" s="210"/>
      <c r="AI188" s="210"/>
      <c r="AJ188" s="210"/>
      <c r="AK188" s="214"/>
      <c r="AL188" s="210"/>
      <c r="AM188" s="160"/>
      <c r="AN188" s="160"/>
    </row>
    <row r="189" spans="3:40" x14ac:dyDescent="0.3">
      <c r="C189" s="42"/>
      <c r="F189" s="123"/>
      <c r="H189" s="123"/>
      <c r="I189" s="123"/>
      <c r="J189" s="219"/>
      <c r="K189" s="219"/>
      <c r="L189" s="123"/>
      <c r="M189" s="123"/>
      <c r="N189" s="160"/>
      <c r="O189" s="160"/>
      <c r="P189" s="123"/>
      <c r="Q189" s="123"/>
      <c r="R189" s="123"/>
      <c r="T189" s="42"/>
      <c r="V189" s="123"/>
      <c r="Y189" s="123"/>
      <c r="Z189" s="219"/>
      <c r="AA189" s="123"/>
      <c r="AB189" s="123"/>
      <c r="AC189" s="160"/>
      <c r="AD189" s="160"/>
      <c r="AE189" s="123"/>
      <c r="AF189" s="123"/>
      <c r="AH189" s="236"/>
      <c r="AI189" s="123"/>
      <c r="AJ189" s="123"/>
      <c r="AL189" s="123"/>
      <c r="AM189" s="160"/>
      <c r="AN189" s="160"/>
    </row>
    <row r="190" spans="3:40" x14ac:dyDescent="0.3">
      <c r="F190" s="210"/>
      <c r="H190" s="210"/>
      <c r="I190" s="210"/>
      <c r="J190" s="213"/>
      <c r="K190" s="213"/>
      <c r="L190" s="210"/>
      <c r="M190" s="210"/>
      <c r="N190" s="210"/>
      <c r="O190" s="210"/>
      <c r="P190" s="210"/>
      <c r="Q190" s="210"/>
      <c r="R190" s="210"/>
      <c r="V190" s="210"/>
      <c r="Y190" s="210"/>
      <c r="Z190" s="213"/>
      <c r="AA190" s="210"/>
      <c r="AB190" s="210"/>
      <c r="AC190" s="210"/>
      <c r="AD190" s="210"/>
      <c r="AE190" s="210"/>
      <c r="AF190" s="210"/>
      <c r="AI190" s="210"/>
      <c r="AJ190" s="210"/>
      <c r="AK190" s="214"/>
      <c r="AL190" s="210"/>
      <c r="AM190" s="160"/>
      <c r="AN190" s="160"/>
    </row>
    <row r="191" spans="3:40" x14ac:dyDescent="0.3">
      <c r="C191" s="42"/>
      <c r="F191" s="123"/>
      <c r="H191" s="123"/>
      <c r="I191" s="123"/>
      <c r="J191" s="219"/>
      <c r="K191" s="219"/>
      <c r="L191" s="123"/>
      <c r="M191" s="123"/>
      <c r="N191" s="160"/>
      <c r="O191" s="160"/>
      <c r="P191" s="123"/>
      <c r="Q191" s="123"/>
      <c r="R191" s="123"/>
      <c r="T191" s="42"/>
      <c r="V191" s="123"/>
      <c r="Y191" s="123"/>
      <c r="Z191" s="219"/>
      <c r="AA191" s="123"/>
      <c r="AB191" s="123"/>
      <c r="AC191" s="160"/>
      <c r="AD191" s="160"/>
      <c r="AE191" s="123"/>
      <c r="AF191" s="123"/>
      <c r="AH191" s="236"/>
      <c r="AI191" s="123"/>
      <c r="AJ191" s="123"/>
      <c r="AL191" s="123"/>
      <c r="AM191" s="160"/>
      <c r="AN191" s="160"/>
    </row>
    <row r="192" spans="3:40" x14ac:dyDescent="0.3">
      <c r="C192" s="42"/>
      <c r="F192" s="123"/>
      <c r="H192" s="123"/>
      <c r="I192" s="123"/>
      <c r="J192" s="219"/>
      <c r="K192" s="219"/>
      <c r="L192" s="123"/>
      <c r="M192" s="123"/>
      <c r="N192" s="160"/>
      <c r="O192" s="160"/>
      <c r="P192" s="123"/>
      <c r="Q192" s="123"/>
      <c r="R192" s="123"/>
      <c r="T192" s="42"/>
      <c r="V192" s="123"/>
      <c r="Y192" s="123"/>
      <c r="Z192" s="219"/>
      <c r="AA192" s="123"/>
      <c r="AB192" s="123"/>
      <c r="AC192" s="160"/>
      <c r="AD192" s="160"/>
      <c r="AE192" s="123"/>
      <c r="AF192" s="123"/>
      <c r="AH192" s="236"/>
      <c r="AI192" s="123"/>
      <c r="AJ192" s="123"/>
      <c r="AL192" s="123"/>
      <c r="AM192" s="160"/>
      <c r="AN192" s="160"/>
    </row>
    <row r="193" spans="1:40" x14ac:dyDescent="0.3">
      <c r="F193" s="210"/>
      <c r="H193" s="210"/>
      <c r="I193" s="210"/>
      <c r="J193" s="213"/>
      <c r="K193" s="213"/>
      <c r="L193" s="210"/>
      <c r="M193" s="210"/>
      <c r="N193" s="210"/>
      <c r="O193" s="210"/>
      <c r="P193" s="210"/>
      <c r="Q193" s="210"/>
      <c r="R193" s="210"/>
      <c r="V193" s="210"/>
      <c r="Y193" s="210"/>
      <c r="Z193" s="213"/>
      <c r="AA193" s="210"/>
      <c r="AB193" s="210"/>
      <c r="AC193" s="210"/>
      <c r="AD193" s="210"/>
      <c r="AE193" s="210"/>
      <c r="AF193" s="210"/>
      <c r="AI193" s="210"/>
      <c r="AJ193" s="210"/>
      <c r="AK193" s="214"/>
      <c r="AL193" s="210"/>
      <c r="AM193" s="123"/>
      <c r="AN193" s="123"/>
    </row>
    <row r="194" spans="1:40" x14ac:dyDescent="0.3">
      <c r="F194" s="123"/>
      <c r="H194" s="123"/>
      <c r="I194" s="123"/>
      <c r="J194" s="219"/>
      <c r="K194" s="219"/>
      <c r="L194" s="123"/>
      <c r="M194" s="123"/>
      <c r="N194" s="123"/>
      <c r="O194" s="123"/>
      <c r="P194" s="123"/>
      <c r="Q194" s="123"/>
      <c r="R194" s="123"/>
      <c r="V194" s="123"/>
      <c r="Y194" s="123"/>
      <c r="Z194" s="219"/>
      <c r="AA194" s="123"/>
      <c r="AB194" s="123"/>
      <c r="AC194" s="123"/>
      <c r="AD194" s="123"/>
    </row>
    <row r="195" spans="1:40" x14ac:dyDescent="0.3">
      <c r="C195" s="42"/>
      <c r="F195" s="123"/>
      <c r="H195" s="123"/>
      <c r="I195" s="123"/>
      <c r="J195" s="219"/>
      <c r="K195" s="219"/>
      <c r="L195" s="123"/>
      <c r="M195" s="123"/>
      <c r="N195" s="123"/>
      <c r="O195" s="123"/>
      <c r="P195" s="123"/>
      <c r="Q195" s="123"/>
      <c r="R195" s="123"/>
      <c r="T195" s="42"/>
      <c r="V195" s="123"/>
      <c r="Y195" s="123"/>
      <c r="Z195" s="219"/>
      <c r="AA195" s="123"/>
      <c r="AB195" s="123"/>
      <c r="AC195" s="123"/>
      <c r="AD195" s="123"/>
    </row>
    <row r="196" spans="1:40" x14ac:dyDescent="0.3">
      <c r="A196" s="42"/>
    </row>
    <row r="198" spans="1:40" x14ac:dyDescent="0.3">
      <c r="H198" s="42"/>
      <c r="I198" s="42"/>
      <c r="Y198" s="42"/>
    </row>
    <row r="200" spans="1:40" x14ac:dyDescent="0.3">
      <c r="L200" s="42"/>
      <c r="M200" s="42"/>
      <c r="AA200" s="42"/>
      <c r="AB200" s="42"/>
    </row>
    <row r="201" spans="1:40" x14ac:dyDescent="0.3">
      <c r="R201" s="42"/>
      <c r="AK201" s="206"/>
      <c r="AL201" s="42"/>
    </row>
    <row r="202" spans="1:40" x14ac:dyDescent="0.3">
      <c r="R202" s="42"/>
      <c r="AK202" s="206"/>
      <c r="AL202" s="42"/>
    </row>
    <row r="203" spans="1:40" x14ac:dyDescent="0.3">
      <c r="A203" s="42"/>
      <c r="R203" s="42"/>
      <c r="AK203" s="206"/>
      <c r="AL203" s="42"/>
    </row>
    <row r="204" spans="1:40" x14ac:dyDescent="0.3">
      <c r="L204" s="42"/>
      <c r="M204" s="42"/>
      <c r="AA204" s="42"/>
      <c r="AB204" s="42"/>
    </row>
    <row r="205" spans="1:40" x14ac:dyDescent="0.3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207"/>
      <c r="AH205" s="135"/>
      <c r="AI205" s="135"/>
      <c r="AJ205" s="135"/>
      <c r="AK205" s="207"/>
      <c r="AL205" s="135"/>
      <c r="AM205" s="135"/>
      <c r="AN205" s="135"/>
    </row>
    <row r="206" spans="1:40" x14ac:dyDescent="0.3">
      <c r="L206" s="44"/>
      <c r="M206" s="44"/>
      <c r="N206" s="44"/>
      <c r="O206" s="44"/>
      <c r="R206" s="44"/>
      <c r="AA206" s="44"/>
      <c r="AB206" s="44"/>
      <c r="AC206" s="44"/>
      <c r="AD206" s="44"/>
      <c r="AE206" s="44"/>
      <c r="AF206" s="44"/>
      <c r="AG206" s="168"/>
      <c r="AH206" s="44"/>
      <c r="AK206" s="168"/>
      <c r="AL206" s="44"/>
      <c r="AM206" s="44"/>
      <c r="AN206" s="44"/>
    </row>
    <row r="207" spans="1:40" x14ac:dyDescent="0.3">
      <c r="L207" s="44"/>
      <c r="M207" s="44"/>
      <c r="N207" s="44"/>
      <c r="O207" s="44"/>
      <c r="R207" s="44"/>
      <c r="Z207" s="44"/>
      <c r="AA207" s="44"/>
      <c r="AB207" s="44"/>
      <c r="AC207" s="44"/>
      <c r="AD207" s="44"/>
      <c r="AE207" s="44"/>
      <c r="AF207" s="44"/>
      <c r="AG207" s="168"/>
      <c r="AH207" s="44"/>
      <c r="AK207" s="168"/>
      <c r="AL207" s="44"/>
      <c r="AM207" s="44"/>
      <c r="AN207" s="44"/>
    </row>
    <row r="208" spans="1:40" x14ac:dyDescent="0.3">
      <c r="A208" s="44"/>
      <c r="C208" s="44"/>
      <c r="D208" s="44"/>
      <c r="E208" s="44"/>
      <c r="F208" s="44"/>
      <c r="J208" s="44"/>
      <c r="K208" s="44"/>
      <c r="L208" s="44"/>
      <c r="M208" s="44"/>
      <c r="N208" s="44"/>
      <c r="O208" s="44"/>
      <c r="P208" s="44"/>
      <c r="Q208" s="44"/>
      <c r="R208" s="44"/>
      <c r="T208" s="44"/>
      <c r="U208" s="44"/>
      <c r="V208" s="44"/>
      <c r="Z208" s="44"/>
      <c r="AA208" s="44"/>
      <c r="AB208" s="44"/>
      <c r="AC208" s="44"/>
      <c r="AD208" s="44"/>
      <c r="AE208" s="44"/>
      <c r="AF208" s="44"/>
      <c r="AG208" s="168"/>
      <c r="AH208" s="44"/>
      <c r="AI208" s="44"/>
      <c r="AJ208" s="44"/>
      <c r="AK208" s="168"/>
      <c r="AL208" s="44"/>
      <c r="AM208" s="44"/>
      <c r="AN208" s="44"/>
    </row>
    <row r="209" spans="1:40" x14ac:dyDescent="0.3">
      <c r="A209" s="44"/>
      <c r="C209" s="44"/>
      <c r="D209" s="44"/>
      <c r="E209" s="44"/>
      <c r="F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T209" s="44"/>
      <c r="U209" s="44"/>
      <c r="V209" s="44"/>
      <c r="Y209" s="44"/>
      <c r="Z209" s="44"/>
      <c r="AA209" s="44"/>
      <c r="AB209" s="44"/>
      <c r="AC209" s="44"/>
      <c r="AD209" s="44"/>
      <c r="AE209" s="44"/>
      <c r="AF209" s="44"/>
      <c r="AG209" s="168"/>
      <c r="AH209" s="44"/>
      <c r="AI209" s="44"/>
      <c r="AJ209" s="44"/>
      <c r="AK209" s="168"/>
      <c r="AL209" s="44"/>
      <c r="AM209" s="44"/>
      <c r="AN209" s="44"/>
    </row>
    <row r="210" spans="1:40" x14ac:dyDescent="0.3">
      <c r="C210" s="44"/>
      <c r="D210" s="44"/>
      <c r="E210" s="44"/>
      <c r="F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T210" s="44"/>
      <c r="U210" s="44"/>
      <c r="V210" s="44"/>
      <c r="Y210" s="44"/>
      <c r="Z210" s="44"/>
      <c r="AA210" s="44"/>
      <c r="AB210" s="44"/>
      <c r="AC210" s="44"/>
      <c r="AD210" s="44"/>
      <c r="AE210" s="44"/>
      <c r="AF210" s="44"/>
      <c r="AG210" s="168"/>
      <c r="AH210" s="44"/>
      <c r="AI210" s="44"/>
      <c r="AJ210" s="44"/>
      <c r="AK210" s="168"/>
      <c r="AL210" s="44"/>
      <c r="AM210" s="44"/>
      <c r="AN210" s="44"/>
    </row>
    <row r="211" spans="1:40" x14ac:dyDescent="0.3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207"/>
      <c r="AH211" s="135"/>
      <c r="AI211" s="135"/>
      <c r="AJ211" s="135"/>
      <c r="AK211" s="207"/>
      <c r="AL211" s="135"/>
      <c r="AM211" s="135"/>
      <c r="AN211" s="135"/>
    </row>
    <row r="212" spans="1:40" x14ac:dyDescent="0.3"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Y212" s="44"/>
      <c r="Z212" s="44"/>
      <c r="AA212" s="44"/>
      <c r="AB212" s="44"/>
      <c r="AC212" s="44"/>
      <c r="AD212" s="44"/>
      <c r="AE212" s="44"/>
      <c r="AF212" s="44"/>
      <c r="AG212" s="168"/>
      <c r="AH212" s="44"/>
      <c r="AI212" s="44"/>
      <c r="AJ212" s="44"/>
      <c r="AK212" s="168"/>
      <c r="AL212" s="44"/>
      <c r="AM212" s="44"/>
      <c r="AN212" s="44"/>
    </row>
    <row r="213" spans="1:40" x14ac:dyDescent="0.3">
      <c r="C213" s="42"/>
      <c r="D213" s="42"/>
      <c r="E213" s="42"/>
      <c r="T213" s="42"/>
      <c r="U213" s="42"/>
    </row>
    <row r="215" spans="1:40" x14ac:dyDescent="0.3">
      <c r="C215" s="42"/>
      <c r="F215" s="184"/>
      <c r="H215" s="222"/>
      <c r="I215" s="222"/>
      <c r="J215" s="193"/>
      <c r="K215" s="193"/>
      <c r="L215" s="123"/>
      <c r="M215" s="123"/>
      <c r="R215" s="123"/>
      <c r="T215" s="42"/>
      <c r="V215" s="123"/>
      <c r="Z215" s="193"/>
      <c r="AA215" s="123"/>
      <c r="AB215" s="123"/>
      <c r="AE215" s="123"/>
      <c r="AF215" s="123"/>
      <c r="AG215" s="233"/>
      <c r="AH215" s="234"/>
      <c r="AI215" s="123"/>
      <c r="AJ215" s="123"/>
      <c r="AL215" s="123"/>
      <c r="AM215" s="235"/>
      <c r="AN215" s="235"/>
    </row>
    <row r="216" spans="1:40" x14ac:dyDescent="0.3">
      <c r="F216" s="184"/>
      <c r="H216" s="222"/>
      <c r="I216" s="222"/>
      <c r="J216" s="222"/>
      <c r="K216" s="222"/>
      <c r="R216" s="123"/>
      <c r="V216" s="123"/>
      <c r="Z216" s="222"/>
    </row>
    <row r="217" spans="1:40" x14ac:dyDescent="0.3">
      <c r="C217" s="42"/>
      <c r="F217" s="184"/>
      <c r="H217" s="184"/>
      <c r="I217" s="184"/>
      <c r="J217" s="227"/>
      <c r="K217" s="227"/>
      <c r="L217" s="123"/>
      <c r="M217" s="123"/>
      <c r="N217" s="160"/>
      <c r="O217" s="160"/>
      <c r="P217" s="184"/>
      <c r="Q217" s="184"/>
      <c r="R217" s="123"/>
      <c r="T217" s="42"/>
      <c r="V217" s="123"/>
      <c r="Y217" s="123"/>
      <c r="Z217" s="212"/>
      <c r="AA217" s="123"/>
      <c r="AB217" s="123"/>
      <c r="AC217" s="160"/>
      <c r="AD217" s="160"/>
      <c r="AE217" s="123"/>
      <c r="AF217" s="123"/>
      <c r="AH217" s="236"/>
      <c r="AI217" s="184"/>
      <c r="AJ217" s="184"/>
      <c r="AL217" s="123"/>
      <c r="AM217" s="160"/>
      <c r="AN217" s="160"/>
    </row>
    <row r="218" spans="1:40" x14ac:dyDescent="0.3">
      <c r="F218" s="210"/>
      <c r="H218" s="210"/>
      <c r="I218" s="210"/>
      <c r="J218" s="213"/>
      <c r="K218" s="213"/>
      <c r="L218" s="210"/>
      <c r="M218" s="210"/>
      <c r="N218" s="210"/>
      <c r="O218" s="210"/>
      <c r="P218" s="210"/>
      <c r="Q218" s="210"/>
      <c r="R218" s="210"/>
      <c r="V218" s="210"/>
      <c r="Y218" s="210"/>
      <c r="Z218" s="213"/>
      <c r="AA218" s="210"/>
      <c r="AB218" s="210"/>
      <c r="AC218" s="210"/>
      <c r="AD218" s="210"/>
      <c r="AE218" s="210"/>
      <c r="AF218" s="210"/>
      <c r="AI218" s="210"/>
      <c r="AJ218" s="210"/>
      <c r="AK218" s="214"/>
      <c r="AL218" s="210"/>
    </row>
    <row r="219" spans="1:40" x14ac:dyDescent="0.3">
      <c r="D219" s="42"/>
      <c r="E219" s="42"/>
      <c r="F219" s="123"/>
      <c r="H219" s="123"/>
      <c r="I219" s="123"/>
      <c r="J219" s="219"/>
      <c r="K219" s="219"/>
      <c r="L219" s="123"/>
      <c r="M219" s="123"/>
      <c r="N219" s="160"/>
      <c r="O219" s="160"/>
      <c r="P219" s="123"/>
      <c r="Q219" s="123"/>
      <c r="R219" s="123"/>
      <c r="U219" s="42"/>
      <c r="V219" s="123"/>
      <c r="Y219" s="123"/>
      <c r="Z219" s="219"/>
      <c r="AA219" s="123"/>
      <c r="AB219" s="123"/>
      <c r="AC219" s="160"/>
      <c r="AD219" s="160"/>
      <c r="AE219" s="123"/>
      <c r="AF219" s="123"/>
      <c r="AH219" s="236"/>
      <c r="AI219" s="123"/>
      <c r="AJ219" s="123"/>
      <c r="AL219" s="123"/>
      <c r="AM219" s="160"/>
      <c r="AN219" s="160"/>
    </row>
    <row r="220" spans="1:40" x14ac:dyDescent="0.3">
      <c r="F220" s="210"/>
      <c r="H220" s="210"/>
      <c r="I220" s="210"/>
      <c r="J220" s="213"/>
      <c r="K220" s="213"/>
      <c r="L220" s="210"/>
      <c r="M220" s="210"/>
      <c r="N220" s="210"/>
      <c r="O220" s="210"/>
      <c r="P220" s="210"/>
      <c r="Q220" s="210"/>
      <c r="R220" s="210"/>
      <c r="V220" s="210"/>
      <c r="Y220" s="210"/>
      <c r="Z220" s="213"/>
      <c r="AA220" s="210"/>
      <c r="AB220" s="210"/>
      <c r="AC220" s="210"/>
      <c r="AD220" s="210"/>
      <c r="AE220" s="210"/>
      <c r="AF220" s="210"/>
      <c r="AI220" s="210"/>
      <c r="AJ220" s="210"/>
      <c r="AK220" s="214"/>
      <c r="AL220" s="210"/>
    </row>
    <row r="221" spans="1:40" x14ac:dyDescent="0.3">
      <c r="R221" s="123"/>
    </row>
    <row r="222" spans="1:40" x14ac:dyDescent="0.3">
      <c r="R222" s="123"/>
    </row>
    <row r="223" spans="1:40" x14ac:dyDescent="0.3">
      <c r="R223" s="123"/>
    </row>
    <row r="224" spans="1:40" x14ac:dyDescent="0.3">
      <c r="C224" s="42"/>
      <c r="D224" s="42"/>
      <c r="E224" s="42"/>
      <c r="H224" s="123"/>
      <c r="I224" s="123"/>
      <c r="J224" s="219"/>
      <c r="K224" s="219"/>
      <c r="L224" s="123"/>
      <c r="M224" s="123"/>
      <c r="N224" s="160"/>
      <c r="O224" s="160"/>
      <c r="P224" s="123"/>
      <c r="Q224" s="123"/>
      <c r="R224" s="123"/>
      <c r="T224" s="42"/>
      <c r="U224" s="42"/>
      <c r="Y224" s="123"/>
      <c r="Z224" s="219"/>
      <c r="AA224" s="123"/>
      <c r="AB224" s="123"/>
      <c r="AC224" s="160"/>
      <c r="AD224" s="160"/>
    </row>
    <row r="225" spans="1:40" x14ac:dyDescent="0.3">
      <c r="H225" s="123"/>
      <c r="I225" s="123"/>
      <c r="J225" s="219"/>
      <c r="K225" s="219"/>
      <c r="L225" s="123"/>
      <c r="M225" s="123"/>
      <c r="N225" s="160"/>
      <c r="O225" s="160"/>
      <c r="P225" s="123"/>
      <c r="Q225" s="123"/>
      <c r="R225" s="123"/>
      <c r="Y225" s="123"/>
      <c r="Z225" s="219"/>
      <c r="AA225" s="123"/>
      <c r="AB225" s="123"/>
      <c r="AC225" s="160"/>
      <c r="AD225" s="160"/>
    </row>
    <row r="226" spans="1:40" x14ac:dyDescent="0.3">
      <c r="C226" s="42"/>
      <c r="F226" s="184"/>
      <c r="H226" s="184"/>
      <c r="I226" s="184"/>
      <c r="J226" s="240"/>
      <c r="K226" s="240"/>
      <c r="L226" s="184"/>
      <c r="M226" s="184"/>
      <c r="N226" s="160"/>
      <c r="O226" s="160"/>
      <c r="P226" s="123"/>
      <c r="Q226" s="123"/>
      <c r="R226" s="123"/>
      <c r="T226" s="42"/>
      <c r="V226" s="123"/>
      <c r="Y226" s="123"/>
      <c r="Z226" s="240"/>
      <c r="AA226" s="123"/>
      <c r="AB226" s="123"/>
      <c r="AC226" s="160"/>
      <c r="AD226" s="160"/>
      <c r="AE226" s="123"/>
      <c r="AF226" s="123"/>
      <c r="AH226" s="236"/>
      <c r="AI226" s="123"/>
      <c r="AJ226" s="123"/>
      <c r="AL226" s="123"/>
      <c r="AM226" s="160"/>
      <c r="AN226" s="160"/>
    </row>
    <row r="227" spans="1:40" x14ac:dyDescent="0.3">
      <c r="F227" s="184"/>
      <c r="H227" s="222"/>
      <c r="I227" s="222"/>
      <c r="J227" s="222"/>
      <c r="K227" s="222"/>
      <c r="R227" s="123"/>
      <c r="V227" s="123"/>
      <c r="Z227" s="222"/>
    </row>
    <row r="228" spans="1:40" x14ac:dyDescent="0.3">
      <c r="C228" s="42"/>
      <c r="F228" s="184"/>
      <c r="H228" s="184"/>
      <c r="I228" s="184"/>
      <c r="J228" s="193"/>
      <c r="K228" s="193"/>
      <c r="L228" s="123"/>
      <c r="M228" s="123"/>
      <c r="N228" s="160"/>
      <c r="O228" s="160"/>
      <c r="P228" s="123"/>
      <c r="Q228" s="123"/>
      <c r="R228" s="123"/>
      <c r="T228" s="42"/>
      <c r="V228" s="123"/>
      <c r="Y228" s="123"/>
      <c r="Z228" s="193"/>
      <c r="AA228" s="123"/>
      <c r="AB228" s="123"/>
      <c r="AC228" s="160"/>
      <c r="AD228" s="160"/>
      <c r="AE228" s="123"/>
      <c r="AF228" s="123"/>
      <c r="AH228" s="236"/>
      <c r="AI228" s="123"/>
      <c r="AJ228" s="123"/>
      <c r="AL228" s="123"/>
      <c r="AM228" s="160"/>
      <c r="AN228" s="160"/>
    </row>
    <row r="229" spans="1:40" x14ac:dyDescent="0.3">
      <c r="F229" s="184"/>
      <c r="H229" s="222"/>
      <c r="I229" s="222"/>
      <c r="J229" s="222"/>
      <c r="K229" s="222"/>
      <c r="R229" s="123"/>
      <c r="V229" s="123"/>
      <c r="Z229" s="222"/>
    </row>
    <row r="230" spans="1:40" x14ac:dyDescent="0.3">
      <c r="C230" s="42"/>
      <c r="F230" s="184"/>
      <c r="H230" s="184"/>
      <c r="I230" s="184"/>
      <c r="J230" s="227"/>
      <c r="K230" s="227"/>
      <c r="L230" s="123"/>
      <c r="M230" s="123"/>
      <c r="N230" s="160"/>
      <c r="O230" s="160"/>
      <c r="P230" s="123"/>
      <c r="Q230" s="123"/>
      <c r="R230" s="123"/>
      <c r="T230" s="42"/>
      <c r="V230" s="123"/>
      <c r="Y230" s="123"/>
      <c r="Z230" s="212"/>
      <c r="AA230" s="123"/>
      <c r="AB230" s="123"/>
      <c r="AC230" s="160"/>
      <c r="AD230" s="160"/>
      <c r="AE230" s="123"/>
      <c r="AF230" s="123"/>
      <c r="AH230" s="236"/>
      <c r="AI230" s="123"/>
      <c r="AJ230" s="123"/>
      <c r="AL230" s="123"/>
      <c r="AM230" s="160"/>
      <c r="AN230" s="160"/>
    </row>
    <row r="231" spans="1:40" x14ac:dyDescent="0.3">
      <c r="F231" s="210"/>
      <c r="H231" s="210"/>
      <c r="I231" s="210"/>
      <c r="J231" s="213"/>
      <c r="K231" s="213"/>
      <c r="L231" s="210"/>
      <c r="M231" s="210"/>
      <c r="N231" s="210"/>
      <c r="O231" s="210"/>
      <c r="P231" s="210"/>
      <c r="Q231" s="210"/>
      <c r="R231" s="210"/>
      <c r="S231" s="123"/>
      <c r="V231" s="210"/>
      <c r="Y231" s="210"/>
      <c r="Z231" s="213"/>
      <c r="AA231" s="210"/>
      <c r="AB231" s="210"/>
      <c r="AC231" s="210"/>
      <c r="AD231" s="210"/>
      <c r="AE231" s="210"/>
      <c r="AF231" s="210"/>
      <c r="AI231" s="210"/>
      <c r="AJ231" s="210"/>
      <c r="AK231" s="214"/>
      <c r="AL231" s="210"/>
    </row>
    <row r="232" spans="1:40" x14ac:dyDescent="0.3">
      <c r="D232" s="42"/>
      <c r="E232" s="42"/>
      <c r="F232" s="123"/>
      <c r="H232" s="123"/>
      <c r="I232" s="123"/>
      <c r="J232" s="219"/>
      <c r="K232" s="219"/>
      <c r="L232" s="123"/>
      <c r="M232" s="123"/>
      <c r="N232" s="160"/>
      <c r="O232" s="160"/>
      <c r="P232" s="184"/>
      <c r="Q232" s="184"/>
      <c r="R232" s="123"/>
      <c r="S232" s="123"/>
      <c r="U232" s="42"/>
      <c r="V232" s="123"/>
      <c r="Y232" s="123"/>
      <c r="Z232" s="219"/>
      <c r="AA232" s="123"/>
      <c r="AB232" s="123"/>
      <c r="AC232" s="160"/>
      <c r="AD232" s="160"/>
      <c r="AE232" s="123"/>
      <c r="AF232" s="123"/>
      <c r="AH232" s="236"/>
      <c r="AI232" s="184"/>
      <c r="AJ232" s="184"/>
      <c r="AL232" s="123"/>
      <c r="AM232" s="160"/>
      <c r="AN232" s="160"/>
    </row>
    <row r="233" spans="1:40" x14ac:dyDescent="0.3">
      <c r="F233" s="210"/>
      <c r="H233" s="210"/>
      <c r="I233" s="210"/>
      <c r="J233" s="213"/>
      <c r="K233" s="213"/>
      <c r="L233" s="210"/>
      <c r="M233" s="210"/>
      <c r="N233" s="210"/>
      <c r="O233" s="210"/>
      <c r="P233" s="210"/>
      <c r="Q233" s="210"/>
      <c r="R233" s="210"/>
      <c r="S233" s="123"/>
      <c r="V233" s="210"/>
      <c r="Y233" s="210"/>
      <c r="Z233" s="213"/>
      <c r="AA233" s="210"/>
      <c r="AB233" s="210"/>
      <c r="AC233" s="210"/>
      <c r="AD233" s="210"/>
      <c r="AE233" s="210"/>
      <c r="AF233" s="210"/>
      <c r="AI233" s="210"/>
      <c r="AJ233" s="210"/>
      <c r="AK233" s="214"/>
      <c r="AL233" s="210"/>
    </row>
    <row r="234" spans="1:40" x14ac:dyDescent="0.3">
      <c r="R234" s="123"/>
    </row>
    <row r="235" spans="1:40" x14ac:dyDescent="0.3">
      <c r="F235" s="123"/>
      <c r="H235" s="123"/>
      <c r="I235" s="123"/>
      <c r="J235" s="219"/>
      <c r="K235" s="219"/>
      <c r="L235" s="123"/>
      <c r="M235" s="123"/>
      <c r="N235" s="123"/>
      <c r="O235" s="123"/>
      <c r="P235" s="123"/>
      <c r="Q235" s="123"/>
      <c r="R235" s="123"/>
      <c r="V235" s="123"/>
      <c r="Y235" s="123"/>
      <c r="Z235" s="219"/>
      <c r="AA235" s="123"/>
      <c r="AB235" s="123"/>
      <c r="AC235" s="123"/>
      <c r="AD235" s="123"/>
    </row>
    <row r="236" spans="1:40" x14ac:dyDescent="0.3">
      <c r="C236" s="42"/>
      <c r="F236" s="123"/>
      <c r="H236" s="123"/>
      <c r="I236" s="123"/>
      <c r="J236" s="219"/>
      <c r="K236" s="219"/>
      <c r="L236" s="123"/>
      <c r="M236" s="123"/>
      <c r="N236" s="123"/>
      <c r="O236" s="123"/>
      <c r="P236" s="123"/>
      <c r="Q236" s="123"/>
      <c r="R236" s="123"/>
      <c r="T236" s="42"/>
      <c r="V236" s="123"/>
      <c r="Y236" s="123"/>
      <c r="Z236" s="219"/>
      <c r="AA236" s="123"/>
      <c r="AB236" s="123"/>
      <c r="AC236" s="123"/>
      <c r="AD236" s="123"/>
    </row>
    <row r="237" spans="1:40" x14ac:dyDescent="0.3">
      <c r="C237" s="42"/>
      <c r="T237" s="42"/>
    </row>
    <row r="238" spans="1:40" x14ac:dyDescent="0.3">
      <c r="A238" s="42"/>
    </row>
    <row r="241" spans="1:40" x14ac:dyDescent="0.3">
      <c r="H241" s="42"/>
      <c r="I241" s="42"/>
      <c r="Y241" s="42"/>
    </row>
    <row r="243" spans="1:40" x14ac:dyDescent="0.3">
      <c r="L243" s="42"/>
      <c r="M243" s="42"/>
      <c r="AA243" s="42"/>
      <c r="AB243" s="42"/>
    </row>
    <row r="244" spans="1:40" x14ac:dyDescent="0.3">
      <c r="R244" s="42"/>
      <c r="AK244" s="206"/>
      <c r="AL244" s="42"/>
    </row>
    <row r="245" spans="1:40" x14ac:dyDescent="0.3">
      <c r="R245" s="42"/>
      <c r="AK245" s="206"/>
      <c r="AL245" s="42"/>
    </row>
    <row r="246" spans="1:40" x14ac:dyDescent="0.3">
      <c r="A246" s="42"/>
      <c r="R246" s="42"/>
      <c r="AK246" s="206"/>
      <c r="AL246" s="42"/>
    </row>
    <row r="247" spans="1:40" x14ac:dyDescent="0.3">
      <c r="L247" s="42"/>
      <c r="M247" s="42"/>
      <c r="AA247" s="42"/>
      <c r="AB247" s="42"/>
    </row>
    <row r="248" spans="1:40" x14ac:dyDescent="0.3">
      <c r="A248" s="135"/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207"/>
      <c r="AH248" s="135"/>
      <c r="AI248" s="135"/>
      <c r="AJ248" s="135"/>
      <c r="AK248" s="207"/>
      <c r="AL248" s="135"/>
      <c r="AM248" s="135"/>
      <c r="AN248" s="135"/>
    </row>
    <row r="249" spans="1:40" x14ac:dyDescent="0.3">
      <c r="L249" s="44"/>
      <c r="M249" s="44"/>
      <c r="N249" s="44"/>
      <c r="O249" s="44"/>
      <c r="R249" s="44"/>
      <c r="AA249" s="44"/>
      <c r="AB249" s="44"/>
      <c r="AC249" s="44"/>
      <c r="AD249" s="44"/>
      <c r="AE249" s="44"/>
      <c r="AF249" s="44"/>
      <c r="AG249" s="168"/>
      <c r="AH249" s="44"/>
      <c r="AK249" s="168"/>
      <c r="AL249" s="44"/>
      <c r="AM249" s="44"/>
      <c r="AN249" s="44"/>
    </row>
    <row r="250" spans="1:40" x14ac:dyDescent="0.3">
      <c r="L250" s="44"/>
      <c r="M250" s="44"/>
      <c r="N250" s="44"/>
      <c r="O250" s="44"/>
      <c r="R250" s="44"/>
      <c r="Z250" s="44"/>
      <c r="AA250" s="44"/>
      <c r="AB250" s="44"/>
      <c r="AC250" s="44"/>
      <c r="AD250" s="44"/>
      <c r="AE250" s="44"/>
      <c r="AF250" s="44"/>
      <c r="AG250" s="168"/>
      <c r="AH250" s="44"/>
      <c r="AK250" s="168"/>
      <c r="AL250" s="44"/>
      <c r="AM250" s="44"/>
      <c r="AN250" s="44"/>
    </row>
    <row r="251" spans="1:40" x14ac:dyDescent="0.3">
      <c r="A251" s="44"/>
      <c r="C251" s="44"/>
      <c r="D251" s="44"/>
      <c r="E251" s="44"/>
      <c r="F251" s="44"/>
      <c r="J251" s="44"/>
      <c r="K251" s="44"/>
      <c r="L251" s="44"/>
      <c r="M251" s="44"/>
      <c r="N251" s="44"/>
      <c r="O251" s="44"/>
      <c r="P251" s="44"/>
      <c r="Q251" s="44"/>
      <c r="R251" s="44"/>
      <c r="T251" s="44"/>
      <c r="U251" s="44"/>
      <c r="V251" s="44"/>
      <c r="Z251" s="44"/>
      <c r="AA251" s="44"/>
      <c r="AB251" s="44"/>
      <c r="AC251" s="44"/>
      <c r="AD251" s="44"/>
      <c r="AE251" s="44"/>
      <c r="AF251" s="44"/>
      <c r="AG251" s="168"/>
      <c r="AH251" s="44"/>
      <c r="AI251" s="44"/>
      <c r="AJ251" s="44"/>
      <c r="AK251" s="168"/>
      <c r="AL251" s="44"/>
      <c r="AM251" s="44"/>
      <c r="AN251" s="44"/>
    </row>
    <row r="252" spans="1:40" x14ac:dyDescent="0.3">
      <c r="A252" s="44"/>
      <c r="C252" s="44"/>
      <c r="D252" s="44"/>
      <c r="E252" s="44"/>
      <c r="F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T252" s="44"/>
      <c r="U252" s="44"/>
      <c r="V252" s="44"/>
      <c r="Y252" s="44"/>
      <c r="Z252" s="44"/>
      <c r="AA252" s="44"/>
      <c r="AB252" s="44"/>
      <c r="AC252" s="44"/>
      <c r="AD252" s="44"/>
      <c r="AE252" s="44"/>
      <c r="AF252" s="44"/>
      <c r="AG252" s="168"/>
      <c r="AH252" s="44"/>
      <c r="AI252" s="44"/>
      <c r="AJ252" s="44"/>
      <c r="AK252" s="168"/>
      <c r="AL252" s="44"/>
      <c r="AM252" s="44"/>
      <c r="AN252" s="44"/>
    </row>
    <row r="253" spans="1:40" x14ac:dyDescent="0.3">
      <c r="C253" s="44"/>
      <c r="D253" s="44"/>
      <c r="E253" s="44"/>
      <c r="F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T253" s="44"/>
      <c r="U253" s="44"/>
      <c r="V253" s="44"/>
      <c r="Y253" s="44"/>
      <c r="Z253" s="44"/>
      <c r="AA253" s="44"/>
      <c r="AB253" s="44"/>
      <c r="AC253" s="44"/>
      <c r="AD253" s="44"/>
      <c r="AE253" s="44"/>
      <c r="AF253" s="44"/>
      <c r="AG253" s="168"/>
      <c r="AH253" s="44"/>
      <c r="AI253" s="44"/>
      <c r="AJ253" s="44"/>
      <c r="AK253" s="168"/>
      <c r="AL253" s="44"/>
      <c r="AM253" s="44"/>
      <c r="AN253" s="44"/>
    </row>
    <row r="254" spans="1:40" x14ac:dyDescent="0.3">
      <c r="A254" s="135"/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207"/>
      <c r="AH254" s="135"/>
      <c r="AI254" s="135"/>
      <c r="AJ254" s="135"/>
      <c r="AK254" s="207"/>
      <c r="AL254" s="135"/>
      <c r="AM254" s="135"/>
      <c r="AN254" s="135"/>
    </row>
    <row r="255" spans="1:40" x14ac:dyDescent="0.3"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Y255" s="44"/>
      <c r="Z255" s="44"/>
      <c r="AA255" s="44"/>
      <c r="AB255" s="44"/>
      <c r="AC255" s="44"/>
      <c r="AD255" s="44"/>
      <c r="AE255" s="44"/>
      <c r="AF255" s="44"/>
      <c r="AG255" s="168"/>
      <c r="AH255" s="44"/>
      <c r="AI255" s="44"/>
      <c r="AJ255" s="44"/>
      <c r="AK255" s="168"/>
      <c r="AL255" s="44"/>
      <c r="AM255" s="44"/>
      <c r="AN255" s="44"/>
    </row>
    <row r="256" spans="1:40" x14ac:dyDescent="0.3">
      <c r="C256" s="42"/>
      <c r="D256" s="42"/>
      <c r="E256" s="42"/>
      <c r="T256" s="42"/>
      <c r="U256" s="42"/>
    </row>
    <row r="257" spans="3:40" x14ac:dyDescent="0.3">
      <c r="D257" s="42"/>
      <c r="E257" s="42"/>
      <c r="U257" s="42"/>
    </row>
    <row r="259" spans="3:40" x14ac:dyDescent="0.3">
      <c r="C259" s="42"/>
      <c r="F259" s="123"/>
      <c r="J259" s="209"/>
      <c r="K259" s="209"/>
      <c r="L259" s="123"/>
      <c r="M259" s="123"/>
      <c r="R259" s="123"/>
      <c r="T259" s="42"/>
      <c r="V259" s="123"/>
      <c r="Z259" s="209"/>
      <c r="AA259" s="123"/>
      <c r="AB259" s="123"/>
      <c r="AL259" s="123"/>
    </row>
    <row r="260" spans="3:40" x14ac:dyDescent="0.3">
      <c r="F260" s="123"/>
      <c r="R260" s="123"/>
      <c r="V260" s="123"/>
      <c r="AL260" s="123"/>
    </row>
    <row r="261" spans="3:40" x14ac:dyDescent="0.3">
      <c r="C261" s="42"/>
      <c r="F261" s="184"/>
      <c r="H261" s="184"/>
      <c r="I261" s="184"/>
      <c r="J261" s="193"/>
      <c r="K261" s="193"/>
      <c r="L261" s="123"/>
      <c r="M261" s="123"/>
      <c r="N261" s="160"/>
      <c r="O261" s="160"/>
      <c r="P261" s="123"/>
      <c r="Q261" s="123"/>
      <c r="R261" s="123"/>
      <c r="T261" s="42"/>
      <c r="V261" s="123"/>
      <c r="Y261" s="123"/>
      <c r="Z261" s="193"/>
      <c r="AA261" s="123"/>
      <c r="AB261" s="123"/>
      <c r="AC261" s="160"/>
      <c r="AD261" s="160"/>
      <c r="AE261" s="123"/>
      <c r="AF261" s="123"/>
      <c r="AH261" s="236"/>
      <c r="AI261" s="123"/>
      <c r="AJ261" s="123"/>
      <c r="AL261" s="123"/>
      <c r="AM261" s="160"/>
      <c r="AN261" s="160"/>
    </row>
    <row r="262" spans="3:40" x14ac:dyDescent="0.3">
      <c r="C262" s="42"/>
      <c r="F262" s="184"/>
      <c r="H262" s="222"/>
      <c r="I262" s="222"/>
      <c r="J262" s="193"/>
      <c r="K262" s="193"/>
      <c r="L262" s="123"/>
      <c r="M262" s="123"/>
      <c r="N262" s="160"/>
      <c r="O262" s="160"/>
      <c r="P262" s="123"/>
      <c r="Q262" s="123"/>
      <c r="R262" s="123"/>
      <c r="T262" s="42"/>
      <c r="V262" s="123"/>
      <c r="Y262" s="123"/>
      <c r="Z262" s="193"/>
      <c r="AA262" s="123"/>
      <c r="AB262" s="123"/>
      <c r="AC262" s="160"/>
      <c r="AD262" s="160"/>
      <c r="AE262" s="123"/>
      <c r="AF262" s="123"/>
      <c r="AH262" s="236"/>
      <c r="AI262" s="123"/>
      <c r="AJ262" s="123"/>
      <c r="AL262" s="123"/>
      <c r="AM262" s="160"/>
      <c r="AN262" s="160"/>
    </row>
    <row r="263" spans="3:40" x14ac:dyDescent="0.3">
      <c r="F263" s="210"/>
      <c r="H263" s="123"/>
      <c r="I263" s="123"/>
      <c r="J263" s="213"/>
      <c r="K263" s="213"/>
      <c r="L263" s="210"/>
      <c r="M263" s="210"/>
      <c r="N263" s="210"/>
      <c r="O263" s="210"/>
      <c r="P263" s="210"/>
      <c r="Q263" s="210"/>
      <c r="R263" s="210"/>
      <c r="V263" s="210"/>
      <c r="Y263" s="123"/>
      <c r="Z263" s="213"/>
      <c r="AA263" s="210"/>
      <c r="AB263" s="210"/>
      <c r="AC263" s="210"/>
      <c r="AD263" s="210"/>
      <c r="AE263" s="210"/>
      <c r="AF263" s="210"/>
      <c r="AI263" s="210"/>
      <c r="AJ263" s="210"/>
      <c r="AK263" s="214"/>
      <c r="AL263" s="210"/>
    </row>
    <row r="264" spans="3:40" x14ac:dyDescent="0.3">
      <c r="C264" s="42"/>
      <c r="F264" s="123"/>
      <c r="H264" s="123"/>
      <c r="I264" s="123"/>
      <c r="J264" s="219"/>
      <c r="K264" s="219"/>
      <c r="L264" s="123"/>
      <c r="M264" s="123"/>
      <c r="N264" s="160"/>
      <c r="O264" s="160"/>
      <c r="P264" s="123"/>
      <c r="Q264" s="123"/>
      <c r="R264" s="123"/>
      <c r="T264" s="42"/>
      <c r="V264" s="123"/>
      <c r="Y264" s="123"/>
      <c r="Z264" s="219"/>
      <c r="AA264" s="123"/>
      <c r="AB264" s="123"/>
      <c r="AC264" s="160"/>
      <c r="AD264" s="160"/>
      <c r="AE264" s="123"/>
      <c r="AF264" s="123"/>
      <c r="AH264" s="236"/>
      <c r="AI264" s="123"/>
      <c r="AJ264" s="123"/>
      <c r="AL264" s="123"/>
      <c r="AM264" s="160"/>
      <c r="AN264" s="160"/>
    </row>
    <row r="265" spans="3:40" x14ac:dyDescent="0.3">
      <c r="F265" s="210"/>
      <c r="H265" s="123"/>
      <c r="I265" s="123"/>
      <c r="J265" s="213"/>
      <c r="K265" s="213"/>
      <c r="L265" s="210"/>
      <c r="M265" s="210"/>
      <c r="N265" s="210"/>
      <c r="O265" s="210"/>
      <c r="P265" s="210"/>
      <c r="Q265" s="210"/>
      <c r="R265" s="210"/>
      <c r="V265" s="210"/>
      <c r="Y265" s="123"/>
      <c r="Z265" s="213"/>
      <c r="AA265" s="210"/>
      <c r="AB265" s="210"/>
      <c r="AC265" s="210"/>
      <c r="AD265" s="210"/>
      <c r="AE265" s="210"/>
      <c r="AF265" s="210"/>
      <c r="AI265" s="210"/>
      <c r="AJ265" s="210"/>
      <c r="AK265" s="214"/>
      <c r="AL265" s="210"/>
    </row>
    <row r="266" spans="3:40" x14ac:dyDescent="0.3">
      <c r="F266" s="123"/>
      <c r="R266" s="123"/>
      <c r="V266" s="123"/>
      <c r="AL266" s="123"/>
    </row>
    <row r="267" spans="3:40" x14ac:dyDescent="0.3">
      <c r="C267" s="42"/>
      <c r="F267" s="123"/>
      <c r="R267" s="123"/>
      <c r="T267" s="42"/>
      <c r="V267" s="123"/>
      <c r="AL267" s="123"/>
    </row>
    <row r="268" spans="3:40" x14ac:dyDescent="0.3">
      <c r="F268" s="123"/>
      <c r="R268" s="123"/>
      <c r="V268" s="123"/>
      <c r="AL268" s="123"/>
    </row>
    <row r="269" spans="3:40" x14ac:dyDescent="0.3">
      <c r="C269" s="42"/>
      <c r="F269" s="123"/>
      <c r="H269" s="184"/>
      <c r="I269" s="184"/>
      <c r="J269" s="227"/>
      <c r="K269" s="227"/>
      <c r="L269" s="123"/>
      <c r="M269" s="123"/>
      <c r="N269" s="160"/>
      <c r="O269" s="160"/>
      <c r="P269" s="184"/>
      <c r="Q269" s="184"/>
      <c r="R269" s="123"/>
      <c r="T269" s="42"/>
      <c r="V269" s="123"/>
      <c r="Y269" s="123"/>
      <c r="Z269" s="212"/>
      <c r="AA269" s="123"/>
      <c r="AB269" s="123"/>
      <c r="AC269" s="160"/>
      <c r="AD269" s="160"/>
      <c r="AE269" s="123"/>
      <c r="AF269" s="123"/>
      <c r="AH269" s="236"/>
      <c r="AI269" s="184"/>
      <c r="AJ269" s="184"/>
      <c r="AL269" s="123"/>
      <c r="AM269" s="160"/>
      <c r="AN269" s="160"/>
    </row>
    <row r="270" spans="3:40" x14ac:dyDescent="0.3">
      <c r="F270" s="210"/>
      <c r="H270" s="210"/>
      <c r="I270" s="210"/>
      <c r="J270" s="213"/>
      <c r="K270" s="213"/>
      <c r="L270" s="210"/>
      <c r="M270" s="210"/>
      <c r="N270" s="210"/>
      <c r="O270" s="210"/>
      <c r="P270" s="210"/>
      <c r="Q270" s="210"/>
      <c r="R270" s="210"/>
      <c r="V270" s="210"/>
      <c r="Y270" s="210"/>
      <c r="Z270" s="213"/>
      <c r="AA270" s="210"/>
      <c r="AB270" s="210"/>
      <c r="AC270" s="210"/>
      <c r="AD270" s="210"/>
      <c r="AE270" s="210"/>
      <c r="AF270" s="210"/>
      <c r="AI270" s="210"/>
      <c r="AJ270" s="210"/>
      <c r="AK270" s="214"/>
      <c r="AL270" s="210"/>
    </row>
    <row r="272" spans="3:40" x14ac:dyDescent="0.3">
      <c r="C272" s="42"/>
      <c r="F272" s="123"/>
      <c r="H272" s="123"/>
      <c r="I272" s="123"/>
      <c r="J272" s="209"/>
      <c r="K272" s="209"/>
      <c r="L272" s="123"/>
      <c r="M272" s="123"/>
      <c r="N272" s="160"/>
      <c r="O272" s="160"/>
      <c r="P272" s="123"/>
      <c r="Q272" s="123"/>
      <c r="R272" s="123"/>
      <c r="T272" s="42"/>
      <c r="V272" s="123"/>
      <c r="Y272" s="123"/>
      <c r="Z272" s="209"/>
      <c r="AA272" s="123"/>
      <c r="AB272" s="123"/>
      <c r="AC272" s="160"/>
      <c r="AD272" s="160"/>
      <c r="AE272" s="123"/>
      <c r="AF272" s="123"/>
      <c r="AH272" s="236"/>
      <c r="AI272" s="123"/>
      <c r="AJ272" s="123"/>
      <c r="AL272" s="123"/>
      <c r="AM272" s="160"/>
      <c r="AN272" s="160"/>
    </row>
    <row r="273" spans="1:40" x14ac:dyDescent="0.3">
      <c r="F273" s="210"/>
      <c r="H273" s="210"/>
      <c r="I273" s="210"/>
      <c r="J273" s="213"/>
      <c r="K273" s="213"/>
      <c r="L273" s="210"/>
      <c r="M273" s="210"/>
      <c r="N273" s="210"/>
      <c r="O273" s="210"/>
      <c r="P273" s="210"/>
      <c r="Q273" s="210"/>
      <c r="R273" s="210"/>
      <c r="V273" s="210"/>
      <c r="Y273" s="210"/>
      <c r="Z273" s="213"/>
      <c r="AA273" s="210"/>
      <c r="AB273" s="210"/>
      <c r="AC273" s="210"/>
      <c r="AD273" s="210"/>
      <c r="AE273" s="210"/>
      <c r="AF273" s="210"/>
      <c r="AI273" s="210"/>
      <c r="AJ273" s="210"/>
      <c r="AK273" s="214"/>
      <c r="AL273" s="210"/>
    </row>
    <row r="274" spans="1:40" x14ac:dyDescent="0.3">
      <c r="R274" s="123"/>
      <c r="AH274" s="123"/>
    </row>
    <row r="275" spans="1:40" x14ac:dyDescent="0.3">
      <c r="F275" s="123"/>
      <c r="H275" s="123"/>
      <c r="I275" s="123"/>
      <c r="J275" s="219"/>
      <c r="K275" s="219"/>
      <c r="L275" s="123"/>
      <c r="M275" s="123"/>
      <c r="N275" s="123"/>
      <c r="O275" s="123"/>
      <c r="P275" s="123"/>
      <c r="Q275" s="123"/>
      <c r="R275" s="123"/>
      <c r="V275" s="123"/>
      <c r="Y275" s="123"/>
      <c r="Z275" s="219"/>
      <c r="AA275" s="123"/>
      <c r="AB275" s="123"/>
      <c r="AC275" s="123"/>
      <c r="AD275" s="123"/>
      <c r="AE275" s="123"/>
      <c r="AF275" s="123"/>
      <c r="AH275" s="123"/>
    </row>
    <row r="276" spans="1:40" x14ac:dyDescent="0.3">
      <c r="C276" s="42"/>
      <c r="F276" s="123"/>
      <c r="H276" s="123"/>
      <c r="I276" s="123"/>
      <c r="J276" s="219"/>
      <c r="K276" s="219"/>
      <c r="L276" s="123"/>
      <c r="M276" s="123"/>
      <c r="N276" s="123"/>
      <c r="O276" s="123"/>
      <c r="P276" s="123"/>
      <c r="Q276" s="123"/>
      <c r="R276" s="123"/>
      <c r="T276" s="42"/>
      <c r="V276" s="123"/>
      <c r="Y276" s="123"/>
      <c r="Z276" s="219"/>
      <c r="AA276" s="123"/>
      <c r="AB276" s="123"/>
      <c r="AC276" s="123"/>
      <c r="AD276" s="123"/>
      <c r="AE276" s="123"/>
      <c r="AF276" s="123"/>
      <c r="AH276" s="123"/>
    </row>
    <row r="277" spans="1:40" x14ac:dyDescent="0.3">
      <c r="A277" s="42"/>
    </row>
    <row r="280" spans="1:40" x14ac:dyDescent="0.3">
      <c r="H280" s="42"/>
      <c r="I280" s="42"/>
      <c r="Y280" s="42"/>
    </row>
    <row r="282" spans="1:40" x14ac:dyDescent="0.3">
      <c r="L282" s="42"/>
      <c r="M282" s="42"/>
      <c r="AA282" s="42"/>
      <c r="AB282" s="42"/>
    </row>
    <row r="283" spans="1:40" x14ac:dyDescent="0.3">
      <c r="R283" s="42"/>
      <c r="AK283" s="206"/>
      <c r="AL283" s="42"/>
    </row>
    <row r="284" spans="1:40" x14ac:dyDescent="0.3">
      <c r="R284" s="42"/>
      <c r="AK284" s="206"/>
      <c r="AL284" s="42"/>
    </row>
    <row r="285" spans="1:40" x14ac:dyDescent="0.3">
      <c r="A285" s="42"/>
      <c r="R285" s="42"/>
      <c r="AK285" s="206"/>
      <c r="AL285" s="42"/>
    </row>
    <row r="286" spans="1:40" x14ac:dyDescent="0.3">
      <c r="L286" s="42"/>
      <c r="M286" s="42"/>
      <c r="AA286" s="42"/>
      <c r="AB286" s="42"/>
    </row>
    <row r="287" spans="1:40" x14ac:dyDescent="0.3">
      <c r="A287" s="135"/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207"/>
      <c r="AH287" s="135"/>
      <c r="AI287" s="135"/>
      <c r="AJ287" s="135"/>
      <c r="AK287" s="207"/>
      <c r="AL287" s="135"/>
      <c r="AM287" s="135"/>
      <c r="AN287" s="135"/>
    </row>
    <row r="288" spans="1:40" x14ac:dyDescent="0.3">
      <c r="L288" s="44"/>
      <c r="M288" s="44"/>
      <c r="N288" s="44"/>
      <c r="O288" s="44"/>
      <c r="R288" s="44"/>
      <c r="AA288" s="44"/>
      <c r="AB288" s="44"/>
      <c r="AC288" s="44"/>
      <c r="AD288" s="44"/>
      <c r="AE288" s="44"/>
      <c r="AF288" s="44"/>
      <c r="AG288" s="168"/>
      <c r="AH288" s="44"/>
      <c r="AK288" s="168"/>
      <c r="AL288" s="44"/>
      <c r="AM288" s="44"/>
      <c r="AN288" s="44"/>
    </row>
    <row r="289" spans="1:40" x14ac:dyDescent="0.3">
      <c r="L289" s="44"/>
      <c r="M289" s="44"/>
      <c r="N289" s="44"/>
      <c r="O289" s="44"/>
      <c r="R289" s="44"/>
      <c r="Z289" s="44"/>
      <c r="AA289" s="44"/>
      <c r="AB289" s="44"/>
      <c r="AC289" s="44"/>
      <c r="AD289" s="44"/>
      <c r="AE289" s="44"/>
      <c r="AF289" s="44"/>
      <c r="AG289" s="168"/>
      <c r="AH289" s="44"/>
      <c r="AK289" s="168"/>
      <c r="AL289" s="44"/>
      <c r="AM289" s="44"/>
      <c r="AN289" s="44"/>
    </row>
    <row r="290" spans="1:40" x14ac:dyDescent="0.3">
      <c r="A290" s="44"/>
      <c r="C290" s="44"/>
      <c r="D290" s="44"/>
      <c r="E290" s="44"/>
      <c r="F290" s="44"/>
      <c r="J290" s="44"/>
      <c r="K290" s="44"/>
      <c r="L290" s="44"/>
      <c r="M290" s="44"/>
      <c r="N290" s="44"/>
      <c r="O290" s="44"/>
      <c r="P290" s="44"/>
      <c r="Q290" s="44"/>
      <c r="R290" s="44"/>
      <c r="T290" s="44"/>
      <c r="U290" s="44"/>
      <c r="V290" s="44"/>
      <c r="Z290" s="44"/>
      <c r="AA290" s="44"/>
      <c r="AB290" s="44"/>
      <c r="AC290" s="44"/>
      <c r="AD290" s="44"/>
      <c r="AE290" s="44"/>
      <c r="AF290" s="44"/>
      <c r="AG290" s="168"/>
      <c r="AH290" s="44"/>
      <c r="AI290" s="44"/>
      <c r="AJ290" s="44"/>
      <c r="AK290" s="168"/>
      <c r="AL290" s="44"/>
      <c r="AM290" s="44"/>
      <c r="AN290" s="44"/>
    </row>
    <row r="291" spans="1:40" x14ac:dyDescent="0.3">
      <c r="A291" s="44"/>
      <c r="C291" s="44"/>
      <c r="D291" s="44"/>
      <c r="E291" s="44"/>
      <c r="F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T291" s="44"/>
      <c r="U291" s="44"/>
      <c r="V291" s="44"/>
      <c r="Y291" s="44"/>
      <c r="Z291" s="44"/>
      <c r="AA291" s="44"/>
      <c r="AB291" s="44"/>
      <c r="AC291" s="44"/>
      <c r="AD291" s="44"/>
      <c r="AE291" s="44"/>
      <c r="AF291" s="44"/>
      <c r="AG291" s="168"/>
      <c r="AH291" s="44"/>
      <c r="AI291" s="44"/>
      <c r="AJ291" s="44"/>
      <c r="AK291" s="168"/>
      <c r="AL291" s="44"/>
      <c r="AM291" s="44"/>
      <c r="AN291" s="44"/>
    </row>
    <row r="292" spans="1:40" x14ac:dyDescent="0.3">
      <c r="C292" s="44"/>
      <c r="D292" s="44"/>
      <c r="E292" s="44"/>
      <c r="F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T292" s="44"/>
      <c r="U292" s="44"/>
      <c r="V292" s="44"/>
      <c r="Y292" s="44"/>
      <c r="Z292" s="44"/>
      <c r="AA292" s="44"/>
      <c r="AB292" s="44"/>
      <c r="AC292" s="44"/>
      <c r="AD292" s="44"/>
      <c r="AE292" s="44"/>
      <c r="AF292" s="44"/>
      <c r="AG292" s="168"/>
      <c r="AH292" s="44"/>
      <c r="AI292" s="44"/>
      <c r="AJ292" s="44"/>
      <c r="AK292" s="168"/>
      <c r="AL292" s="44"/>
      <c r="AM292" s="44"/>
      <c r="AN292" s="44"/>
    </row>
    <row r="293" spans="1:40" x14ac:dyDescent="0.3">
      <c r="A293" s="135"/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207"/>
      <c r="AH293" s="135"/>
      <c r="AI293" s="135"/>
      <c r="AJ293" s="135"/>
      <c r="AK293" s="207"/>
      <c r="AL293" s="135"/>
      <c r="AM293" s="135"/>
      <c r="AN293" s="135"/>
    </row>
    <row r="294" spans="1:40" x14ac:dyDescent="0.3"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Y294" s="44"/>
      <c r="Z294" s="44"/>
      <c r="AA294" s="44"/>
      <c r="AB294" s="44"/>
      <c r="AC294" s="44"/>
      <c r="AD294" s="44"/>
      <c r="AE294" s="44"/>
      <c r="AF294" s="44"/>
      <c r="AG294" s="168"/>
      <c r="AH294" s="44"/>
      <c r="AI294" s="44"/>
      <c r="AJ294" s="44"/>
      <c r="AK294" s="168"/>
      <c r="AL294" s="44"/>
      <c r="AM294" s="44"/>
      <c r="AN294" s="44"/>
    </row>
    <row r="295" spans="1:40" x14ac:dyDescent="0.3">
      <c r="C295" s="42"/>
      <c r="D295" s="42"/>
      <c r="E295" s="42"/>
      <c r="T295" s="42"/>
      <c r="U295" s="42"/>
    </row>
    <row r="296" spans="1:40" x14ac:dyDescent="0.3">
      <c r="C296" s="42"/>
      <c r="T296" s="42"/>
    </row>
    <row r="298" spans="1:40" x14ac:dyDescent="0.3">
      <c r="C298" s="42"/>
      <c r="F298" s="184"/>
      <c r="H298" s="184"/>
      <c r="I298" s="184"/>
      <c r="J298" s="193"/>
      <c r="K298" s="193"/>
      <c r="L298" s="123"/>
      <c r="M298" s="123"/>
      <c r="N298" s="160"/>
      <c r="O298" s="160"/>
      <c r="R298" s="123"/>
      <c r="T298" s="42"/>
      <c r="V298" s="123"/>
      <c r="Y298" s="184"/>
      <c r="Z298" s="193"/>
      <c r="AA298" s="123"/>
      <c r="AB298" s="123"/>
      <c r="AC298" s="160"/>
      <c r="AD298" s="160"/>
      <c r="AE298" s="123"/>
      <c r="AF298" s="123"/>
      <c r="AH298" s="236"/>
      <c r="AL298" s="123"/>
      <c r="AM298" s="160"/>
      <c r="AN298" s="160"/>
    </row>
    <row r="299" spans="1:40" x14ac:dyDescent="0.3">
      <c r="F299" s="210"/>
      <c r="H299" s="123"/>
      <c r="I299" s="123"/>
      <c r="J299" s="213"/>
      <c r="K299" s="213"/>
      <c r="L299" s="210"/>
      <c r="M299" s="210"/>
      <c r="N299" s="210"/>
      <c r="O299" s="210"/>
      <c r="P299" s="210"/>
      <c r="Q299" s="210"/>
      <c r="R299" s="210"/>
      <c r="V299" s="210"/>
      <c r="Y299" s="123"/>
      <c r="Z299" s="213"/>
      <c r="AA299" s="210"/>
      <c r="AB299" s="210"/>
      <c r="AC299" s="210"/>
      <c r="AD299" s="210"/>
      <c r="AE299" s="210"/>
      <c r="AF299" s="210"/>
      <c r="AI299" s="210"/>
      <c r="AJ299" s="210"/>
      <c r="AK299" s="214"/>
      <c r="AL299" s="210"/>
      <c r="AM299" s="160"/>
      <c r="AN299" s="160"/>
    </row>
    <row r="300" spans="1:40" x14ac:dyDescent="0.3">
      <c r="C300" s="42"/>
      <c r="F300" s="184"/>
      <c r="H300" s="184"/>
      <c r="I300" s="184"/>
      <c r="J300" s="237"/>
      <c r="K300" s="237"/>
      <c r="L300" s="123"/>
      <c r="M300" s="123"/>
      <c r="N300" s="160"/>
      <c r="O300" s="160"/>
      <c r="P300" s="123"/>
      <c r="Q300" s="123"/>
      <c r="R300" s="123"/>
      <c r="S300" s="123"/>
      <c r="T300" s="42"/>
      <c r="V300" s="184"/>
      <c r="Y300" s="184"/>
      <c r="Z300" s="237"/>
      <c r="AA300" s="123"/>
      <c r="AB300" s="123"/>
      <c r="AC300" s="160"/>
      <c r="AD300" s="160"/>
      <c r="AE300" s="123"/>
      <c r="AF300" s="123"/>
      <c r="AH300" s="160"/>
      <c r="AI300" s="123"/>
      <c r="AJ300" s="123"/>
      <c r="AL300" s="123"/>
      <c r="AM300" s="160"/>
      <c r="AN300" s="160"/>
    </row>
    <row r="301" spans="1:40" x14ac:dyDescent="0.3">
      <c r="C301" s="42"/>
      <c r="F301" s="184"/>
      <c r="H301" s="184"/>
      <c r="I301" s="184"/>
      <c r="J301" s="193"/>
      <c r="K301" s="193"/>
      <c r="L301" s="123"/>
      <c r="M301" s="123"/>
      <c r="N301" s="160"/>
      <c r="O301" s="160"/>
      <c r="P301" s="123"/>
      <c r="Q301" s="123"/>
      <c r="R301" s="123"/>
      <c r="T301" s="42"/>
      <c r="V301" s="184"/>
      <c r="Y301" s="123"/>
      <c r="Z301" s="193"/>
      <c r="AA301" s="123"/>
      <c r="AB301" s="123"/>
      <c r="AC301" s="160"/>
      <c r="AD301" s="160"/>
      <c r="AE301" s="123"/>
      <c r="AF301" s="123"/>
      <c r="AH301" s="236"/>
      <c r="AI301" s="123"/>
      <c r="AJ301" s="123"/>
      <c r="AL301" s="123"/>
      <c r="AM301" s="160"/>
      <c r="AN301" s="160"/>
    </row>
    <row r="302" spans="1:40" x14ac:dyDescent="0.3">
      <c r="C302" s="42"/>
      <c r="F302" s="184"/>
      <c r="H302" s="184"/>
      <c r="I302" s="184"/>
      <c r="J302" s="193"/>
      <c r="K302" s="193"/>
      <c r="L302" s="123"/>
      <c r="M302" s="123"/>
      <c r="N302" s="160"/>
      <c r="O302" s="160"/>
      <c r="P302" s="123"/>
      <c r="Q302" s="123"/>
      <c r="R302" s="123"/>
      <c r="T302" s="42"/>
      <c r="V302" s="184"/>
      <c r="Y302" s="123"/>
      <c r="Z302" s="193"/>
      <c r="AA302" s="123"/>
      <c r="AB302" s="123"/>
      <c r="AC302" s="160"/>
      <c r="AD302" s="160"/>
      <c r="AE302" s="123"/>
      <c r="AF302" s="123"/>
      <c r="AH302" s="236"/>
      <c r="AI302" s="123"/>
      <c r="AJ302" s="123"/>
      <c r="AL302" s="123"/>
      <c r="AM302" s="160"/>
      <c r="AN302" s="160"/>
    </row>
    <row r="303" spans="1:40" x14ac:dyDescent="0.3">
      <c r="F303" s="210"/>
      <c r="H303" s="210"/>
      <c r="I303" s="210"/>
      <c r="J303" s="213"/>
      <c r="K303" s="213"/>
      <c r="L303" s="210"/>
      <c r="M303" s="210"/>
      <c r="N303" s="210"/>
      <c r="O303" s="210"/>
      <c r="P303" s="210"/>
      <c r="Q303" s="210"/>
      <c r="R303" s="210"/>
      <c r="V303" s="210"/>
      <c r="Y303" s="210"/>
      <c r="Z303" s="213"/>
      <c r="AA303" s="210"/>
      <c r="AB303" s="210"/>
      <c r="AC303" s="210"/>
      <c r="AD303" s="210"/>
      <c r="AE303" s="210"/>
      <c r="AF303" s="210"/>
      <c r="AI303" s="210"/>
      <c r="AJ303" s="210"/>
      <c r="AK303" s="214"/>
      <c r="AL303" s="210"/>
      <c r="AM303" s="160"/>
      <c r="AN303" s="160"/>
    </row>
    <row r="304" spans="1:40" x14ac:dyDescent="0.3">
      <c r="C304" s="42"/>
      <c r="F304" s="123"/>
      <c r="H304" s="123"/>
      <c r="I304" s="123"/>
      <c r="J304" s="219"/>
      <c r="K304" s="219"/>
      <c r="L304" s="123"/>
      <c r="M304" s="123"/>
      <c r="N304" s="160"/>
      <c r="O304" s="160"/>
      <c r="P304" s="123"/>
      <c r="Q304" s="123"/>
      <c r="R304" s="123"/>
      <c r="T304" s="42"/>
      <c r="V304" s="123"/>
      <c r="Y304" s="123"/>
      <c r="Z304" s="219"/>
      <c r="AA304" s="123"/>
      <c r="AB304" s="123"/>
      <c r="AC304" s="160"/>
      <c r="AD304" s="160"/>
      <c r="AE304" s="123"/>
      <c r="AF304" s="123"/>
      <c r="AH304" s="236"/>
      <c r="AI304" s="123"/>
      <c r="AJ304" s="123"/>
      <c r="AL304" s="123"/>
      <c r="AM304" s="160"/>
      <c r="AN304" s="160"/>
    </row>
    <row r="305" spans="3:40" x14ac:dyDescent="0.3">
      <c r="F305" s="210"/>
      <c r="H305" s="210"/>
      <c r="I305" s="210"/>
      <c r="J305" s="213"/>
      <c r="K305" s="213"/>
      <c r="L305" s="210"/>
      <c r="M305" s="210"/>
      <c r="N305" s="210"/>
      <c r="O305" s="210"/>
      <c r="P305" s="210"/>
      <c r="Q305" s="210"/>
      <c r="R305" s="210"/>
      <c r="V305" s="210"/>
      <c r="Y305" s="210"/>
      <c r="Z305" s="213"/>
      <c r="AA305" s="210"/>
      <c r="AB305" s="210"/>
      <c r="AC305" s="210"/>
      <c r="AD305" s="210"/>
      <c r="AE305" s="210"/>
      <c r="AF305" s="210"/>
      <c r="AI305" s="210"/>
      <c r="AJ305" s="210"/>
      <c r="AK305" s="214"/>
      <c r="AL305" s="210"/>
      <c r="AM305" s="160"/>
      <c r="AN305" s="160"/>
    </row>
    <row r="306" spans="3:40" x14ac:dyDescent="0.3">
      <c r="C306" s="42"/>
      <c r="F306" s="123"/>
      <c r="H306" s="123"/>
      <c r="I306" s="123"/>
      <c r="J306" s="219"/>
      <c r="K306" s="219"/>
      <c r="L306" s="123"/>
      <c r="M306" s="123"/>
      <c r="N306" s="160"/>
      <c r="O306" s="160"/>
      <c r="P306" s="123"/>
      <c r="Q306" s="123"/>
      <c r="R306" s="123"/>
      <c r="T306" s="42"/>
      <c r="V306" s="123"/>
      <c r="Y306" s="123"/>
      <c r="Z306" s="219"/>
      <c r="AA306" s="123"/>
      <c r="AB306" s="123"/>
      <c r="AC306" s="160"/>
      <c r="AD306" s="160"/>
      <c r="AE306" s="123"/>
      <c r="AF306" s="123"/>
      <c r="AH306" s="236"/>
      <c r="AI306" s="123"/>
      <c r="AJ306" s="123"/>
      <c r="AL306" s="123"/>
      <c r="AM306" s="160"/>
      <c r="AN306" s="160"/>
    </row>
    <row r="307" spans="3:40" x14ac:dyDescent="0.3">
      <c r="C307" s="42"/>
      <c r="F307" s="123"/>
      <c r="H307" s="184"/>
      <c r="I307" s="184"/>
      <c r="J307" s="227"/>
      <c r="K307" s="227"/>
      <c r="L307" s="123"/>
      <c r="M307" s="123"/>
      <c r="N307" s="160"/>
      <c r="O307" s="160"/>
      <c r="P307" s="123"/>
      <c r="Q307" s="123"/>
      <c r="R307" s="123"/>
      <c r="T307" s="42"/>
      <c r="V307" s="123"/>
      <c r="Y307" s="123"/>
      <c r="Z307" s="212"/>
      <c r="AA307" s="123"/>
      <c r="AB307" s="123"/>
      <c r="AC307" s="160"/>
      <c r="AD307" s="160"/>
      <c r="AE307" s="123"/>
      <c r="AF307" s="123"/>
      <c r="AH307" s="236"/>
      <c r="AI307" s="123"/>
      <c r="AJ307" s="123"/>
      <c r="AL307" s="123"/>
      <c r="AM307" s="160"/>
      <c r="AN307" s="160"/>
    </row>
    <row r="308" spans="3:40" x14ac:dyDescent="0.3">
      <c r="F308" s="210"/>
      <c r="H308" s="210"/>
      <c r="I308" s="210"/>
      <c r="J308" s="213"/>
      <c r="K308" s="213"/>
      <c r="L308" s="210"/>
      <c r="M308" s="210"/>
      <c r="N308" s="210"/>
      <c r="O308" s="210"/>
      <c r="P308" s="210"/>
      <c r="Q308" s="210"/>
      <c r="R308" s="210"/>
      <c r="V308" s="210"/>
      <c r="Y308" s="210"/>
      <c r="Z308" s="213"/>
      <c r="AA308" s="210"/>
      <c r="AB308" s="210"/>
      <c r="AC308" s="210"/>
      <c r="AD308" s="210"/>
      <c r="AE308" s="210"/>
      <c r="AF308" s="210"/>
      <c r="AI308" s="210"/>
      <c r="AJ308" s="210"/>
      <c r="AK308" s="214"/>
      <c r="AL308" s="210"/>
      <c r="AM308" s="160"/>
      <c r="AN308" s="160"/>
    </row>
    <row r="310" spans="3:40" x14ac:dyDescent="0.3">
      <c r="C310" s="42"/>
      <c r="F310" s="123"/>
      <c r="H310" s="123"/>
      <c r="I310" s="123"/>
      <c r="J310" s="213"/>
      <c r="K310" s="213"/>
      <c r="L310" s="123"/>
      <c r="M310" s="123"/>
      <c r="N310" s="160"/>
      <c r="O310" s="160"/>
      <c r="P310" s="123"/>
      <c r="Q310" s="123"/>
      <c r="R310" s="123"/>
      <c r="S310" s="123"/>
      <c r="T310" s="42"/>
      <c r="V310" s="123"/>
      <c r="Y310" s="123"/>
      <c r="Z310" s="213"/>
      <c r="AA310" s="123"/>
      <c r="AB310" s="123"/>
      <c r="AC310" s="160"/>
      <c r="AD310" s="160"/>
      <c r="AE310" s="123"/>
      <c r="AF310" s="123"/>
      <c r="AH310" s="160"/>
      <c r="AI310" s="123"/>
      <c r="AJ310" s="123"/>
      <c r="AL310" s="123"/>
      <c r="AM310" s="160"/>
      <c r="AN310" s="160"/>
    </row>
    <row r="311" spans="3:40" x14ac:dyDescent="0.3">
      <c r="F311" s="210"/>
      <c r="H311" s="210"/>
      <c r="I311" s="210"/>
      <c r="J311" s="213"/>
      <c r="K311" s="213"/>
      <c r="L311" s="210"/>
      <c r="M311" s="210"/>
      <c r="N311" s="210"/>
      <c r="O311" s="210"/>
      <c r="P311" s="210"/>
      <c r="Q311" s="210"/>
      <c r="R311" s="210"/>
      <c r="S311" s="123"/>
      <c r="V311" s="210"/>
      <c r="Y311" s="210"/>
      <c r="Z311" s="213"/>
      <c r="AA311" s="210"/>
      <c r="AB311" s="210"/>
      <c r="AC311" s="210"/>
      <c r="AD311" s="210"/>
      <c r="AE311" s="210"/>
      <c r="AF311" s="210"/>
      <c r="AI311" s="210"/>
      <c r="AJ311" s="210"/>
      <c r="AK311" s="214"/>
      <c r="AL311" s="210"/>
      <c r="AM311" s="160"/>
      <c r="AN311" s="160"/>
    </row>
    <row r="312" spans="3:40" x14ac:dyDescent="0.3">
      <c r="C312" s="42"/>
      <c r="F312" s="184"/>
      <c r="H312" s="184"/>
      <c r="I312" s="184"/>
      <c r="J312" s="213"/>
      <c r="K312" s="213"/>
      <c r="L312" s="123"/>
      <c r="M312" s="123"/>
      <c r="N312" s="160"/>
      <c r="O312" s="160"/>
      <c r="P312" s="123"/>
      <c r="Q312" s="123"/>
      <c r="R312" s="123"/>
      <c r="S312" s="123"/>
      <c r="T312" s="42"/>
      <c r="V312" s="184"/>
      <c r="Y312" s="184"/>
      <c r="Z312" s="213"/>
      <c r="AA312" s="123"/>
      <c r="AB312" s="123"/>
      <c r="AC312" s="160"/>
      <c r="AD312" s="160"/>
      <c r="AE312" s="123"/>
      <c r="AF312" s="123"/>
      <c r="AI312" s="123"/>
      <c r="AJ312" s="123"/>
      <c r="AL312" s="123"/>
      <c r="AM312" s="160"/>
      <c r="AN312" s="160"/>
    </row>
    <row r="314" spans="3:40" x14ac:dyDescent="0.3">
      <c r="C314" s="42"/>
      <c r="F314" s="184"/>
      <c r="H314" s="184"/>
      <c r="I314" s="184"/>
      <c r="J314" s="193"/>
      <c r="K314" s="193"/>
      <c r="L314" s="123"/>
      <c r="M314" s="123"/>
      <c r="N314" s="160"/>
      <c r="O314" s="160"/>
      <c r="R314" s="123"/>
      <c r="T314" s="42"/>
      <c r="V314" s="123"/>
      <c r="Y314" s="184"/>
      <c r="Z314" s="193"/>
      <c r="AA314" s="123"/>
      <c r="AB314" s="123"/>
      <c r="AC314" s="160"/>
      <c r="AD314" s="160"/>
      <c r="AE314" s="123"/>
      <c r="AF314" s="123"/>
      <c r="AH314" s="236"/>
      <c r="AL314" s="123"/>
      <c r="AM314" s="160"/>
      <c r="AN314" s="160"/>
    </row>
    <row r="315" spans="3:40" x14ac:dyDescent="0.3">
      <c r="F315" s="210"/>
      <c r="H315" s="123"/>
      <c r="I315" s="123"/>
      <c r="J315" s="213"/>
      <c r="K315" s="213"/>
      <c r="L315" s="210"/>
      <c r="M315" s="210"/>
      <c r="N315" s="210"/>
      <c r="O315" s="210"/>
      <c r="P315" s="210"/>
      <c r="Q315" s="210"/>
      <c r="R315" s="210"/>
      <c r="V315" s="210"/>
      <c r="Y315" s="123"/>
      <c r="Z315" s="213"/>
      <c r="AA315" s="210"/>
      <c r="AB315" s="210"/>
      <c r="AC315" s="210"/>
      <c r="AD315" s="210"/>
      <c r="AE315" s="210"/>
      <c r="AF315" s="210"/>
      <c r="AI315" s="210"/>
      <c r="AJ315" s="210"/>
      <c r="AK315" s="214"/>
      <c r="AL315" s="210"/>
      <c r="AM315" s="160"/>
      <c r="AN315" s="160"/>
    </row>
    <row r="316" spans="3:40" x14ac:dyDescent="0.3">
      <c r="C316" s="42"/>
      <c r="F316" s="184"/>
      <c r="H316" s="184"/>
      <c r="I316" s="184"/>
      <c r="J316" s="237"/>
      <c r="K316" s="237"/>
      <c r="L316" s="123"/>
      <c r="M316" s="123"/>
      <c r="N316" s="160"/>
      <c r="O316" s="160"/>
      <c r="P316" s="123"/>
      <c r="Q316" s="123"/>
      <c r="R316" s="123"/>
      <c r="S316" s="123"/>
      <c r="T316" s="42"/>
      <c r="V316" s="184"/>
      <c r="Y316" s="184"/>
      <c r="Z316" s="237"/>
      <c r="AA316" s="123"/>
      <c r="AB316" s="123"/>
      <c r="AC316" s="160"/>
      <c r="AD316" s="160"/>
      <c r="AE316" s="123"/>
      <c r="AF316" s="123"/>
      <c r="AH316" s="160"/>
      <c r="AI316" s="123"/>
      <c r="AJ316" s="123"/>
      <c r="AL316" s="123"/>
      <c r="AM316" s="160"/>
      <c r="AN316" s="160"/>
    </row>
    <row r="317" spans="3:40" x14ac:dyDescent="0.3">
      <c r="C317" s="42"/>
      <c r="F317" s="184"/>
      <c r="H317" s="184"/>
      <c r="I317" s="184"/>
      <c r="J317" s="193"/>
      <c r="K317" s="193"/>
      <c r="L317" s="123"/>
      <c r="M317" s="123"/>
      <c r="N317" s="160"/>
      <c r="O317" s="160"/>
      <c r="P317" s="123"/>
      <c r="Q317" s="123"/>
      <c r="R317" s="123"/>
      <c r="T317" s="42"/>
      <c r="V317" s="184"/>
      <c r="Y317" s="123"/>
      <c r="Z317" s="193"/>
      <c r="AA317" s="123"/>
      <c r="AB317" s="123"/>
      <c r="AC317" s="160"/>
      <c r="AD317" s="160"/>
      <c r="AE317" s="123"/>
      <c r="AF317" s="123"/>
      <c r="AH317" s="236"/>
      <c r="AI317" s="123"/>
      <c r="AJ317" s="123"/>
      <c r="AL317" s="123"/>
      <c r="AM317" s="160"/>
      <c r="AN317" s="160"/>
    </row>
    <row r="318" spans="3:40" x14ac:dyDescent="0.3">
      <c r="C318" s="42"/>
      <c r="F318" s="184"/>
      <c r="H318" s="184"/>
      <c r="I318" s="184"/>
      <c r="J318" s="193"/>
      <c r="K318" s="193"/>
      <c r="L318" s="123"/>
      <c r="M318" s="123"/>
      <c r="N318" s="160"/>
      <c r="O318" s="160"/>
      <c r="P318" s="123"/>
      <c r="Q318" s="123"/>
      <c r="R318" s="123"/>
      <c r="T318" s="42"/>
      <c r="V318" s="184"/>
      <c r="Y318" s="123"/>
      <c r="Z318" s="193"/>
      <c r="AA318" s="123"/>
      <c r="AB318" s="123"/>
      <c r="AC318" s="160"/>
      <c r="AD318" s="160"/>
      <c r="AE318" s="123"/>
      <c r="AF318" s="123"/>
      <c r="AH318" s="236"/>
      <c r="AI318" s="123"/>
      <c r="AJ318" s="123"/>
      <c r="AL318" s="123"/>
      <c r="AM318" s="160"/>
      <c r="AN318" s="160"/>
    </row>
    <row r="319" spans="3:40" x14ac:dyDescent="0.3">
      <c r="F319" s="210"/>
      <c r="H319" s="210"/>
      <c r="I319" s="210"/>
      <c r="J319" s="213"/>
      <c r="K319" s="213"/>
      <c r="L319" s="210"/>
      <c r="M319" s="210"/>
      <c r="N319" s="210"/>
      <c r="O319" s="210"/>
      <c r="P319" s="210"/>
      <c r="Q319" s="210"/>
      <c r="R319" s="210"/>
      <c r="V319" s="210"/>
      <c r="Y319" s="210"/>
      <c r="Z319" s="213"/>
      <c r="AA319" s="210"/>
      <c r="AB319" s="210"/>
      <c r="AC319" s="210"/>
      <c r="AD319" s="210"/>
      <c r="AE319" s="210"/>
      <c r="AF319" s="210"/>
      <c r="AI319" s="210"/>
      <c r="AJ319" s="210"/>
      <c r="AK319" s="214"/>
      <c r="AL319" s="210"/>
      <c r="AM319" s="160"/>
      <c r="AN319" s="160"/>
    </row>
    <row r="320" spans="3:40" x14ac:dyDescent="0.3">
      <c r="C320" s="42"/>
      <c r="F320" s="123"/>
      <c r="H320" s="123"/>
      <c r="I320" s="123"/>
      <c r="J320" s="219"/>
      <c r="K320" s="219"/>
      <c r="L320" s="123"/>
      <c r="M320" s="123"/>
      <c r="N320" s="160"/>
      <c r="O320" s="160"/>
      <c r="P320" s="123"/>
      <c r="Q320" s="123"/>
      <c r="R320" s="123"/>
      <c r="T320" s="42"/>
      <c r="V320" s="123"/>
      <c r="Y320" s="123"/>
      <c r="Z320" s="219"/>
      <c r="AA320" s="123"/>
      <c r="AB320" s="123"/>
      <c r="AC320" s="160"/>
      <c r="AD320" s="160"/>
      <c r="AE320" s="123"/>
      <c r="AF320" s="123"/>
      <c r="AH320" s="236"/>
      <c r="AI320" s="123"/>
      <c r="AJ320" s="123"/>
      <c r="AL320" s="123"/>
      <c r="AM320" s="160"/>
      <c r="AN320" s="160"/>
    </row>
    <row r="321" spans="1:40" x14ac:dyDescent="0.3">
      <c r="F321" s="210"/>
      <c r="H321" s="210"/>
      <c r="I321" s="210"/>
      <c r="J321" s="213"/>
      <c r="K321" s="213"/>
      <c r="L321" s="210"/>
      <c r="M321" s="210"/>
      <c r="N321" s="210"/>
      <c r="O321" s="210"/>
      <c r="P321" s="210"/>
      <c r="Q321" s="210"/>
      <c r="R321" s="210"/>
      <c r="V321" s="210"/>
      <c r="Y321" s="210"/>
      <c r="Z321" s="213"/>
      <c r="AA321" s="210"/>
      <c r="AB321" s="210"/>
      <c r="AC321" s="210"/>
      <c r="AD321" s="210"/>
      <c r="AE321" s="210"/>
      <c r="AF321" s="210"/>
      <c r="AI321" s="210"/>
      <c r="AJ321" s="210"/>
      <c r="AK321" s="214"/>
      <c r="AL321" s="210"/>
      <c r="AM321" s="160"/>
      <c r="AN321" s="160"/>
    </row>
    <row r="322" spans="1:40" x14ac:dyDescent="0.3">
      <c r="C322" s="42"/>
      <c r="F322" s="123"/>
      <c r="H322" s="123"/>
      <c r="I322" s="123"/>
      <c r="J322" s="219"/>
      <c r="K322" s="219"/>
      <c r="L322" s="123"/>
      <c r="M322" s="123"/>
      <c r="N322" s="160"/>
      <c r="O322" s="160"/>
      <c r="P322" s="123"/>
      <c r="Q322" s="123"/>
      <c r="R322" s="123"/>
      <c r="T322" s="42"/>
      <c r="V322" s="123"/>
      <c r="Y322" s="123"/>
      <c r="Z322" s="219"/>
      <c r="AA322" s="123"/>
      <c r="AB322" s="123"/>
      <c r="AC322" s="160"/>
      <c r="AD322" s="160"/>
      <c r="AE322" s="123"/>
      <c r="AF322" s="123"/>
      <c r="AH322" s="236"/>
      <c r="AI322" s="123"/>
      <c r="AJ322" s="123"/>
      <c r="AL322" s="123"/>
      <c r="AM322" s="160"/>
      <c r="AN322" s="160"/>
    </row>
    <row r="323" spans="1:40" x14ac:dyDescent="0.3">
      <c r="C323" s="42"/>
      <c r="F323" s="123"/>
      <c r="H323" s="184"/>
      <c r="I323" s="184"/>
      <c r="J323" s="227"/>
      <c r="K323" s="227"/>
      <c r="L323" s="123"/>
      <c r="M323" s="123"/>
      <c r="N323" s="160"/>
      <c r="O323" s="160"/>
      <c r="P323" s="123"/>
      <c r="Q323" s="123"/>
      <c r="R323" s="123"/>
      <c r="T323" s="42"/>
      <c r="V323" s="123"/>
      <c r="Y323" s="123"/>
      <c r="Z323" s="212"/>
      <c r="AA323" s="123"/>
      <c r="AB323" s="123"/>
      <c r="AC323" s="160"/>
      <c r="AD323" s="160"/>
      <c r="AE323" s="123"/>
      <c r="AF323" s="123"/>
      <c r="AH323" s="236"/>
      <c r="AI323" s="123"/>
      <c r="AJ323" s="123"/>
      <c r="AL323" s="123"/>
      <c r="AM323" s="160"/>
      <c r="AN323" s="160"/>
    </row>
    <row r="324" spans="1:40" x14ac:dyDescent="0.3">
      <c r="F324" s="210"/>
      <c r="H324" s="210"/>
      <c r="I324" s="210"/>
      <c r="J324" s="213"/>
      <c r="K324" s="213"/>
      <c r="L324" s="210"/>
      <c r="M324" s="210"/>
      <c r="N324" s="210"/>
      <c r="O324" s="210"/>
      <c r="P324" s="210"/>
      <c r="Q324" s="210"/>
      <c r="R324" s="210"/>
      <c r="V324" s="210"/>
      <c r="Y324" s="210"/>
      <c r="Z324" s="213"/>
      <c r="AA324" s="210"/>
      <c r="AB324" s="210"/>
      <c r="AC324" s="210"/>
      <c r="AD324" s="210"/>
      <c r="AE324" s="210"/>
      <c r="AF324" s="210"/>
      <c r="AI324" s="210"/>
      <c r="AJ324" s="210"/>
      <c r="AK324" s="214"/>
      <c r="AL324" s="210"/>
      <c r="AM324" s="160"/>
      <c r="AN324" s="160"/>
    </row>
    <row r="326" spans="1:40" x14ac:dyDescent="0.3">
      <c r="C326" s="42"/>
      <c r="F326" s="123"/>
      <c r="H326" s="123"/>
      <c r="I326" s="123"/>
      <c r="J326" s="213"/>
      <c r="K326" s="213"/>
      <c r="L326" s="123"/>
      <c r="M326" s="123"/>
      <c r="N326" s="160"/>
      <c r="O326" s="160"/>
      <c r="P326" s="123"/>
      <c r="Q326" s="123"/>
      <c r="R326" s="123"/>
      <c r="S326" s="123"/>
      <c r="T326" s="42"/>
      <c r="V326" s="123"/>
      <c r="Y326" s="123"/>
      <c r="Z326" s="213"/>
      <c r="AA326" s="123"/>
      <c r="AB326" s="123"/>
      <c r="AC326" s="160"/>
      <c r="AD326" s="160"/>
      <c r="AE326" s="123"/>
      <c r="AF326" s="123"/>
      <c r="AH326" s="160"/>
      <c r="AI326" s="123"/>
      <c r="AJ326" s="123"/>
      <c r="AL326" s="123"/>
      <c r="AM326" s="160"/>
      <c r="AN326" s="160"/>
    </row>
    <row r="327" spans="1:40" x14ac:dyDescent="0.3">
      <c r="F327" s="210"/>
      <c r="H327" s="210"/>
      <c r="I327" s="210"/>
      <c r="J327" s="213"/>
      <c r="K327" s="213"/>
      <c r="L327" s="210"/>
      <c r="M327" s="210"/>
      <c r="N327" s="210"/>
      <c r="O327" s="210"/>
      <c r="P327" s="210"/>
      <c r="Q327" s="210"/>
      <c r="R327" s="210"/>
      <c r="S327" s="123"/>
      <c r="V327" s="210"/>
      <c r="Y327" s="210"/>
      <c r="Z327" s="213"/>
      <c r="AA327" s="210"/>
      <c r="AB327" s="210"/>
      <c r="AC327" s="210"/>
      <c r="AD327" s="210"/>
      <c r="AE327" s="210"/>
      <c r="AF327" s="210"/>
      <c r="AI327" s="210"/>
      <c r="AJ327" s="210"/>
      <c r="AK327" s="214"/>
      <c r="AL327" s="210"/>
      <c r="AM327" s="160"/>
      <c r="AN327" s="160"/>
    </row>
    <row r="328" spans="1:40" x14ac:dyDescent="0.3">
      <c r="C328" s="42"/>
      <c r="T328" s="42"/>
    </row>
    <row r="329" spans="1:40" x14ac:dyDescent="0.3">
      <c r="C329" s="42"/>
      <c r="F329" s="123"/>
      <c r="H329" s="123"/>
      <c r="I329" s="123"/>
      <c r="L329" s="123"/>
      <c r="M329" s="123"/>
      <c r="N329" s="160"/>
      <c r="O329" s="160"/>
      <c r="P329" s="184"/>
      <c r="Q329" s="184"/>
      <c r="R329" s="123"/>
      <c r="T329" s="42"/>
      <c r="V329" s="123"/>
      <c r="Y329" s="123"/>
      <c r="AA329" s="123"/>
      <c r="AB329" s="123"/>
      <c r="AC329" s="160"/>
      <c r="AD329" s="160"/>
      <c r="AE329" s="123"/>
      <c r="AF329" s="123"/>
      <c r="AH329" s="160"/>
      <c r="AI329" s="184"/>
      <c r="AJ329" s="184"/>
      <c r="AL329" s="123"/>
      <c r="AM329" s="160"/>
      <c r="AN329" s="160"/>
    </row>
    <row r="330" spans="1:40" x14ac:dyDescent="0.3">
      <c r="F330" s="210"/>
      <c r="H330" s="210"/>
      <c r="I330" s="210"/>
      <c r="J330" s="213"/>
      <c r="K330" s="213"/>
      <c r="L330" s="210"/>
      <c r="M330" s="210"/>
      <c r="N330" s="210"/>
      <c r="O330" s="210"/>
      <c r="P330" s="210"/>
      <c r="Q330" s="210"/>
      <c r="R330" s="210"/>
      <c r="V330" s="210"/>
      <c r="Y330" s="210"/>
      <c r="Z330" s="213"/>
      <c r="AA330" s="210"/>
      <c r="AB330" s="210"/>
      <c r="AC330" s="210"/>
      <c r="AD330" s="210"/>
      <c r="AE330" s="210"/>
      <c r="AF330" s="210"/>
      <c r="AI330" s="210"/>
      <c r="AJ330" s="210"/>
      <c r="AK330" s="214"/>
      <c r="AL330" s="210"/>
    </row>
    <row r="332" spans="1:40" x14ac:dyDescent="0.3">
      <c r="C332" s="42"/>
      <c r="L332" s="123"/>
      <c r="M332" s="123"/>
      <c r="N332" s="123"/>
      <c r="O332" s="123"/>
      <c r="P332" s="123"/>
      <c r="Q332" s="123"/>
      <c r="R332" s="123"/>
      <c r="S332" s="123"/>
      <c r="T332" s="42"/>
      <c r="AA332" s="123"/>
      <c r="AB332" s="123"/>
      <c r="AC332" s="123"/>
      <c r="AD332" s="123"/>
      <c r="AI332" s="123"/>
      <c r="AJ332" s="123"/>
      <c r="AL332" s="123"/>
    </row>
    <row r="333" spans="1:40" x14ac:dyDescent="0.3">
      <c r="A333" s="42"/>
    </row>
    <row r="335" spans="1:40" x14ac:dyDescent="0.3">
      <c r="H335" s="42"/>
      <c r="I335" s="42"/>
      <c r="Y335" s="42"/>
    </row>
    <row r="337" spans="1:40" x14ac:dyDescent="0.3">
      <c r="L337" s="42"/>
      <c r="M337" s="42"/>
      <c r="AA337" s="42"/>
      <c r="AB337" s="42"/>
    </row>
    <row r="338" spans="1:40" x14ac:dyDescent="0.3">
      <c r="R338" s="42"/>
      <c r="AK338" s="206"/>
      <c r="AL338" s="42"/>
    </row>
    <row r="339" spans="1:40" x14ac:dyDescent="0.3">
      <c r="R339" s="42"/>
      <c r="AK339" s="206"/>
      <c r="AL339" s="42"/>
    </row>
    <row r="340" spans="1:40" x14ac:dyDescent="0.3">
      <c r="A340" s="42"/>
      <c r="R340" s="42"/>
      <c r="AK340" s="206"/>
      <c r="AL340" s="42"/>
    </row>
    <row r="341" spans="1:40" x14ac:dyDescent="0.3">
      <c r="L341" s="42"/>
      <c r="M341" s="42"/>
      <c r="AA341" s="42"/>
      <c r="AB341" s="42"/>
    </row>
    <row r="342" spans="1:40" x14ac:dyDescent="0.3">
      <c r="A342" s="135"/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207"/>
      <c r="AH342" s="135"/>
      <c r="AI342" s="135"/>
      <c r="AJ342" s="135"/>
      <c r="AK342" s="207"/>
      <c r="AL342" s="135"/>
      <c r="AM342" s="135"/>
      <c r="AN342" s="135"/>
    </row>
    <row r="343" spans="1:40" x14ac:dyDescent="0.3">
      <c r="L343" s="44"/>
      <c r="M343" s="44"/>
      <c r="N343" s="44"/>
      <c r="O343" s="44"/>
      <c r="R343" s="44"/>
      <c r="AA343" s="44"/>
      <c r="AB343" s="44"/>
      <c r="AC343" s="44"/>
      <c r="AD343" s="44"/>
      <c r="AE343" s="44"/>
      <c r="AF343" s="44"/>
      <c r="AG343" s="168"/>
      <c r="AH343" s="44"/>
      <c r="AK343" s="168"/>
      <c r="AL343" s="44"/>
      <c r="AM343" s="44"/>
      <c r="AN343" s="44"/>
    </row>
    <row r="344" spans="1:40" x14ac:dyDescent="0.3">
      <c r="L344" s="44"/>
      <c r="M344" s="44"/>
      <c r="N344" s="44"/>
      <c r="O344" s="44"/>
      <c r="R344" s="44"/>
      <c r="Z344" s="44"/>
      <c r="AA344" s="44"/>
      <c r="AB344" s="44"/>
      <c r="AC344" s="44"/>
      <c r="AD344" s="44"/>
      <c r="AE344" s="44"/>
      <c r="AF344" s="44"/>
      <c r="AG344" s="168"/>
      <c r="AH344" s="44"/>
      <c r="AK344" s="168"/>
      <c r="AL344" s="44"/>
      <c r="AM344" s="44"/>
      <c r="AN344" s="44"/>
    </row>
    <row r="345" spans="1:40" x14ac:dyDescent="0.3">
      <c r="A345" s="44"/>
      <c r="C345" s="44"/>
      <c r="D345" s="44"/>
      <c r="E345" s="44"/>
      <c r="F345" s="44"/>
      <c r="J345" s="44"/>
      <c r="K345" s="44"/>
      <c r="L345" s="44"/>
      <c r="M345" s="44"/>
      <c r="N345" s="44"/>
      <c r="O345" s="44"/>
      <c r="P345" s="44"/>
      <c r="Q345" s="44"/>
      <c r="R345" s="44"/>
      <c r="T345" s="44"/>
      <c r="U345" s="44"/>
      <c r="V345" s="44"/>
      <c r="Z345" s="44"/>
      <c r="AA345" s="44"/>
      <c r="AB345" s="44"/>
      <c r="AC345" s="44"/>
      <c r="AD345" s="44"/>
      <c r="AE345" s="44"/>
      <c r="AF345" s="44"/>
      <c r="AG345" s="168"/>
      <c r="AH345" s="44"/>
      <c r="AI345" s="44"/>
      <c r="AJ345" s="44"/>
      <c r="AK345" s="168"/>
      <c r="AL345" s="44"/>
      <c r="AM345" s="44"/>
      <c r="AN345" s="44"/>
    </row>
    <row r="346" spans="1:40" x14ac:dyDescent="0.3">
      <c r="A346" s="44"/>
      <c r="C346" s="44"/>
      <c r="D346" s="44"/>
      <c r="E346" s="44"/>
      <c r="F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T346" s="44"/>
      <c r="U346" s="44"/>
      <c r="V346" s="44"/>
      <c r="Y346" s="44"/>
      <c r="Z346" s="44"/>
      <c r="AA346" s="44"/>
      <c r="AB346" s="44"/>
      <c r="AC346" s="44"/>
      <c r="AD346" s="44"/>
      <c r="AE346" s="44"/>
      <c r="AF346" s="44"/>
      <c r="AG346" s="168"/>
      <c r="AH346" s="44"/>
      <c r="AI346" s="44"/>
      <c r="AJ346" s="44"/>
      <c r="AK346" s="168"/>
      <c r="AL346" s="44"/>
      <c r="AM346" s="44"/>
      <c r="AN346" s="44"/>
    </row>
    <row r="347" spans="1:40" x14ac:dyDescent="0.3">
      <c r="C347" s="44"/>
      <c r="D347" s="44"/>
      <c r="E347" s="44"/>
      <c r="F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T347" s="44"/>
      <c r="U347" s="44"/>
      <c r="V347" s="44"/>
      <c r="Y347" s="44"/>
      <c r="Z347" s="44"/>
      <c r="AA347" s="44"/>
      <c r="AB347" s="44"/>
      <c r="AC347" s="44"/>
      <c r="AD347" s="44"/>
      <c r="AE347" s="44"/>
      <c r="AF347" s="44"/>
      <c r="AG347" s="168"/>
      <c r="AH347" s="44"/>
      <c r="AI347" s="44"/>
      <c r="AJ347" s="44"/>
      <c r="AK347" s="168"/>
      <c r="AL347" s="44"/>
      <c r="AM347" s="44"/>
      <c r="AN347" s="44"/>
    </row>
    <row r="348" spans="1:40" x14ac:dyDescent="0.3">
      <c r="A348" s="135"/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207"/>
      <c r="AH348" s="135"/>
      <c r="AI348" s="135"/>
      <c r="AJ348" s="135"/>
      <c r="AK348" s="207"/>
      <c r="AL348" s="135"/>
      <c r="AM348" s="135"/>
      <c r="AN348" s="135"/>
    </row>
    <row r="349" spans="1:40" x14ac:dyDescent="0.3"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Y349" s="44"/>
      <c r="Z349" s="44"/>
      <c r="AA349" s="44"/>
      <c r="AB349" s="44"/>
      <c r="AC349" s="44"/>
      <c r="AD349" s="44"/>
      <c r="AE349" s="44"/>
      <c r="AF349" s="44"/>
      <c r="AG349" s="168"/>
      <c r="AH349" s="44"/>
      <c r="AI349" s="44"/>
      <c r="AJ349" s="44"/>
      <c r="AK349" s="168"/>
      <c r="AL349" s="44"/>
      <c r="AM349" s="44"/>
      <c r="AN349" s="44"/>
    </row>
    <row r="350" spans="1:40" x14ac:dyDescent="0.3">
      <c r="C350" s="42"/>
      <c r="D350" s="42"/>
      <c r="E350" s="42"/>
      <c r="T350" s="42"/>
      <c r="U350" s="42"/>
    </row>
    <row r="351" spans="1:40" x14ac:dyDescent="0.3">
      <c r="D351" s="42"/>
      <c r="E351" s="42"/>
      <c r="U351" s="42"/>
    </row>
    <row r="353" spans="3:40" x14ac:dyDescent="0.3">
      <c r="C353" s="42"/>
      <c r="T353" s="42"/>
    </row>
    <row r="354" spans="3:40" x14ac:dyDescent="0.3">
      <c r="C354" s="42"/>
      <c r="F354" s="184"/>
      <c r="H354" s="184"/>
      <c r="I354" s="184"/>
      <c r="J354" s="238"/>
      <c r="K354" s="238"/>
      <c r="L354" s="123"/>
      <c r="M354" s="123"/>
      <c r="N354" s="160"/>
      <c r="O354" s="160"/>
      <c r="P354" s="123"/>
      <c r="Q354" s="123"/>
      <c r="R354" s="123"/>
      <c r="T354" s="42"/>
      <c r="V354" s="184"/>
      <c r="W354" s="123"/>
      <c r="X354" s="123"/>
      <c r="Y354" s="184"/>
      <c r="Z354" s="238"/>
      <c r="AA354" s="123"/>
      <c r="AB354" s="123"/>
      <c r="AC354" s="160"/>
      <c r="AD354" s="160"/>
      <c r="AE354" s="123"/>
      <c r="AF354" s="123"/>
      <c r="AH354" s="236"/>
      <c r="AI354" s="123"/>
      <c r="AJ354" s="123"/>
      <c r="AL354" s="123"/>
      <c r="AM354" s="160"/>
      <c r="AN354" s="160"/>
    </row>
    <row r="355" spans="3:40" x14ac:dyDescent="0.3">
      <c r="C355" s="42"/>
      <c r="F355" s="123"/>
      <c r="H355" s="123"/>
      <c r="I355" s="123"/>
      <c r="J355" s="213"/>
      <c r="K355" s="213"/>
      <c r="L355" s="123"/>
      <c r="M355" s="123"/>
      <c r="N355" s="160"/>
      <c r="O355" s="160"/>
      <c r="P355" s="123"/>
      <c r="Q355" s="123"/>
      <c r="R355" s="123"/>
      <c r="T355" s="42"/>
      <c r="V355" s="184"/>
      <c r="W355" s="123"/>
      <c r="X355" s="123"/>
      <c r="Y355" s="184"/>
      <c r="Z355" s="213"/>
      <c r="AA355" s="123"/>
      <c r="AB355" s="123"/>
      <c r="AC355" s="160"/>
      <c r="AD355" s="160"/>
      <c r="AE355" s="123"/>
      <c r="AF355" s="123"/>
      <c r="AH355" s="236"/>
      <c r="AI355" s="123"/>
      <c r="AJ355" s="123"/>
      <c r="AL355" s="123"/>
      <c r="AM355" s="160"/>
      <c r="AN355" s="160"/>
    </row>
    <row r="356" spans="3:40" x14ac:dyDescent="0.3">
      <c r="C356" s="42"/>
      <c r="F356" s="184"/>
      <c r="H356" s="184"/>
      <c r="I356" s="184"/>
      <c r="J356" s="238"/>
      <c r="K356" s="238"/>
      <c r="L356" s="123"/>
      <c r="M356" s="123"/>
      <c r="N356" s="160"/>
      <c r="O356" s="160"/>
      <c r="P356" s="123"/>
      <c r="Q356" s="123"/>
      <c r="R356" s="123"/>
      <c r="T356" s="42"/>
      <c r="V356" s="184"/>
      <c r="W356" s="123"/>
      <c r="X356" s="123"/>
      <c r="Y356" s="184"/>
      <c r="Z356" s="238"/>
      <c r="AA356" s="123"/>
      <c r="AB356" s="123"/>
      <c r="AC356" s="160"/>
      <c r="AD356" s="160"/>
      <c r="AE356" s="123"/>
      <c r="AF356" s="123"/>
      <c r="AH356" s="236"/>
      <c r="AI356" s="123"/>
      <c r="AJ356" s="123"/>
      <c r="AL356" s="123"/>
      <c r="AM356" s="160"/>
      <c r="AN356" s="160"/>
    </row>
    <row r="357" spans="3:40" x14ac:dyDescent="0.3">
      <c r="C357" s="42"/>
      <c r="F357" s="184"/>
      <c r="H357" s="184"/>
      <c r="I357" s="184"/>
      <c r="J357" s="238"/>
      <c r="K357" s="238"/>
      <c r="L357" s="123"/>
      <c r="M357" s="123"/>
      <c r="N357" s="160"/>
      <c r="O357" s="160"/>
      <c r="P357" s="123"/>
      <c r="Q357" s="123"/>
      <c r="R357" s="123"/>
      <c r="T357" s="42"/>
      <c r="V357" s="184"/>
      <c r="W357" s="123"/>
      <c r="X357" s="123"/>
      <c r="Y357" s="184"/>
      <c r="Z357" s="238"/>
      <c r="AA357" s="123"/>
      <c r="AB357" s="123"/>
      <c r="AC357" s="160"/>
      <c r="AD357" s="160"/>
      <c r="AE357" s="123"/>
      <c r="AF357" s="123"/>
      <c r="AH357" s="236"/>
      <c r="AI357" s="123"/>
      <c r="AJ357" s="123"/>
      <c r="AL357" s="123"/>
      <c r="AM357" s="160"/>
      <c r="AN357" s="160"/>
    </row>
    <row r="358" spans="3:40" x14ac:dyDescent="0.3">
      <c r="C358" s="42"/>
      <c r="F358" s="184"/>
      <c r="H358" s="184"/>
      <c r="I358" s="184"/>
      <c r="J358" s="238"/>
      <c r="K358" s="238"/>
      <c r="L358" s="123"/>
      <c r="M358" s="123"/>
      <c r="N358" s="160"/>
      <c r="O358" s="160"/>
      <c r="P358" s="123"/>
      <c r="Q358" s="123"/>
      <c r="R358" s="123"/>
      <c r="T358" s="42"/>
      <c r="V358" s="184"/>
      <c r="W358" s="123"/>
      <c r="X358" s="123"/>
      <c r="Y358" s="184"/>
      <c r="Z358" s="238"/>
      <c r="AA358" s="123"/>
      <c r="AB358" s="123"/>
      <c r="AC358" s="160"/>
      <c r="AD358" s="160"/>
      <c r="AE358" s="123"/>
      <c r="AF358" s="123"/>
      <c r="AH358" s="236"/>
      <c r="AI358" s="123"/>
      <c r="AJ358" s="123"/>
      <c r="AL358" s="123"/>
      <c r="AM358" s="160"/>
      <c r="AN358" s="160"/>
    </row>
    <row r="359" spans="3:40" x14ac:dyDescent="0.3">
      <c r="C359" s="42"/>
      <c r="F359" s="123"/>
      <c r="H359" s="123"/>
      <c r="I359" s="123"/>
      <c r="J359" s="238"/>
      <c r="K359" s="238"/>
      <c r="L359" s="123"/>
      <c r="M359" s="123"/>
      <c r="N359" s="160"/>
      <c r="O359" s="160"/>
      <c r="P359" s="123"/>
      <c r="Q359" s="123"/>
      <c r="R359" s="123"/>
      <c r="T359" s="42"/>
      <c r="V359" s="184"/>
      <c r="W359" s="123"/>
      <c r="X359" s="123"/>
      <c r="Y359" s="184"/>
      <c r="Z359" s="238"/>
      <c r="AA359" s="123"/>
      <c r="AB359" s="123"/>
      <c r="AC359" s="160"/>
      <c r="AD359" s="160"/>
      <c r="AE359" s="123"/>
      <c r="AF359" s="123"/>
      <c r="AH359" s="236"/>
      <c r="AI359" s="123"/>
      <c r="AJ359" s="123"/>
      <c r="AL359" s="123"/>
      <c r="AM359" s="160"/>
      <c r="AN359" s="160"/>
    </row>
    <row r="360" spans="3:40" x14ac:dyDescent="0.3">
      <c r="C360" s="42"/>
      <c r="F360" s="123"/>
      <c r="H360" s="123"/>
      <c r="I360" s="123"/>
      <c r="J360" s="238"/>
      <c r="K360" s="238"/>
      <c r="L360" s="123"/>
      <c r="M360" s="123"/>
      <c r="N360" s="160"/>
      <c r="O360" s="160"/>
      <c r="P360" s="123"/>
      <c r="Q360" s="123"/>
      <c r="R360" s="123"/>
      <c r="T360" s="42"/>
      <c r="V360" s="184"/>
      <c r="W360" s="123"/>
      <c r="X360" s="123"/>
      <c r="Y360" s="184"/>
      <c r="Z360" s="238"/>
      <c r="AA360" s="123"/>
      <c r="AB360" s="123"/>
      <c r="AC360" s="160"/>
      <c r="AD360" s="160"/>
      <c r="AE360" s="123"/>
      <c r="AF360" s="123"/>
      <c r="AH360" s="236"/>
      <c r="AI360" s="123"/>
      <c r="AJ360" s="123"/>
      <c r="AL360" s="123"/>
      <c r="AM360" s="160"/>
      <c r="AN360" s="160"/>
    </row>
    <row r="361" spans="3:40" x14ac:dyDescent="0.3">
      <c r="F361" s="241"/>
      <c r="H361" s="242"/>
      <c r="I361" s="242"/>
      <c r="J361" s="238"/>
      <c r="K361" s="238"/>
      <c r="L361" s="241"/>
      <c r="M361" s="241"/>
      <c r="N361" s="210"/>
      <c r="O361" s="210"/>
      <c r="P361" s="241"/>
      <c r="Q361" s="241"/>
      <c r="R361" s="241"/>
      <c r="V361" s="241"/>
      <c r="W361" s="123"/>
      <c r="X361" s="123"/>
      <c r="Y361" s="241"/>
      <c r="Z361" s="238"/>
      <c r="AA361" s="241"/>
      <c r="AB361" s="241"/>
      <c r="AC361" s="243"/>
      <c r="AD361" s="243"/>
      <c r="AE361" s="241"/>
      <c r="AF361" s="241"/>
      <c r="AH361" s="236"/>
      <c r="AI361" s="241"/>
      <c r="AJ361" s="241"/>
      <c r="AK361" s="207"/>
      <c r="AL361" s="241"/>
      <c r="AM361" s="160"/>
      <c r="AN361" s="160"/>
    </row>
    <row r="362" spans="3:40" x14ac:dyDescent="0.3">
      <c r="C362" s="42"/>
      <c r="F362" s="123"/>
      <c r="H362" s="123"/>
      <c r="I362" s="123"/>
      <c r="J362" s="238"/>
      <c r="K362" s="238"/>
      <c r="L362" s="123"/>
      <c r="M362" s="123"/>
      <c r="N362" s="236"/>
      <c r="O362" s="236"/>
      <c r="P362" s="123"/>
      <c r="Q362" s="123"/>
      <c r="R362" s="123"/>
      <c r="T362" s="44"/>
      <c r="V362" s="123"/>
      <c r="W362" s="123"/>
      <c r="X362" s="123"/>
      <c r="Y362" s="123"/>
      <c r="Z362" s="238"/>
      <c r="AA362" s="123"/>
      <c r="AB362" s="123"/>
      <c r="AC362" s="236"/>
      <c r="AD362" s="236"/>
      <c r="AE362" s="123"/>
      <c r="AF362" s="123"/>
      <c r="AH362" s="236"/>
      <c r="AI362" s="123"/>
      <c r="AJ362" s="123"/>
      <c r="AL362" s="123"/>
      <c r="AM362" s="160"/>
      <c r="AN362" s="160"/>
    </row>
    <row r="363" spans="3:40" x14ac:dyDescent="0.3">
      <c r="F363" s="135"/>
      <c r="H363" s="135"/>
      <c r="I363" s="135"/>
      <c r="L363" s="135"/>
      <c r="M363" s="135"/>
      <c r="N363" s="243"/>
      <c r="O363" s="243"/>
      <c r="P363" s="241"/>
      <c r="Q363" s="241"/>
      <c r="R363" s="241"/>
      <c r="V363" s="241"/>
      <c r="Y363" s="241"/>
      <c r="Z363" s="213"/>
      <c r="AA363" s="241"/>
      <c r="AB363" s="241"/>
      <c r="AC363" s="241"/>
      <c r="AD363" s="241"/>
      <c r="AE363" s="241"/>
      <c r="AF363" s="241"/>
      <c r="AI363" s="241"/>
      <c r="AJ363" s="241"/>
      <c r="AK363" s="207"/>
      <c r="AL363" s="241"/>
      <c r="AM363" s="243"/>
      <c r="AN363" s="243"/>
    </row>
    <row r="368" spans="3:40" x14ac:dyDescent="0.3">
      <c r="N368" s="123"/>
      <c r="O368" s="123"/>
      <c r="P368" s="123"/>
      <c r="Q368" s="123"/>
      <c r="R368" s="123"/>
      <c r="V368" s="123"/>
      <c r="Y368" s="123"/>
      <c r="Z368" s="219"/>
      <c r="AA368" s="123"/>
      <c r="AB368" s="123"/>
      <c r="AC368" s="160"/>
      <c r="AD368" s="160"/>
      <c r="AE368" s="123"/>
      <c r="AF368" s="123"/>
      <c r="AH368" s="236"/>
      <c r="AI368" s="123"/>
      <c r="AJ368" s="123"/>
      <c r="AL368" s="123"/>
      <c r="AM368" s="160"/>
      <c r="AN368" s="160"/>
    </row>
    <row r="369" spans="1:40" x14ac:dyDescent="0.3">
      <c r="C369" s="42"/>
      <c r="D369" s="42"/>
      <c r="E369" s="42"/>
      <c r="J369" s="188"/>
      <c r="K369" s="188"/>
      <c r="T369" s="42"/>
      <c r="U369" s="42"/>
      <c r="Z369" s="188"/>
      <c r="AE369" s="123"/>
      <c r="AF369" s="123"/>
      <c r="AI369" s="123"/>
      <c r="AJ369" s="123"/>
      <c r="AL369" s="123"/>
      <c r="AM369" s="160"/>
      <c r="AN369" s="160"/>
    </row>
    <row r="370" spans="1:40" x14ac:dyDescent="0.3">
      <c r="D370" s="42"/>
      <c r="E370" s="42"/>
      <c r="F370" s="123"/>
      <c r="H370" s="123"/>
      <c r="I370" s="123"/>
      <c r="J370" s="238"/>
      <c r="K370" s="238"/>
      <c r="L370" s="123"/>
      <c r="M370" s="123"/>
      <c r="N370" s="160"/>
      <c r="O370" s="160"/>
      <c r="P370" s="123"/>
      <c r="Q370" s="123"/>
      <c r="R370" s="123"/>
      <c r="U370" s="42"/>
      <c r="V370" s="123"/>
      <c r="Y370" s="123"/>
      <c r="Z370" s="238"/>
      <c r="AA370" s="123"/>
      <c r="AB370" s="123"/>
      <c r="AC370" s="160"/>
      <c r="AD370" s="160"/>
      <c r="AE370" s="123"/>
      <c r="AF370" s="123"/>
      <c r="AH370" s="236"/>
      <c r="AI370" s="123"/>
      <c r="AJ370" s="123"/>
      <c r="AL370" s="123"/>
      <c r="AM370" s="160"/>
      <c r="AN370" s="160"/>
    </row>
    <row r="371" spans="1:40" x14ac:dyDescent="0.3">
      <c r="F371" s="123"/>
      <c r="H371" s="123"/>
      <c r="I371" s="123"/>
      <c r="J371" s="213"/>
      <c r="K371" s="213"/>
      <c r="L371" s="123"/>
      <c r="M371" s="123"/>
      <c r="N371" s="123"/>
      <c r="O371" s="123"/>
      <c r="P371" s="123"/>
      <c r="Q371" s="123"/>
      <c r="R371" s="123"/>
      <c r="V371" s="123"/>
      <c r="Y371" s="123"/>
      <c r="Z371" s="213"/>
      <c r="AA371" s="123"/>
      <c r="AB371" s="123"/>
      <c r="AC371" s="123"/>
      <c r="AD371" s="123"/>
      <c r="AE371" s="123"/>
      <c r="AF371" s="123"/>
      <c r="AH371" s="236"/>
      <c r="AI371" s="184"/>
      <c r="AJ371" s="184"/>
      <c r="AL371" s="123"/>
      <c r="AM371" s="160"/>
      <c r="AN371" s="160"/>
    </row>
    <row r="372" spans="1:40" x14ac:dyDescent="0.3">
      <c r="C372" s="42"/>
      <c r="F372" s="184"/>
      <c r="H372" s="184"/>
      <c r="I372" s="184"/>
      <c r="J372" s="212"/>
      <c r="K372" s="212"/>
      <c r="L372" s="123"/>
      <c r="M372" s="123"/>
      <c r="N372" s="160"/>
      <c r="O372" s="160"/>
      <c r="P372" s="123"/>
      <c r="Q372" s="123"/>
      <c r="R372" s="123"/>
      <c r="T372" s="42"/>
      <c r="V372" s="184"/>
      <c r="Y372" s="184"/>
      <c r="Z372" s="212"/>
      <c r="AA372" s="123"/>
      <c r="AB372" s="123"/>
      <c r="AC372" s="160"/>
      <c r="AD372" s="160"/>
      <c r="AE372" s="123"/>
      <c r="AF372" s="123"/>
      <c r="AH372" s="236"/>
      <c r="AI372" s="123"/>
      <c r="AJ372" s="123"/>
      <c r="AL372" s="123"/>
      <c r="AM372" s="160"/>
      <c r="AN372" s="160"/>
    </row>
    <row r="373" spans="1:40" x14ac:dyDescent="0.3">
      <c r="F373" s="135"/>
      <c r="H373" s="135"/>
      <c r="I373" s="135"/>
      <c r="L373" s="135"/>
      <c r="M373" s="135"/>
      <c r="N373" s="135"/>
      <c r="O373" s="135"/>
      <c r="P373" s="135"/>
      <c r="Q373" s="135"/>
      <c r="R373" s="135"/>
      <c r="V373" s="135"/>
      <c r="Y373" s="135"/>
      <c r="AA373" s="135"/>
      <c r="AB373" s="135"/>
      <c r="AC373" s="135"/>
      <c r="AD373" s="135"/>
      <c r="AE373" s="135"/>
      <c r="AF373" s="135"/>
      <c r="AG373" s="207"/>
      <c r="AH373" s="135"/>
      <c r="AI373" s="135"/>
      <c r="AJ373" s="135"/>
      <c r="AK373" s="207"/>
      <c r="AL373" s="135"/>
      <c r="AM373" s="135"/>
      <c r="AN373" s="135"/>
    </row>
    <row r="374" spans="1:40" x14ac:dyDescent="0.3">
      <c r="C374" s="44"/>
      <c r="F374" s="184"/>
      <c r="H374" s="184"/>
      <c r="I374" s="184"/>
      <c r="J374" s="193"/>
      <c r="K374" s="193"/>
      <c r="L374" s="184"/>
      <c r="M374" s="184"/>
      <c r="N374" s="160"/>
      <c r="O374" s="160"/>
      <c r="P374" s="184"/>
      <c r="Q374" s="184"/>
      <c r="R374" s="184"/>
      <c r="T374" s="44"/>
      <c r="V374" s="123"/>
      <c r="Y374" s="123"/>
      <c r="Z374" s="219"/>
      <c r="AA374" s="123"/>
      <c r="AB374" s="123"/>
      <c r="AC374" s="160"/>
      <c r="AD374" s="160"/>
      <c r="AH374" s="236"/>
      <c r="AI374" s="123"/>
      <c r="AJ374" s="123"/>
      <c r="AL374" s="123"/>
      <c r="AM374" s="160"/>
      <c r="AN374" s="160"/>
    </row>
    <row r="375" spans="1:40" x14ac:dyDescent="0.3">
      <c r="F375" s="241"/>
      <c r="H375" s="241"/>
      <c r="I375" s="241"/>
      <c r="J375" s="213"/>
      <c r="K375" s="213"/>
      <c r="L375" s="241"/>
      <c r="M375" s="241"/>
      <c r="N375" s="241"/>
      <c r="O375" s="241"/>
      <c r="P375" s="241"/>
      <c r="Q375" s="241"/>
      <c r="R375" s="241"/>
      <c r="V375" s="135"/>
      <c r="Y375" s="135"/>
      <c r="AA375" s="135"/>
      <c r="AB375" s="135"/>
      <c r="AC375" s="135"/>
      <c r="AD375" s="135"/>
      <c r="AE375" s="135"/>
      <c r="AF375" s="135"/>
      <c r="AG375" s="207"/>
      <c r="AH375" s="135"/>
      <c r="AI375" s="135"/>
      <c r="AJ375" s="135"/>
      <c r="AK375" s="207"/>
      <c r="AL375" s="135"/>
      <c r="AM375" s="135"/>
      <c r="AN375" s="135"/>
    </row>
    <row r="376" spans="1:40" x14ac:dyDescent="0.3">
      <c r="F376" s="184"/>
      <c r="H376" s="184"/>
      <c r="I376" s="184"/>
      <c r="J376" s="237"/>
      <c r="K376" s="237"/>
      <c r="L376" s="123"/>
      <c r="M376" s="123"/>
      <c r="N376" s="160"/>
      <c r="O376" s="160"/>
      <c r="P376" s="123"/>
      <c r="Q376" s="123"/>
      <c r="R376" s="123"/>
    </row>
    <row r="377" spans="1:40" x14ac:dyDescent="0.3">
      <c r="A377" s="42"/>
      <c r="F377" s="184"/>
      <c r="H377" s="184"/>
      <c r="I377" s="184"/>
      <c r="J377" s="193"/>
      <c r="K377" s="193"/>
      <c r="L377" s="123"/>
      <c r="M377" s="123"/>
      <c r="N377" s="160"/>
      <c r="O377" s="160"/>
      <c r="P377" s="123"/>
      <c r="Q377" s="123"/>
      <c r="R377" s="123"/>
    </row>
    <row r="378" spans="1:40" x14ac:dyDescent="0.3">
      <c r="F378" s="184"/>
      <c r="H378" s="184"/>
      <c r="I378" s="184"/>
      <c r="J378" s="193"/>
      <c r="K378" s="193"/>
      <c r="L378" s="123"/>
      <c r="M378" s="123"/>
      <c r="N378" s="160"/>
      <c r="O378" s="160"/>
      <c r="P378" s="123"/>
      <c r="Q378" s="123"/>
      <c r="R378" s="123"/>
    </row>
    <row r="379" spans="1:40" x14ac:dyDescent="0.3">
      <c r="A379" s="42"/>
    </row>
    <row r="382" spans="1:40" x14ac:dyDescent="0.3">
      <c r="H382" s="42"/>
      <c r="I382" s="42"/>
      <c r="Y382" s="42"/>
    </row>
    <row r="384" spans="1:40" x14ac:dyDescent="0.3">
      <c r="L384" s="42"/>
      <c r="M384" s="42"/>
      <c r="AA384" s="42"/>
      <c r="AB384" s="42"/>
    </row>
    <row r="385" spans="1:40" x14ac:dyDescent="0.3">
      <c r="R385" s="42"/>
      <c r="AK385" s="206"/>
      <c r="AL385" s="42"/>
    </row>
    <row r="386" spans="1:40" x14ac:dyDescent="0.3">
      <c r="R386" s="42"/>
      <c r="AK386" s="206"/>
      <c r="AL386" s="42"/>
    </row>
    <row r="387" spans="1:40" x14ac:dyDescent="0.3">
      <c r="A387" s="42"/>
      <c r="R387" s="42"/>
      <c r="AK387" s="206"/>
      <c r="AL387" s="42"/>
    </row>
    <row r="388" spans="1:40" x14ac:dyDescent="0.3">
      <c r="L388" s="42"/>
      <c r="M388" s="42"/>
      <c r="AA388" s="42"/>
      <c r="AB388" s="42"/>
    </row>
    <row r="389" spans="1:40" x14ac:dyDescent="0.3">
      <c r="A389" s="135"/>
      <c r="B389" s="135"/>
      <c r="C389" s="135"/>
      <c r="D389" s="135"/>
      <c r="E389" s="135"/>
      <c r="F389" s="135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207"/>
      <c r="AH389" s="135"/>
      <c r="AI389" s="135"/>
      <c r="AJ389" s="135"/>
      <c r="AK389" s="207"/>
      <c r="AL389" s="135"/>
      <c r="AM389" s="135"/>
      <c r="AN389" s="135"/>
    </row>
    <row r="390" spans="1:40" x14ac:dyDescent="0.3">
      <c r="L390" s="44"/>
      <c r="M390" s="44"/>
      <c r="N390" s="44"/>
      <c r="O390" s="44"/>
      <c r="R390" s="44"/>
      <c r="AA390" s="44"/>
      <c r="AB390" s="44"/>
      <c r="AC390" s="44"/>
      <c r="AD390" s="44"/>
      <c r="AE390" s="44"/>
      <c r="AF390" s="44"/>
      <c r="AG390" s="168"/>
      <c r="AH390" s="44"/>
      <c r="AK390" s="168"/>
      <c r="AL390" s="44"/>
      <c r="AM390" s="44"/>
      <c r="AN390" s="44"/>
    </row>
    <row r="391" spans="1:40" x14ac:dyDescent="0.3">
      <c r="L391" s="44"/>
      <c r="M391" s="44"/>
      <c r="N391" s="44"/>
      <c r="O391" s="44"/>
      <c r="R391" s="44"/>
      <c r="Z391" s="44"/>
      <c r="AA391" s="44"/>
      <c r="AB391" s="44"/>
      <c r="AC391" s="44"/>
      <c r="AD391" s="44"/>
      <c r="AE391" s="44"/>
      <c r="AF391" s="44"/>
      <c r="AG391" s="168"/>
      <c r="AH391" s="44"/>
      <c r="AK391" s="168"/>
      <c r="AL391" s="44"/>
      <c r="AM391" s="44"/>
      <c r="AN391" s="44"/>
    </row>
    <row r="392" spans="1:40" x14ac:dyDescent="0.3">
      <c r="A392" s="44"/>
      <c r="C392" s="44"/>
      <c r="D392" s="44"/>
      <c r="E392" s="44"/>
      <c r="F392" s="44"/>
      <c r="J392" s="44"/>
      <c r="K392" s="44"/>
      <c r="L392" s="44"/>
      <c r="M392" s="44"/>
      <c r="N392" s="44"/>
      <c r="O392" s="44"/>
      <c r="P392" s="44"/>
      <c r="Q392" s="44"/>
      <c r="R392" s="44"/>
      <c r="T392" s="44"/>
      <c r="U392" s="44"/>
      <c r="V392" s="44"/>
      <c r="Z392" s="44"/>
      <c r="AA392" s="44"/>
      <c r="AB392" s="44"/>
      <c r="AC392" s="44"/>
      <c r="AD392" s="44"/>
      <c r="AE392" s="44"/>
      <c r="AF392" s="44"/>
      <c r="AG392" s="168"/>
      <c r="AH392" s="44"/>
      <c r="AI392" s="44"/>
      <c r="AJ392" s="44"/>
      <c r="AK392" s="168"/>
      <c r="AL392" s="44"/>
      <c r="AM392" s="44"/>
      <c r="AN392" s="44"/>
    </row>
    <row r="393" spans="1:40" x14ac:dyDescent="0.3">
      <c r="A393" s="44"/>
      <c r="C393" s="44"/>
      <c r="D393" s="44"/>
      <c r="E393" s="44"/>
      <c r="F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T393" s="44"/>
      <c r="U393" s="44"/>
      <c r="V393" s="44"/>
      <c r="Y393" s="44"/>
      <c r="Z393" s="44"/>
      <c r="AA393" s="44"/>
      <c r="AB393" s="44"/>
      <c r="AC393" s="44"/>
      <c r="AD393" s="44"/>
      <c r="AE393" s="44"/>
      <c r="AF393" s="44"/>
      <c r="AG393" s="168"/>
      <c r="AH393" s="44"/>
      <c r="AI393" s="44"/>
      <c r="AJ393" s="44"/>
      <c r="AK393" s="168"/>
      <c r="AL393" s="44"/>
      <c r="AM393" s="44"/>
      <c r="AN393" s="44"/>
    </row>
    <row r="394" spans="1:40" x14ac:dyDescent="0.3">
      <c r="C394" s="44"/>
      <c r="D394" s="44"/>
      <c r="E394" s="44"/>
      <c r="F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T394" s="44"/>
      <c r="U394" s="44"/>
      <c r="V394" s="44"/>
      <c r="Y394" s="44"/>
      <c r="Z394" s="44"/>
      <c r="AA394" s="44"/>
      <c r="AB394" s="44"/>
      <c r="AC394" s="44"/>
      <c r="AD394" s="44"/>
      <c r="AE394" s="44"/>
      <c r="AF394" s="44"/>
      <c r="AG394" s="168"/>
      <c r="AH394" s="44"/>
      <c r="AI394" s="44"/>
      <c r="AJ394" s="44"/>
      <c r="AK394" s="168"/>
      <c r="AL394" s="44"/>
      <c r="AM394" s="44"/>
      <c r="AN394" s="44"/>
    </row>
    <row r="395" spans="1:40" x14ac:dyDescent="0.3">
      <c r="A395" s="135"/>
      <c r="B395" s="135"/>
      <c r="C395" s="135"/>
      <c r="D395" s="135"/>
      <c r="E395" s="135"/>
      <c r="F395" s="135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207"/>
      <c r="AH395" s="135"/>
      <c r="AI395" s="135"/>
      <c r="AJ395" s="135"/>
      <c r="AK395" s="207"/>
      <c r="AL395" s="135"/>
      <c r="AM395" s="135"/>
      <c r="AN395" s="135"/>
    </row>
    <row r="396" spans="1:40" x14ac:dyDescent="0.3"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Y396" s="44"/>
      <c r="Z396" s="44"/>
      <c r="AA396" s="44"/>
      <c r="AB396" s="44"/>
      <c r="AC396" s="44"/>
      <c r="AD396" s="44"/>
      <c r="AE396" s="44"/>
      <c r="AF396" s="44"/>
      <c r="AG396" s="168"/>
      <c r="AH396" s="44"/>
      <c r="AI396" s="44"/>
      <c r="AJ396" s="44"/>
      <c r="AK396" s="168"/>
      <c r="AL396" s="44"/>
      <c r="AM396" s="44"/>
      <c r="AN396" s="44"/>
    </row>
    <row r="397" spans="1:40" x14ac:dyDescent="0.3">
      <c r="C397" s="42"/>
      <c r="D397" s="42"/>
      <c r="E397" s="42"/>
      <c r="T397" s="42"/>
      <c r="U397" s="42"/>
    </row>
    <row r="399" spans="1:40" x14ac:dyDescent="0.3">
      <c r="C399" s="42"/>
      <c r="T399" s="42"/>
    </row>
    <row r="400" spans="1:40" x14ac:dyDescent="0.3">
      <c r="C400" s="42"/>
      <c r="F400" s="184"/>
      <c r="H400" s="184"/>
      <c r="I400" s="184"/>
      <c r="J400" s="213"/>
      <c r="K400" s="213"/>
      <c r="L400" s="123"/>
      <c r="M400" s="123"/>
      <c r="N400" s="160"/>
      <c r="O400" s="160"/>
      <c r="P400" s="123"/>
      <c r="Q400" s="123"/>
      <c r="R400" s="123"/>
      <c r="T400" s="42"/>
      <c r="V400" s="184"/>
      <c r="Y400" s="184"/>
      <c r="Z400" s="213"/>
      <c r="AA400" s="123"/>
      <c r="AB400" s="123"/>
      <c r="AC400" s="160"/>
      <c r="AD400" s="160"/>
      <c r="AE400" s="123"/>
      <c r="AF400" s="123"/>
      <c r="AH400" s="236"/>
      <c r="AI400" s="123"/>
      <c r="AJ400" s="123"/>
      <c r="AL400" s="123"/>
      <c r="AM400" s="160"/>
      <c r="AN400" s="160"/>
    </row>
    <row r="401" spans="3:40" x14ac:dyDescent="0.3">
      <c r="C401" s="42"/>
      <c r="T401" s="42"/>
    </row>
    <row r="402" spans="3:40" x14ac:dyDescent="0.3">
      <c r="C402" s="42"/>
      <c r="F402" s="184"/>
      <c r="H402" s="184"/>
      <c r="I402" s="184"/>
      <c r="J402" s="238"/>
      <c r="K402" s="238"/>
      <c r="L402" s="123"/>
      <c r="M402" s="123"/>
      <c r="N402" s="160"/>
      <c r="O402" s="160"/>
      <c r="P402" s="123"/>
      <c r="Q402" s="123"/>
      <c r="R402" s="123"/>
      <c r="T402" s="42"/>
      <c r="V402" s="123"/>
      <c r="Y402" s="123"/>
      <c r="Z402" s="238"/>
      <c r="AA402" s="123"/>
      <c r="AB402" s="123"/>
      <c r="AC402" s="160"/>
      <c r="AD402" s="160"/>
      <c r="AE402" s="123"/>
      <c r="AF402" s="123"/>
      <c r="AH402" s="236"/>
      <c r="AI402" s="123"/>
      <c r="AJ402" s="123"/>
      <c r="AL402" s="123"/>
      <c r="AM402" s="160"/>
      <c r="AN402" s="160"/>
    </row>
    <row r="403" spans="3:40" x14ac:dyDescent="0.3">
      <c r="C403" s="42"/>
      <c r="F403" s="184"/>
      <c r="H403" s="184"/>
      <c r="I403" s="184"/>
      <c r="J403" s="238"/>
      <c r="K403" s="238"/>
      <c r="L403" s="123"/>
      <c r="M403" s="123"/>
      <c r="N403" s="160"/>
      <c r="O403" s="160"/>
      <c r="P403" s="123"/>
      <c r="Q403" s="123"/>
      <c r="R403" s="123"/>
      <c r="T403" s="42"/>
      <c r="V403" s="123"/>
      <c r="Y403" s="123"/>
      <c r="Z403" s="238"/>
      <c r="AA403" s="123"/>
      <c r="AB403" s="123"/>
      <c r="AC403" s="160"/>
      <c r="AD403" s="160"/>
      <c r="AE403" s="123"/>
      <c r="AF403" s="123"/>
      <c r="AH403" s="236"/>
      <c r="AI403" s="123"/>
      <c r="AJ403" s="123"/>
      <c r="AL403" s="123"/>
      <c r="AM403" s="160"/>
      <c r="AN403" s="160"/>
    </row>
    <row r="404" spans="3:40" x14ac:dyDescent="0.3">
      <c r="C404" s="42"/>
      <c r="F404" s="184"/>
      <c r="H404" s="184"/>
      <c r="I404" s="184"/>
      <c r="J404" s="238"/>
      <c r="K404" s="238"/>
      <c r="L404" s="123"/>
      <c r="M404" s="123"/>
      <c r="N404" s="160"/>
      <c r="O404" s="160"/>
      <c r="P404" s="123"/>
      <c r="Q404" s="123"/>
      <c r="R404" s="123"/>
      <c r="T404" s="42"/>
      <c r="V404" s="123"/>
      <c r="Y404" s="123"/>
      <c r="Z404" s="238"/>
      <c r="AA404" s="123"/>
      <c r="AB404" s="123"/>
      <c r="AC404" s="160"/>
      <c r="AD404" s="160"/>
      <c r="AE404" s="123"/>
      <c r="AF404" s="123"/>
      <c r="AH404" s="236"/>
      <c r="AI404" s="123"/>
      <c r="AJ404" s="123"/>
      <c r="AL404" s="123"/>
      <c r="AM404" s="160"/>
      <c r="AN404" s="160"/>
    </row>
    <row r="405" spans="3:40" x14ac:dyDescent="0.3">
      <c r="C405" s="42"/>
      <c r="F405" s="184"/>
      <c r="H405" s="184"/>
      <c r="I405" s="184"/>
      <c r="J405" s="238"/>
      <c r="K405" s="238"/>
      <c r="L405" s="123"/>
      <c r="M405" s="123"/>
      <c r="N405" s="160"/>
      <c r="O405" s="160"/>
      <c r="P405" s="123"/>
      <c r="Q405" s="123"/>
      <c r="R405" s="123"/>
      <c r="T405" s="42"/>
      <c r="V405" s="123"/>
      <c r="Y405" s="123"/>
      <c r="Z405" s="238"/>
      <c r="AA405" s="123"/>
      <c r="AB405" s="123"/>
      <c r="AC405" s="160"/>
      <c r="AD405" s="160"/>
      <c r="AE405" s="123"/>
      <c r="AF405" s="123"/>
      <c r="AH405" s="236"/>
      <c r="AI405" s="123"/>
      <c r="AJ405" s="123"/>
      <c r="AL405" s="123"/>
      <c r="AM405" s="160"/>
      <c r="AN405" s="160"/>
    </row>
    <row r="406" spans="3:40" x14ac:dyDescent="0.3">
      <c r="C406" s="42"/>
      <c r="J406" s="188"/>
      <c r="K406" s="188"/>
      <c r="T406" s="42"/>
      <c r="Z406" s="188"/>
    </row>
    <row r="407" spans="3:40" x14ac:dyDescent="0.3">
      <c r="C407" s="42"/>
      <c r="F407" s="184"/>
      <c r="H407" s="184"/>
      <c r="I407" s="184"/>
      <c r="J407" s="238"/>
      <c r="K407" s="238"/>
      <c r="L407" s="123"/>
      <c r="M407" s="123"/>
      <c r="N407" s="160"/>
      <c r="O407" s="160"/>
      <c r="P407" s="123"/>
      <c r="Q407" s="123"/>
      <c r="R407" s="123"/>
      <c r="T407" s="42"/>
      <c r="V407" s="123"/>
      <c r="Y407" s="123"/>
      <c r="Z407" s="238"/>
      <c r="AA407" s="123"/>
      <c r="AB407" s="123"/>
      <c r="AC407" s="160"/>
      <c r="AD407" s="160"/>
      <c r="AE407" s="123"/>
      <c r="AF407" s="123"/>
      <c r="AH407" s="236"/>
      <c r="AI407" s="123"/>
      <c r="AJ407" s="123"/>
      <c r="AL407" s="123"/>
      <c r="AM407" s="160"/>
      <c r="AN407" s="160"/>
    </row>
    <row r="408" spans="3:40" x14ac:dyDescent="0.3">
      <c r="C408" s="42"/>
      <c r="F408" s="184"/>
      <c r="H408" s="184"/>
      <c r="I408" s="184"/>
      <c r="J408" s="238"/>
      <c r="K408" s="238"/>
      <c r="L408" s="123"/>
      <c r="M408" s="123"/>
      <c r="N408" s="160"/>
      <c r="O408" s="160"/>
      <c r="P408" s="123"/>
      <c r="Q408" s="123"/>
      <c r="R408" s="123"/>
      <c r="T408" s="42"/>
      <c r="V408" s="123"/>
      <c r="Y408" s="123"/>
      <c r="Z408" s="238"/>
      <c r="AA408" s="123"/>
      <c r="AB408" s="123"/>
      <c r="AC408" s="160"/>
      <c r="AD408" s="160"/>
      <c r="AE408" s="123"/>
      <c r="AF408" s="123"/>
      <c r="AH408" s="236"/>
      <c r="AI408" s="123"/>
      <c r="AJ408" s="123"/>
      <c r="AL408" s="123"/>
      <c r="AM408" s="160"/>
      <c r="AN408" s="160"/>
    </row>
    <row r="409" spans="3:40" x14ac:dyDescent="0.3">
      <c r="C409" s="42"/>
      <c r="F409" s="184"/>
      <c r="H409" s="184"/>
      <c r="I409" s="184"/>
      <c r="J409" s="238"/>
      <c r="K409" s="238"/>
      <c r="L409" s="123"/>
      <c r="M409" s="123"/>
      <c r="N409" s="160"/>
      <c r="O409" s="160"/>
      <c r="P409" s="123"/>
      <c r="Q409" s="123"/>
      <c r="R409" s="123"/>
      <c r="T409" s="42"/>
      <c r="V409" s="123"/>
      <c r="Y409" s="123"/>
      <c r="Z409" s="238"/>
      <c r="AA409" s="123"/>
      <c r="AB409" s="123"/>
      <c r="AC409" s="160"/>
      <c r="AD409" s="160"/>
      <c r="AE409" s="123"/>
      <c r="AF409" s="123"/>
      <c r="AH409" s="236"/>
      <c r="AI409" s="123"/>
      <c r="AJ409" s="123"/>
      <c r="AL409" s="123"/>
      <c r="AM409" s="160"/>
      <c r="AN409" s="160"/>
    </row>
    <row r="410" spans="3:40" x14ac:dyDescent="0.3">
      <c r="C410" s="42"/>
      <c r="J410" s="188"/>
      <c r="K410" s="188"/>
      <c r="T410" s="42"/>
      <c r="Z410" s="188"/>
    </row>
    <row r="411" spans="3:40" x14ac:dyDescent="0.3">
      <c r="C411" s="42"/>
      <c r="F411" s="184"/>
      <c r="H411" s="184"/>
      <c r="I411" s="184"/>
      <c r="J411" s="238"/>
      <c r="K411" s="238"/>
      <c r="L411" s="123"/>
      <c r="M411" s="123"/>
      <c r="N411" s="160"/>
      <c r="O411" s="160"/>
      <c r="P411" s="123"/>
      <c r="Q411" s="123"/>
      <c r="R411" s="123"/>
      <c r="T411" s="42"/>
      <c r="V411" s="123"/>
      <c r="Y411" s="123"/>
      <c r="Z411" s="238"/>
      <c r="AA411" s="123"/>
      <c r="AB411" s="123"/>
      <c r="AC411" s="160"/>
      <c r="AD411" s="160"/>
      <c r="AE411" s="123"/>
      <c r="AF411" s="123"/>
      <c r="AH411" s="236"/>
      <c r="AI411" s="123"/>
      <c r="AJ411" s="123"/>
      <c r="AL411" s="123"/>
      <c r="AM411" s="160"/>
      <c r="AN411" s="160"/>
    </row>
    <row r="412" spans="3:40" x14ac:dyDescent="0.3">
      <c r="C412" s="42"/>
      <c r="F412" s="184"/>
      <c r="H412" s="184"/>
      <c r="I412" s="184"/>
      <c r="J412" s="238"/>
      <c r="K412" s="238"/>
      <c r="L412" s="123"/>
      <c r="M412" s="123"/>
      <c r="N412" s="160"/>
      <c r="O412" s="160"/>
      <c r="P412" s="123"/>
      <c r="Q412" s="123"/>
      <c r="R412" s="123"/>
      <c r="T412" s="42"/>
      <c r="V412" s="123"/>
      <c r="Y412" s="123"/>
      <c r="Z412" s="238"/>
      <c r="AA412" s="123"/>
      <c r="AB412" s="123"/>
      <c r="AC412" s="160"/>
      <c r="AD412" s="160"/>
      <c r="AE412" s="123"/>
      <c r="AF412" s="123"/>
      <c r="AH412" s="236"/>
      <c r="AI412" s="123"/>
      <c r="AJ412" s="123"/>
      <c r="AL412" s="123"/>
      <c r="AM412" s="160"/>
      <c r="AN412" s="160"/>
    </row>
    <row r="413" spans="3:40" x14ac:dyDescent="0.3">
      <c r="C413" s="42"/>
      <c r="J413" s="188"/>
      <c r="K413" s="188"/>
      <c r="T413" s="42"/>
      <c r="Z413" s="188"/>
    </row>
    <row r="414" spans="3:40" x14ac:dyDescent="0.3">
      <c r="C414" s="42"/>
      <c r="F414" s="184"/>
      <c r="H414" s="184"/>
      <c r="I414" s="184"/>
      <c r="J414" s="238"/>
      <c r="K414" s="238"/>
      <c r="L414" s="123"/>
      <c r="M414" s="123"/>
      <c r="N414" s="160"/>
      <c r="O414" s="160"/>
      <c r="P414" s="123"/>
      <c r="Q414" s="123"/>
      <c r="R414" s="123"/>
      <c r="T414" s="42"/>
      <c r="V414" s="123"/>
      <c r="Y414" s="123"/>
      <c r="Z414" s="238"/>
      <c r="AA414" s="123"/>
      <c r="AB414" s="123"/>
      <c r="AC414" s="160"/>
      <c r="AD414" s="160"/>
      <c r="AE414" s="123"/>
      <c r="AF414" s="123"/>
      <c r="AH414" s="236"/>
      <c r="AI414" s="123"/>
      <c r="AJ414" s="123"/>
      <c r="AL414" s="123"/>
      <c r="AM414" s="160"/>
      <c r="AN414" s="160"/>
    </row>
    <row r="415" spans="3:40" x14ac:dyDescent="0.3">
      <c r="C415" s="42"/>
      <c r="F415" s="184"/>
      <c r="H415" s="184"/>
      <c r="I415" s="184"/>
      <c r="J415" s="238"/>
      <c r="K415" s="238"/>
      <c r="L415" s="123"/>
      <c r="M415" s="123"/>
      <c r="N415" s="160"/>
      <c r="O415" s="160"/>
      <c r="P415" s="123"/>
      <c r="Q415" s="123"/>
      <c r="R415" s="123"/>
      <c r="T415" s="42"/>
      <c r="V415" s="123"/>
      <c r="Y415" s="123"/>
      <c r="Z415" s="238"/>
      <c r="AA415" s="123"/>
      <c r="AB415" s="123"/>
      <c r="AC415" s="160"/>
      <c r="AD415" s="160"/>
      <c r="AE415" s="123"/>
      <c r="AF415" s="123"/>
      <c r="AH415" s="236"/>
      <c r="AI415" s="123"/>
      <c r="AJ415" s="123"/>
      <c r="AL415" s="123"/>
      <c r="AM415" s="160"/>
      <c r="AN415" s="160"/>
    </row>
    <row r="416" spans="3:40" x14ac:dyDescent="0.3">
      <c r="C416" s="42"/>
      <c r="F416" s="184"/>
      <c r="H416" s="184"/>
      <c r="I416" s="184"/>
      <c r="J416" s="238"/>
      <c r="K416" s="238"/>
      <c r="L416" s="123"/>
      <c r="M416" s="123"/>
      <c r="N416" s="160"/>
      <c r="O416" s="160"/>
      <c r="P416" s="123"/>
      <c r="Q416" s="123"/>
      <c r="R416" s="123"/>
      <c r="T416" s="42"/>
      <c r="V416" s="123"/>
      <c r="Y416" s="123"/>
      <c r="Z416" s="238"/>
      <c r="AA416" s="123"/>
      <c r="AB416" s="123"/>
      <c r="AC416" s="160"/>
      <c r="AD416" s="160"/>
      <c r="AE416" s="123"/>
      <c r="AF416" s="123"/>
      <c r="AH416" s="236"/>
      <c r="AI416" s="123"/>
      <c r="AJ416" s="123"/>
      <c r="AL416" s="123"/>
      <c r="AM416" s="160"/>
      <c r="AN416" s="160"/>
    </row>
    <row r="417" spans="3:40" x14ac:dyDescent="0.3">
      <c r="F417" s="210"/>
      <c r="H417" s="210"/>
      <c r="I417" s="210"/>
      <c r="J417" s="238"/>
      <c r="K417" s="238"/>
      <c r="L417" s="210"/>
      <c r="M417" s="210"/>
      <c r="N417" s="210"/>
      <c r="O417" s="210"/>
      <c r="P417" s="210"/>
      <c r="Q417" s="210"/>
      <c r="R417" s="210"/>
      <c r="V417" s="210"/>
      <c r="Y417" s="210"/>
      <c r="Z417" s="238"/>
      <c r="AA417" s="210"/>
      <c r="AB417" s="210"/>
      <c r="AC417" s="210"/>
      <c r="AD417" s="210"/>
      <c r="AE417" s="210"/>
      <c r="AF417" s="210"/>
      <c r="AI417" s="210"/>
      <c r="AJ417" s="210"/>
      <c r="AK417" s="214"/>
      <c r="AL417" s="210"/>
    </row>
    <row r="418" spans="3:40" x14ac:dyDescent="0.3">
      <c r="C418" s="44"/>
      <c r="F418" s="123"/>
      <c r="H418" s="123"/>
      <c r="I418" s="123"/>
      <c r="J418" s="188"/>
      <c r="K418" s="188"/>
      <c r="L418" s="123"/>
      <c r="M418" s="123"/>
      <c r="N418" s="236"/>
      <c r="O418" s="236"/>
      <c r="P418" s="123"/>
      <c r="Q418" s="123"/>
      <c r="R418" s="123"/>
      <c r="T418" s="44"/>
      <c r="V418" s="123"/>
      <c r="Y418" s="123"/>
      <c r="Z418" s="188"/>
      <c r="AA418" s="123"/>
      <c r="AB418" s="123"/>
      <c r="AC418" s="123"/>
      <c r="AD418" s="123"/>
      <c r="AE418" s="123"/>
      <c r="AF418" s="123"/>
      <c r="AH418" s="236"/>
      <c r="AI418" s="123"/>
      <c r="AJ418" s="123"/>
      <c r="AL418" s="123"/>
      <c r="AM418" s="160"/>
      <c r="AN418" s="160"/>
    </row>
    <row r="419" spans="3:40" x14ac:dyDescent="0.3">
      <c r="F419" s="210"/>
      <c r="H419" s="210"/>
      <c r="I419" s="210"/>
      <c r="J419" s="238"/>
      <c r="K419" s="238"/>
      <c r="L419" s="210"/>
      <c r="M419" s="210"/>
      <c r="N419" s="210"/>
      <c r="O419" s="210"/>
      <c r="P419" s="210"/>
      <c r="Q419" s="210"/>
      <c r="R419" s="210"/>
      <c r="V419" s="210"/>
      <c r="Y419" s="210"/>
      <c r="Z419" s="238"/>
      <c r="AA419" s="210"/>
      <c r="AB419" s="210"/>
      <c r="AC419" s="210"/>
      <c r="AD419" s="210"/>
      <c r="AE419" s="210"/>
      <c r="AF419" s="210"/>
      <c r="AI419" s="210"/>
      <c r="AJ419" s="210"/>
      <c r="AK419" s="214"/>
      <c r="AL419" s="210"/>
    </row>
    <row r="420" spans="3:40" x14ac:dyDescent="0.3">
      <c r="C420" s="42"/>
      <c r="J420" s="188"/>
      <c r="K420" s="188"/>
      <c r="T420" s="42"/>
      <c r="Z420" s="188"/>
    </row>
    <row r="421" spans="3:40" x14ac:dyDescent="0.3">
      <c r="C421" s="42"/>
      <c r="J421" s="188"/>
      <c r="K421" s="188"/>
      <c r="T421" s="42"/>
      <c r="Z421" s="188"/>
    </row>
    <row r="422" spans="3:40" x14ac:dyDescent="0.3">
      <c r="C422" s="42"/>
      <c r="F422" s="184"/>
      <c r="H422" s="184"/>
      <c r="I422" s="184"/>
      <c r="J422" s="238"/>
      <c r="K422" s="238"/>
      <c r="L422" s="123"/>
      <c r="M422" s="123"/>
      <c r="N422" s="160"/>
      <c r="O422" s="160"/>
      <c r="P422" s="123"/>
      <c r="Q422" s="123"/>
      <c r="R422" s="123"/>
      <c r="T422" s="42"/>
      <c r="V422" s="123"/>
      <c r="Y422" s="123"/>
      <c r="Z422" s="238"/>
      <c r="AA422" s="123"/>
      <c r="AB422" s="123"/>
      <c r="AC422" s="160"/>
      <c r="AD422" s="160"/>
      <c r="AE422" s="123"/>
      <c r="AF422" s="123"/>
      <c r="AH422" s="236"/>
      <c r="AI422" s="123"/>
      <c r="AJ422" s="123"/>
      <c r="AL422" s="123"/>
      <c r="AM422" s="160"/>
      <c r="AN422" s="160"/>
    </row>
    <row r="423" spans="3:40" x14ac:dyDescent="0.3">
      <c r="C423" s="42"/>
      <c r="F423" s="184"/>
      <c r="H423" s="184"/>
      <c r="I423" s="184"/>
      <c r="J423" s="238"/>
      <c r="K423" s="238"/>
      <c r="L423" s="123"/>
      <c r="M423" s="123"/>
      <c r="N423" s="160"/>
      <c r="O423" s="160"/>
      <c r="P423" s="123"/>
      <c r="Q423" s="123"/>
      <c r="R423" s="123"/>
      <c r="T423" s="42"/>
      <c r="V423" s="123"/>
      <c r="Y423" s="123"/>
      <c r="Z423" s="238"/>
      <c r="AA423" s="123"/>
      <c r="AB423" s="123"/>
      <c r="AC423" s="160"/>
      <c r="AD423" s="160"/>
      <c r="AE423" s="123"/>
      <c r="AF423" s="123"/>
      <c r="AH423" s="236"/>
      <c r="AI423" s="123"/>
      <c r="AJ423" s="123"/>
      <c r="AL423" s="123"/>
      <c r="AM423" s="160"/>
      <c r="AN423" s="160"/>
    </row>
    <row r="424" spans="3:40" x14ac:dyDescent="0.3">
      <c r="C424" s="42"/>
      <c r="F424" s="184"/>
      <c r="H424" s="184"/>
      <c r="I424" s="184"/>
      <c r="J424" s="238"/>
      <c r="K424" s="238"/>
      <c r="L424" s="123"/>
      <c r="M424" s="123"/>
      <c r="N424" s="160"/>
      <c r="O424" s="160"/>
      <c r="P424" s="123"/>
      <c r="Q424" s="123"/>
      <c r="R424" s="123"/>
      <c r="T424" s="42"/>
      <c r="V424" s="123"/>
      <c r="Y424" s="123"/>
      <c r="Z424" s="238"/>
      <c r="AA424" s="123"/>
      <c r="AB424" s="123"/>
      <c r="AC424" s="160"/>
      <c r="AD424" s="160"/>
      <c r="AE424" s="123"/>
      <c r="AF424" s="123"/>
      <c r="AH424" s="236"/>
      <c r="AI424" s="123"/>
      <c r="AJ424" s="123"/>
      <c r="AL424" s="123"/>
      <c r="AM424" s="160"/>
      <c r="AN424" s="160"/>
    </row>
    <row r="425" spans="3:40" x14ac:dyDescent="0.3">
      <c r="C425" s="42"/>
      <c r="F425" s="184"/>
      <c r="H425" s="184"/>
      <c r="I425" s="184"/>
      <c r="J425" s="238"/>
      <c r="K425" s="238"/>
      <c r="L425" s="123"/>
      <c r="M425" s="123"/>
      <c r="N425" s="160"/>
      <c r="O425" s="160"/>
      <c r="P425" s="123"/>
      <c r="Q425" s="123"/>
      <c r="R425" s="123"/>
      <c r="T425" s="42"/>
      <c r="V425" s="123"/>
      <c r="Y425" s="123"/>
      <c r="Z425" s="238"/>
      <c r="AA425" s="123"/>
      <c r="AB425" s="123"/>
      <c r="AC425" s="160"/>
      <c r="AD425" s="160"/>
      <c r="AE425" s="123"/>
      <c r="AF425" s="123"/>
      <c r="AH425" s="236"/>
      <c r="AI425" s="123"/>
      <c r="AJ425" s="123"/>
      <c r="AL425" s="123"/>
      <c r="AM425" s="160"/>
      <c r="AN425" s="160"/>
    </row>
    <row r="426" spans="3:40" x14ac:dyDescent="0.3">
      <c r="C426" s="42"/>
      <c r="F426" s="184"/>
      <c r="H426" s="184"/>
      <c r="I426" s="184"/>
      <c r="J426" s="238"/>
      <c r="K426" s="238"/>
      <c r="L426" s="123"/>
      <c r="M426" s="123"/>
      <c r="N426" s="160"/>
      <c r="O426" s="160"/>
      <c r="P426" s="123"/>
      <c r="Q426" s="123"/>
      <c r="R426" s="123"/>
      <c r="T426" s="42"/>
      <c r="V426" s="123"/>
      <c r="Y426" s="123"/>
      <c r="Z426" s="238"/>
      <c r="AA426" s="123"/>
      <c r="AB426" s="123"/>
      <c r="AC426" s="160"/>
      <c r="AD426" s="160"/>
      <c r="AE426" s="123"/>
      <c r="AF426" s="123"/>
      <c r="AH426" s="236"/>
      <c r="AI426" s="123"/>
      <c r="AJ426" s="123"/>
      <c r="AL426" s="123"/>
      <c r="AM426" s="160"/>
      <c r="AN426" s="160"/>
    </row>
    <row r="427" spans="3:40" x14ac:dyDescent="0.3">
      <c r="C427" s="42"/>
      <c r="F427" s="184"/>
      <c r="H427" s="184"/>
      <c r="I427" s="184"/>
      <c r="J427" s="238"/>
      <c r="K427" s="238"/>
      <c r="L427" s="123"/>
      <c r="M427" s="123"/>
      <c r="N427" s="160"/>
      <c r="O427" s="160"/>
      <c r="P427" s="123"/>
      <c r="Q427" s="123"/>
      <c r="R427" s="123"/>
      <c r="T427" s="42"/>
      <c r="V427" s="123"/>
      <c r="Y427" s="123"/>
      <c r="Z427" s="238"/>
      <c r="AA427" s="123"/>
      <c r="AB427" s="123"/>
      <c r="AC427" s="160"/>
      <c r="AD427" s="160"/>
      <c r="AE427" s="123"/>
      <c r="AF427" s="123"/>
      <c r="AH427" s="236"/>
      <c r="AI427" s="123"/>
      <c r="AJ427" s="123"/>
      <c r="AL427" s="123"/>
      <c r="AM427" s="160"/>
      <c r="AN427" s="160"/>
    </row>
    <row r="428" spans="3:40" x14ac:dyDescent="0.3">
      <c r="C428" s="42"/>
      <c r="F428" s="184"/>
      <c r="H428" s="184"/>
      <c r="I428" s="184"/>
      <c r="J428" s="238"/>
      <c r="K428" s="238"/>
      <c r="L428" s="123"/>
      <c r="M428" s="123"/>
      <c r="N428" s="160"/>
      <c r="O428" s="160"/>
      <c r="P428" s="123"/>
      <c r="Q428" s="123"/>
      <c r="R428" s="123"/>
      <c r="T428" s="42"/>
      <c r="V428" s="123"/>
      <c r="Y428" s="123"/>
      <c r="Z428" s="238"/>
      <c r="AA428" s="123"/>
      <c r="AB428" s="123"/>
      <c r="AC428" s="160"/>
      <c r="AD428" s="160"/>
      <c r="AE428" s="123"/>
      <c r="AF428" s="123"/>
      <c r="AH428" s="236"/>
      <c r="AI428" s="123"/>
      <c r="AJ428" s="123"/>
      <c r="AL428" s="123"/>
      <c r="AM428" s="160"/>
      <c r="AN428" s="160"/>
    </row>
    <row r="429" spans="3:40" x14ac:dyDescent="0.3">
      <c r="C429" s="42"/>
      <c r="J429" s="188"/>
      <c r="K429" s="188"/>
      <c r="T429" s="42"/>
      <c r="Z429" s="188"/>
    </row>
    <row r="430" spans="3:40" x14ac:dyDescent="0.3">
      <c r="C430" s="42"/>
      <c r="F430" s="184"/>
      <c r="H430" s="184"/>
      <c r="I430" s="184"/>
      <c r="J430" s="238"/>
      <c r="K430" s="238"/>
      <c r="L430" s="123"/>
      <c r="M430" s="123"/>
      <c r="N430" s="160"/>
      <c r="O430" s="160"/>
      <c r="P430" s="123"/>
      <c r="Q430" s="123"/>
      <c r="R430" s="123"/>
      <c r="T430" s="42"/>
      <c r="V430" s="123"/>
      <c r="Y430" s="123"/>
      <c r="Z430" s="238"/>
      <c r="AA430" s="123"/>
      <c r="AB430" s="123"/>
      <c r="AC430" s="160"/>
      <c r="AD430" s="160"/>
      <c r="AE430" s="123"/>
      <c r="AF430" s="123"/>
      <c r="AH430" s="236"/>
      <c r="AI430" s="123"/>
      <c r="AJ430" s="123"/>
      <c r="AL430" s="123"/>
      <c r="AM430" s="160"/>
      <c r="AN430" s="160"/>
    </row>
    <row r="431" spans="3:40" x14ac:dyDescent="0.3">
      <c r="C431" s="42"/>
      <c r="F431" s="184"/>
      <c r="H431" s="184"/>
      <c r="I431" s="184"/>
      <c r="J431" s="238"/>
      <c r="K431" s="238"/>
      <c r="L431" s="123"/>
      <c r="M431" s="123"/>
      <c r="N431" s="160"/>
      <c r="O431" s="160"/>
      <c r="P431" s="123"/>
      <c r="Q431" s="123"/>
      <c r="R431" s="123"/>
      <c r="T431" s="42"/>
      <c r="V431" s="123"/>
      <c r="Y431" s="123"/>
      <c r="Z431" s="238"/>
      <c r="AA431" s="123"/>
      <c r="AB431" s="123"/>
      <c r="AC431" s="160"/>
      <c r="AD431" s="160"/>
      <c r="AE431" s="123"/>
      <c r="AF431" s="123"/>
      <c r="AH431" s="236"/>
      <c r="AI431" s="123"/>
      <c r="AJ431" s="123"/>
      <c r="AL431" s="123"/>
      <c r="AM431" s="160"/>
      <c r="AN431" s="160"/>
    </row>
    <row r="432" spans="3:40" x14ac:dyDescent="0.3">
      <c r="C432" s="42"/>
      <c r="F432" s="184"/>
      <c r="H432" s="184"/>
      <c r="I432" s="184"/>
      <c r="J432" s="238"/>
      <c r="K432" s="238"/>
      <c r="L432" s="123"/>
      <c r="M432" s="123"/>
      <c r="N432" s="160"/>
      <c r="O432" s="160"/>
      <c r="P432" s="123"/>
      <c r="Q432" s="123"/>
      <c r="R432" s="123"/>
      <c r="T432" s="42"/>
      <c r="V432" s="123"/>
      <c r="Y432" s="123"/>
      <c r="Z432" s="238"/>
      <c r="AA432" s="123"/>
      <c r="AB432" s="123"/>
      <c r="AC432" s="160"/>
      <c r="AD432" s="160"/>
      <c r="AE432" s="123"/>
      <c r="AF432" s="123"/>
      <c r="AH432" s="236"/>
      <c r="AI432" s="123"/>
      <c r="AJ432" s="123"/>
      <c r="AL432" s="123"/>
      <c r="AM432" s="160"/>
      <c r="AN432" s="160"/>
    </row>
    <row r="433" spans="3:40" x14ac:dyDescent="0.3">
      <c r="C433" s="42"/>
      <c r="F433" s="184"/>
      <c r="H433" s="184"/>
      <c r="I433" s="184"/>
      <c r="J433" s="238"/>
      <c r="K433" s="238"/>
      <c r="L433" s="123"/>
      <c r="M433" s="123"/>
      <c r="N433" s="160"/>
      <c r="O433" s="160"/>
      <c r="P433" s="123"/>
      <c r="Q433" s="123"/>
      <c r="R433" s="123"/>
      <c r="T433" s="42"/>
      <c r="V433" s="123"/>
      <c r="Y433" s="123"/>
      <c r="Z433" s="238"/>
      <c r="AA433" s="123"/>
      <c r="AB433" s="123"/>
      <c r="AC433" s="160"/>
      <c r="AD433" s="160"/>
      <c r="AE433" s="123"/>
      <c r="AF433" s="123"/>
      <c r="AH433" s="236"/>
      <c r="AI433" s="123"/>
      <c r="AJ433" s="123"/>
      <c r="AL433" s="123"/>
      <c r="AM433" s="160"/>
      <c r="AN433" s="160"/>
    </row>
    <row r="434" spans="3:40" x14ac:dyDescent="0.3">
      <c r="C434" s="42"/>
      <c r="J434" s="188"/>
      <c r="K434" s="188"/>
      <c r="T434" s="42"/>
      <c r="Z434" s="188"/>
    </row>
    <row r="435" spans="3:40" x14ac:dyDescent="0.3">
      <c r="C435" s="42"/>
      <c r="F435" s="184"/>
      <c r="H435" s="184"/>
      <c r="I435" s="184"/>
      <c r="J435" s="238"/>
      <c r="K435" s="238"/>
      <c r="L435" s="123"/>
      <c r="M435" s="123"/>
      <c r="N435" s="160"/>
      <c r="O435" s="160"/>
      <c r="P435" s="123"/>
      <c r="Q435" s="123"/>
      <c r="R435" s="123"/>
      <c r="T435" s="42"/>
      <c r="V435" s="123"/>
      <c r="Y435" s="123"/>
      <c r="Z435" s="238"/>
      <c r="AA435" s="123"/>
      <c r="AB435" s="123"/>
      <c r="AC435" s="160"/>
      <c r="AD435" s="160"/>
      <c r="AE435" s="123"/>
      <c r="AF435" s="123"/>
      <c r="AH435" s="236"/>
      <c r="AI435" s="123"/>
      <c r="AJ435" s="123"/>
      <c r="AL435" s="123"/>
      <c r="AM435" s="160"/>
      <c r="AN435" s="160"/>
    </row>
    <row r="436" spans="3:40" x14ac:dyDescent="0.3">
      <c r="C436" s="42"/>
      <c r="F436" s="184"/>
      <c r="H436" s="184"/>
      <c r="I436" s="184"/>
      <c r="J436" s="238"/>
      <c r="K436" s="238"/>
      <c r="L436" s="123"/>
      <c r="M436" s="123"/>
      <c r="N436" s="160"/>
      <c r="O436" s="160"/>
      <c r="P436" s="123"/>
      <c r="Q436" s="123"/>
      <c r="R436" s="123"/>
      <c r="T436" s="42"/>
      <c r="V436" s="123"/>
      <c r="Y436" s="123"/>
      <c r="Z436" s="238"/>
      <c r="AA436" s="123"/>
      <c r="AB436" s="123"/>
      <c r="AC436" s="160"/>
      <c r="AD436" s="160"/>
      <c r="AE436" s="123"/>
      <c r="AF436" s="123"/>
      <c r="AH436" s="236"/>
      <c r="AI436" s="123"/>
      <c r="AJ436" s="123"/>
      <c r="AL436" s="123"/>
      <c r="AM436" s="160"/>
      <c r="AN436" s="160"/>
    </row>
    <row r="437" spans="3:40" x14ac:dyDescent="0.3">
      <c r="C437" s="42"/>
      <c r="F437" s="184"/>
      <c r="H437" s="184"/>
      <c r="I437" s="184"/>
      <c r="J437" s="238"/>
      <c r="K437" s="238"/>
      <c r="L437" s="123"/>
      <c r="M437" s="123"/>
      <c r="N437" s="160"/>
      <c r="O437" s="160"/>
      <c r="P437" s="123"/>
      <c r="Q437" s="123"/>
      <c r="R437" s="123"/>
      <c r="T437" s="42"/>
      <c r="V437" s="123"/>
      <c r="Y437" s="123"/>
      <c r="Z437" s="238"/>
      <c r="AA437" s="123"/>
      <c r="AB437" s="123"/>
      <c r="AC437" s="160"/>
      <c r="AD437" s="160"/>
      <c r="AE437" s="123"/>
      <c r="AF437" s="123"/>
      <c r="AH437" s="236"/>
      <c r="AI437" s="123"/>
      <c r="AJ437" s="123"/>
      <c r="AL437" s="123"/>
      <c r="AM437" s="160"/>
      <c r="AN437" s="160"/>
    </row>
    <row r="438" spans="3:40" x14ac:dyDescent="0.3">
      <c r="C438" s="42"/>
      <c r="F438" s="184"/>
      <c r="H438" s="184"/>
      <c r="I438" s="184"/>
      <c r="J438" s="238"/>
      <c r="K438" s="238"/>
      <c r="L438" s="123"/>
      <c r="M438" s="123"/>
      <c r="N438" s="160"/>
      <c r="O438" s="160"/>
      <c r="P438" s="123"/>
      <c r="Q438" s="123"/>
      <c r="R438" s="123"/>
      <c r="T438" s="42"/>
      <c r="V438" s="123"/>
      <c r="Y438" s="123"/>
      <c r="Z438" s="238"/>
      <c r="AA438" s="123"/>
      <c r="AB438" s="123"/>
      <c r="AC438" s="160"/>
      <c r="AD438" s="160"/>
      <c r="AE438" s="123"/>
      <c r="AF438" s="123"/>
      <c r="AH438" s="236"/>
      <c r="AI438" s="123"/>
      <c r="AJ438" s="123"/>
      <c r="AL438" s="123"/>
      <c r="AM438" s="160"/>
      <c r="AN438" s="160"/>
    </row>
    <row r="439" spans="3:40" x14ac:dyDescent="0.3">
      <c r="C439" s="42"/>
      <c r="F439" s="184"/>
      <c r="H439" s="184"/>
      <c r="I439" s="184"/>
      <c r="J439" s="238"/>
      <c r="K439" s="238"/>
      <c r="L439" s="123"/>
      <c r="M439" s="123"/>
      <c r="N439" s="160"/>
      <c r="O439" s="160"/>
      <c r="P439" s="123"/>
      <c r="Q439" s="123"/>
      <c r="R439" s="123"/>
      <c r="T439" s="42"/>
      <c r="V439" s="123"/>
      <c r="Y439" s="123"/>
      <c r="Z439" s="238"/>
      <c r="AA439" s="123"/>
      <c r="AB439" s="123"/>
      <c r="AC439" s="160"/>
      <c r="AD439" s="160"/>
      <c r="AE439" s="123"/>
      <c r="AF439" s="123"/>
      <c r="AH439" s="236"/>
      <c r="AI439" s="123"/>
      <c r="AJ439" s="123"/>
      <c r="AL439" s="123"/>
      <c r="AM439" s="160"/>
      <c r="AN439" s="160"/>
    </row>
    <row r="440" spans="3:40" x14ac:dyDescent="0.3">
      <c r="F440" s="210"/>
      <c r="H440" s="210"/>
      <c r="I440" s="210"/>
      <c r="J440" s="213"/>
      <c r="K440" s="213"/>
      <c r="L440" s="210"/>
      <c r="M440" s="210"/>
      <c r="N440" s="210"/>
      <c r="O440" s="210"/>
      <c r="P440" s="210"/>
      <c r="Q440" s="210"/>
      <c r="R440" s="210"/>
      <c r="V440" s="210"/>
      <c r="Y440" s="210"/>
      <c r="Z440" s="238"/>
      <c r="AA440" s="210"/>
      <c r="AB440" s="210"/>
      <c r="AC440" s="210"/>
      <c r="AD440" s="210"/>
      <c r="AE440" s="210"/>
      <c r="AF440" s="210"/>
      <c r="AI440" s="210"/>
      <c r="AJ440" s="210"/>
      <c r="AK440" s="214"/>
      <c r="AL440" s="210"/>
    </row>
    <row r="441" spans="3:40" x14ac:dyDescent="0.3">
      <c r="C441" s="42"/>
      <c r="F441" s="123"/>
      <c r="H441" s="123"/>
      <c r="I441" s="123"/>
      <c r="L441" s="123"/>
      <c r="M441" s="123"/>
      <c r="N441" s="236"/>
      <c r="O441" s="236"/>
      <c r="P441" s="123"/>
      <c r="Q441" s="123"/>
      <c r="R441" s="123"/>
      <c r="T441" s="42"/>
      <c r="V441" s="123"/>
      <c r="Y441" s="123"/>
      <c r="AA441" s="123"/>
      <c r="AB441" s="123"/>
      <c r="AC441" s="160"/>
      <c r="AD441" s="160"/>
      <c r="AE441" s="123"/>
      <c r="AF441" s="123"/>
      <c r="AH441" s="236"/>
      <c r="AI441" s="123"/>
      <c r="AJ441" s="123"/>
      <c r="AL441" s="123"/>
      <c r="AM441" s="160"/>
      <c r="AN441" s="160"/>
    </row>
    <row r="442" spans="3:40" x14ac:dyDescent="0.3">
      <c r="F442" s="210"/>
      <c r="H442" s="210"/>
      <c r="I442" s="210"/>
      <c r="J442" s="213"/>
      <c r="K442" s="213"/>
      <c r="L442" s="210"/>
      <c r="M442" s="210"/>
      <c r="N442" s="210"/>
      <c r="O442" s="210"/>
      <c r="P442" s="210"/>
      <c r="Q442" s="210"/>
      <c r="R442" s="210"/>
      <c r="V442" s="210"/>
      <c r="Y442" s="210"/>
      <c r="Z442" s="213"/>
      <c r="AA442" s="210"/>
      <c r="AB442" s="210"/>
      <c r="AC442" s="210"/>
      <c r="AD442" s="210"/>
      <c r="AE442" s="210"/>
      <c r="AF442" s="210"/>
      <c r="AI442" s="210"/>
      <c r="AJ442" s="210"/>
      <c r="AK442" s="214"/>
      <c r="AL442" s="210"/>
    </row>
    <row r="443" spans="3:40" x14ac:dyDescent="0.3">
      <c r="C443" s="42"/>
      <c r="T443" s="42"/>
    </row>
    <row r="444" spans="3:40" x14ac:dyDescent="0.3">
      <c r="C444" s="42"/>
      <c r="F444" s="184"/>
      <c r="H444" s="184"/>
      <c r="I444" s="184"/>
      <c r="J444" s="193"/>
      <c r="K444" s="193"/>
      <c r="L444" s="123"/>
      <c r="M444" s="123"/>
      <c r="N444" s="160"/>
      <c r="O444" s="160"/>
      <c r="P444" s="123"/>
      <c r="Q444" s="123"/>
      <c r="R444" s="123"/>
      <c r="T444" s="42"/>
      <c r="V444" s="123"/>
      <c r="Y444" s="123"/>
      <c r="Z444" s="193"/>
      <c r="AA444" s="123"/>
      <c r="AB444" s="123"/>
      <c r="AC444" s="160"/>
      <c r="AD444" s="160"/>
      <c r="AE444" s="123"/>
      <c r="AF444" s="123"/>
      <c r="AH444" s="236"/>
      <c r="AI444" s="123"/>
      <c r="AJ444" s="123"/>
      <c r="AL444" s="123"/>
      <c r="AM444" s="160"/>
      <c r="AN444" s="160"/>
    </row>
    <row r="445" spans="3:40" x14ac:dyDescent="0.3">
      <c r="C445" s="42"/>
      <c r="F445" s="184"/>
      <c r="H445" s="184"/>
      <c r="I445" s="184"/>
      <c r="J445" s="193"/>
      <c r="K445" s="193"/>
      <c r="L445" s="123"/>
      <c r="M445" s="123"/>
      <c r="N445" s="160"/>
      <c r="O445" s="160"/>
      <c r="P445" s="123"/>
      <c r="Q445" s="123"/>
      <c r="R445" s="123"/>
      <c r="T445" s="42"/>
      <c r="V445" s="123"/>
      <c r="Y445" s="123"/>
      <c r="Z445" s="193"/>
      <c r="AA445" s="123"/>
      <c r="AB445" s="123"/>
      <c r="AC445" s="160"/>
      <c r="AD445" s="160"/>
      <c r="AE445" s="123"/>
      <c r="AF445" s="123"/>
      <c r="AH445" s="236"/>
      <c r="AI445" s="123"/>
      <c r="AJ445" s="123"/>
      <c r="AL445" s="123"/>
      <c r="AM445" s="160"/>
      <c r="AN445" s="160"/>
    </row>
    <row r="446" spans="3:40" x14ac:dyDescent="0.3">
      <c r="F446" s="210"/>
      <c r="H446" s="123"/>
      <c r="I446" s="123"/>
      <c r="J446" s="213"/>
      <c r="K446" s="213"/>
      <c r="L446" s="210"/>
      <c r="M446" s="210"/>
      <c r="N446" s="210"/>
      <c r="O446" s="210"/>
      <c r="P446" s="210"/>
      <c r="Q446" s="210"/>
      <c r="R446" s="210"/>
      <c r="V446" s="210"/>
      <c r="Y446" s="123"/>
      <c r="Z446" s="213"/>
      <c r="AA446" s="210"/>
      <c r="AB446" s="210"/>
      <c r="AC446" s="210"/>
      <c r="AD446" s="210"/>
      <c r="AE446" s="210"/>
      <c r="AF446" s="210"/>
      <c r="AI446" s="210"/>
      <c r="AJ446" s="210"/>
      <c r="AK446" s="214"/>
      <c r="AL446" s="210"/>
    </row>
    <row r="447" spans="3:40" x14ac:dyDescent="0.3">
      <c r="F447" s="123"/>
      <c r="H447" s="123"/>
      <c r="I447" s="123"/>
      <c r="J447" s="213"/>
      <c r="K447" s="213"/>
      <c r="L447" s="123"/>
      <c r="M447" s="123"/>
      <c r="N447" s="123"/>
      <c r="O447" s="123"/>
      <c r="P447" s="123"/>
      <c r="Q447" s="123"/>
      <c r="R447" s="123"/>
      <c r="V447" s="123"/>
      <c r="Y447" s="123"/>
      <c r="Z447" s="213"/>
      <c r="AA447" s="123"/>
      <c r="AB447" s="123"/>
      <c r="AC447" s="123"/>
      <c r="AD447" s="123"/>
      <c r="AE447" s="123"/>
      <c r="AF447" s="123"/>
      <c r="AI447" s="123"/>
      <c r="AJ447" s="123"/>
      <c r="AL447" s="123"/>
    </row>
    <row r="448" spans="3:40" x14ac:dyDescent="0.3">
      <c r="C448" s="42"/>
      <c r="F448" s="123"/>
      <c r="H448" s="123"/>
      <c r="I448" s="123"/>
      <c r="L448" s="123"/>
      <c r="M448" s="123"/>
      <c r="N448" s="160"/>
      <c r="O448" s="160"/>
      <c r="P448" s="123"/>
      <c r="Q448" s="123"/>
      <c r="R448" s="123"/>
      <c r="T448" s="42"/>
      <c r="V448" s="123"/>
      <c r="Y448" s="123"/>
      <c r="AA448" s="123"/>
      <c r="AB448" s="123"/>
      <c r="AC448" s="160"/>
      <c r="AD448" s="160"/>
      <c r="AE448" s="123"/>
      <c r="AF448" s="123"/>
      <c r="AH448" s="236"/>
      <c r="AI448" s="184"/>
      <c r="AJ448" s="184"/>
      <c r="AL448" s="123"/>
      <c r="AM448" s="160"/>
      <c r="AN448" s="160"/>
    </row>
    <row r="449" spans="1:38" x14ac:dyDescent="0.3">
      <c r="F449" s="210"/>
      <c r="H449" s="210"/>
      <c r="I449" s="210"/>
      <c r="J449" s="213"/>
      <c r="K449" s="213"/>
      <c r="L449" s="210"/>
      <c r="M449" s="210"/>
      <c r="N449" s="210"/>
      <c r="O449" s="210"/>
      <c r="P449" s="210"/>
      <c r="Q449" s="210"/>
      <c r="R449" s="210"/>
      <c r="V449" s="210"/>
      <c r="Y449" s="210"/>
      <c r="Z449" s="213"/>
      <c r="AA449" s="210"/>
      <c r="AB449" s="210"/>
      <c r="AC449" s="210"/>
      <c r="AD449" s="210"/>
      <c r="AE449" s="210"/>
      <c r="AF449" s="210"/>
      <c r="AI449" s="210"/>
      <c r="AJ449" s="210"/>
      <c r="AK449" s="214"/>
      <c r="AL449" s="210"/>
    </row>
    <row r="451" spans="1:38" x14ac:dyDescent="0.3">
      <c r="A451" s="42"/>
      <c r="T451" s="42"/>
    </row>
    <row r="452" spans="1:38" x14ac:dyDescent="0.3">
      <c r="A452" s="42"/>
      <c r="T452" s="42"/>
    </row>
    <row r="453" spans="1:38" x14ac:dyDescent="0.3">
      <c r="A453" s="42"/>
      <c r="T453" s="42"/>
    </row>
    <row r="454" spans="1:38" x14ac:dyDescent="0.3">
      <c r="A454" s="42"/>
      <c r="T454" s="42"/>
    </row>
    <row r="455" spans="1:38" x14ac:dyDescent="0.3">
      <c r="A455" s="42"/>
      <c r="T455" s="42"/>
    </row>
    <row r="456" spans="1:38" x14ac:dyDescent="0.3">
      <c r="A456" s="42"/>
      <c r="T456" s="42"/>
    </row>
    <row r="457" spans="1:38" x14ac:dyDescent="0.3">
      <c r="A457" s="42"/>
      <c r="T457" s="42"/>
    </row>
    <row r="458" spans="1:38" x14ac:dyDescent="0.3">
      <c r="A458" s="42"/>
      <c r="T458" s="42"/>
    </row>
    <row r="459" spans="1:38" x14ac:dyDescent="0.3">
      <c r="A459" s="42"/>
      <c r="T459" s="42"/>
    </row>
    <row r="461" spans="1:38" x14ac:dyDescent="0.3">
      <c r="A461" s="42"/>
    </row>
    <row r="463" spans="1:38" x14ac:dyDescent="0.3">
      <c r="H463" s="42"/>
      <c r="I463" s="42"/>
      <c r="Y463" s="42"/>
    </row>
    <row r="465" spans="1:40" x14ac:dyDescent="0.3">
      <c r="L465" s="42"/>
      <c r="M465" s="42"/>
      <c r="AA465" s="42"/>
      <c r="AB465" s="42"/>
    </row>
    <row r="466" spans="1:40" x14ac:dyDescent="0.3">
      <c r="R466" s="42"/>
      <c r="AK466" s="206"/>
      <c r="AL466" s="42"/>
    </row>
    <row r="467" spans="1:40" x14ac:dyDescent="0.3">
      <c r="R467" s="42"/>
      <c r="AK467" s="206"/>
      <c r="AL467" s="42"/>
    </row>
    <row r="468" spans="1:40" x14ac:dyDescent="0.3">
      <c r="A468" s="42"/>
      <c r="R468" s="42"/>
      <c r="AK468" s="206"/>
      <c r="AL468" s="42"/>
    </row>
    <row r="469" spans="1:40" x14ac:dyDescent="0.3">
      <c r="L469" s="42"/>
      <c r="M469" s="42"/>
      <c r="AA469" s="42"/>
      <c r="AB469" s="42"/>
    </row>
    <row r="470" spans="1:40" x14ac:dyDescent="0.3">
      <c r="A470" s="135"/>
      <c r="B470" s="135"/>
      <c r="C470" s="135"/>
      <c r="D470" s="135"/>
      <c r="E470" s="135"/>
      <c r="F470" s="135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207"/>
      <c r="AH470" s="135"/>
      <c r="AI470" s="135"/>
      <c r="AJ470" s="135"/>
      <c r="AK470" s="207"/>
      <c r="AL470" s="135"/>
      <c r="AM470" s="135"/>
      <c r="AN470" s="135"/>
    </row>
    <row r="471" spans="1:40" x14ac:dyDescent="0.3">
      <c r="L471" s="44"/>
      <c r="M471" s="44"/>
      <c r="N471" s="44"/>
      <c r="O471" s="44"/>
      <c r="R471" s="44"/>
      <c r="AA471" s="44"/>
      <c r="AB471" s="44"/>
      <c r="AC471" s="44"/>
      <c r="AD471" s="44"/>
      <c r="AE471" s="44"/>
      <c r="AF471" s="44"/>
      <c r="AG471" s="168"/>
      <c r="AH471" s="44"/>
      <c r="AK471" s="168"/>
      <c r="AL471" s="44"/>
      <c r="AM471" s="44"/>
      <c r="AN471" s="44"/>
    </row>
    <row r="472" spans="1:40" x14ac:dyDescent="0.3">
      <c r="L472" s="44"/>
      <c r="M472" s="44"/>
      <c r="N472" s="44"/>
      <c r="O472" s="44"/>
      <c r="R472" s="44"/>
      <c r="Z472" s="44"/>
      <c r="AA472" s="44"/>
      <c r="AB472" s="44"/>
      <c r="AC472" s="44"/>
      <c r="AD472" s="44"/>
      <c r="AE472" s="44"/>
      <c r="AF472" s="44"/>
      <c r="AG472" s="168"/>
      <c r="AH472" s="44"/>
      <c r="AK472" s="168"/>
      <c r="AL472" s="44"/>
      <c r="AM472" s="44"/>
      <c r="AN472" s="44"/>
    </row>
    <row r="473" spans="1:40" x14ac:dyDescent="0.3">
      <c r="A473" s="44"/>
      <c r="C473" s="44"/>
      <c r="D473" s="44"/>
      <c r="E473" s="44"/>
      <c r="F473" s="44"/>
      <c r="J473" s="44"/>
      <c r="K473" s="44"/>
      <c r="L473" s="44"/>
      <c r="M473" s="44"/>
      <c r="N473" s="44"/>
      <c r="O473" s="44"/>
      <c r="P473" s="44"/>
      <c r="Q473" s="44"/>
      <c r="R473" s="44"/>
      <c r="T473" s="44"/>
      <c r="U473" s="44"/>
      <c r="V473" s="44"/>
      <c r="Z473" s="44"/>
      <c r="AA473" s="44"/>
      <c r="AB473" s="44"/>
      <c r="AC473" s="44"/>
      <c r="AD473" s="44"/>
      <c r="AE473" s="44"/>
      <c r="AF473" s="44"/>
      <c r="AG473" s="168"/>
      <c r="AH473" s="44"/>
      <c r="AI473" s="44"/>
      <c r="AJ473" s="44"/>
      <c r="AK473" s="168"/>
      <c r="AL473" s="44"/>
      <c r="AM473" s="44"/>
      <c r="AN473" s="44"/>
    </row>
    <row r="474" spans="1:40" x14ac:dyDescent="0.3">
      <c r="A474" s="44"/>
      <c r="C474" s="44"/>
      <c r="D474" s="44"/>
      <c r="E474" s="44"/>
      <c r="F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T474" s="44"/>
      <c r="U474" s="44"/>
      <c r="V474" s="44"/>
      <c r="Y474" s="44"/>
      <c r="Z474" s="44"/>
      <c r="AA474" s="44"/>
      <c r="AB474" s="44"/>
      <c r="AC474" s="44"/>
      <c r="AD474" s="44"/>
      <c r="AE474" s="44"/>
      <c r="AF474" s="44"/>
      <c r="AG474" s="168"/>
      <c r="AH474" s="44"/>
      <c r="AI474" s="44"/>
      <c r="AJ474" s="44"/>
      <c r="AK474" s="168"/>
      <c r="AL474" s="44"/>
      <c r="AM474" s="44"/>
      <c r="AN474" s="44"/>
    </row>
    <row r="475" spans="1:40" x14ac:dyDescent="0.3">
      <c r="C475" s="44"/>
      <c r="D475" s="44"/>
      <c r="E475" s="44"/>
      <c r="F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T475" s="44"/>
      <c r="U475" s="44"/>
      <c r="V475" s="44"/>
      <c r="Y475" s="44"/>
      <c r="Z475" s="44"/>
      <c r="AA475" s="44"/>
      <c r="AB475" s="44"/>
      <c r="AC475" s="44"/>
      <c r="AD475" s="44"/>
      <c r="AE475" s="44"/>
      <c r="AF475" s="44"/>
      <c r="AG475" s="168"/>
      <c r="AH475" s="44"/>
      <c r="AI475" s="44"/>
      <c r="AJ475" s="44"/>
      <c r="AK475" s="168"/>
      <c r="AL475" s="44"/>
      <c r="AM475" s="44"/>
      <c r="AN475" s="44"/>
    </row>
    <row r="476" spans="1:40" x14ac:dyDescent="0.3">
      <c r="A476" s="135"/>
      <c r="B476" s="135"/>
      <c r="C476" s="135"/>
      <c r="D476" s="135"/>
      <c r="E476" s="135"/>
      <c r="F476" s="135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207"/>
      <c r="AH476" s="135"/>
      <c r="AI476" s="135"/>
      <c r="AJ476" s="135"/>
      <c r="AK476" s="207"/>
      <c r="AL476" s="135"/>
      <c r="AM476" s="135"/>
      <c r="AN476" s="135"/>
    </row>
    <row r="477" spans="1:40" x14ac:dyDescent="0.3"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Y477" s="44"/>
      <c r="Z477" s="44"/>
      <c r="AA477" s="44"/>
      <c r="AB477" s="44"/>
      <c r="AC477" s="44"/>
      <c r="AD477" s="44"/>
      <c r="AE477" s="44"/>
      <c r="AF477" s="44"/>
      <c r="AG477" s="168"/>
      <c r="AH477" s="44"/>
      <c r="AI477" s="44"/>
      <c r="AJ477" s="44"/>
      <c r="AK477" s="168"/>
      <c r="AL477" s="44"/>
      <c r="AM477" s="44"/>
      <c r="AN477" s="44"/>
    </row>
    <row r="478" spans="1:40" x14ac:dyDescent="0.3">
      <c r="C478" s="42"/>
      <c r="D478" s="42"/>
      <c r="E478" s="42"/>
      <c r="T478" s="42"/>
      <c r="U478" s="42"/>
    </row>
    <row r="479" spans="1:40" x14ac:dyDescent="0.3">
      <c r="D479" s="42"/>
      <c r="E479" s="42"/>
      <c r="U479" s="42"/>
    </row>
    <row r="481" spans="3:40" x14ac:dyDescent="0.3">
      <c r="C481" s="42"/>
      <c r="F481" s="123"/>
      <c r="J481" s="209"/>
      <c r="K481" s="209"/>
      <c r="L481" s="123"/>
      <c r="M481" s="123"/>
      <c r="R481" s="123"/>
      <c r="T481" s="42"/>
      <c r="V481" s="123"/>
      <c r="Z481" s="209"/>
      <c r="AA481" s="123"/>
      <c r="AB481" s="123"/>
      <c r="AH481" s="123"/>
      <c r="AL481" s="123"/>
    </row>
    <row r="482" spans="3:40" x14ac:dyDescent="0.3">
      <c r="C482" s="42"/>
      <c r="F482" s="123"/>
      <c r="R482" s="123"/>
      <c r="T482" s="42"/>
      <c r="V482" s="123"/>
      <c r="AH482" s="123"/>
      <c r="AL482" s="123"/>
    </row>
    <row r="483" spans="3:40" x14ac:dyDescent="0.3">
      <c r="AI483" s="123"/>
      <c r="AJ483" s="123"/>
      <c r="AL483" s="123"/>
      <c r="AM483" s="160"/>
      <c r="AN483" s="160"/>
    </row>
    <row r="484" spans="3:40" x14ac:dyDescent="0.3">
      <c r="C484" s="42"/>
      <c r="F484" s="184"/>
      <c r="H484" s="184"/>
      <c r="I484" s="184"/>
      <c r="J484" s="237"/>
      <c r="K484" s="237"/>
      <c r="L484" s="123"/>
      <c r="M484" s="123"/>
      <c r="N484" s="160"/>
      <c r="O484" s="160"/>
      <c r="P484" s="123"/>
      <c r="Q484" s="123"/>
      <c r="R484" s="123"/>
      <c r="T484" s="42"/>
      <c r="V484" s="123"/>
      <c r="Y484" s="123"/>
      <c r="Z484" s="237"/>
      <c r="AA484" s="123"/>
      <c r="AB484" s="123"/>
      <c r="AC484" s="160"/>
      <c r="AD484" s="160"/>
      <c r="AE484" s="123"/>
      <c r="AF484" s="123"/>
      <c r="AH484" s="236"/>
      <c r="AI484" s="123"/>
      <c r="AJ484" s="123"/>
      <c r="AL484" s="123"/>
      <c r="AM484" s="160"/>
      <c r="AN484" s="160"/>
    </row>
    <row r="485" spans="3:40" x14ac:dyDescent="0.3">
      <c r="F485" s="123"/>
      <c r="H485" s="123"/>
      <c r="I485" s="123"/>
      <c r="J485" s="219"/>
      <c r="K485" s="219"/>
      <c r="L485" s="123"/>
      <c r="M485" s="123"/>
      <c r="P485" s="123"/>
      <c r="Q485" s="123"/>
      <c r="R485" s="123"/>
      <c r="V485" s="123"/>
      <c r="Y485" s="123"/>
      <c r="Z485" s="219"/>
      <c r="AA485" s="123"/>
      <c r="AB485" s="123"/>
      <c r="AI485" s="123"/>
      <c r="AJ485" s="123"/>
      <c r="AL485" s="123"/>
      <c r="AM485" s="160"/>
      <c r="AN485" s="160"/>
    </row>
    <row r="486" spans="3:40" x14ac:dyDescent="0.3">
      <c r="F486" s="123"/>
      <c r="R486" s="123"/>
      <c r="V486" s="123"/>
      <c r="AL486" s="123"/>
      <c r="AM486" s="160"/>
      <c r="AN486" s="160"/>
    </row>
    <row r="487" spans="3:40" x14ac:dyDescent="0.3">
      <c r="C487" s="42"/>
      <c r="F487" s="123"/>
      <c r="J487" s="209"/>
      <c r="K487" s="209"/>
      <c r="L487" s="123"/>
      <c r="M487" s="123"/>
      <c r="N487" s="160"/>
      <c r="O487" s="160"/>
      <c r="R487" s="123"/>
      <c r="T487" s="42"/>
      <c r="V487" s="123"/>
      <c r="Z487" s="209"/>
      <c r="AA487" s="123"/>
      <c r="AB487" s="123"/>
      <c r="AC487" s="160"/>
      <c r="AD487" s="160"/>
      <c r="AL487" s="123"/>
      <c r="AM487" s="160"/>
      <c r="AN487" s="160"/>
    </row>
    <row r="488" spans="3:40" x14ac:dyDescent="0.3">
      <c r="C488" s="42"/>
      <c r="F488" s="123"/>
      <c r="H488" s="123"/>
      <c r="I488" s="123"/>
      <c r="J488" s="209"/>
      <c r="K488" s="209"/>
      <c r="L488" s="123"/>
      <c r="M488" s="123"/>
      <c r="N488" s="160"/>
      <c r="O488" s="160"/>
      <c r="P488" s="123"/>
      <c r="Q488" s="123"/>
      <c r="R488" s="123"/>
      <c r="T488" s="42"/>
      <c r="V488" s="123"/>
      <c r="Y488" s="123"/>
      <c r="Z488" s="209"/>
      <c r="AA488" s="123"/>
      <c r="AB488" s="123"/>
      <c r="AC488" s="160"/>
      <c r="AD488" s="160"/>
      <c r="AI488" s="123"/>
      <c r="AJ488" s="123"/>
      <c r="AL488" s="123"/>
      <c r="AM488" s="160"/>
      <c r="AN488" s="160"/>
    </row>
    <row r="489" spans="3:40" x14ac:dyDescent="0.3">
      <c r="C489" s="42"/>
      <c r="T489" s="42"/>
      <c r="AM489" s="160"/>
      <c r="AN489" s="160"/>
    </row>
    <row r="490" spans="3:40" x14ac:dyDescent="0.3">
      <c r="C490" s="42"/>
      <c r="T490" s="42"/>
      <c r="AM490" s="160"/>
      <c r="AN490" s="160"/>
    </row>
    <row r="491" spans="3:40" x14ac:dyDescent="0.3">
      <c r="AM491" s="160"/>
      <c r="AN491" s="160"/>
    </row>
    <row r="492" spans="3:40" x14ac:dyDescent="0.3">
      <c r="C492" s="42"/>
      <c r="F492" s="184"/>
      <c r="H492" s="184"/>
      <c r="I492" s="184"/>
      <c r="J492" s="237"/>
      <c r="K492" s="237"/>
      <c r="L492" s="123"/>
      <c r="M492" s="123"/>
      <c r="N492" s="160"/>
      <c r="O492" s="160"/>
      <c r="P492" s="123"/>
      <c r="Q492" s="123"/>
      <c r="R492" s="123"/>
      <c r="T492" s="42"/>
      <c r="V492" s="123"/>
      <c r="Y492" s="123"/>
      <c r="Z492" s="237"/>
      <c r="AA492" s="123"/>
      <c r="AB492" s="123"/>
      <c r="AC492" s="160"/>
      <c r="AD492" s="160"/>
      <c r="AE492" s="123"/>
      <c r="AF492" s="123"/>
      <c r="AH492" s="236"/>
      <c r="AI492" s="123"/>
      <c r="AJ492" s="123"/>
      <c r="AL492" s="123"/>
      <c r="AM492" s="160"/>
      <c r="AN492" s="160"/>
    </row>
    <row r="493" spans="3:40" x14ac:dyDescent="0.3">
      <c r="F493" s="210"/>
      <c r="H493" s="210"/>
      <c r="I493" s="210"/>
      <c r="J493" s="213"/>
      <c r="K493" s="213"/>
      <c r="L493" s="210"/>
      <c r="M493" s="210"/>
      <c r="N493" s="210"/>
      <c r="O493" s="210"/>
      <c r="P493" s="210"/>
      <c r="Q493" s="210"/>
      <c r="R493" s="210"/>
      <c r="V493" s="210"/>
      <c r="Y493" s="210"/>
      <c r="Z493" s="213"/>
      <c r="AA493" s="210"/>
      <c r="AB493" s="210"/>
      <c r="AC493" s="210"/>
      <c r="AD493" s="210"/>
      <c r="AE493" s="210"/>
      <c r="AF493" s="210"/>
      <c r="AI493" s="210"/>
      <c r="AJ493" s="210"/>
      <c r="AK493" s="214"/>
      <c r="AL493" s="210"/>
      <c r="AM493" s="160"/>
      <c r="AN493" s="160"/>
    </row>
    <row r="494" spans="3:40" x14ac:dyDescent="0.3">
      <c r="H494" s="123"/>
      <c r="I494" s="123"/>
      <c r="Y494" s="123"/>
      <c r="AM494" s="160"/>
      <c r="AN494" s="160"/>
    </row>
    <row r="495" spans="3:40" x14ac:dyDescent="0.3">
      <c r="C495" s="42"/>
      <c r="F495" s="123"/>
      <c r="H495" s="123"/>
      <c r="I495" s="123"/>
      <c r="L495" s="123"/>
      <c r="M495" s="123"/>
      <c r="N495" s="160"/>
      <c r="O495" s="160"/>
      <c r="P495" s="184"/>
      <c r="Q495" s="184"/>
      <c r="R495" s="123"/>
      <c r="T495" s="42"/>
      <c r="V495" s="123"/>
      <c r="Y495" s="123"/>
      <c r="AA495" s="123"/>
      <c r="AB495" s="123"/>
      <c r="AC495" s="160"/>
      <c r="AD495" s="160"/>
      <c r="AE495" s="123"/>
      <c r="AF495" s="123"/>
      <c r="AH495" s="236"/>
      <c r="AI495" s="184"/>
      <c r="AJ495" s="184"/>
      <c r="AL495" s="123"/>
      <c r="AM495" s="160"/>
      <c r="AN495" s="160"/>
    </row>
    <row r="496" spans="3:40" x14ac:dyDescent="0.3">
      <c r="F496" s="210"/>
      <c r="H496" s="210"/>
      <c r="I496" s="210"/>
      <c r="J496" s="213"/>
      <c r="K496" s="213"/>
      <c r="L496" s="210"/>
      <c r="M496" s="210"/>
      <c r="N496" s="210"/>
      <c r="O496" s="210"/>
      <c r="P496" s="210"/>
      <c r="Q496" s="210"/>
      <c r="R496" s="210"/>
      <c r="V496" s="210"/>
      <c r="Y496" s="210"/>
      <c r="Z496" s="213"/>
      <c r="AA496" s="210"/>
      <c r="AB496" s="210"/>
      <c r="AC496" s="210"/>
      <c r="AD496" s="210"/>
      <c r="AE496" s="210"/>
      <c r="AF496" s="210"/>
      <c r="AI496" s="210"/>
      <c r="AJ496" s="210"/>
      <c r="AK496" s="214"/>
      <c r="AL496" s="210"/>
      <c r="AM496" s="160"/>
      <c r="AN496" s="160"/>
    </row>
    <row r="498" spans="1:40" x14ac:dyDescent="0.3">
      <c r="F498" s="123"/>
      <c r="H498" s="123"/>
      <c r="I498" s="123"/>
      <c r="J498" s="219"/>
      <c r="K498" s="219"/>
      <c r="L498" s="123"/>
      <c r="M498" s="123"/>
      <c r="N498" s="123"/>
      <c r="O498" s="123"/>
      <c r="P498" s="123"/>
      <c r="Q498" s="123"/>
      <c r="R498" s="123"/>
      <c r="V498" s="123"/>
      <c r="Y498" s="123"/>
      <c r="Z498" s="219"/>
      <c r="AA498" s="123"/>
      <c r="AB498" s="123"/>
      <c r="AC498" s="123"/>
      <c r="AD498" s="123"/>
      <c r="AE498" s="123"/>
      <c r="AF498" s="123"/>
      <c r="AH498" s="123"/>
      <c r="AI498" s="123"/>
      <c r="AJ498" s="123"/>
      <c r="AL498" s="123"/>
    </row>
    <row r="499" spans="1:40" x14ac:dyDescent="0.3">
      <c r="A499" s="42"/>
    </row>
    <row r="501" spans="1:40" x14ac:dyDescent="0.3">
      <c r="H501" s="42"/>
      <c r="I501" s="42"/>
      <c r="Y501" s="42"/>
    </row>
    <row r="503" spans="1:40" x14ac:dyDescent="0.3">
      <c r="L503" s="42"/>
      <c r="M503" s="42"/>
      <c r="AA503" s="42"/>
      <c r="AB503" s="42"/>
    </row>
    <row r="504" spans="1:40" x14ac:dyDescent="0.3">
      <c r="R504" s="42"/>
      <c r="AK504" s="206"/>
      <c r="AL504" s="42"/>
    </row>
    <row r="505" spans="1:40" x14ac:dyDescent="0.3">
      <c r="R505" s="42"/>
      <c r="AK505" s="206"/>
      <c r="AL505" s="42"/>
    </row>
    <row r="506" spans="1:40" x14ac:dyDescent="0.3">
      <c r="A506" s="42"/>
      <c r="R506" s="42"/>
      <c r="AK506" s="206"/>
      <c r="AL506" s="42"/>
    </row>
    <row r="507" spans="1:40" x14ac:dyDescent="0.3">
      <c r="L507" s="42"/>
      <c r="M507" s="42"/>
      <c r="AA507" s="42"/>
      <c r="AB507" s="42"/>
    </row>
    <row r="508" spans="1:40" x14ac:dyDescent="0.3">
      <c r="A508" s="135"/>
      <c r="B508" s="135"/>
      <c r="C508" s="135"/>
      <c r="D508" s="135"/>
      <c r="E508" s="135"/>
      <c r="F508" s="135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207"/>
      <c r="AH508" s="135"/>
      <c r="AI508" s="135"/>
      <c r="AJ508" s="135"/>
      <c r="AK508" s="207"/>
      <c r="AL508" s="135"/>
      <c r="AM508" s="135"/>
      <c r="AN508" s="135"/>
    </row>
    <row r="509" spans="1:40" x14ac:dyDescent="0.3">
      <c r="L509" s="44"/>
      <c r="M509" s="44"/>
      <c r="N509" s="44"/>
      <c r="O509" s="44"/>
      <c r="R509" s="44"/>
      <c r="AA509" s="44"/>
      <c r="AB509" s="44"/>
      <c r="AC509" s="44"/>
      <c r="AD509" s="44"/>
      <c r="AE509" s="44"/>
      <c r="AF509" s="44"/>
      <c r="AG509" s="168"/>
      <c r="AH509" s="44"/>
      <c r="AK509" s="168"/>
      <c r="AL509" s="44"/>
      <c r="AM509" s="44"/>
      <c r="AN509" s="44"/>
    </row>
    <row r="510" spans="1:40" x14ac:dyDescent="0.3">
      <c r="L510" s="44"/>
      <c r="M510" s="44"/>
      <c r="N510" s="44"/>
      <c r="O510" s="44"/>
      <c r="R510" s="44"/>
      <c r="Z510" s="44"/>
      <c r="AA510" s="44"/>
      <c r="AB510" s="44"/>
      <c r="AC510" s="44"/>
      <c r="AD510" s="44"/>
      <c r="AE510" s="44"/>
      <c r="AF510" s="44"/>
      <c r="AG510" s="168"/>
      <c r="AH510" s="44"/>
      <c r="AK510" s="168"/>
      <c r="AL510" s="44"/>
      <c r="AM510" s="44"/>
      <c r="AN510" s="44"/>
    </row>
    <row r="511" spans="1:40" x14ac:dyDescent="0.3">
      <c r="A511" s="44"/>
      <c r="C511" s="44"/>
      <c r="D511" s="44"/>
      <c r="E511" s="44"/>
      <c r="F511" s="44"/>
      <c r="J511" s="44"/>
      <c r="K511" s="44"/>
      <c r="L511" s="44"/>
      <c r="M511" s="44"/>
      <c r="N511" s="44"/>
      <c r="O511" s="44"/>
      <c r="P511" s="44"/>
      <c r="Q511" s="44"/>
      <c r="R511" s="44"/>
      <c r="T511" s="44"/>
      <c r="U511" s="44"/>
      <c r="V511" s="44"/>
      <c r="Z511" s="44"/>
      <c r="AA511" s="44"/>
      <c r="AB511" s="44"/>
      <c r="AC511" s="44"/>
      <c r="AD511" s="44"/>
      <c r="AE511" s="44"/>
      <c r="AF511" s="44"/>
      <c r="AG511" s="168"/>
      <c r="AH511" s="44"/>
      <c r="AI511" s="44"/>
      <c r="AJ511" s="44"/>
      <c r="AK511" s="168"/>
      <c r="AL511" s="44"/>
      <c r="AM511" s="44"/>
      <c r="AN511" s="44"/>
    </row>
    <row r="512" spans="1:40" x14ac:dyDescent="0.3">
      <c r="A512" s="44"/>
      <c r="C512" s="44"/>
      <c r="D512" s="44"/>
      <c r="E512" s="44"/>
      <c r="F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T512" s="44"/>
      <c r="U512" s="44"/>
      <c r="V512" s="44"/>
      <c r="Y512" s="44"/>
      <c r="Z512" s="44"/>
      <c r="AA512" s="44"/>
      <c r="AB512" s="44"/>
      <c r="AC512" s="44"/>
      <c r="AD512" s="44"/>
      <c r="AE512" s="44"/>
      <c r="AF512" s="44"/>
      <c r="AG512" s="168"/>
      <c r="AH512" s="44"/>
      <c r="AI512" s="44"/>
      <c r="AJ512" s="44"/>
      <c r="AK512" s="168"/>
      <c r="AL512" s="44"/>
      <c r="AM512" s="44"/>
      <c r="AN512" s="44"/>
    </row>
    <row r="513" spans="1:40" x14ac:dyDescent="0.3">
      <c r="C513" s="44"/>
      <c r="D513" s="44"/>
      <c r="E513" s="44"/>
      <c r="F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T513" s="44"/>
      <c r="U513" s="44"/>
      <c r="V513" s="44"/>
      <c r="Y513" s="44"/>
      <c r="Z513" s="44"/>
      <c r="AA513" s="44"/>
      <c r="AB513" s="44"/>
      <c r="AC513" s="44"/>
      <c r="AD513" s="44"/>
      <c r="AE513" s="44"/>
      <c r="AF513" s="44"/>
      <c r="AG513" s="168"/>
      <c r="AH513" s="44"/>
      <c r="AI513" s="44"/>
      <c r="AJ513" s="44"/>
      <c r="AK513" s="168"/>
      <c r="AL513" s="44"/>
      <c r="AM513" s="44"/>
      <c r="AN513" s="44"/>
    </row>
    <row r="514" spans="1:40" x14ac:dyDescent="0.3">
      <c r="A514" s="135"/>
      <c r="B514" s="135"/>
      <c r="C514" s="135"/>
      <c r="D514" s="135"/>
      <c r="E514" s="135"/>
      <c r="F514" s="135"/>
      <c r="G514" s="135"/>
      <c r="H514" s="135"/>
      <c r="I514" s="135"/>
      <c r="J514" s="135"/>
      <c r="K514" s="135"/>
      <c r="L514" s="135"/>
      <c r="M514" s="135"/>
      <c r="N514" s="135"/>
      <c r="O514" s="135"/>
      <c r="P514" s="135"/>
      <c r="Q514" s="135"/>
      <c r="R514" s="135"/>
      <c r="T514" s="135"/>
      <c r="U514" s="135"/>
      <c r="V514" s="135"/>
      <c r="W514" s="135"/>
      <c r="X514" s="135"/>
      <c r="Y514" s="135"/>
      <c r="Z514" s="135"/>
      <c r="AA514" s="135"/>
      <c r="AB514" s="135"/>
      <c r="AC514" s="135"/>
      <c r="AD514" s="135"/>
      <c r="AE514" s="135"/>
      <c r="AF514" s="135"/>
      <c r="AG514" s="207"/>
      <c r="AH514" s="135"/>
      <c r="AI514" s="135"/>
      <c r="AJ514" s="135"/>
      <c r="AK514" s="207"/>
      <c r="AL514" s="135"/>
      <c r="AM514" s="135"/>
      <c r="AN514" s="135"/>
    </row>
    <row r="515" spans="1:40" x14ac:dyDescent="0.3"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Y515" s="44"/>
      <c r="Z515" s="44"/>
      <c r="AA515" s="44"/>
      <c r="AB515" s="44"/>
      <c r="AC515" s="44"/>
      <c r="AD515" s="44"/>
      <c r="AE515" s="44"/>
      <c r="AF515" s="44"/>
      <c r="AG515" s="168"/>
      <c r="AH515" s="44"/>
      <c r="AI515" s="44"/>
      <c r="AJ515" s="44"/>
      <c r="AK515" s="168"/>
      <c r="AL515" s="44"/>
      <c r="AM515" s="44"/>
      <c r="AN515" s="44"/>
    </row>
    <row r="516" spans="1:40" x14ac:dyDescent="0.3">
      <c r="C516" s="42"/>
      <c r="D516" s="42"/>
      <c r="E516" s="42"/>
      <c r="T516" s="42"/>
      <c r="U516" s="42"/>
      <c r="V516" s="123"/>
      <c r="W516" s="123"/>
      <c r="X516" s="123"/>
      <c r="Y516" s="123"/>
      <c r="Z516" s="237"/>
    </row>
    <row r="518" spans="1:40" x14ac:dyDescent="0.3">
      <c r="C518" s="42"/>
      <c r="T518" s="42"/>
      <c r="V518" s="123"/>
      <c r="W518" s="123"/>
      <c r="X518" s="123"/>
      <c r="Y518" s="123"/>
      <c r="Z518" s="237"/>
    </row>
    <row r="519" spans="1:40" x14ac:dyDescent="0.3">
      <c r="C519" s="42"/>
      <c r="F519" s="184"/>
      <c r="H519" s="184"/>
      <c r="I519" s="184"/>
      <c r="J519" s="238"/>
      <c r="K519" s="238"/>
      <c r="L519" s="123"/>
      <c r="M519" s="123"/>
      <c r="N519" s="160"/>
      <c r="O519" s="160"/>
      <c r="P519" s="123"/>
      <c r="Q519" s="123"/>
      <c r="R519" s="123"/>
      <c r="T519" s="42"/>
      <c r="V519" s="123"/>
      <c r="W519" s="123"/>
      <c r="X519" s="123"/>
      <c r="Y519" s="123"/>
      <c r="Z519" s="238"/>
      <c r="AA519" s="123"/>
      <c r="AB519" s="123"/>
      <c r="AC519" s="160"/>
      <c r="AD519" s="160"/>
      <c r="AE519" s="123"/>
      <c r="AF519" s="123"/>
      <c r="AH519" s="236"/>
      <c r="AI519" s="123"/>
      <c r="AJ519" s="123"/>
      <c r="AL519" s="123"/>
      <c r="AM519" s="160"/>
      <c r="AN519" s="160"/>
    </row>
    <row r="520" spans="1:40" x14ac:dyDescent="0.3">
      <c r="C520" s="42"/>
      <c r="F520" s="184"/>
      <c r="H520" s="184"/>
      <c r="I520" s="184"/>
      <c r="J520" s="238"/>
      <c r="K520" s="238"/>
      <c r="L520" s="123"/>
      <c r="M520" s="123"/>
      <c r="N520" s="160"/>
      <c r="O520" s="160"/>
      <c r="P520" s="123"/>
      <c r="Q520" s="123"/>
      <c r="R520" s="123"/>
      <c r="T520" s="42"/>
      <c r="V520" s="123"/>
      <c r="W520" s="123"/>
      <c r="X520" s="123"/>
      <c r="Y520" s="123"/>
      <c r="Z520" s="238"/>
      <c r="AA520" s="123"/>
      <c r="AB520" s="123"/>
      <c r="AC520" s="160"/>
      <c r="AD520" s="160"/>
      <c r="AE520" s="123"/>
      <c r="AF520" s="123"/>
      <c r="AH520" s="236"/>
      <c r="AI520" s="123"/>
      <c r="AJ520" s="123"/>
      <c r="AL520" s="123"/>
      <c r="AM520" s="160"/>
      <c r="AN520" s="160"/>
    </row>
    <row r="521" spans="1:40" x14ac:dyDescent="0.3">
      <c r="C521" s="42"/>
      <c r="F521" s="184"/>
      <c r="H521" s="184"/>
      <c r="I521" s="184"/>
      <c r="J521" s="238"/>
      <c r="K521" s="238"/>
      <c r="L521" s="123"/>
      <c r="M521" s="123"/>
      <c r="N521" s="160"/>
      <c r="O521" s="160"/>
      <c r="P521" s="123"/>
      <c r="Q521" s="123"/>
      <c r="R521" s="123"/>
      <c r="T521" s="42"/>
      <c r="V521" s="123"/>
      <c r="W521" s="123"/>
      <c r="X521" s="123"/>
      <c r="Y521" s="123"/>
      <c r="Z521" s="238"/>
      <c r="AA521" s="123"/>
      <c r="AB521" s="123"/>
      <c r="AC521" s="160"/>
      <c r="AD521" s="160"/>
      <c r="AE521" s="123"/>
      <c r="AF521" s="123"/>
      <c r="AH521" s="236"/>
      <c r="AI521" s="123"/>
      <c r="AJ521" s="123"/>
      <c r="AL521" s="123"/>
      <c r="AM521" s="160"/>
      <c r="AN521" s="160"/>
    </row>
    <row r="522" spans="1:40" x14ac:dyDescent="0.3">
      <c r="C522" s="42"/>
      <c r="F522" s="184"/>
      <c r="H522" s="184"/>
      <c r="I522" s="184"/>
      <c r="J522" s="238"/>
      <c r="K522" s="238"/>
      <c r="L522" s="123"/>
      <c r="M522" s="123"/>
      <c r="N522" s="160"/>
      <c r="O522" s="160"/>
      <c r="P522" s="123"/>
      <c r="Q522" s="123"/>
      <c r="R522" s="123"/>
      <c r="T522" s="42"/>
      <c r="V522" s="123"/>
      <c r="W522" s="123"/>
      <c r="X522" s="123"/>
      <c r="Y522" s="123"/>
      <c r="Z522" s="238"/>
      <c r="AA522" s="123"/>
      <c r="AB522" s="123"/>
      <c r="AC522" s="160"/>
      <c r="AD522" s="160"/>
      <c r="AE522" s="123"/>
      <c r="AF522" s="123"/>
      <c r="AH522" s="236"/>
      <c r="AI522" s="123"/>
      <c r="AJ522" s="123"/>
      <c r="AL522" s="123"/>
      <c r="AM522" s="160"/>
      <c r="AN522" s="160"/>
    </row>
    <row r="523" spans="1:40" x14ac:dyDescent="0.3">
      <c r="J523" s="188"/>
      <c r="K523" s="188"/>
      <c r="V523" s="123"/>
      <c r="W523" s="123"/>
      <c r="X523" s="123"/>
      <c r="Y523" s="123"/>
      <c r="Z523" s="238"/>
    </row>
    <row r="524" spans="1:40" x14ac:dyDescent="0.3">
      <c r="C524" s="42"/>
      <c r="F524" s="184"/>
      <c r="H524" s="184"/>
      <c r="I524" s="184"/>
      <c r="J524" s="238"/>
      <c r="K524" s="238"/>
      <c r="L524" s="123"/>
      <c r="M524" s="123"/>
      <c r="N524" s="160"/>
      <c r="O524" s="160"/>
      <c r="P524" s="123"/>
      <c r="Q524" s="123"/>
      <c r="R524" s="123"/>
      <c r="T524" s="42"/>
      <c r="V524" s="123"/>
      <c r="W524" s="123"/>
      <c r="X524" s="123"/>
      <c r="Y524" s="123"/>
      <c r="Z524" s="238"/>
      <c r="AA524" s="123"/>
      <c r="AB524" s="123"/>
      <c r="AC524" s="160"/>
      <c r="AD524" s="160"/>
      <c r="AE524" s="123"/>
      <c r="AF524" s="123"/>
      <c r="AH524" s="236"/>
      <c r="AI524" s="123"/>
      <c r="AJ524" s="123"/>
      <c r="AL524" s="123"/>
      <c r="AM524" s="236"/>
      <c r="AN524" s="236"/>
    </row>
    <row r="525" spans="1:40" x14ac:dyDescent="0.3">
      <c r="C525" s="42"/>
      <c r="J525" s="188"/>
      <c r="K525" s="188"/>
      <c r="T525" s="42"/>
      <c r="V525" s="123"/>
      <c r="W525" s="123"/>
      <c r="X525" s="123"/>
      <c r="Y525" s="123"/>
      <c r="Z525" s="238"/>
    </row>
    <row r="526" spans="1:40" x14ac:dyDescent="0.3">
      <c r="C526" s="42"/>
      <c r="F526" s="184"/>
      <c r="H526" s="184"/>
      <c r="I526" s="184"/>
      <c r="J526" s="238"/>
      <c r="K526" s="238"/>
      <c r="L526" s="123"/>
      <c r="M526" s="123"/>
      <c r="N526" s="160"/>
      <c r="O526" s="160"/>
      <c r="P526" s="123"/>
      <c r="Q526" s="123"/>
      <c r="R526" s="123"/>
      <c r="T526" s="42"/>
      <c r="V526" s="123"/>
      <c r="W526" s="123"/>
      <c r="X526" s="123"/>
      <c r="Y526" s="123"/>
      <c r="Z526" s="238"/>
      <c r="AA526" s="123"/>
      <c r="AB526" s="123"/>
      <c r="AC526" s="160"/>
      <c r="AD526" s="160"/>
      <c r="AE526" s="123"/>
      <c r="AF526" s="123"/>
      <c r="AH526" s="236"/>
      <c r="AI526" s="123"/>
      <c r="AJ526" s="123"/>
      <c r="AL526" s="123"/>
      <c r="AM526" s="236"/>
      <c r="AN526" s="236"/>
    </row>
    <row r="527" spans="1:40" x14ac:dyDescent="0.3">
      <c r="J527" s="188"/>
      <c r="K527" s="188"/>
      <c r="Z527" s="188"/>
    </row>
    <row r="528" spans="1:40" x14ac:dyDescent="0.3">
      <c r="C528" s="42"/>
      <c r="J528" s="188"/>
      <c r="K528" s="188"/>
      <c r="T528" s="42"/>
      <c r="V528" s="123"/>
      <c r="W528" s="123"/>
      <c r="X528" s="123"/>
      <c r="Y528" s="123"/>
      <c r="Z528" s="238"/>
    </row>
    <row r="529" spans="1:40" x14ac:dyDescent="0.3">
      <c r="C529" s="42"/>
      <c r="F529" s="184"/>
      <c r="H529" s="184"/>
      <c r="I529" s="184"/>
      <c r="J529" s="238"/>
      <c r="K529" s="238"/>
      <c r="L529" s="123"/>
      <c r="M529" s="123"/>
      <c r="N529" s="160"/>
      <c r="O529" s="160"/>
      <c r="P529" s="123"/>
      <c r="Q529" s="123"/>
      <c r="R529" s="123"/>
      <c r="T529" s="42"/>
      <c r="V529" s="123"/>
      <c r="W529" s="123"/>
      <c r="X529" s="123"/>
      <c r="Y529" s="123"/>
      <c r="Z529" s="238"/>
      <c r="AA529" s="123"/>
      <c r="AB529" s="123"/>
      <c r="AC529" s="160"/>
      <c r="AD529" s="160"/>
      <c r="AE529" s="123"/>
      <c r="AF529" s="123"/>
      <c r="AH529" s="236"/>
      <c r="AI529" s="123"/>
      <c r="AJ529" s="123"/>
      <c r="AL529" s="123"/>
      <c r="AM529" s="236"/>
      <c r="AN529" s="236"/>
    </row>
    <row r="530" spans="1:40" x14ac:dyDescent="0.3">
      <c r="C530" s="42"/>
      <c r="F530" s="184"/>
      <c r="H530" s="184"/>
      <c r="I530" s="184"/>
      <c r="J530" s="238"/>
      <c r="K530" s="238"/>
      <c r="L530" s="123"/>
      <c r="M530" s="123"/>
      <c r="N530" s="160"/>
      <c r="O530" s="160"/>
      <c r="P530" s="123"/>
      <c r="Q530" s="123"/>
      <c r="R530" s="123"/>
      <c r="T530" s="42"/>
      <c r="V530" s="123"/>
      <c r="W530" s="123"/>
      <c r="X530" s="123"/>
      <c r="Y530" s="123"/>
      <c r="Z530" s="238"/>
      <c r="AA530" s="123"/>
      <c r="AB530" s="123"/>
      <c r="AC530" s="160"/>
      <c r="AD530" s="160"/>
      <c r="AE530" s="123"/>
      <c r="AF530" s="123"/>
      <c r="AH530" s="236"/>
      <c r="AI530" s="123"/>
      <c r="AJ530" s="123"/>
      <c r="AL530" s="123"/>
      <c r="AM530" s="236"/>
      <c r="AN530" s="236"/>
    </row>
    <row r="531" spans="1:40" x14ac:dyDescent="0.3">
      <c r="F531" s="210"/>
      <c r="H531" s="210"/>
      <c r="I531" s="210"/>
      <c r="J531" s="238"/>
      <c r="K531" s="238"/>
      <c r="L531" s="210"/>
      <c r="M531" s="210"/>
      <c r="N531" s="210"/>
      <c r="O531" s="210"/>
      <c r="P531" s="210"/>
      <c r="Q531" s="210"/>
      <c r="R531" s="210"/>
      <c r="V531" s="210"/>
      <c r="Y531" s="210"/>
      <c r="Z531" s="213"/>
      <c r="AA531" s="210"/>
      <c r="AB531" s="210"/>
      <c r="AC531" s="210"/>
      <c r="AD531" s="210"/>
      <c r="AE531" s="210"/>
      <c r="AF531" s="210"/>
      <c r="AI531" s="210"/>
      <c r="AJ531" s="210"/>
      <c r="AK531" s="214"/>
      <c r="AL531" s="210"/>
    </row>
    <row r="532" spans="1:40" x14ac:dyDescent="0.3">
      <c r="C532" s="42"/>
      <c r="F532" s="123"/>
      <c r="H532" s="123"/>
      <c r="I532" s="123"/>
      <c r="L532" s="123"/>
      <c r="M532" s="123"/>
      <c r="N532" s="160"/>
      <c r="O532" s="160"/>
      <c r="P532" s="184"/>
      <c r="Q532" s="184"/>
      <c r="R532" s="123"/>
      <c r="T532" s="42"/>
      <c r="V532" s="123"/>
      <c r="W532" s="123"/>
      <c r="X532" s="123"/>
      <c r="Y532" s="123"/>
      <c r="Z532" s="237"/>
      <c r="AA532" s="123"/>
      <c r="AB532" s="123"/>
      <c r="AC532" s="160"/>
      <c r="AD532" s="160"/>
      <c r="AE532" s="123"/>
      <c r="AF532" s="123"/>
      <c r="AH532" s="236"/>
      <c r="AI532" s="184"/>
      <c r="AJ532" s="184"/>
      <c r="AL532" s="123"/>
      <c r="AM532" s="236"/>
      <c r="AN532" s="236"/>
    </row>
    <row r="533" spans="1:40" x14ac:dyDescent="0.3">
      <c r="F533" s="210"/>
      <c r="H533" s="210"/>
      <c r="I533" s="210"/>
      <c r="J533" s="213"/>
      <c r="K533" s="213"/>
      <c r="L533" s="210"/>
      <c r="M533" s="210"/>
      <c r="N533" s="210"/>
      <c r="O533" s="210"/>
      <c r="P533" s="210"/>
      <c r="Q533" s="210"/>
      <c r="R533" s="210"/>
      <c r="V533" s="210"/>
      <c r="Y533" s="210"/>
      <c r="Z533" s="213"/>
      <c r="AA533" s="210"/>
      <c r="AB533" s="210"/>
      <c r="AC533" s="210"/>
      <c r="AD533" s="210"/>
      <c r="AE533" s="210"/>
      <c r="AF533" s="210"/>
      <c r="AI533" s="210"/>
      <c r="AJ533" s="210"/>
      <c r="AK533" s="214"/>
      <c r="AL533" s="210"/>
    </row>
    <row r="536" spans="1:40" x14ac:dyDescent="0.3">
      <c r="A536" s="42"/>
    </row>
    <row r="538" spans="1:40" x14ac:dyDescent="0.3">
      <c r="H538" s="42"/>
      <c r="I538" s="42"/>
      <c r="Y538" s="42"/>
    </row>
    <row r="540" spans="1:40" x14ac:dyDescent="0.3">
      <c r="L540" s="42"/>
      <c r="M540" s="42"/>
      <c r="AA540" s="42"/>
      <c r="AB540" s="42"/>
    </row>
    <row r="541" spans="1:40" x14ac:dyDescent="0.3">
      <c r="R541" s="42"/>
      <c r="AK541" s="206"/>
      <c r="AL541" s="42"/>
    </row>
    <row r="542" spans="1:40" x14ac:dyDescent="0.3">
      <c r="R542" s="42"/>
      <c r="AK542" s="206"/>
      <c r="AL542" s="42"/>
    </row>
    <row r="543" spans="1:40" x14ac:dyDescent="0.3">
      <c r="A543" s="42"/>
      <c r="R543" s="42"/>
      <c r="AK543" s="206"/>
      <c r="AL543" s="42"/>
    </row>
    <row r="544" spans="1:40" x14ac:dyDescent="0.3">
      <c r="L544" s="42"/>
      <c r="M544" s="42"/>
      <c r="AA544" s="42"/>
      <c r="AB544" s="42"/>
    </row>
    <row r="545" spans="1:40" x14ac:dyDescent="0.3">
      <c r="A545" s="135"/>
      <c r="B545" s="135"/>
      <c r="C545" s="135"/>
      <c r="D545" s="135"/>
      <c r="E545" s="135"/>
      <c r="F545" s="135"/>
      <c r="G545" s="135"/>
      <c r="H545" s="135"/>
      <c r="I545" s="135"/>
      <c r="J545" s="135"/>
      <c r="K545" s="135"/>
      <c r="L545" s="135"/>
      <c r="M545" s="135"/>
      <c r="N545" s="135"/>
      <c r="O545" s="135"/>
      <c r="P545" s="135"/>
      <c r="Q545" s="135"/>
      <c r="R545" s="135"/>
      <c r="T545" s="135"/>
      <c r="U545" s="135"/>
      <c r="V545" s="135"/>
      <c r="W545" s="135"/>
      <c r="X545" s="135"/>
      <c r="Y545" s="135"/>
      <c r="Z545" s="135"/>
      <c r="AA545" s="135"/>
      <c r="AB545" s="135"/>
      <c r="AC545" s="135"/>
      <c r="AD545" s="135"/>
      <c r="AE545" s="135"/>
      <c r="AF545" s="135"/>
      <c r="AG545" s="207"/>
      <c r="AH545" s="135"/>
      <c r="AI545" s="135"/>
      <c r="AJ545" s="135"/>
      <c r="AK545" s="207"/>
      <c r="AL545" s="135"/>
      <c r="AM545" s="135"/>
      <c r="AN545" s="135"/>
    </row>
    <row r="546" spans="1:40" x14ac:dyDescent="0.3">
      <c r="L546" s="44"/>
      <c r="M546" s="44"/>
      <c r="N546" s="44"/>
      <c r="O546" s="44"/>
      <c r="R546" s="44"/>
      <c r="AA546" s="44"/>
      <c r="AB546" s="44"/>
      <c r="AC546" s="44"/>
      <c r="AD546" s="44"/>
      <c r="AE546" s="44"/>
      <c r="AF546" s="44"/>
      <c r="AG546" s="168"/>
      <c r="AH546" s="44"/>
      <c r="AK546" s="168"/>
      <c r="AL546" s="44"/>
      <c r="AM546" s="44"/>
      <c r="AN546" s="44"/>
    </row>
    <row r="547" spans="1:40" x14ac:dyDescent="0.3">
      <c r="L547" s="44"/>
      <c r="M547" s="44"/>
      <c r="N547" s="44"/>
      <c r="O547" s="44"/>
      <c r="R547" s="44"/>
      <c r="Z547" s="44"/>
      <c r="AA547" s="44"/>
      <c r="AB547" s="44"/>
      <c r="AC547" s="44"/>
      <c r="AD547" s="44"/>
      <c r="AE547" s="44"/>
      <c r="AF547" s="44"/>
      <c r="AG547" s="168"/>
      <c r="AH547" s="44"/>
      <c r="AK547" s="168"/>
      <c r="AL547" s="44"/>
      <c r="AM547" s="44"/>
      <c r="AN547" s="44"/>
    </row>
    <row r="548" spans="1:40" x14ac:dyDescent="0.3">
      <c r="A548" s="44"/>
      <c r="C548" s="44"/>
      <c r="D548" s="44"/>
      <c r="E548" s="44"/>
      <c r="F548" s="44"/>
      <c r="J548" s="44"/>
      <c r="K548" s="44"/>
      <c r="L548" s="44"/>
      <c r="M548" s="44"/>
      <c r="N548" s="44"/>
      <c r="O548" s="44"/>
      <c r="P548" s="44"/>
      <c r="Q548" s="44"/>
      <c r="R548" s="44"/>
      <c r="T548" s="44"/>
      <c r="U548" s="44"/>
      <c r="V548" s="44"/>
      <c r="Z548" s="44"/>
      <c r="AA548" s="44"/>
      <c r="AB548" s="44"/>
      <c r="AC548" s="44"/>
      <c r="AD548" s="44"/>
      <c r="AE548" s="44"/>
      <c r="AF548" s="44"/>
      <c r="AG548" s="168"/>
      <c r="AH548" s="44"/>
      <c r="AI548" s="44"/>
      <c r="AJ548" s="44"/>
      <c r="AK548" s="168"/>
      <c r="AL548" s="44"/>
      <c r="AM548" s="44"/>
      <c r="AN548" s="44"/>
    </row>
    <row r="549" spans="1:40" x14ac:dyDescent="0.3">
      <c r="A549" s="44"/>
      <c r="C549" s="44"/>
      <c r="D549" s="44"/>
      <c r="E549" s="44"/>
      <c r="F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T549" s="44"/>
      <c r="U549" s="44"/>
      <c r="V549" s="44"/>
      <c r="Y549" s="44"/>
      <c r="Z549" s="44"/>
      <c r="AA549" s="44"/>
      <c r="AB549" s="44"/>
      <c r="AC549" s="44"/>
      <c r="AD549" s="44"/>
      <c r="AE549" s="44"/>
      <c r="AF549" s="44"/>
      <c r="AG549" s="168"/>
      <c r="AH549" s="44"/>
      <c r="AI549" s="44"/>
      <c r="AJ549" s="44"/>
      <c r="AK549" s="168"/>
      <c r="AL549" s="44"/>
      <c r="AM549" s="44"/>
      <c r="AN549" s="44"/>
    </row>
    <row r="550" spans="1:40" x14ac:dyDescent="0.3">
      <c r="C550" s="44"/>
      <c r="D550" s="44"/>
      <c r="E550" s="44"/>
      <c r="F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T550" s="44"/>
      <c r="U550" s="44"/>
      <c r="V550" s="44"/>
      <c r="Y550" s="44"/>
      <c r="Z550" s="44"/>
      <c r="AA550" s="44"/>
      <c r="AB550" s="44"/>
      <c r="AC550" s="44"/>
      <c r="AD550" s="44"/>
      <c r="AE550" s="44"/>
      <c r="AF550" s="44"/>
      <c r="AG550" s="168"/>
      <c r="AH550" s="44"/>
      <c r="AI550" s="44"/>
      <c r="AJ550" s="44"/>
      <c r="AK550" s="168"/>
      <c r="AL550" s="44"/>
      <c r="AM550" s="44"/>
      <c r="AN550" s="44"/>
    </row>
    <row r="551" spans="1:40" x14ac:dyDescent="0.3">
      <c r="A551" s="135"/>
      <c r="B551" s="135"/>
      <c r="C551" s="135"/>
      <c r="D551" s="135"/>
      <c r="E551" s="135"/>
      <c r="F551" s="135"/>
      <c r="G551" s="135"/>
      <c r="H551" s="135"/>
      <c r="I551" s="135"/>
      <c r="J551" s="135"/>
      <c r="K551" s="135"/>
      <c r="L551" s="135"/>
      <c r="M551" s="135"/>
      <c r="N551" s="135"/>
      <c r="O551" s="135"/>
      <c r="P551" s="135"/>
      <c r="Q551" s="135"/>
      <c r="R551" s="135"/>
      <c r="T551" s="135"/>
      <c r="U551" s="135"/>
      <c r="V551" s="135"/>
      <c r="W551" s="135"/>
      <c r="X551" s="135"/>
      <c r="Y551" s="135"/>
      <c r="Z551" s="135"/>
      <c r="AA551" s="135"/>
      <c r="AB551" s="135"/>
      <c r="AC551" s="135"/>
      <c r="AD551" s="135"/>
      <c r="AE551" s="135"/>
      <c r="AF551" s="135"/>
      <c r="AG551" s="207"/>
      <c r="AH551" s="135"/>
      <c r="AI551" s="135"/>
      <c r="AJ551" s="135"/>
      <c r="AK551" s="207"/>
      <c r="AL551" s="135"/>
      <c r="AM551" s="135"/>
      <c r="AN551" s="135"/>
    </row>
    <row r="552" spans="1:40" x14ac:dyDescent="0.3"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Y552" s="44"/>
      <c r="Z552" s="44"/>
      <c r="AA552" s="44"/>
      <c r="AB552" s="44"/>
      <c r="AC552" s="44"/>
      <c r="AD552" s="44"/>
      <c r="AE552" s="44"/>
      <c r="AF552" s="44"/>
      <c r="AG552" s="168"/>
      <c r="AH552" s="44"/>
      <c r="AI552" s="44"/>
      <c r="AJ552" s="44"/>
      <c r="AK552" s="168"/>
      <c r="AL552" s="44"/>
      <c r="AM552" s="44"/>
      <c r="AN552" s="44"/>
    </row>
    <row r="553" spans="1:40" x14ac:dyDescent="0.3">
      <c r="C553" s="42"/>
      <c r="D553" s="42"/>
      <c r="E553" s="42"/>
      <c r="T553" s="42"/>
      <c r="U553" s="42"/>
    </row>
    <row r="555" spans="1:40" x14ac:dyDescent="0.3">
      <c r="C555" s="42"/>
      <c r="T555" s="42"/>
    </row>
    <row r="556" spans="1:40" x14ac:dyDescent="0.3">
      <c r="C556" s="42"/>
      <c r="T556" s="42"/>
    </row>
    <row r="557" spans="1:40" x14ac:dyDescent="0.3">
      <c r="C557" s="42"/>
      <c r="F557" s="184"/>
      <c r="H557" s="184"/>
      <c r="I557" s="184"/>
      <c r="J557" s="238"/>
      <c r="K557" s="238"/>
      <c r="L557" s="123"/>
      <c r="M557" s="123"/>
      <c r="N557" s="160"/>
      <c r="O557" s="160"/>
      <c r="P557" s="123"/>
      <c r="Q557" s="123"/>
      <c r="R557" s="123"/>
      <c r="T557" s="42"/>
      <c r="V557" s="123"/>
      <c r="W557" s="123"/>
      <c r="X557" s="123"/>
      <c r="Y557" s="123"/>
      <c r="Z557" s="238"/>
      <c r="AA557" s="123"/>
      <c r="AB557" s="123"/>
      <c r="AC557" s="160"/>
      <c r="AD557" s="160"/>
      <c r="AE557" s="123"/>
      <c r="AF557" s="123"/>
      <c r="AH557" s="236"/>
      <c r="AI557" s="123"/>
      <c r="AJ557" s="123"/>
      <c r="AL557" s="123"/>
      <c r="AM557" s="236"/>
      <c r="AN557" s="236"/>
    </row>
    <row r="558" spans="1:40" x14ac:dyDescent="0.3">
      <c r="C558" s="42"/>
      <c r="F558" s="123"/>
      <c r="H558" s="123"/>
      <c r="I558" s="123"/>
      <c r="J558" s="188"/>
      <c r="K558" s="188"/>
      <c r="L558" s="123"/>
      <c r="M558" s="123"/>
      <c r="N558" s="160"/>
      <c r="O558" s="160"/>
      <c r="P558" s="123"/>
      <c r="Q558" s="123"/>
      <c r="R558" s="123"/>
      <c r="T558" s="42"/>
      <c r="V558" s="123"/>
      <c r="W558" s="123"/>
      <c r="X558" s="123"/>
      <c r="Y558" s="123"/>
      <c r="Z558" s="188"/>
      <c r="AA558" s="123"/>
      <c r="AB558" s="123"/>
      <c r="AC558" s="160"/>
      <c r="AD558" s="160"/>
      <c r="AE558" s="123"/>
      <c r="AF558" s="123"/>
      <c r="AH558" s="236"/>
      <c r="AI558" s="123"/>
      <c r="AJ558" s="123"/>
      <c r="AL558" s="123"/>
      <c r="AM558" s="236"/>
      <c r="AN558" s="236"/>
    </row>
    <row r="559" spans="1:40" x14ac:dyDescent="0.3">
      <c r="C559" s="42"/>
      <c r="F559" s="123"/>
      <c r="H559" s="123"/>
      <c r="I559" s="123"/>
      <c r="J559" s="188"/>
      <c r="K559" s="188"/>
      <c r="L559" s="123"/>
      <c r="M559" s="123"/>
      <c r="N559" s="160"/>
      <c r="O559" s="160"/>
      <c r="P559" s="123"/>
      <c r="Q559" s="123"/>
      <c r="R559" s="123"/>
      <c r="T559" s="42"/>
      <c r="V559" s="123"/>
      <c r="W559" s="123"/>
      <c r="X559" s="123"/>
      <c r="Y559" s="123"/>
      <c r="Z559" s="188"/>
      <c r="AA559" s="123"/>
      <c r="AB559" s="123"/>
      <c r="AC559" s="160"/>
      <c r="AD559" s="160"/>
      <c r="AE559" s="123"/>
      <c r="AF559" s="123"/>
      <c r="AH559" s="236"/>
      <c r="AI559" s="123"/>
      <c r="AJ559" s="123"/>
      <c r="AL559" s="123"/>
      <c r="AM559" s="236"/>
      <c r="AN559" s="236"/>
    </row>
    <row r="560" spans="1:40" x14ac:dyDescent="0.3">
      <c r="C560" s="42"/>
      <c r="F560" s="123"/>
      <c r="H560" s="123"/>
      <c r="I560" s="123"/>
      <c r="J560" s="188"/>
      <c r="K560" s="188"/>
      <c r="T560" s="42"/>
      <c r="V560" s="123"/>
      <c r="Z560" s="188"/>
    </row>
    <row r="561" spans="3:40" x14ac:dyDescent="0.3">
      <c r="C561" s="42"/>
      <c r="F561" s="184"/>
      <c r="H561" s="184"/>
      <c r="I561" s="184"/>
      <c r="J561" s="238"/>
      <c r="K561" s="238"/>
      <c r="L561" s="123"/>
      <c r="M561" s="123"/>
      <c r="N561" s="160"/>
      <c r="O561" s="160"/>
      <c r="P561" s="123"/>
      <c r="Q561" s="123"/>
      <c r="R561" s="123"/>
      <c r="T561" s="42"/>
      <c r="V561" s="123"/>
      <c r="W561" s="123"/>
      <c r="X561" s="123"/>
      <c r="Y561" s="123"/>
      <c r="Z561" s="238"/>
      <c r="AA561" s="123"/>
      <c r="AB561" s="123"/>
      <c r="AC561" s="160"/>
      <c r="AD561" s="160"/>
      <c r="AE561" s="123"/>
      <c r="AF561" s="123"/>
      <c r="AH561" s="236"/>
      <c r="AI561" s="123"/>
      <c r="AJ561" s="123"/>
      <c r="AL561" s="123"/>
      <c r="AM561" s="236"/>
      <c r="AN561" s="236"/>
    </row>
    <row r="562" spans="3:40" x14ac:dyDescent="0.3">
      <c r="C562" s="42"/>
      <c r="F562" s="123"/>
      <c r="H562" s="123"/>
      <c r="I562" s="123"/>
      <c r="J562" s="188"/>
      <c r="K562" s="188"/>
      <c r="T562" s="42"/>
      <c r="V562" s="123"/>
      <c r="W562" s="123"/>
      <c r="X562" s="123"/>
      <c r="Y562" s="123"/>
      <c r="Z562" s="188"/>
      <c r="AC562" s="160"/>
      <c r="AD562" s="160"/>
      <c r="AE562" s="123"/>
      <c r="AF562" s="123"/>
      <c r="AH562" s="236"/>
      <c r="AI562" s="123"/>
      <c r="AJ562" s="123"/>
      <c r="AL562" s="123"/>
      <c r="AM562" s="236"/>
      <c r="AN562" s="236"/>
    </row>
    <row r="563" spans="3:40" x14ac:dyDescent="0.3">
      <c r="C563" s="42"/>
      <c r="F563" s="184"/>
      <c r="H563" s="184"/>
      <c r="I563" s="184"/>
      <c r="J563" s="238"/>
      <c r="K563" s="238"/>
      <c r="L563" s="123"/>
      <c r="M563" s="123"/>
      <c r="N563" s="160"/>
      <c r="O563" s="160"/>
      <c r="P563" s="123"/>
      <c r="Q563" s="123"/>
      <c r="R563" s="123"/>
      <c r="T563" s="42"/>
      <c r="V563" s="123"/>
      <c r="W563" s="123"/>
      <c r="X563" s="123"/>
      <c r="Y563" s="123"/>
      <c r="Z563" s="238"/>
      <c r="AA563" s="123"/>
      <c r="AB563" s="123"/>
      <c r="AC563" s="160"/>
      <c r="AD563" s="160"/>
      <c r="AE563" s="123"/>
      <c r="AF563" s="123"/>
      <c r="AH563" s="236"/>
      <c r="AI563" s="123"/>
      <c r="AJ563" s="123"/>
      <c r="AL563" s="123"/>
      <c r="AM563" s="236"/>
      <c r="AN563" s="236"/>
    </row>
    <row r="564" spans="3:40" x14ac:dyDescent="0.3">
      <c r="C564" s="42"/>
      <c r="F564" s="123"/>
      <c r="H564" s="123"/>
      <c r="I564" s="123"/>
      <c r="J564" s="188"/>
      <c r="K564" s="188"/>
      <c r="L564" s="123"/>
      <c r="M564" s="123"/>
      <c r="N564" s="160"/>
      <c r="O564" s="160"/>
      <c r="P564" s="123"/>
      <c r="Q564" s="123"/>
      <c r="R564" s="123"/>
      <c r="T564" s="42"/>
      <c r="V564" s="123"/>
      <c r="W564" s="123"/>
      <c r="X564" s="123"/>
      <c r="Y564" s="123"/>
      <c r="Z564" s="188"/>
      <c r="AA564" s="123"/>
      <c r="AB564" s="123"/>
      <c r="AC564" s="160"/>
      <c r="AD564" s="160"/>
      <c r="AE564" s="123"/>
      <c r="AF564" s="123"/>
      <c r="AH564" s="236"/>
      <c r="AI564" s="123"/>
      <c r="AJ564" s="123"/>
      <c r="AL564" s="123"/>
      <c r="AM564" s="236"/>
      <c r="AN564" s="236"/>
    </row>
    <row r="565" spans="3:40" x14ac:dyDescent="0.3">
      <c r="F565" s="123"/>
      <c r="H565" s="123"/>
      <c r="I565" s="123"/>
      <c r="J565" s="188"/>
      <c r="K565" s="188"/>
      <c r="Z565" s="188"/>
    </row>
    <row r="566" spans="3:40" x14ac:dyDescent="0.3">
      <c r="C566" s="42"/>
      <c r="F566" s="123"/>
      <c r="H566" s="184"/>
      <c r="I566" s="184"/>
      <c r="J566" s="238"/>
      <c r="K566" s="238"/>
      <c r="L566" s="123"/>
      <c r="M566" s="123"/>
      <c r="N566" s="160"/>
      <c r="O566" s="160"/>
      <c r="P566" s="123"/>
      <c r="Q566" s="123"/>
      <c r="R566" s="123"/>
      <c r="T566" s="42"/>
      <c r="V566" s="123"/>
      <c r="W566" s="123"/>
      <c r="X566" s="123"/>
      <c r="Y566" s="123"/>
      <c r="Z566" s="238"/>
      <c r="AA566" s="123"/>
      <c r="AB566" s="123"/>
      <c r="AC566" s="160"/>
      <c r="AD566" s="160"/>
      <c r="AE566" s="123"/>
      <c r="AF566" s="123"/>
      <c r="AH566" s="236"/>
      <c r="AI566" s="123"/>
      <c r="AJ566" s="123"/>
      <c r="AL566" s="123"/>
      <c r="AM566" s="236"/>
      <c r="AN566" s="236"/>
    </row>
    <row r="567" spans="3:40" x14ac:dyDescent="0.3">
      <c r="F567" s="210"/>
      <c r="H567" s="210"/>
      <c r="I567" s="210"/>
      <c r="J567" s="238"/>
      <c r="K567" s="238"/>
      <c r="L567" s="210"/>
      <c r="M567" s="210"/>
      <c r="N567" s="210"/>
      <c r="O567" s="210"/>
      <c r="P567" s="210"/>
      <c r="Q567" s="210"/>
      <c r="R567" s="210"/>
      <c r="V567" s="210"/>
      <c r="Y567" s="210"/>
      <c r="Z567" s="238"/>
      <c r="AA567" s="210"/>
      <c r="AB567" s="210"/>
      <c r="AC567" s="210"/>
      <c r="AD567" s="210"/>
      <c r="AE567" s="210"/>
      <c r="AF567" s="210"/>
      <c r="AI567" s="210"/>
      <c r="AJ567" s="210"/>
      <c r="AK567" s="214"/>
      <c r="AL567" s="210"/>
    </row>
    <row r="568" spans="3:40" x14ac:dyDescent="0.3">
      <c r="C568" s="42"/>
      <c r="F568" s="123"/>
      <c r="H568" s="123"/>
      <c r="I568" s="123"/>
      <c r="J568" s="188"/>
      <c r="K568" s="188"/>
      <c r="L568" s="123"/>
      <c r="M568" s="123"/>
      <c r="P568" s="123"/>
      <c r="Q568" s="123"/>
      <c r="R568" s="123"/>
      <c r="T568" s="42"/>
      <c r="V568" s="123"/>
      <c r="Y568" s="123"/>
      <c r="Z568" s="188"/>
      <c r="AA568" s="123"/>
      <c r="AB568" s="123"/>
      <c r="AC568" s="236"/>
      <c r="AD568" s="236"/>
      <c r="AE568" s="123"/>
      <c r="AF568" s="123"/>
      <c r="AH568" s="236"/>
      <c r="AI568" s="123"/>
      <c r="AJ568" s="123"/>
      <c r="AL568" s="123"/>
      <c r="AM568" s="236"/>
      <c r="AN568" s="236"/>
    </row>
    <row r="569" spans="3:40" x14ac:dyDescent="0.3">
      <c r="F569" s="210"/>
      <c r="H569" s="210"/>
      <c r="I569" s="210"/>
      <c r="J569" s="238"/>
      <c r="K569" s="238"/>
      <c r="L569" s="210"/>
      <c r="M569" s="210"/>
      <c r="N569" s="210"/>
      <c r="O569" s="210"/>
      <c r="P569" s="210"/>
      <c r="Q569" s="210"/>
      <c r="R569" s="210"/>
      <c r="V569" s="210"/>
      <c r="Y569" s="210"/>
      <c r="Z569" s="238"/>
      <c r="AA569" s="210"/>
      <c r="AB569" s="210"/>
      <c r="AC569" s="210"/>
      <c r="AD569" s="210"/>
      <c r="AE569" s="210"/>
      <c r="AF569" s="210"/>
      <c r="AI569" s="210"/>
      <c r="AJ569" s="210"/>
      <c r="AK569" s="214"/>
      <c r="AL569" s="210"/>
    </row>
    <row r="570" spans="3:40" x14ac:dyDescent="0.3">
      <c r="J570" s="188"/>
      <c r="K570" s="188"/>
      <c r="Z570" s="188"/>
    </row>
    <row r="571" spans="3:40" x14ac:dyDescent="0.3">
      <c r="C571" s="42"/>
      <c r="J571" s="188"/>
      <c r="K571" s="188"/>
      <c r="T571" s="42"/>
      <c r="Z571" s="188"/>
    </row>
    <row r="572" spans="3:40" x14ac:dyDescent="0.3">
      <c r="C572" s="42"/>
      <c r="J572" s="188"/>
      <c r="K572" s="188"/>
      <c r="T572" s="42"/>
      <c r="Z572" s="188"/>
    </row>
    <row r="573" spans="3:40" x14ac:dyDescent="0.3">
      <c r="C573" s="42"/>
      <c r="F573" s="184"/>
      <c r="H573" s="184"/>
      <c r="I573" s="184"/>
      <c r="J573" s="238"/>
      <c r="K573" s="238"/>
      <c r="L573" s="123"/>
      <c r="M573" s="123"/>
      <c r="N573" s="160"/>
      <c r="O573" s="160"/>
      <c r="P573" s="123"/>
      <c r="Q573" s="123"/>
      <c r="R573" s="123"/>
      <c r="T573" s="42"/>
      <c r="V573" s="123"/>
      <c r="W573" s="123"/>
      <c r="X573" s="123"/>
      <c r="Y573" s="123"/>
      <c r="Z573" s="238"/>
      <c r="AA573" s="123"/>
      <c r="AB573" s="123"/>
      <c r="AC573" s="160"/>
      <c r="AD573" s="160"/>
      <c r="AE573" s="123"/>
      <c r="AF573" s="123"/>
      <c r="AH573" s="236"/>
      <c r="AI573" s="123"/>
      <c r="AJ573" s="123"/>
      <c r="AL573" s="123"/>
      <c r="AM573" s="236"/>
      <c r="AN573" s="236"/>
    </row>
    <row r="574" spans="3:40" x14ac:dyDescent="0.3">
      <c r="C574" s="42"/>
      <c r="J574" s="188"/>
      <c r="K574" s="188"/>
      <c r="T574" s="42"/>
      <c r="Z574" s="188"/>
    </row>
    <row r="575" spans="3:40" x14ac:dyDescent="0.3">
      <c r="C575" s="42"/>
      <c r="F575" s="184"/>
      <c r="H575" s="184"/>
      <c r="I575" s="184"/>
      <c r="J575" s="238"/>
      <c r="K575" s="238"/>
      <c r="L575" s="123"/>
      <c r="M575" s="123"/>
      <c r="N575" s="160"/>
      <c r="O575" s="160"/>
      <c r="P575" s="123"/>
      <c r="Q575" s="123"/>
      <c r="R575" s="123"/>
      <c r="T575" s="42"/>
      <c r="V575" s="123"/>
      <c r="W575" s="123"/>
      <c r="X575" s="123"/>
      <c r="Y575" s="123"/>
      <c r="Z575" s="238"/>
      <c r="AA575" s="123"/>
      <c r="AB575" s="123"/>
      <c r="AC575" s="160"/>
      <c r="AD575" s="160"/>
      <c r="AE575" s="123"/>
      <c r="AF575" s="123"/>
      <c r="AH575" s="236"/>
      <c r="AI575" s="123"/>
      <c r="AJ575" s="123"/>
      <c r="AL575" s="123"/>
      <c r="AM575" s="236"/>
      <c r="AN575" s="236"/>
    </row>
    <row r="576" spans="3:40" x14ac:dyDescent="0.3">
      <c r="F576" s="210"/>
      <c r="H576" s="210"/>
      <c r="I576" s="210"/>
      <c r="J576" s="238"/>
      <c r="K576" s="238"/>
      <c r="L576" s="210"/>
      <c r="M576" s="210"/>
      <c r="N576" s="210"/>
      <c r="O576" s="210"/>
      <c r="P576" s="210"/>
      <c r="Q576" s="210"/>
      <c r="R576" s="210"/>
      <c r="V576" s="210"/>
      <c r="Y576" s="210"/>
      <c r="Z576" s="238"/>
      <c r="AA576" s="210"/>
      <c r="AB576" s="210"/>
      <c r="AC576" s="210"/>
      <c r="AD576" s="210"/>
      <c r="AE576" s="210"/>
      <c r="AF576" s="210"/>
      <c r="AI576" s="210"/>
      <c r="AJ576" s="210"/>
      <c r="AK576" s="214"/>
      <c r="AL576" s="210"/>
    </row>
    <row r="577" spans="1:40" x14ac:dyDescent="0.3">
      <c r="C577" s="42"/>
      <c r="F577" s="123"/>
      <c r="H577" s="123"/>
      <c r="I577" s="123"/>
      <c r="J577" s="188"/>
      <c r="K577" s="188"/>
      <c r="L577" s="123"/>
      <c r="M577" s="123"/>
      <c r="N577" s="236"/>
      <c r="O577" s="236"/>
      <c r="P577" s="123"/>
      <c r="Q577" s="123"/>
      <c r="R577" s="123"/>
      <c r="T577" s="42"/>
      <c r="V577" s="123"/>
      <c r="Y577" s="123"/>
      <c r="Z577" s="188"/>
      <c r="AA577" s="123"/>
      <c r="AB577" s="123"/>
      <c r="AC577" s="236"/>
      <c r="AD577" s="236"/>
      <c r="AE577" s="123"/>
      <c r="AF577" s="123"/>
      <c r="AH577" s="236"/>
      <c r="AI577" s="123"/>
      <c r="AJ577" s="123"/>
      <c r="AL577" s="123"/>
      <c r="AM577" s="236"/>
      <c r="AN577" s="236"/>
    </row>
    <row r="578" spans="1:40" x14ac:dyDescent="0.3">
      <c r="F578" s="210"/>
      <c r="H578" s="210"/>
      <c r="I578" s="210"/>
      <c r="J578" s="238"/>
      <c r="K578" s="238"/>
      <c r="L578" s="210"/>
      <c r="M578" s="210"/>
      <c r="N578" s="210"/>
      <c r="O578" s="210"/>
      <c r="P578" s="210"/>
      <c r="Q578" s="210"/>
      <c r="R578" s="210"/>
      <c r="V578" s="210"/>
      <c r="Y578" s="210"/>
      <c r="Z578" s="213"/>
      <c r="AA578" s="210"/>
      <c r="AB578" s="210"/>
      <c r="AC578" s="210"/>
      <c r="AD578" s="210"/>
      <c r="AE578" s="210"/>
      <c r="AF578" s="210"/>
      <c r="AI578" s="210"/>
      <c r="AJ578" s="210"/>
      <c r="AK578" s="214"/>
      <c r="AL578" s="210"/>
    </row>
    <row r="579" spans="1:40" x14ac:dyDescent="0.3">
      <c r="J579" s="188"/>
      <c r="K579" s="188"/>
    </row>
    <row r="580" spans="1:40" x14ac:dyDescent="0.3">
      <c r="C580" s="42"/>
      <c r="F580" s="123"/>
      <c r="H580" s="123"/>
      <c r="I580" s="123"/>
      <c r="J580" s="188"/>
      <c r="K580" s="188"/>
      <c r="L580" s="123"/>
      <c r="M580" s="123"/>
      <c r="N580" s="160"/>
      <c r="O580" s="160"/>
      <c r="P580" s="184"/>
      <c r="Q580" s="184"/>
      <c r="R580" s="123"/>
      <c r="T580" s="42"/>
      <c r="V580" s="123"/>
      <c r="Y580" s="123"/>
      <c r="AA580" s="123"/>
      <c r="AB580" s="123"/>
      <c r="AC580" s="236"/>
      <c r="AD580" s="236"/>
      <c r="AE580" s="123"/>
      <c r="AF580" s="123"/>
      <c r="AH580" s="236"/>
      <c r="AI580" s="184"/>
      <c r="AJ580" s="184"/>
      <c r="AL580" s="123"/>
      <c r="AM580" s="236"/>
      <c r="AN580" s="236"/>
    </row>
    <row r="581" spans="1:40" x14ac:dyDescent="0.3">
      <c r="F581" s="210"/>
      <c r="H581" s="210"/>
      <c r="I581" s="210"/>
      <c r="J581" s="238"/>
      <c r="K581" s="238"/>
      <c r="L581" s="210"/>
      <c r="M581" s="210"/>
      <c r="N581" s="210"/>
      <c r="O581" s="210"/>
      <c r="P581" s="210"/>
      <c r="Q581" s="210"/>
      <c r="R581" s="210"/>
      <c r="V581" s="210"/>
      <c r="Y581" s="210"/>
      <c r="Z581" s="213"/>
      <c r="AA581" s="210"/>
      <c r="AB581" s="210"/>
      <c r="AC581" s="210"/>
      <c r="AD581" s="210"/>
      <c r="AE581" s="210"/>
      <c r="AF581" s="210"/>
      <c r="AI581" s="210"/>
      <c r="AJ581" s="210"/>
      <c r="AK581" s="214"/>
      <c r="AL581" s="210"/>
    </row>
    <row r="584" spans="1:40" x14ac:dyDescent="0.3">
      <c r="A584" s="42"/>
    </row>
    <row r="586" spans="1:40" x14ac:dyDescent="0.3">
      <c r="H586" s="42"/>
      <c r="I586" s="42"/>
      <c r="Y586" s="42"/>
    </row>
    <row r="588" spans="1:40" x14ac:dyDescent="0.3">
      <c r="L588" s="42"/>
      <c r="M588" s="42"/>
      <c r="AA588" s="42"/>
      <c r="AB588" s="42"/>
    </row>
    <row r="589" spans="1:40" x14ac:dyDescent="0.3">
      <c r="R589" s="42"/>
      <c r="AK589" s="206"/>
      <c r="AL589" s="42"/>
    </row>
    <row r="590" spans="1:40" x14ac:dyDescent="0.3">
      <c r="R590" s="42"/>
      <c r="AK590" s="206"/>
      <c r="AL590" s="42"/>
    </row>
    <row r="591" spans="1:40" x14ac:dyDescent="0.3">
      <c r="A591" s="42"/>
      <c r="R591" s="42"/>
      <c r="AK591" s="206"/>
      <c r="AL591" s="42"/>
    </row>
    <row r="592" spans="1:40" x14ac:dyDescent="0.3">
      <c r="L592" s="42"/>
      <c r="M592" s="42"/>
      <c r="AA592" s="42"/>
      <c r="AB592" s="42"/>
    </row>
    <row r="593" spans="1:40" x14ac:dyDescent="0.3">
      <c r="A593" s="135"/>
      <c r="B593" s="135"/>
      <c r="C593" s="135"/>
      <c r="D593" s="135"/>
      <c r="E593" s="135"/>
      <c r="F593" s="135"/>
      <c r="G593" s="135"/>
      <c r="H593" s="135"/>
      <c r="I593" s="135"/>
      <c r="J593" s="135"/>
      <c r="K593" s="135"/>
      <c r="L593" s="135"/>
      <c r="M593" s="135"/>
      <c r="N593" s="135"/>
      <c r="O593" s="135"/>
      <c r="P593" s="135"/>
      <c r="Q593" s="135"/>
      <c r="R593" s="135"/>
      <c r="T593" s="135"/>
      <c r="U593" s="135"/>
      <c r="V593" s="135"/>
      <c r="W593" s="135"/>
      <c r="X593" s="135"/>
      <c r="Y593" s="135"/>
      <c r="Z593" s="135"/>
      <c r="AA593" s="135"/>
      <c r="AB593" s="135"/>
      <c r="AC593" s="135"/>
      <c r="AD593" s="135"/>
      <c r="AE593" s="135"/>
      <c r="AF593" s="135"/>
      <c r="AG593" s="207"/>
      <c r="AH593" s="135"/>
      <c r="AI593" s="135"/>
      <c r="AJ593" s="135"/>
      <c r="AK593" s="207"/>
      <c r="AL593" s="135"/>
      <c r="AM593" s="135"/>
      <c r="AN593" s="135"/>
    </row>
    <row r="594" spans="1:40" x14ac:dyDescent="0.3">
      <c r="L594" s="44"/>
      <c r="M594" s="44"/>
      <c r="N594" s="44"/>
      <c r="O594" s="44"/>
      <c r="R594" s="44"/>
      <c r="AA594" s="44"/>
      <c r="AB594" s="44"/>
      <c r="AC594" s="44"/>
      <c r="AD594" s="44"/>
      <c r="AE594" s="44"/>
      <c r="AF594" s="44"/>
      <c r="AG594" s="168"/>
      <c r="AH594" s="44"/>
      <c r="AK594" s="168"/>
      <c r="AL594" s="44"/>
      <c r="AM594" s="44"/>
      <c r="AN594" s="44"/>
    </row>
    <row r="595" spans="1:40" x14ac:dyDescent="0.3">
      <c r="L595" s="44"/>
      <c r="M595" s="44"/>
      <c r="N595" s="44"/>
      <c r="O595" s="44"/>
      <c r="R595" s="44"/>
      <c r="Z595" s="44"/>
      <c r="AA595" s="44"/>
      <c r="AB595" s="44"/>
      <c r="AC595" s="44"/>
      <c r="AD595" s="44"/>
      <c r="AE595" s="44"/>
      <c r="AF595" s="44"/>
      <c r="AG595" s="168"/>
      <c r="AH595" s="44"/>
      <c r="AK595" s="168"/>
      <c r="AL595" s="44"/>
      <c r="AM595" s="44"/>
      <c r="AN595" s="44"/>
    </row>
    <row r="596" spans="1:40" x14ac:dyDescent="0.3">
      <c r="A596" s="44"/>
      <c r="C596" s="44"/>
      <c r="D596" s="44"/>
      <c r="E596" s="44"/>
      <c r="F596" s="44"/>
      <c r="J596" s="44"/>
      <c r="K596" s="44"/>
      <c r="L596" s="44"/>
      <c r="M596" s="44"/>
      <c r="N596" s="44"/>
      <c r="O596" s="44"/>
      <c r="P596" s="44"/>
      <c r="Q596" s="44"/>
      <c r="R596" s="44"/>
      <c r="T596" s="44"/>
      <c r="U596" s="44"/>
      <c r="V596" s="44"/>
      <c r="Z596" s="44"/>
      <c r="AA596" s="44"/>
      <c r="AB596" s="44"/>
      <c r="AC596" s="44"/>
      <c r="AD596" s="44"/>
      <c r="AE596" s="44"/>
      <c r="AF596" s="44"/>
      <c r="AG596" s="168"/>
      <c r="AH596" s="44"/>
      <c r="AI596" s="44"/>
      <c r="AJ596" s="44"/>
      <c r="AK596" s="168"/>
      <c r="AL596" s="44"/>
      <c r="AM596" s="44"/>
      <c r="AN596" s="44"/>
    </row>
    <row r="597" spans="1:40" x14ac:dyDescent="0.3">
      <c r="A597" s="44"/>
      <c r="C597" s="44"/>
      <c r="D597" s="44"/>
      <c r="E597" s="44"/>
      <c r="F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T597" s="44"/>
      <c r="U597" s="44"/>
      <c r="V597" s="44"/>
      <c r="Y597" s="44"/>
      <c r="Z597" s="44"/>
      <c r="AA597" s="44"/>
      <c r="AB597" s="44"/>
      <c r="AC597" s="44"/>
      <c r="AD597" s="44"/>
      <c r="AE597" s="44"/>
      <c r="AF597" s="44"/>
      <c r="AG597" s="168"/>
      <c r="AH597" s="44"/>
      <c r="AI597" s="44"/>
      <c r="AJ597" s="44"/>
      <c r="AK597" s="168"/>
      <c r="AL597" s="44"/>
      <c r="AM597" s="44"/>
      <c r="AN597" s="44"/>
    </row>
    <row r="598" spans="1:40" x14ac:dyDescent="0.3">
      <c r="C598" s="44"/>
      <c r="D598" s="44"/>
      <c r="E598" s="44"/>
      <c r="F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T598" s="44"/>
      <c r="U598" s="44"/>
      <c r="V598" s="44"/>
      <c r="Y598" s="44"/>
      <c r="Z598" s="44"/>
      <c r="AA598" s="44"/>
      <c r="AB598" s="44"/>
      <c r="AC598" s="44"/>
      <c r="AD598" s="44"/>
      <c r="AE598" s="44"/>
      <c r="AF598" s="44"/>
      <c r="AG598" s="168"/>
      <c r="AH598" s="44"/>
      <c r="AI598" s="44"/>
      <c r="AJ598" s="44"/>
      <c r="AK598" s="168"/>
      <c r="AL598" s="44"/>
      <c r="AM598" s="44"/>
      <c r="AN598" s="44"/>
    </row>
    <row r="599" spans="1:40" x14ac:dyDescent="0.3">
      <c r="A599" s="135"/>
      <c r="B599" s="135"/>
      <c r="C599" s="135"/>
      <c r="D599" s="135"/>
      <c r="E599" s="135"/>
      <c r="F599" s="135"/>
      <c r="G599" s="135"/>
      <c r="H599" s="135"/>
      <c r="I599" s="135"/>
      <c r="J599" s="135"/>
      <c r="K599" s="135"/>
      <c r="L599" s="135"/>
      <c r="M599" s="135"/>
      <c r="N599" s="135"/>
      <c r="O599" s="135"/>
      <c r="P599" s="135"/>
      <c r="Q599" s="135"/>
      <c r="R599" s="135"/>
      <c r="T599" s="135"/>
      <c r="U599" s="135"/>
      <c r="V599" s="135"/>
      <c r="W599" s="135"/>
      <c r="X599" s="135"/>
      <c r="Y599" s="135"/>
      <c r="Z599" s="135"/>
      <c r="AA599" s="135"/>
      <c r="AB599" s="135"/>
      <c r="AC599" s="135"/>
      <c r="AD599" s="135"/>
      <c r="AE599" s="135"/>
      <c r="AF599" s="135"/>
      <c r="AG599" s="207"/>
      <c r="AH599" s="135"/>
      <c r="AI599" s="135"/>
      <c r="AJ599" s="135"/>
      <c r="AK599" s="207"/>
      <c r="AL599" s="135"/>
      <c r="AM599" s="135"/>
      <c r="AN599" s="135"/>
    </row>
    <row r="600" spans="1:40" x14ac:dyDescent="0.3"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Y600" s="44"/>
      <c r="Z600" s="44"/>
      <c r="AA600" s="44"/>
      <c r="AB600" s="44"/>
      <c r="AC600" s="44"/>
      <c r="AD600" s="44"/>
      <c r="AE600" s="44"/>
      <c r="AF600" s="44"/>
      <c r="AG600" s="168"/>
      <c r="AH600" s="44"/>
      <c r="AI600" s="44"/>
      <c r="AJ600" s="44"/>
      <c r="AK600" s="168"/>
      <c r="AL600" s="44"/>
      <c r="AM600" s="44"/>
      <c r="AN600" s="44"/>
    </row>
    <row r="601" spans="1:40" x14ac:dyDescent="0.3">
      <c r="C601" s="42"/>
      <c r="D601" s="42"/>
      <c r="E601" s="42"/>
      <c r="T601" s="42"/>
      <c r="U601" s="42"/>
    </row>
    <row r="603" spans="1:40" x14ac:dyDescent="0.3">
      <c r="C603" s="42"/>
      <c r="D603" s="42"/>
      <c r="E603" s="42"/>
      <c r="T603" s="42"/>
      <c r="U603" s="42"/>
    </row>
    <row r="604" spans="1:40" x14ac:dyDescent="0.3">
      <c r="C604" s="42"/>
      <c r="T604" s="42"/>
    </row>
    <row r="605" spans="1:40" x14ac:dyDescent="0.3">
      <c r="C605" s="42"/>
      <c r="T605" s="42"/>
    </row>
    <row r="606" spans="1:40" x14ac:dyDescent="0.3">
      <c r="C606" s="42"/>
      <c r="F606" s="184"/>
      <c r="H606" s="184"/>
      <c r="I606" s="184"/>
      <c r="J606" s="238"/>
      <c r="K606" s="238"/>
      <c r="L606" s="123"/>
      <c r="M606" s="123"/>
      <c r="N606" s="160"/>
      <c r="O606" s="160"/>
      <c r="P606" s="123"/>
      <c r="Q606" s="123"/>
      <c r="R606" s="123"/>
      <c r="T606" s="42"/>
      <c r="V606" s="123"/>
      <c r="W606" s="123"/>
      <c r="X606" s="123"/>
      <c r="Y606" s="123"/>
      <c r="Z606" s="238"/>
      <c r="AA606" s="123"/>
      <c r="AB606" s="123"/>
      <c r="AC606" s="160"/>
      <c r="AD606" s="160"/>
      <c r="AE606" s="123"/>
      <c r="AF606" s="123"/>
      <c r="AH606" s="236"/>
      <c r="AI606" s="123"/>
      <c r="AJ606" s="123"/>
      <c r="AL606" s="123"/>
      <c r="AM606" s="160"/>
      <c r="AN606" s="160"/>
    </row>
    <row r="607" spans="1:40" x14ac:dyDescent="0.3">
      <c r="C607" s="42"/>
      <c r="J607" s="188"/>
      <c r="K607" s="188"/>
      <c r="T607" s="42"/>
      <c r="V607" s="123"/>
      <c r="W607" s="123"/>
      <c r="X607" s="123"/>
      <c r="Y607" s="123"/>
      <c r="Z607" s="238"/>
    </row>
    <row r="608" spans="1:40" x14ac:dyDescent="0.3">
      <c r="C608" s="42"/>
      <c r="F608" s="184"/>
      <c r="H608" s="184"/>
      <c r="I608" s="184"/>
      <c r="J608" s="238"/>
      <c r="K608" s="238"/>
      <c r="L608" s="123"/>
      <c r="M608" s="123"/>
      <c r="N608" s="160"/>
      <c r="O608" s="160"/>
      <c r="P608" s="123"/>
      <c r="Q608" s="123"/>
      <c r="R608" s="123"/>
      <c r="T608" s="42"/>
      <c r="V608" s="123"/>
      <c r="W608" s="123"/>
      <c r="X608" s="123"/>
      <c r="Y608" s="123"/>
      <c r="Z608" s="238"/>
      <c r="AA608" s="123"/>
      <c r="AB608" s="123"/>
      <c r="AC608" s="160"/>
      <c r="AD608" s="160"/>
      <c r="AE608" s="123"/>
      <c r="AF608" s="123"/>
      <c r="AH608" s="236"/>
      <c r="AI608" s="123"/>
      <c r="AJ608" s="123"/>
      <c r="AL608" s="123"/>
      <c r="AM608" s="160"/>
      <c r="AN608" s="160"/>
    </row>
    <row r="609" spans="3:40" x14ac:dyDescent="0.3">
      <c r="C609" s="42"/>
      <c r="J609" s="188"/>
      <c r="K609" s="188"/>
      <c r="T609" s="42"/>
      <c r="V609" s="123"/>
      <c r="W609" s="123"/>
      <c r="X609" s="123"/>
      <c r="Y609" s="123"/>
      <c r="Z609" s="238"/>
    </row>
    <row r="610" spans="3:40" x14ac:dyDescent="0.3">
      <c r="C610" s="42"/>
      <c r="F610" s="184"/>
      <c r="H610" s="184"/>
      <c r="I610" s="184"/>
      <c r="J610" s="238"/>
      <c r="K610" s="238"/>
      <c r="L610" s="123"/>
      <c r="M610" s="123"/>
      <c r="N610" s="160"/>
      <c r="O610" s="160"/>
      <c r="P610" s="123"/>
      <c r="Q610" s="123"/>
      <c r="R610" s="123"/>
      <c r="T610" s="42"/>
      <c r="V610" s="123"/>
      <c r="W610" s="123"/>
      <c r="X610" s="123"/>
      <c r="Y610" s="123"/>
      <c r="Z610" s="238"/>
      <c r="AA610" s="123"/>
      <c r="AB610" s="123"/>
      <c r="AC610" s="160"/>
      <c r="AD610" s="160"/>
      <c r="AE610" s="123"/>
      <c r="AF610" s="123"/>
      <c r="AH610" s="236"/>
      <c r="AI610" s="123"/>
      <c r="AJ610" s="123"/>
      <c r="AL610" s="123"/>
      <c r="AM610" s="160"/>
      <c r="AN610" s="160"/>
    </row>
    <row r="611" spans="3:40" x14ac:dyDescent="0.3">
      <c r="C611" s="42"/>
      <c r="J611" s="188"/>
      <c r="K611" s="188"/>
      <c r="T611" s="42"/>
      <c r="V611" s="123"/>
      <c r="W611" s="123"/>
      <c r="X611" s="123"/>
      <c r="Y611" s="123"/>
      <c r="Z611" s="238"/>
    </row>
    <row r="612" spans="3:40" x14ac:dyDescent="0.3">
      <c r="C612" s="42"/>
      <c r="F612" s="184"/>
      <c r="H612" s="184"/>
      <c r="I612" s="184"/>
      <c r="J612" s="238"/>
      <c r="K612" s="238"/>
      <c r="L612" s="123"/>
      <c r="M612" s="123"/>
      <c r="N612" s="160"/>
      <c r="O612" s="160"/>
      <c r="P612" s="123"/>
      <c r="Q612" s="123"/>
      <c r="R612" s="123"/>
      <c r="T612" s="42"/>
      <c r="V612" s="123"/>
      <c r="W612" s="123"/>
      <c r="X612" s="123"/>
      <c r="Y612" s="123"/>
      <c r="Z612" s="238"/>
      <c r="AA612" s="123"/>
      <c r="AB612" s="123"/>
      <c r="AC612" s="160"/>
      <c r="AD612" s="160"/>
      <c r="AE612" s="123"/>
      <c r="AF612" s="123"/>
      <c r="AH612" s="236"/>
      <c r="AI612" s="123"/>
      <c r="AJ612" s="123"/>
      <c r="AL612" s="123"/>
      <c r="AM612" s="160"/>
      <c r="AN612" s="160"/>
    </row>
    <row r="613" spans="3:40" x14ac:dyDescent="0.3">
      <c r="C613" s="42"/>
      <c r="J613" s="188"/>
      <c r="K613" s="188"/>
      <c r="T613" s="42"/>
      <c r="V613" s="123"/>
      <c r="W613" s="123"/>
      <c r="X613" s="123"/>
      <c r="Y613" s="123"/>
      <c r="Z613" s="238"/>
    </row>
    <row r="614" spans="3:40" x14ac:dyDescent="0.3">
      <c r="C614" s="42"/>
      <c r="F614" s="184"/>
      <c r="H614" s="184"/>
      <c r="I614" s="184"/>
      <c r="J614" s="238"/>
      <c r="K614" s="238"/>
      <c r="L614" s="123"/>
      <c r="M614" s="123"/>
      <c r="N614" s="160"/>
      <c r="O614" s="160"/>
      <c r="P614" s="123"/>
      <c r="Q614" s="123"/>
      <c r="R614" s="123"/>
      <c r="T614" s="42"/>
      <c r="V614" s="123"/>
      <c r="W614" s="123"/>
      <c r="X614" s="123"/>
      <c r="Y614" s="123"/>
      <c r="Z614" s="238"/>
      <c r="AA614" s="123"/>
      <c r="AB614" s="123"/>
      <c r="AC614" s="160"/>
      <c r="AD614" s="160"/>
      <c r="AE614" s="123"/>
      <c r="AF614" s="123"/>
      <c r="AH614" s="236"/>
      <c r="AI614" s="123"/>
      <c r="AJ614" s="123"/>
      <c r="AL614" s="123"/>
      <c r="AM614" s="160"/>
      <c r="AN614" s="160"/>
    </row>
    <row r="615" spans="3:40" x14ac:dyDescent="0.3">
      <c r="C615" s="42"/>
      <c r="J615" s="188"/>
      <c r="K615" s="188"/>
      <c r="T615" s="42"/>
      <c r="V615" s="123"/>
      <c r="W615" s="123"/>
      <c r="X615" s="123"/>
      <c r="Y615" s="123"/>
      <c r="Z615" s="238"/>
    </row>
    <row r="616" spans="3:40" x14ac:dyDescent="0.3">
      <c r="C616" s="42"/>
      <c r="F616" s="184"/>
      <c r="H616" s="184"/>
      <c r="I616" s="184"/>
      <c r="J616" s="238"/>
      <c r="K616" s="238"/>
      <c r="L616" s="123"/>
      <c r="M616" s="123"/>
      <c r="N616" s="160"/>
      <c r="O616" s="160"/>
      <c r="P616" s="123"/>
      <c r="Q616" s="123"/>
      <c r="R616" s="123"/>
      <c r="T616" s="42"/>
      <c r="V616" s="123"/>
      <c r="W616" s="123"/>
      <c r="X616" s="123"/>
      <c r="Y616" s="123"/>
      <c r="Z616" s="238"/>
      <c r="AA616" s="123"/>
      <c r="AB616" s="123"/>
      <c r="AC616" s="160"/>
      <c r="AD616" s="160"/>
      <c r="AE616" s="123"/>
      <c r="AF616" s="123"/>
      <c r="AH616" s="236"/>
      <c r="AI616" s="123"/>
      <c r="AJ616" s="123"/>
      <c r="AL616" s="123"/>
      <c r="AM616" s="160"/>
      <c r="AN616" s="160"/>
    </row>
    <row r="617" spans="3:40" x14ac:dyDescent="0.3">
      <c r="F617" s="210"/>
      <c r="H617" s="210"/>
      <c r="I617" s="210"/>
      <c r="J617" s="238"/>
      <c r="K617" s="238"/>
      <c r="L617" s="210"/>
      <c r="M617" s="210"/>
      <c r="N617" s="210"/>
      <c r="O617" s="210"/>
      <c r="P617" s="210"/>
      <c r="Q617" s="210"/>
      <c r="R617" s="210"/>
      <c r="V617" s="210"/>
      <c r="Y617" s="210"/>
      <c r="Z617" s="238"/>
      <c r="AA617" s="210"/>
      <c r="AB617" s="210"/>
      <c r="AC617" s="210"/>
      <c r="AD617" s="210"/>
      <c r="AE617" s="210"/>
      <c r="AF617" s="210"/>
      <c r="AI617" s="210"/>
      <c r="AJ617" s="210"/>
      <c r="AK617" s="214"/>
      <c r="AL617" s="210"/>
      <c r="AM617" s="160"/>
      <c r="AN617" s="160"/>
    </row>
    <row r="618" spans="3:40" x14ac:dyDescent="0.3">
      <c r="C618" s="42"/>
      <c r="F618" s="123"/>
      <c r="H618" s="123"/>
      <c r="I618" s="123"/>
      <c r="J618" s="188"/>
      <c r="K618" s="188"/>
      <c r="L618" s="123"/>
      <c r="M618" s="123"/>
      <c r="N618" s="160"/>
      <c r="O618" s="160"/>
      <c r="P618" s="184"/>
      <c r="Q618" s="184"/>
      <c r="R618" s="123"/>
      <c r="T618" s="42"/>
      <c r="V618" s="123"/>
      <c r="W618" s="123"/>
      <c r="X618" s="123"/>
      <c r="Y618" s="123"/>
      <c r="Z618" s="238"/>
      <c r="AA618" s="123"/>
      <c r="AB618" s="123"/>
      <c r="AC618" s="160"/>
      <c r="AD618" s="160"/>
      <c r="AE618" s="123"/>
      <c r="AF618" s="123"/>
      <c r="AH618" s="236"/>
      <c r="AI618" s="184"/>
      <c r="AJ618" s="184"/>
      <c r="AL618" s="123"/>
      <c r="AM618" s="160"/>
      <c r="AN618" s="160"/>
    </row>
    <row r="619" spans="3:40" x14ac:dyDescent="0.3">
      <c r="F619" s="210"/>
      <c r="H619" s="210"/>
      <c r="I619" s="210"/>
      <c r="J619" s="238"/>
      <c r="K619" s="238"/>
      <c r="L619" s="210"/>
      <c r="M619" s="210"/>
      <c r="N619" s="210"/>
      <c r="O619" s="210"/>
      <c r="P619" s="210"/>
      <c r="Q619" s="210"/>
      <c r="R619" s="210"/>
      <c r="V619" s="210"/>
      <c r="Y619" s="210"/>
      <c r="Z619" s="238"/>
      <c r="AA619" s="210"/>
      <c r="AB619" s="210"/>
      <c r="AC619" s="210"/>
      <c r="AD619" s="210"/>
      <c r="AE619" s="210"/>
      <c r="AF619" s="210"/>
      <c r="AI619" s="210"/>
      <c r="AJ619" s="210"/>
      <c r="AK619" s="214"/>
      <c r="AL619" s="210"/>
    </row>
    <row r="620" spans="3:40" x14ac:dyDescent="0.3">
      <c r="C620" s="42"/>
      <c r="D620" s="42"/>
      <c r="E620" s="42"/>
      <c r="J620" s="188"/>
      <c r="K620" s="188"/>
      <c r="T620" s="42"/>
      <c r="U620" s="42"/>
      <c r="V620" s="123"/>
      <c r="W620" s="123"/>
      <c r="X620" s="123"/>
      <c r="Y620" s="123"/>
      <c r="Z620" s="238"/>
    </row>
    <row r="621" spans="3:40" x14ac:dyDescent="0.3">
      <c r="C621" s="42"/>
      <c r="J621" s="188"/>
      <c r="K621" s="188"/>
      <c r="T621" s="42"/>
      <c r="V621" s="123"/>
      <c r="W621" s="123"/>
      <c r="X621" s="123"/>
      <c r="Y621" s="123"/>
      <c r="Z621" s="238"/>
    </row>
    <row r="622" spans="3:40" x14ac:dyDescent="0.3">
      <c r="C622" s="42"/>
      <c r="J622" s="188"/>
      <c r="K622" s="188"/>
      <c r="T622" s="42"/>
      <c r="V622" s="123"/>
      <c r="W622" s="123"/>
      <c r="X622" s="123"/>
      <c r="Y622" s="123"/>
      <c r="Z622" s="238"/>
    </row>
    <row r="623" spans="3:40" x14ac:dyDescent="0.3">
      <c r="C623" s="42"/>
      <c r="F623" s="184"/>
      <c r="H623" s="184"/>
      <c r="I623" s="184"/>
      <c r="J623" s="238"/>
      <c r="K623" s="238"/>
      <c r="L623" s="123"/>
      <c r="M623" s="123"/>
      <c r="N623" s="160"/>
      <c r="O623" s="160"/>
      <c r="P623" s="123"/>
      <c r="Q623" s="123"/>
      <c r="R623" s="123"/>
      <c r="T623" s="42"/>
      <c r="V623" s="123"/>
      <c r="W623" s="123"/>
      <c r="X623" s="123"/>
      <c r="Y623" s="123"/>
      <c r="Z623" s="238"/>
      <c r="AA623" s="123"/>
      <c r="AB623" s="123"/>
      <c r="AC623" s="160"/>
      <c r="AD623" s="160"/>
      <c r="AE623" s="123"/>
      <c r="AF623" s="123"/>
      <c r="AH623" s="236"/>
      <c r="AI623" s="123"/>
      <c r="AJ623" s="123"/>
      <c r="AL623" s="123"/>
      <c r="AM623" s="160"/>
      <c r="AN623" s="160"/>
    </row>
    <row r="624" spans="3:40" x14ac:dyDescent="0.3">
      <c r="C624" s="42"/>
      <c r="J624" s="188"/>
      <c r="K624" s="188"/>
      <c r="T624" s="42"/>
      <c r="V624" s="123"/>
      <c r="W624" s="123"/>
      <c r="X624" s="123"/>
      <c r="Y624" s="123"/>
      <c r="Z624" s="238"/>
    </row>
    <row r="625" spans="3:40" x14ac:dyDescent="0.3">
      <c r="C625" s="42"/>
      <c r="F625" s="184"/>
      <c r="H625" s="184"/>
      <c r="I625" s="184"/>
      <c r="J625" s="238"/>
      <c r="K625" s="238"/>
      <c r="L625" s="123"/>
      <c r="M625" s="123"/>
      <c r="N625" s="160"/>
      <c r="O625" s="160"/>
      <c r="P625" s="123"/>
      <c r="Q625" s="123"/>
      <c r="R625" s="123"/>
      <c r="T625" s="42"/>
      <c r="V625" s="123"/>
      <c r="W625" s="123"/>
      <c r="X625" s="123"/>
      <c r="Y625" s="123"/>
      <c r="Z625" s="238"/>
      <c r="AA625" s="123"/>
      <c r="AB625" s="123"/>
      <c r="AC625" s="160"/>
      <c r="AD625" s="160"/>
      <c r="AE625" s="123"/>
      <c r="AF625" s="123"/>
      <c r="AH625" s="236"/>
      <c r="AI625" s="123"/>
      <c r="AJ625" s="123"/>
      <c r="AL625" s="123"/>
      <c r="AM625" s="160"/>
      <c r="AN625" s="160"/>
    </row>
    <row r="626" spans="3:40" x14ac:dyDescent="0.3">
      <c r="F626" s="210"/>
      <c r="H626" s="210"/>
      <c r="I626" s="210"/>
      <c r="J626" s="238"/>
      <c r="K626" s="238"/>
      <c r="L626" s="210"/>
      <c r="M626" s="210"/>
      <c r="N626" s="210"/>
      <c r="O626" s="210"/>
      <c r="P626" s="210"/>
      <c r="Q626" s="210"/>
      <c r="R626" s="210"/>
      <c r="V626" s="210"/>
      <c r="Y626" s="210"/>
      <c r="Z626" s="213"/>
      <c r="AA626" s="210"/>
      <c r="AB626" s="210"/>
      <c r="AC626" s="210"/>
      <c r="AD626" s="210"/>
      <c r="AE626" s="210"/>
      <c r="AF626" s="210"/>
      <c r="AI626" s="210"/>
      <c r="AJ626" s="210"/>
      <c r="AK626" s="214"/>
      <c r="AL626" s="210"/>
    </row>
    <row r="627" spans="3:40" x14ac:dyDescent="0.3">
      <c r="C627" s="42"/>
      <c r="F627" s="123"/>
      <c r="H627" s="123"/>
      <c r="I627" s="123"/>
      <c r="L627" s="123"/>
      <c r="M627" s="123"/>
      <c r="N627" s="160"/>
      <c r="O627" s="160"/>
      <c r="P627" s="184"/>
      <c r="Q627" s="184"/>
      <c r="R627" s="123"/>
      <c r="T627" s="42"/>
      <c r="V627" s="123"/>
      <c r="W627" s="123"/>
      <c r="X627" s="123"/>
      <c r="Y627" s="123"/>
      <c r="Z627" s="237"/>
      <c r="AA627" s="123"/>
      <c r="AB627" s="123"/>
      <c r="AC627" s="160"/>
      <c r="AD627" s="160"/>
      <c r="AE627" s="123"/>
      <c r="AF627" s="123"/>
      <c r="AH627" s="236"/>
      <c r="AI627" s="184"/>
      <c r="AJ627" s="184"/>
      <c r="AL627" s="123"/>
      <c r="AM627" s="160"/>
      <c r="AN627" s="160"/>
    </row>
    <row r="628" spans="3:40" x14ac:dyDescent="0.3">
      <c r="F628" s="210"/>
      <c r="H628" s="210"/>
      <c r="I628" s="210"/>
      <c r="J628" s="213"/>
      <c r="K628" s="213"/>
      <c r="L628" s="210"/>
      <c r="M628" s="210"/>
      <c r="N628" s="210"/>
      <c r="O628" s="210"/>
      <c r="P628" s="210"/>
      <c r="Q628" s="210"/>
      <c r="R628" s="210"/>
      <c r="V628" s="210"/>
      <c r="Y628" s="210"/>
      <c r="Z628" s="213"/>
      <c r="AA628" s="210"/>
      <c r="AB628" s="210"/>
      <c r="AC628" s="210"/>
      <c r="AD628" s="210"/>
      <c r="AE628" s="210"/>
      <c r="AF628" s="210"/>
      <c r="AI628" s="210"/>
      <c r="AJ628" s="210"/>
      <c r="AK628" s="214"/>
      <c r="AL628" s="210"/>
    </row>
    <row r="629" spans="3:40" x14ac:dyDescent="0.3">
      <c r="C629" s="42"/>
      <c r="D629" s="42"/>
      <c r="E629" s="42"/>
      <c r="T629" s="42"/>
      <c r="U629" s="42"/>
      <c r="V629" s="123"/>
      <c r="W629" s="123"/>
      <c r="X629" s="123"/>
      <c r="Y629" s="123"/>
      <c r="Z629" s="237"/>
    </row>
    <row r="630" spans="3:40" x14ac:dyDescent="0.3">
      <c r="C630" s="42"/>
      <c r="T630" s="42"/>
      <c r="V630" s="123"/>
      <c r="W630" s="123"/>
      <c r="X630" s="123"/>
      <c r="Y630" s="123"/>
      <c r="Z630" s="237"/>
    </row>
    <row r="631" spans="3:40" x14ac:dyDescent="0.3">
      <c r="C631" s="42"/>
      <c r="F631" s="184"/>
      <c r="H631" s="184"/>
      <c r="I631" s="184"/>
      <c r="J631" s="237"/>
      <c r="K631" s="237"/>
      <c r="L631" s="123"/>
      <c r="M631" s="123"/>
      <c r="N631" s="160"/>
      <c r="O631" s="160"/>
      <c r="P631" s="123"/>
      <c r="Q631" s="123"/>
      <c r="R631" s="123"/>
      <c r="T631" s="42"/>
      <c r="V631" s="123"/>
      <c r="W631" s="123"/>
      <c r="X631" s="123"/>
      <c r="Y631" s="123"/>
      <c r="Z631" s="237"/>
      <c r="AA631" s="123"/>
      <c r="AB631" s="123"/>
      <c r="AC631" s="160"/>
      <c r="AD631" s="160"/>
      <c r="AE631" s="123"/>
      <c r="AF631" s="123"/>
      <c r="AH631" s="236"/>
      <c r="AI631" s="123"/>
      <c r="AJ631" s="123"/>
      <c r="AL631" s="123"/>
      <c r="AM631" s="160"/>
      <c r="AN631" s="160"/>
    </row>
    <row r="632" spans="3:40" x14ac:dyDescent="0.3">
      <c r="C632" s="42"/>
      <c r="T632" s="42"/>
      <c r="V632" s="123"/>
      <c r="W632" s="123"/>
      <c r="X632" s="123"/>
      <c r="Y632" s="123"/>
      <c r="Z632" s="237"/>
    </row>
    <row r="633" spans="3:40" x14ac:dyDescent="0.3">
      <c r="C633" s="42"/>
      <c r="F633" s="184"/>
      <c r="H633" s="184"/>
      <c r="I633" s="184"/>
      <c r="J633" s="237"/>
      <c r="K633" s="237"/>
      <c r="L633" s="123"/>
      <c r="M633" s="123"/>
      <c r="N633" s="160"/>
      <c r="O633" s="160"/>
      <c r="P633" s="123"/>
      <c r="Q633" s="123"/>
      <c r="R633" s="123"/>
      <c r="T633" s="42"/>
      <c r="V633" s="123"/>
      <c r="W633" s="123"/>
      <c r="X633" s="123"/>
      <c r="Y633" s="123"/>
      <c r="Z633" s="237"/>
      <c r="AA633" s="123"/>
      <c r="AB633" s="123"/>
      <c r="AC633" s="160"/>
      <c r="AD633" s="160"/>
      <c r="AE633" s="123"/>
      <c r="AF633" s="123"/>
      <c r="AH633" s="236"/>
      <c r="AI633" s="123"/>
      <c r="AJ633" s="123"/>
      <c r="AL633" s="123"/>
      <c r="AM633" s="160"/>
      <c r="AN633" s="160"/>
    </row>
    <row r="634" spans="3:40" x14ac:dyDescent="0.3">
      <c r="C634" s="42"/>
      <c r="T634" s="42"/>
      <c r="V634" s="123"/>
      <c r="W634" s="123"/>
      <c r="X634" s="123"/>
      <c r="Y634" s="123"/>
      <c r="Z634" s="237"/>
    </row>
    <row r="635" spans="3:40" x14ac:dyDescent="0.3">
      <c r="C635" s="42"/>
      <c r="F635" s="184"/>
      <c r="H635" s="184"/>
      <c r="I635" s="184"/>
      <c r="J635" s="237"/>
      <c r="K635" s="237"/>
      <c r="L635" s="123"/>
      <c r="M635" s="123"/>
      <c r="N635" s="160"/>
      <c r="O635" s="160"/>
      <c r="P635" s="123"/>
      <c r="Q635" s="123"/>
      <c r="R635" s="123"/>
      <c r="T635" s="42"/>
      <c r="V635" s="123"/>
      <c r="W635" s="123"/>
      <c r="X635" s="123"/>
      <c r="Y635" s="123"/>
      <c r="Z635" s="237"/>
      <c r="AA635" s="123"/>
      <c r="AB635" s="123"/>
      <c r="AC635" s="160"/>
      <c r="AD635" s="160"/>
      <c r="AE635" s="123"/>
      <c r="AF635" s="123"/>
      <c r="AH635" s="236"/>
      <c r="AI635" s="123"/>
      <c r="AJ635" s="123"/>
      <c r="AL635" s="123"/>
      <c r="AM635" s="160"/>
      <c r="AN635" s="160"/>
    </row>
    <row r="636" spans="3:40" x14ac:dyDescent="0.3">
      <c r="C636" s="42"/>
      <c r="T636" s="42"/>
      <c r="V636" s="123"/>
      <c r="W636" s="123"/>
      <c r="X636" s="123"/>
      <c r="Y636" s="123"/>
      <c r="Z636" s="237"/>
    </row>
    <row r="637" spans="3:40" x14ac:dyDescent="0.3">
      <c r="C637" s="42"/>
      <c r="F637" s="184"/>
      <c r="H637" s="184"/>
      <c r="I637" s="184"/>
      <c r="J637" s="237"/>
      <c r="K637" s="237"/>
      <c r="L637" s="123"/>
      <c r="M637" s="123"/>
      <c r="N637" s="160"/>
      <c r="O637" s="160"/>
      <c r="P637" s="123"/>
      <c r="Q637" s="123"/>
      <c r="R637" s="123"/>
      <c r="T637" s="42"/>
      <c r="V637" s="123"/>
      <c r="W637" s="123"/>
      <c r="X637" s="123"/>
      <c r="Y637" s="123"/>
      <c r="Z637" s="237"/>
      <c r="AA637" s="123"/>
      <c r="AB637" s="123"/>
      <c r="AC637" s="160"/>
      <c r="AD637" s="160"/>
      <c r="AE637" s="123"/>
      <c r="AF637" s="123"/>
      <c r="AH637" s="236"/>
      <c r="AI637" s="123"/>
      <c r="AJ637" s="123"/>
      <c r="AL637" s="123"/>
      <c r="AM637" s="160"/>
      <c r="AN637" s="160"/>
    </row>
    <row r="638" spans="3:40" x14ac:dyDescent="0.3">
      <c r="F638" s="210"/>
      <c r="H638" s="210"/>
      <c r="I638" s="210"/>
      <c r="J638" s="213"/>
      <c r="K638" s="213"/>
      <c r="L638" s="210"/>
      <c r="M638" s="210"/>
      <c r="N638" s="210"/>
      <c r="O638" s="210"/>
      <c r="P638" s="210"/>
      <c r="Q638" s="210"/>
      <c r="R638" s="210"/>
      <c r="V638" s="210"/>
      <c r="Y638" s="210"/>
      <c r="Z638" s="213"/>
      <c r="AA638" s="210"/>
      <c r="AB638" s="210"/>
      <c r="AC638" s="210"/>
      <c r="AD638" s="210"/>
      <c r="AE638" s="210"/>
      <c r="AF638" s="210"/>
      <c r="AI638" s="210"/>
      <c r="AJ638" s="210"/>
      <c r="AK638" s="214"/>
      <c r="AL638" s="210"/>
    </row>
    <row r="639" spans="3:40" x14ac:dyDescent="0.3">
      <c r="C639" s="42"/>
      <c r="F639" s="123"/>
      <c r="H639" s="123"/>
      <c r="I639" s="123"/>
      <c r="L639" s="123"/>
      <c r="M639" s="123"/>
      <c r="N639" s="160"/>
      <c r="O639" s="160"/>
      <c r="P639" s="184"/>
      <c r="Q639" s="184"/>
      <c r="R639" s="123"/>
      <c r="T639" s="42"/>
      <c r="V639" s="123"/>
      <c r="W639" s="123"/>
      <c r="X639" s="123"/>
      <c r="Y639" s="123"/>
      <c r="Z639" s="237"/>
      <c r="AA639" s="123"/>
      <c r="AB639" s="123"/>
      <c r="AC639" s="160"/>
      <c r="AD639" s="160"/>
      <c r="AE639" s="123"/>
      <c r="AF639" s="123"/>
      <c r="AH639" s="236"/>
      <c r="AI639" s="184"/>
      <c r="AJ639" s="184"/>
      <c r="AL639" s="123"/>
      <c r="AM639" s="160"/>
      <c r="AN639" s="160"/>
    </row>
    <row r="640" spans="3:40" x14ac:dyDescent="0.3">
      <c r="F640" s="210"/>
      <c r="H640" s="210"/>
      <c r="I640" s="210"/>
      <c r="J640" s="213"/>
      <c r="K640" s="213"/>
      <c r="L640" s="210"/>
      <c r="M640" s="210"/>
      <c r="N640" s="210"/>
      <c r="O640" s="210"/>
      <c r="P640" s="210"/>
      <c r="Q640" s="210"/>
      <c r="R640" s="210"/>
      <c r="V640" s="210"/>
      <c r="Y640" s="210"/>
      <c r="Z640" s="213"/>
      <c r="AA640" s="210"/>
      <c r="AB640" s="210"/>
      <c r="AC640" s="210"/>
      <c r="AD640" s="210"/>
      <c r="AE640" s="210"/>
      <c r="AF640" s="210"/>
      <c r="AI640" s="210"/>
      <c r="AJ640" s="210"/>
      <c r="AK640" s="214"/>
      <c r="AL640" s="210"/>
    </row>
    <row r="641" spans="1:40" x14ac:dyDescent="0.3">
      <c r="C641" s="42"/>
      <c r="F641" s="123"/>
      <c r="H641" s="123"/>
      <c r="I641" s="123"/>
      <c r="L641" s="123"/>
      <c r="M641" s="123"/>
      <c r="N641" s="160"/>
      <c r="O641" s="160"/>
      <c r="P641" s="123"/>
      <c r="Q641" s="123"/>
      <c r="R641" s="123"/>
      <c r="T641" s="42"/>
      <c r="V641" s="123"/>
      <c r="W641" s="123"/>
      <c r="X641" s="123"/>
      <c r="Y641" s="123"/>
      <c r="AA641" s="123"/>
      <c r="AB641" s="123"/>
      <c r="AC641" s="160"/>
      <c r="AD641" s="160"/>
      <c r="AE641" s="123"/>
      <c r="AF641" s="123"/>
      <c r="AH641" s="236"/>
      <c r="AI641" s="123"/>
      <c r="AJ641" s="123"/>
      <c r="AL641" s="123"/>
      <c r="AM641" s="236"/>
      <c r="AN641" s="236"/>
    </row>
    <row r="642" spans="1:40" x14ac:dyDescent="0.3">
      <c r="F642" s="210"/>
      <c r="H642" s="210"/>
      <c r="I642" s="210"/>
      <c r="J642" s="213"/>
      <c r="K642" s="213"/>
      <c r="L642" s="210"/>
      <c r="M642" s="210"/>
      <c r="N642" s="210"/>
      <c r="O642" s="210"/>
      <c r="P642" s="210"/>
      <c r="Q642" s="210"/>
      <c r="R642" s="210"/>
      <c r="V642" s="210"/>
      <c r="Y642" s="210"/>
      <c r="Z642" s="213"/>
      <c r="AA642" s="210"/>
      <c r="AB642" s="210"/>
      <c r="AC642" s="210"/>
      <c r="AD642" s="210"/>
      <c r="AE642" s="210"/>
      <c r="AF642" s="210"/>
      <c r="AI642" s="210"/>
      <c r="AJ642" s="210"/>
      <c r="AK642" s="214"/>
      <c r="AL642" s="210"/>
    </row>
    <row r="645" spans="1:40" x14ac:dyDescent="0.3">
      <c r="A645" s="42"/>
    </row>
    <row r="647" spans="1:40" x14ac:dyDescent="0.3">
      <c r="H647" s="42"/>
      <c r="I647" s="42"/>
      <c r="Y647" s="42"/>
    </row>
    <row r="649" spans="1:40" x14ac:dyDescent="0.3">
      <c r="L649" s="42"/>
      <c r="M649" s="42"/>
      <c r="AA649" s="42"/>
      <c r="AB649" s="42"/>
    </row>
    <row r="650" spans="1:40" x14ac:dyDescent="0.3">
      <c r="R650" s="42"/>
      <c r="AK650" s="206"/>
      <c r="AL650" s="42"/>
    </row>
    <row r="651" spans="1:40" x14ac:dyDescent="0.3">
      <c r="R651" s="42"/>
      <c r="AK651" s="206"/>
      <c r="AL651" s="42"/>
    </row>
    <row r="652" spans="1:40" x14ac:dyDescent="0.3">
      <c r="A652" s="42"/>
      <c r="R652" s="42"/>
      <c r="AK652" s="206"/>
      <c r="AL652" s="42"/>
    </row>
    <row r="653" spans="1:40" x14ac:dyDescent="0.3">
      <c r="L653" s="42"/>
      <c r="M653" s="42"/>
      <c r="AA653" s="42"/>
      <c r="AB653" s="42"/>
    </row>
    <row r="654" spans="1:40" x14ac:dyDescent="0.3">
      <c r="A654" s="135"/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207"/>
      <c r="AH654" s="135"/>
      <c r="AI654" s="135"/>
      <c r="AJ654" s="135"/>
      <c r="AK654" s="207"/>
      <c r="AL654" s="135"/>
      <c r="AM654" s="135"/>
      <c r="AN654" s="135"/>
    </row>
    <row r="655" spans="1:40" x14ac:dyDescent="0.3">
      <c r="L655" s="44"/>
      <c r="M655" s="44"/>
      <c r="N655" s="44"/>
      <c r="O655" s="44"/>
      <c r="R655" s="44"/>
      <c r="AA655" s="44"/>
      <c r="AB655" s="44"/>
      <c r="AC655" s="44"/>
      <c r="AD655" s="44"/>
      <c r="AE655" s="44"/>
      <c r="AF655" s="44"/>
      <c r="AG655" s="168"/>
      <c r="AH655" s="44"/>
      <c r="AK655" s="168"/>
      <c r="AL655" s="44"/>
      <c r="AM655" s="44"/>
      <c r="AN655" s="44"/>
    </row>
    <row r="656" spans="1:40" x14ac:dyDescent="0.3">
      <c r="L656" s="44"/>
      <c r="M656" s="44"/>
      <c r="N656" s="44"/>
      <c r="O656" s="44"/>
      <c r="R656" s="44"/>
      <c r="Z656" s="44"/>
      <c r="AA656" s="44"/>
      <c r="AB656" s="44"/>
      <c r="AC656" s="44"/>
      <c r="AD656" s="44"/>
      <c r="AE656" s="44"/>
      <c r="AF656" s="44"/>
      <c r="AG656" s="168"/>
      <c r="AH656" s="44"/>
      <c r="AK656" s="168"/>
      <c r="AL656" s="44"/>
      <c r="AM656" s="44"/>
      <c r="AN656" s="44"/>
    </row>
    <row r="657" spans="1:40" x14ac:dyDescent="0.3">
      <c r="A657" s="44"/>
      <c r="C657" s="44"/>
      <c r="D657" s="44"/>
      <c r="E657" s="44"/>
      <c r="F657" s="44"/>
      <c r="J657" s="44"/>
      <c r="K657" s="44"/>
      <c r="L657" s="44"/>
      <c r="M657" s="44"/>
      <c r="N657" s="44"/>
      <c r="O657" s="44"/>
      <c r="P657" s="44"/>
      <c r="Q657" s="44"/>
      <c r="R657" s="44"/>
      <c r="T657" s="44"/>
      <c r="U657" s="44"/>
      <c r="V657" s="44"/>
      <c r="Z657" s="44"/>
      <c r="AA657" s="44"/>
      <c r="AB657" s="44"/>
      <c r="AC657" s="44"/>
      <c r="AD657" s="44"/>
      <c r="AE657" s="44"/>
      <c r="AF657" s="44"/>
      <c r="AG657" s="168"/>
      <c r="AH657" s="44"/>
      <c r="AI657" s="44"/>
      <c r="AJ657" s="44"/>
      <c r="AK657" s="168"/>
      <c r="AL657" s="44"/>
      <c r="AM657" s="44"/>
      <c r="AN657" s="44"/>
    </row>
    <row r="658" spans="1:40" x14ac:dyDescent="0.3">
      <c r="A658" s="44"/>
      <c r="C658" s="44"/>
      <c r="D658" s="44"/>
      <c r="E658" s="44"/>
      <c r="F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T658" s="44"/>
      <c r="U658" s="44"/>
      <c r="V658" s="44"/>
      <c r="Y658" s="44"/>
      <c r="Z658" s="44"/>
      <c r="AA658" s="44"/>
      <c r="AB658" s="44"/>
      <c r="AC658" s="44"/>
      <c r="AD658" s="44"/>
      <c r="AE658" s="44"/>
      <c r="AF658" s="44"/>
      <c r="AG658" s="168"/>
      <c r="AH658" s="44"/>
      <c r="AI658" s="44"/>
      <c r="AJ658" s="44"/>
      <c r="AK658" s="168"/>
      <c r="AL658" s="44"/>
      <c r="AM658" s="44"/>
      <c r="AN658" s="44"/>
    </row>
    <row r="659" spans="1:40" x14ac:dyDescent="0.3">
      <c r="C659" s="44"/>
      <c r="D659" s="44"/>
      <c r="E659" s="44"/>
      <c r="F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T659" s="44"/>
      <c r="U659" s="44"/>
      <c r="V659" s="44"/>
      <c r="Y659" s="44"/>
      <c r="Z659" s="44"/>
      <c r="AA659" s="44"/>
      <c r="AB659" s="44"/>
      <c r="AC659" s="44"/>
      <c r="AD659" s="44"/>
      <c r="AE659" s="44"/>
      <c r="AF659" s="44"/>
      <c r="AG659" s="168"/>
      <c r="AH659" s="44"/>
      <c r="AI659" s="44"/>
      <c r="AJ659" s="44"/>
      <c r="AK659" s="168"/>
      <c r="AL659" s="44"/>
      <c r="AM659" s="44"/>
      <c r="AN659" s="44"/>
    </row>
    <row r="660" spans="1:40" x14ac:dyDescent="0.3">
      <c r="A660" s="135"/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207"/>
      <c r="AH660" s="135"/>
      <c r="AI660" s="135"/>
      <c r="AJ660" s="135"/>
      <c r="AK660" s="207"/>
      <c r="AL660" s="135"/>
      <c r="AM660" s="135"/>
      <c r="AN660" s="135"/>
    </row>
    <row r="661" spans="1:40" x14ac:dyDescent="0.3"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Y661" s="44"/>
      <c r="Z661" s="44"/>
      <c r="AA661" s="44"/>
      <c r="AB661" s="44"/>
      <c r="AC661" s="44"/>
      <c r="AD661" s="44"/>
      <c r="AE661" s="44"/>
      <c r="AF661" s="44"/>
      <c r="AG661" s="168"/>
      <c r="AH661" s="44"/>
      <c r="AI661" s="44"/>
      <c r="AJ661" s="44"/>
      <c r="AK661" s="168"/>
      <c r="AL661" s="44"/>
      <c r="AM661" s="44"/>
      <c r="AN661" s="44"/>
    </row>
    <row r="662" spans="1:40" x14ac:dyDescent="0.3">
      <c r="C662" s="42"/>
      <c r="D662" s="42"/>
      <c r="E662" s="42"/>
      <c r="F662" s="123"/>
      <c r="H662" s="123"/>
      <c r="I662" s="123"/>
      <c r="J662" s="219"/>
      <c r="K662" s="219"/>
      <c r="L662" s="123"/>
      <c r="M662" s="123"/>
      <c r="N662" s="219"/>
      <c r="O662" s="219"/>
      <c r="P662" s="123"/>
      <c r="Q662" s="123"/>
      <c r="R662" s="123"/>
      <c r="T662" s="42"/>
      <c r="U662" s="42"/>
      <c r="V662" s="123"/>
      <c r="Y662" s="123"/>
      <c r="Z662" s="219"/>
      <c r="AA662" s="123"/>
      <c r="AB662" s="123"/>
      <c r="AC662" s="219"/>
      <c r="AD662" s="219"/>
      <c r="AE662" s="123"/>
      <c r="AF662" s="123"/>
      <c r="AH662" s="236"/>
      <c r="AI662" s="123"/>
      <c r="AJ662" s="123"/>
      <c r="AL662" s="123"/>
      <c r="AM662" s="160"/>
      <c r="AN662" s="160"/>
    </row>
    <row r="663" spans="1:40" x14ac:dyDescent="0.3">
      <c r="F663" s="210"/>
      <c r="H663" s="210"/>
      <c r="I663" s="210"/>
      <c r="J663" s="213"/>
      <c r="K663" s="213"/>
      <c r="L663" s="210"/>
      <c r="M663" s="210"/>
      <c r="N663" s="210"/>
      <c r="O663" s="210"/>
      <c r="P663" s="210"/>
      <c r="Q663" s="210"/>
      <c r="R663" s="210"/>
      <c r="V663" s="210"/>
      <c r="Y663" s="210"/>
      <c r="Z663" s="213"/>
      <c r="AA663" s="210"/>
      <c r="AB663" s="210"/>
      <c r="AC663" s="210"/>
      <c r="AD663" s="210"/>
      <c r="AE663" s="210"/>
      <c r="AF663" s="210"/>
      <c r="AI663" s="210"/>
      <c r="AJ663" s="210"/>
      <c r="AK663" s="214"/>
      <c r="AL663" s="210"/>
      <c r="AM663" s="160"/>
      <c r="AN663" s="160"/>
    </row>
    <row r="664" spans="1:40" x14ac:dyDescent="0.3">
      <c r="C664" s="42"/>
      <c r="F664" s="123"/>
      <c r="H664" s="123"/>
      <c r="I664" s="123"/>
      <c r="J664" s="219"/>
      <c r="K664" s="219"/>
      <c r="L664" s="123"/>
      <c r="M664" s="123"/>
      <c r="N664" s="219"/>
      <c r="O664" s="219"/>
      <c r="P664" s="123"/>
      <c r="Q664" s="123"/>
      <c r="R664" s="123"/>
      <c r="T664" s="42"/>
      <c r="V664" s="123"/>
      <c r="Y664" s="123"/>
      <c r="Z664" s="219"/>
      <c r="AA664" s="123"/>
      <c r="AB664" s="123"/>
      <c r="AC664" s="219"/>
      <c r="AD664" s="219"/>
      <c r="AE664" s="123"/>
      <c r="AF664" s="123"/>
      <c r="AH664" s="236"/>
      <c r="AI664" s="123"/>
      <c r="AJ664" s="123"/>
      <c r="AL664" s="123"/>
      <c r="AM664" s="160"/>
      <c r="AN664" s="160"/>
    </row>
    <row r="665" spans="1:40" x14ac:dyDescent="0.3">
      <c r="F665" s="123"/>
      <c r="H665" s="123"/>
      <c r="I665" s="123"/>
      <c r="J665" s="219"/>
      <c r="K665" s="219"/>
      <c r="L665" s="123"/>
      <c r="M665" s="123"/>
      <c r="N665" s="219"/>
      <c r="O665" s="219"/>
      <c r="P665" s="123"/>
      <c r="Q665" s="123"/>
      <c r="R665" s="123"/>
      <c r="V665" s="123"/>
      <c r="Y665" s="123"/>
      <c r="Z665" s="219"/>
      <c r="AA665" s="123"/>
      <c r="AB665" s="123"/>
      <c r="AC665" s="219"/>
      <c r="AD665" s="219"/>
      <c r="AH665" s="236"/>
      <c r="AI665" s="123"/>
      <c r="AJ665" s="123"/>
      <c r="AL665" s="123"/>
      <c r="AM665" s="160"/>
      <c r="AN665" s="160"/>
    </row>
    <row r="666" spans="1:40" x14ac:dyDescent="0.3">
      <c r="C666" s="42"/>
      <c r="D666" s="42"/>
      <c r="E666" s="42"/>
      <c r="F666" s="123"/>
      <c r="H666" s="123"/>
      <c r="I666" s="123"/>
      <c r="J666" s="219"/>
      <c r="K666" s="219"/>
      <c r="L666" s="123"/>
      <c r="M666" s="123"/>
      <c r="N666" s="219"/>
      <c r="O666" s="219"/>
      <c r="P666" s="123"/>
      <c r="Q666" s="123"/>
      <c r="R666" s="123"/>
      <c r="T666" s="42"/>
      <c r="U666" s="42"/>
      <c r="V666" s="123"/>
      <c r="Y666" s="123"/>
      <c r="Z666" s="219"/>
      <c r="AA666" s="123"/>
      <c r="AB666" s="123"/>
      <c r="AC666" s="219"/>
      <c r="AD666" s="219"/>
      <c r="AE666" s="123"/>
      <c r="AF666" s="123"/>
      <c r="AH666" s="236"/>
      <c r="AI666" s="123"/>
      <c r="AJ666" s="123"/>
      <c r="AL666" s="123"/>
      <c r="AM666" s="160"/>
      <c r="AN666" s="160"/>
    </row>
    <row r="667" spans="1:40" x14ac:dyDescent="0.3">
      <c r="C667" s="42"/>
      <c r="D667" s="42"/>
      <c r="E667" s="42"/>
      <c r="F667" s="123"/>
      <c r="H667" s="123"/>
      <c r="I667" s="123"/>
      <c r="J667" s="219"/>
      <c r="K667" s="219"/>
      <c r="L667" s="123"/>
      <c r="M667" s="123"/>
      <c r="N667" s="219"/>
      <c r="O667" s="219"/>
      <c r="P667" s="123"/>
      <c r="Q667" s="123"/>
      <c r="R667" s="123"/>
      <c r="T667" s="42"/>
      <c r="U667" s="42"/>
      <c r="V667" s="123"/>
      <c r="Y667" s="123"/>
      <c r="Z667" s="219"/>
      <c r="AA667" s="123"/>
      <c r="AB667" s="123"/>
      <c r="AC667" s="219"/>
      <c r="AD667" s="219"/>
      <c r="AE667" s="123"/>
      <c r="AF667" s="123"/>
      <c r="AH667" s="236"/>
      <c r="AI667" s="123"/>
      <c r="AJ667" s="123"/>
      <c r="AL667" s="123"/>
      <c r="AM667" s="160"/>
      <c r="AN667" s="160"/>
    </row>
    <row r="668" spans="1:40" x14ac:dyDescent="0.3">
      <c r="C668" s="42"/>
      <c r="D668" s="42"/>
      <c r="E668" s="42"/>
      <c r="F668" s="123"/>
      <c r="H668" s="123"/>
      <c r="I668" s="123"/>
      <c r="J668" s="219"/>
      <c r="K668" s="219"/>
      <c r="L668" s="123"/>
      <c r="M668" s="123"/>
      <c r="N668" s="219"/>
      <c r="O668" s="219"/>
      <c r="P668" s="123"/>
      <c r="Q668" s="123"/>
      <c r="R668" s="123"/>
      <c r="T668" s="42"/>
      <c r="U668" s="42"/>
      <c r="V668" s="123"/>
      <c r="Y668" s="123"/>
      <c r="Z668" s="219"/>
      <c r="AA668" s="123"/>
      <c r="AB668" s="123"/>
      <c r="AC668" s="219"/>
      <c r="AD668" s="219"/>
      <c r="AE668" s="123"/>
      <c r="AF668" s="123"/>
      <c r="AH668" s="236"/>
      <c r="AI668" s="123"/>
      <c r="AJ668" s="123"/>
      <c r="AL668" s="123"/>
      <c r="AM668" s="160"/>
      <c r="AN668" s="160"/>
    </row>
    <row r="669" spans="1:40" x14ac:dyDescent="0.3">
      <c r="C669" s="42"/>
      <c r="D669" s="42"/>
      <c r="E669" s="42"/>
      <c r="F669" s="123"/>
      <c r="H669" s="123"/>
      <c r="I669" s="123"/>
      <c r="J669" s="219"/>
      <c r="K669" s="219"/>
      <c r="L669" s="123"/>
      <c r="M669" s="123"/>
      <c r="N669" s="219"/>
      <c r="O669" s="219"/>
      <c r="P669" s="123"/>
      <c r="Q669" s="123"/>
      <c r="R669" s="123"/>
      <c r="T669" s="42"/>
      <c r="U669" s="42"/>
      <c r="V669" s="123"/>
      <c r="Y669" s="123"/>
      <c r="Z669" s="219"/>
      <c r="AA669" s="123"/>
      <c r="AB669" s="123"/>
      <c r="AC669" s="219"/>
      <c r="AD669" s="219"/>
      <c r="AE669" s="123"/>
      <c r="AF669" s="123"/>
      <c r="AH669" s="236"/>
      <c r="AI669" s="123"/>
      <c r="AJ669" s="123"/>
      <c r="AL669" s="123"/>
      <c r="AM669" s="160"/>
      <c r="AN669" s="160"/>
    </row>
    <row r="670" spans="1:40" x14ac:dyDescent="0.3">
      <c r="C670" s="42"/>
      <c r="D670" s="42"/>
      <c r="E670" s="42"/>
      <c r="F670" s="123"/>
      <c r="H670" s="123"/>
      <c r="I670" s="123"/>
      <c r="J670" s="219"/>
      <c r="K670" s="219"/>
      <c r="L670" s="123"/>
      <c r="M670" s="123"/>
      <c r="N670" s="219"/>
      <c r="O670" s="219"/>
      <c r="P670" s="123"/>
      <c r="Q670" s="123"/>
      <c r="R670" s="123"/>
      <c r="T670" s="42"/>
      <c r="U670" s="42"/>
      <c r="V670" s="123"/>
      <c r="Y670" s="123"/>
      <c r="Z670" s="219"/>
      <c r="AA670" s="123"/>
      <c r="AB670" s="123"/>
      <c r="AC670" s="219"/>
      <c r="AD670" s="219"/>
      <c r="AE670" s="123"/>
      <c r="AF670" s="123"/>
      <c r="AH670" s="236"/>
      <c r="AI670" s="123"/>
      <c r="AJ670" s="123"/>
      <c r="AL670" s="123"/>
      <c r="AM670" s="160"/>
      <c r="AN670" s="160"/>
    </row>
    <row r="671" spans="1:40" x14ac:dyDescent="0.3">
      <c r="C671" s="42"/>
      <c r="D671" s="42"/>
      <c r="E671" s="42"/>
      <c r="F671" s="123"/>
      <c r="H671" s="123"/>
      <c r="I671" s="123"/>
      <c r="J671" s="219"/>
      <c r="K671" s="219"/>
      <c r="L671" s="123"/>
      <c r="M671" s="123"/>
      <c r="N671" s="219"/>
      <c r="O671" s="219"/>
      <c r="P671" s="123"/>
      <c r="Q671" s="123"/>
      <c r="R671" s="123"/>
      <c r="T671" s="42"/>
      <c r="U671" s="42"/>
      <c r="V671" s="123"/>
      <c r="Y671" s="123"/>
      <c r="Z671" s="219"/>
      <c r="AA671" s="123"/>
      <c r="AB671" s="123"/>
      <c r="AC671" s="219"/>
      <c r="AD671" s="219"/>
      <c r="AE671" s="123"/>
      <c r="AF671" s="123"/>
      <c r="AH671" s="236"/>
      <c r="AI671" s="123"/>
      <c r="AJ671" s="123"/>
      <c r="AL671" s="123"/>
      <c r="AM671" s="160"/>
      <c r="AN671" s="160"/>
    </row>
    <row r="672" spans="1:40" x14ac:dyDescent="0.3">
      <c r="F672" s="210"/>
      <c r="H672" s="210"/>
      <c r="I672" s="210"/>
      <c r="J672" s="213"/>
      <c r="K672" s="213"/>
      <c r="L672" s="210"/>
      <c r="M672" s="210"/>
      <c r="N672" s="210"/>
      <c r="O672" s="210"/>
      <c r="P672" s="210"/>
      <c r="Q672" s="210"/>
      <c r="R672" s="210"/>
      <c r="V672" s="210"/>
      <c r="Y672" s="210"/>
      <c r="Z672" s="213"/>
      <c r="AA672" s="210"/>
      <c r="AB672" s="210"/>
      <c r="AC672" s="210"/>
      <c r="AD672" s="210"/>
      <c r="AE672" s="210"/>
      <c r="AF672" s="210"/>
      <c r="AI672" s="210"/>
      <c r="AJ672" s="210"/>
      <c r="AK672" s="214"/>
      <c r="AL672" s="210"/>
      <c r="AM672" s="160"/>
      <c r="AN672" s="160"/>
    </row>
    <row r="673" spans="3:40" x14ac:dyDescent="0.3">
      <c r="C673" s="42"/>
      <c r="F673" s="123"/>
      <c r="H673" s="123"/>
      <c r="I673" s="123"/>
      <c r="J673" s="219"/>
      <c r="K673" s="219"/>
      <c r="L673" s="123"/>
      <c r="M673" s="123"/>
      <c r="N673" s="219"/>
      <c r="O673" s="219"/>
      <c r="P673" s="123"/>
      <c r="Q673" s="123"/>
      <c r="R673" s="123"/>
      <c r="T673" s="42"/>
      <c r="V673" s="123"/>
      <c r="Y673" s="123"/>
      <c r="Z673" s="219"/>
      <c r="AA673" s="123"/>
      <c r="AB673" s="123"/>
      <c r="AC673" s="219"/>
      <c r="AD673" s="219"/>
      <c r="AE673" s="123"/>
      <c r="AF673" s="123"/>
      <c r="AH673" s="236"/>
      <c r="AI673" s="123"/>
      <c r="AJ673" s="123"/>
      <c r="AL673" s="123"/>
      <c r="AM673" s="160"/>
      <c r="AN673" s="160"/>
    </row>
    <row r="674" spans="3:40" x14ac:dyDescent="0.3">
      <c r="F674" s="123"/>
      <c r="H674" s="123"/>
      <c r="I674" s="123"/>
      <c r="J674" s="219"/>
      <c r="K674" s="219"/>
      <c r="L674" s="123"/>
      <c r="M674" s="123"/>
      <c r="N674" s="219"/>
      <c r="O674" s="219"/>
      <c r="P674" s="123"/>
      <c r="Q674" s="123"/>
      <c r="R674" s="123"/>
      <c r="V674" s="123"/>
      <c r="Y674" s="123"/>
      <c r="Z674" s="219"/>
      <c r="AA674" s="123"/>
      <c r="AB674" s="123"/>
      <c r="AC674" s="219"/>
      <c r="AD674" s="219"/>
      <c r="AH674" s="236"/>
      <c r="AI674" s="123"/>
      <c r="AJ674" s="123"/>
      <c r="AL674" s="123"/>
      <c r="AM674" s="160"/>
      <c r="AN674" s="160"/>
    </row>
    <row r="675" spans="3:40" x14ac:dyDescent="0.3">
      <c r="C675" s="42"/>
      <c r="D675" s="42"/>
      <c r="E675" s="42"/>
      <c r="F675" s="123"/>
      <c r="H675" s="123"/>
      <c r="I675" s="123"/>
      <c r="J675" s="219"/>
      <c r="K675" s="219"/>
      <c r="L675" s="123"/>
      <c r="M675" s="123"/>
      <c r="N675" s="219"/>
      <c r="O675" s="219"/>
      <c r="P675" s="123"/>
      <c r="Q675" s="123"/>
      <c r="R675" s="123"/>
      <c r="T675" s="42"/>
      <c r="U675" s="42"/>
      <c r="V675" s="123"/>
      <c r="Y675" s="123"/>
      <c r="Z675" s="219"/>
      <c r="AA675" s="123"/>
      <c r="AB675" s="123"/>
      <c r="AC675" s="219"/>
      <c r="AD675" s="219"/>
      <c r="AE675" s="123"/>
      <c r="AF675" s="123"/>
      <c r="AH675" s="236"/>
      <c r="AI675" s="123"/>
      <c r="AJ675" s="123"/>
      <c r="AL675" s="123"/>
      <c r="AM675" s="160"/>
      <c r="AN675" s="160"/>
    </row>
    <row r="676" spans="3:40" x14ac:dyDescent="0.3">
      <c r="F676" s="210"/>
      <c r="H676" s="210"/>
      <c r="I676" s="210"/>
      <c r="J676" s="213"/>
      <c r="K676" s="213"/>
      <c r="L676" s="210"/>
      <c r="M676" s="210"/>
      <c r="N676" s="210"/>
      <c r="O676" s="210"/>
      <c r="P676" s="210"/>
      <c r="Q676" s="210"/>
      <c r="R676" s="210"/>
      <c r="V676" s="210"/>
      <c r="Y676" s="210"/>
      <c r="Z676" s="213"/>
      <c r="AA676" s="210"/>
      <c r="AB676" s="210"/>
      <c r="AC676" s="210"/>
      <c r="AD676" s="210"/>
      <c r="AE676" s="210"/>
      <c r="AF676" s="210"/>
      <c r="AI676" s="210"/>
      <c r="AJ676" s="210"/>
      <c r="AK676" s="214"/>
      <c r="AL676" s="210"/>
      <c r="AM676" s="160"/>
      <c r="AN676" s="160"/>
    </row>
    <row r="677" spans="3:40" x14ac:dyDescent="0.3">
      <c r="C677" s="42"/>
      <c r="F677" s="123"/>
      <c r="H677" s="123"/>
      <c r="I677" s="123"/>
      <c r="J677" s="219"/>
      <c r="K677" s="219"/>
      <c r="L677" s="123"/>
      <c r="M677" s="123"/>
      <c r="N677" s="219"/>
      <c r="O677" s="219"/>
      <c r="P677" s="123"/>
      <c r="Q677" s="123"/>
      <c r="R677" s="123"/>
      <c r="T677" s="42"/>
      <c r="V677" s="123"/>
      <c r="Y677" s="123"/>
      <c r="Z677" s="219"/>
      <c r="AA677" s="123"/>
      <c r="AB677" s="123"/>
      <c r="AC677" s="219"/>
      <c r="AD677" s="219"/>
      <c r="AE677" s="123"/>
      <c r="AF677" s="123"/>
      <c r="AH677" s="236"/>
      <c r="AI677" s="123"/>
      <c r="AJ677" s="123"/>
      <c r="AL677" s="123"/>
      <c r="AM677" s="160"/>
      <c r="AN677" s="160"/>
    </row>
    <row r="678" spans="3:40" x14ac:dyDescent="0.3">
      <c r="F678" s="123"/>
      <c r="H678" s="123"/>
      <c r="I678" s="123"/>
      <c r="J678" s="219"/>
      <c r="K678" s="219"/>
      <c r="L678" s="123"/>
      <c r="M678" s="123"/>
      <c r="N678" s="219"/>
      <c r="O678" s="219"/>
      <c r="P678" s="123"/>
      <c r="Q678" s="123"/>
      <c r="R678" s="123"/>
      <c r="V678" s="123"/>
      <c r="Y678" s="123"/>
      <c r="Z678" s="219"/>
      <c r="AA678" s="123"/>
      <c r="AB678" s="123"/>
      <c r="AC678" s="219"/>
      <c r="AD678" s="219"/>
      <c r="AH678" s="236"/>
      <c r="AI678" s="123"/>
      <c r="AJ678" s="123"/>
      <c r="AL678" s="123"/>
      <c r="AM678" s="160"/>
      <c r="AN678" s="160"/>
    </row>
    <row r="679" spans="3:40" x14ac:dyDescent="0.3">
      <c r="C679" s="42"/>
      <c r="D679" s="42"/>
      <c r="E679" s="42"/>
      <c r="F679" s="123"/>
      <c r="H679" s="123"/>
      <c r="I679" s="123"/>
      <c r="J679" s="219"/>
      <c r="K679" s="219"/>
      <c r="L679" s="123"/>
      <c r="M679" s="123"/>
      <c r="N679" s="219"/>
      <c r="O679" s="219"/>
      <c r="P679" s="123"/>
      <c r="Q679" s="123"/>
      <c r="R679" s="123"/>
      <c r="T679" s="42"/>
      <c r="U679" s="42"/>
      <c r="V679" s="123"/>
      <c r="Y679" s="123"/>
      <c r="Z679" s="219"/>
      <c r="AA679" s="123"/>
      <c r="AB679" s="123"/>
      <c r="AC679" s="219"/>
      <c r="AD679" s="219"/>
      <c r="AE679" s="123"/>
      <c r="AF679" s="123"/>
      <c r="AH679" s="236"/>
      <c r="AI679" s="123"/>
      <c r="AJ679" s="123"/>
      <c r="AL679" s="123"/>
      <c r="AM679" s="160"/>
      <c r="AN679" s="160"/>
    </row>
    <row r="680" spans="3:40" x14ac:dyDescent="0.3">
      <c r="C680" s="42"/>
      <c r="D680" s="42"/>
      <c r="E680" s="42"/>
      <c r="F680" s="123"/>
      <c r="G680" s="123"/>
      <c r="H680" s="123"/>
      <c r="I680" s="123"/>
      <c r="J680" s="219"/>
      <c r="K680" s="219"/>
      <c r="L680" s="123"/>
      <c r="M680" s="123"/>
      <c r="N680" s="219"/>
      <c r="O680" s="219"/>
      <c r="P680" s="123"/>
      <c r="Q680" s="123"/>
      <c r="R680" s="123"/>
      <c r="T680" s="42"/>
      <c r="U680" s="42"/>
      <c r="V680" s="123"/>
      <c r="W680" s="123"/>
      <c r="X680" s="123"/>
      <c r="Y680" s="123"/>
      <c r="Z680" s="219"/>
      <c r="AA680" s="123"/>
      <c r="AB680" s="123"/>
      <c r="AC680" s="219"/>
      <c r="AD680" s="219"/>
      <c r="AE680" s="123"/>
      <c r="AF680" s="123"/>
      <c r="AH680" s="236"/>
      <c r="AI680" s="123"/>
      <c r="AJ680" s="123"/>
      <c r="AL680" s="123"/>
      <c r="AM680" s="160"/>
      <c r="AN680" s="160"/>
    </row>
    <row r="681" spans="3:40" x14ac:dyDescent="0.3">
      <c r="C681" s="42"/>
      <c r="D681" s="42"/>
      <c r="E681" s="42"/>
      <c r="F681" s="123"/>
      <c r="G681" s="123"/>
      <c r="H681" s="123"/>
      <c r="I681" s="123"/>
      <c r="J681" s="219"/>
      <c r="K681" s="219"/>
      <c r="L681" s="123"/>
      <c r="M681" s="123"/>
      <c r="N681" s="219"/>
      <c r="O681" s="219"/>
      <c r="P681" s="123"/>
      <c r="Q681" s="123"/>
      <c r="R681" s="123"/>
      <c r="T681" s="42"/>
      <c r="U681" s="42"/>
      <c r="V681" s="123"/>
      <c r="W681" s="123"/>
      <c r="X681" s="123"/>
      <c r="Y681" s="123"/>
      <c r="Z681" s="219"/>
      <c r="AA681" s="123"/>
      <c r="AB681" s="123"/>
      <c r="AC681" s="219"/>
      <c r="AD681" s="219"/>
      <c r="AE681" s="123"/>
      <c r="AF681" s="123"/>
      <c r="AH681" s="236"/>
      <c r="AI681" s="123"/>
      <c r="AJ681" s="123"/>
      <c r="AL681" s="123"/>
      <c r="AM681" s="160"/>
      <c r="AN681" s="160"/>
    </row>
    <row r="682" spans="3:40" x14ac:dyDescent="0.3">
      <c r="C682" s="42"/>
      <c r="D682" s="42"/>
      <c r="E682" s="42"/>
      <c r="F682" s="123"/>
      <c r="H682" s="123"/>
      <c r="I682" s="123"/>
      <c r="J682" s="219"/>
      <c r="K682" s="219"/>
      <c r="L682" s="123"/>
      <c r="M682" s="123"/>
      <c r="N682" s="219"/>
      <c r="O682" s="219"/>
      <c r="P682" s="123"/>
      <c r="Q682" s="123"/>
      <c r="R682" s="123"/>
      <c r="T682" s="42"/>
      <c r="U682" s="42"/>
      <c r="V682" s="123"/>
      <c r="Y682" s="123"/>
      <c r="Z682" s="219"/>
      <c r="AA682" s="123"/>
      <c r="AB682" s="123"/>
      <c r="AC682" s="219"/>
      <c r="AD682" s="219"/>
      <c r="AE682" s="123"/>
      <c r="AF682" s="123"/>
      <c r="AH682" s="236"/>
      <c r="AI682" s="123"/>
      <c r="AJ682" s="123"/>
      <c r="AL682" s="123"/>
      <c r="AM682" s="160"/>
      <c r="AN682" s="160"/>
    </row>
    <row r="683" spans="3:40" x14ac:dyDescent="0.3">
      <c r="C683" s="42"/>
      <c r="D683" s="42"/>
      <c r="E683" s="42"/>
      <c r="F683" s="123"/>
      <c r="H683" s="123"/>
      <c r="I683" s="123"/>
      <c r="J683" s="219"/>
      <c r="K683" s="219"/>
      <c r="L683" s="123"/>
      <c r="M683" s="123"/>
      <c r="N683" s="219"/>
      <c r="O683" s="219"/>
      <c r="P683" s="123"/>
      <c r="Q683" s="123"/>
      <c r="R683" s="123"/>
      <c r="T683" s="42"/>
      <c r="U683" s="42"/>
      <c r="V683" s="123"/>
      <c r="Y683" s="123"/>
      <c r="Z683" s="219"/>
      <c r="AA683" s="123"/>
      <c r="AB683" s="123"/>
      <c r="AC683" s="219"/>
      <c r="AD683" s="219"/>
      <c r="AE683" s="123"/>
      <c r="AF683" s="123"/>
      <c r="AH683" s="236"/>
      <c r="AI683" s="123"/>
      <c r="AJ683" s="123"/>
      <c r="AL683" s="123"/>
      <c r="AM683" s="160"/>
      <c r="AN683" s="160"/>
    </row>
    <row r="684" spans="3:40" x14ac:dyDescent="0.3">
      <c r="C684" s="42"/>
      <c r="D684" s="42"/>
      <c r="E684" s="42"/>
      <c r="F684" s="123"/>
      <c r="H684" s="123"/>
      <c r="I684" s="123"/>
      <c r="J684" s="219"/>
      <c r="K684" s="219"/>
      <c r="L684" s="123"/>
      <c r="M684" s="123"/>
      <c r="N684" s="219"/>
      <c r="O684" s="219"/>
      <c r="P684" s="123"/>
      <c r="Q684" s="123"/>
      <c r="R684" s="123"/>
      <c r="T684" s="42"/>
      <c r="U684" s="42"/>
      <c r="V684" s="123"/>
      <c r="Y684" s="123"/>
      <c r="Z684" s="219"/>
      <c r="AA684" s="123"/>
      <c r="AB684" s="123"/>
      <c r="AC684" s="219"/>
      <c r="AD684" s="219"/>
      <c r="AE684" s="123"/>
      <c r="AF684" s="123"/>
      <c r="AH684" s="236"/>
      <c r="AI684" s="123"/>
      <c r="AJ684" s="123"/>
      <c r="AL684" s="123"/>
      <c r="AM684" s="160"/>
      <c r="AN684" s="160"/>
    </row>
    <row r="685" spans="3:40" x14ac:dyDescent="0.3">
      <c r="C685" s="42"/>
      <c r="D685" s="42"/>
      <c r="E685" s="42"/>
      <c r="F685" s="123"/>
      <c r="H685" s="123"/>
      <c r="I685" s="123"/>
      <c r="J685" s="219"/>
      <c r="K685" s="219"/>
      <c r="L685" s="123"/>
      <c r="M685" s="123"/>
      <c r="N685" s="219"/>
      <c r="O685" s="219"/>
      <c r="P685" s="123"/>
      <c r="Q685" s="123"/>
      <c r="R685" s="123"/>
      <c r="T685" s="42"/>
      <c r="U685" s="42"/>
      <c r="V685" s="123"/>
      <c r="Y685" s="123"/>
      <c r="Z685" s="219"/>
      <c r="AA685" s="123"/>
      <c r="AB685" s="123"/>
      <c r="AC685" s="219"/>
      <c r="AD685" s="219"/>
      <c r="AE685" s="123"/>
      <c r="AF685" s="123"/>
      <c r="AH685" s="236"/>
      <c r="AI685" s="123"/>
      <c r="AJ685" s="123"/>
      <c r="AL685" s="123"/>
      <c r="AM685" s="160"/>
      <c r="AN685" s="160"/>
    </row>
    <row r="686" spans="3:40" x14ac:dyDescent="0.3">
      <c r="F686" s="210"/>
      <c r="H686" s="210"/>
      <c r="I686" s="210"/>
      <c r="J686" s="213"/>
      <c r="K686" s="213"/>
      <c r="L686" s="210"/>
      <c r="M686" s="210"/>
      <c r="N686" s="210"/>
      <c r="O686" s="210"/>
      <c r="P686" s="210"/>
      <c r="Q686" s="210"/>
      <c r="R686" s="210"/>
      <c r="V686" s="210"/>
      <c r="Y686" s="210"/>
      <c r="Z686" s="213"/>
      <c r="AA686" s="210"/>
      <c r="AB686" s="210"/>
      <c r="AC686" s="210"/>
      <c r="AD686" s="210"/>
      <c r="AE686" s="210"/>
      <c r="AF686" s="210"/>
      <c r="AI686" s="210"/>
      <c r="AJ686" s="210"/>
      <c r="AK686" s="214"/>
      <c r="AL686" s="210"/>
      <c r="AM686" s="160"/>
      <c r="AN686" s="160"/>
    </row>
    <row r="687" spans="3:40" x14ac:dyDescent="0.3">
      <c r="C687" s="42"/>
      <c r="F687" s="123"/>
      <c r="H687" s="123"/>
      <c r="I687" s="123"/>
      <c r="J687" s="219"/>
      <c r="K687" s="219"/>
      <c r="L687" s="123"/>
      <c r="M687" s="123"/>
      <c r="N687" s="219"/>
      <c r="O687" s="219"/>
      <c r="P687" s="123"/>
      <c r="Q687" s="123"/>
      <c r="R687" s="123"/>
      <c r="T687" s="42"/>
      <c r="V687" s="123"/>
      <c r="Y687" s="123"/>
      <c r="Z687" s="219"/>
      <c r="AA687" s="123"/>
      <c r="AB687" s="123"/>
      <c r="AC687" s="219"/>
      <c r="AD687" s="219"/>
      <c r="AE687" s="123"/>
      <c r="AF687" s="123"/>
      <c r="AH687" s="236"/>
      <c r="AI687" s="123"/>
      <c r="AJ687" s="123"/>
      <c r="AL687" s="123"/>
      <c r="AM687" s="160"/>
      <c r="AN687" s="160"/>
    </row>
    <row r="688" spans="3:40" x14ac:dyDescent="0.3">
      <c r="V688" s="123"/>
      <c r="Y688" s="123"/>
      <c r="Z688" s="213"/>
      <c r="AA688" s="123"/>
      <c r="AB688" s="123"/>
      <c r="AC688" s="123"/>
      <c r="AD688" s="123"/>
      <c r="AE688" s="123"/>
      <c r="AF688" s="123"/>
      <c r="AI688" s="123"/>
      <c r="AJ688" s="123"/>
      <c r="AL688" s="123"/>
      <c r="AM688" s="160"/>
      <c r="AN688" s="160"/>
    </row>
    <row r="689" spans="1:40" x14ac:dyDescent="0.3">
      <c r="C689" s="42"/>
      <c r="D689" s="42"/>
      <c r="E689" s="42"/>
      <c r="L689" s="123"/>
      <c r="M689" s="123"/>
      <c r="N689" s="219"/>
      <c r="O689" s="219"/>
      <c r="R689" s="123"/>
      <c r="T689" s="42"/>
      <c r="U689" s="42"/>
      <c r="AA689" s="123"/>
      <c r="AB689" s="123"/>
      <c r="AC689" s="219"/>
      <c r="AD689" s="219"/>
      <c r="AE689" s="123"/>
      <c r="AF689" s="123"/>
      <c r="AH689" s="236"/>
      <c r="AL689" s="123"/>
      <c r="AM689" s="160"/>
      <c r="AN689" s="160"/>
    </row>
    <row r="690" spans="1:40" x14ac:dyDescent="0.3">
      <c r="D690" s="42"/>
      <c r="E690" s="42"/>
      <c r="F690" s="184"/>
      <c r="H690" s="184"/>
      <c r="I690" s="184"/>
      <c r="J690" s="219"/>
      <c r="K690" s="219"/>
      <c r="L690" s="123"/>
      <c r="M690" s="123"/>
      <c r="N690" s="219"/>
      <c r="O690" s="219"/>
      <c r="P690" s="184"/>
      <c r="Q690" s="184"/>
      <c r="R690" s="123"/>
      <c r="U690" s="42"/>
      <c r="V690" s="123"/>
      <c r="Y690" s="123"/>
      <c r="Z690" s="219"/>
      <c r="AA690" s="123"/>
      <c r="AB690" s="123"/>
      <c r="AC690" s="219"/>
      <c r="AD690" s="219"/>
      <c r="AE690" s="123"/>
      <c r="AF690" s="123"/>
      <c r="AH690" s="236"/>
      <c r="AI690" s="123"/>
      <c r="AJ690" s="123"/>
      <c r="AL690" s="123"/>
      <c r="AM690" s="160"/>
      <c r="AN690" s="160"/>
    </row>
    <row r="691" spans="1:40" x14ac:dyDescent="0.3">
      <c r="F691" s="210"/>
      <c r="H691" s="210"/>
      <c r="I691" s="210"/>
      <c r="J691" s="213"/>
      <c r="K691" s="213"/>
      <c r="L691" s="210"/>
      <c r="M691" s="210"/>
      <c r="N691" s="210"/>
      <c r="O691" s="210"/>
      <c r="P691" s="210"/>
      <c r="Q691" s="210"/>
      <c r="R691" s="210"/>
      <c r="V691" s="210"/>
      <c r="Y691" s="210"/>
      <c r="Z691" s="213"/>
      <c r="AA691" s="210"/>
      <c r="AB691" s="210"/>
      <c r="AC691" s="210"/>
      <c r="AD691" s="210"/>
      <c r="AE691" s="210"/>
      <c r="AF691" s="210"/>
      <c r="AI691" s="210"/>
      <c r="AJ691" s="210"/>
      <c r="AK691" s="214"/>
      <c r="AL691" s="210"/>
      <c r="AM691" s="160"/>
      <c r="AN691" s="160"/>
    </row>
    <row r="692" spans="1:40" x14ac:dyDescent="0.3">
      <c r="C692" s="42"/>
      <c r="F692" s="123"/>
      <c r="H692" s="123"/>
      <c r="I692" s="123"/>
      <c r="J692" s="219"/>
      <c r="K692" s="219"/>
      <c r="L692" s="123"/>
      <c r="M692" s="123"/>
      <c r="N692" s="219"/>
      <c r="O692" s="219"/>
      <c r="P692" s="123"/>
      <c r="Q692" s="123"/>
      <c r="R692" s="123"/>
      <c r="T692" s="42"/>
      <c r="V692" s="123"/>
      <c r="Y692" s="123"/>
      <c r="Z692" s="219"/>
      <c r="AA692" s="123"/>
      <c r="AB692" s="123"/>
      <c r="AC692" s="219"/>
      <c r="AD692" s="219"/>
      <c r="AE692" s="123"/>
      <c r="AF692" s="123"/>
      <c r="AH692" s="236"/>
      <c r="AI692" s="123"/>
      <c r="AJ692" s="123"/>
      <c r="AL692" s="123"/>
      <c r="AM692" s="160"/>
      <c r="AN692" s="160"/>
    </row>
    <row r="693" spans="1:40" x14ac:dyDescent="0.3">
      <c r="F693" s="123"/>
      <c r="H693" s="123"/>
      <c r="I693" s="123"/>
      <c r="J693" s="219"/>
      <c r="K693" s="219"/>
      <c r="L693" s="123"/>
      <c r="M693" s="123"/>
      <c r="N693" s="219"/>
      <c r="O693" s="219"/>
      <c r="P693" s="123"/>
      <c r="Q693" s="123"/>
      <c r="R693" s="123"/>
      <c r="V693" s="123"/>
      <c r="Y693" s="123"/>
      <c r="Z693" s="219"/>
      <c r="AA693" s="123"/>
      <c r="AB693" s="123"/>
      <c r="AC693" s="219"/>
      <c r="AD693" s="219"/>
      <c r="AH693" s="236"/>
      <c r="AI693" s="123"/>
      <c r="AJ693" s="123"/>
      <c r="AL693" s="123"/>
      <c r="AM693" s="160"/>
      <c r="AN693" s="160"/>
    </row>
    <row r="694" spans="1:40" x14ac:dyDescent="0.3">
      <c r="D694" s="42"/>
      <c r="E694" s="42"/>
      <c r="F694" s="123"/>
      <c r="H694" s="123"/>
      <c r="I694" s="123"/>
      <c r="J694" s="219"/>
      <c r="K694" s="219"/>
      <c r="L694" s="184"/>
      <c r="M694" s="184"/>
      <c r="N694" s="219"/>
      <c r="O694" s="219"/>
      <c r="P694" s="123"/>
      <c r="Q694" s="123"/>
      <c r="R694" s="123"/>
      <c r="U694" s="42"/>
      <c r="V694" s="123"/>
      <c r="Y694" s="123"/>
      <c r="Z694" s="219"/>
      <c r="AA694" s="184"/>
      <c r="AB694" s="184"/>
      <c r="AC694" s="219"/>
      <c r="AD694" s="219"/>
      <c r="AE694" s="123"/>
      <c r="AF694" s="123"/>
      <c r="AH694" s="236"/>
      <c r="AI694" s="123"/>
      <c r="AJ694" s="123"/>
      <c r="AL694" s="123"/>
      <c r="AM694" s="160"/>
      <c r="AN694" s="160"/>
    </row>
    <row r="695" spans="1:40" x14ac:dyDescent="0.3">
      <c r="D695" s="42"/>
      <c r="E695" s="42"/>
      <c r="F695" s="123"/>
      <c r="H695" s="123"/>
      <c r="I695" s="123"/>
      <c r="J695" s="219"/>
      <c r="K695" s="219"/>
      <c r="L695" s="184"/>
      <c r="M695" s="184"/>
      <c r="N695" s="219"/>
      <c r="O695" s="219"/>
      <c r="P695" s="123"/>
      <c r="Q695" s="123"/>
      <c r="R695" s="123"/>
      <c r="U695" s="42"/>
      <c r="V695" s="123"/>
      <c r="Y695" s="123"/>
      <c r="Z695" s="219"/>
      <c r="AA695" s="184"/>
      <c r="AB695" s="184"/>
      <c r="AC695" s="219"/>
      <c r="AD695" s="219"/>
      <c r="AE695" s="123"/>
      <c r="AF695" s="123"/>
      <c r="AH695" s="236"/>
      <c r="AI695" s="123"/>
      <c r="AJ695" s="123"/>
      <c r="AL695" s="123"/>
      <c r="AM695" s="160"/>
      <c r="AN695" s="160"/>
    </row>
    <row r="696" spans="1:40" x14ac:dyDescent="0.3">
      <c r="D696" s="42"/>
      <c r="E696" s="42"/>
      <c r="F696" s="123"/>
      <c r="H696" s="123"/>
      <c r="I696" s="123"/>
      <c r="J696" s="219"/>
      <c r="K696" s="219"/>
      <c r="L696" s="184"/>
      <c r="M696" s="184"/>
      <c r="N696" s="219"/>
      <c r="O696" s="219"/>
      <c r="P696" s="123"/>
      <c r="Q696" s="123"/>
      <c r="R696" s="123"/>
      <c r="U696" s="42"/>
      <c r="V696" s="123"/>
      <c r="Y696" s="123"/>
      <c r="Z696" s="219"/>
      <c r="AA696" s="184"/>
      <c r="AB696" s="184"/>
      <c r="AC696" s="219"/>
      <c r="AD696" s="219"/>
      <c r="AE696" s="123"/>
      <c r="AF696" s="123"/>
      <c r="AH696" s="236"/>
      <c r="AI696" s="123"/>
      <c r="AJ696" s="123"/>
      <c r="AL696" s="123"/>
      <c r="AM696" s="160"/>
      <c r="AN696" s="160"/>
    </row>
    <row r="697" spans="1:40" x14ac:dyDescent="0.3">
      <c r="F697" s="210"/>
      <c r="H697" s="210"/>
      <c r="I697" s="210"/>
      <c r="J697" s="213"/>
      <c r="K697" s="213"/>
      <c r="L697" s="210"/>
      <c r="M697" s="210"/>
      <c r="N697" s="210"/>
      <c r="O697" s="210"/>
      <c r="P697" s="210"/>
      <c r="Q697" s="210"/>
      <c r="R697" s="210"/>
      <c r="V697" s="210"/>
      <c r="Y697" s="210"/>
      <c r="Z697" s="213"/>
      <c r="AA697" s="210"/>
      <c r="AB697" s="210"/>
      <c r="AC697" s="210"/>
      <c r="AD697" s="210"/>
      <c r="AE697" s="210"/>
      <c r="AF697" s="210"/>
      <c r="AI697" s="210"/>
      <c r="AJ697" s="210"/>
      <c r="AK697" s="214"/>
      <c r="AL697" s="210"/>
      <c r="AM697" s="160"/>
      <c r="AN697" s="160"/>
    </row>
    <row r="698" spans="1:40" x14ac:dyDescent="0.3">
      <c r="C698" s="42"/>
      <c r="F698" s="123"/>
      <c r="H698" s="123"/>
      <c r="I698" s="123"/>
      <c r="J698" s="219"/>
      <c r="K698" s="219"/>
      <c r="L698" s="123"/>
      <c r="M698" s="123"/>
      <c r="N698" s="219"/>
      <c r="O698" s="219"/>
      <c r="P698" s="123"/>
      <c r="Q698" s="123"/>
      <c r="R698" s="123"/>
      <c r="T698" s="42"/>
      <c r="V698" s="123"/>
      <c r="Y698" s="123"/>
      <c r="Z698" s="219"/>
      <c r="AA698" s="123"/>
      <c r="AB698" s="123"/>
      <c r="AC698" s="219"/>
      <c r="AD698" s="219"/>
      <c r="AE698" s="123"/>
      <c r="AF698" s="123"/>
      <c r="AH698" s="236"/>
      <c r="AI698" s="123"/>
      <c r="AJ698" s="123"/>
      <c r="AL698" s="123"/>
      <c r="AM698" s="160"/>
      <c r="AN698" s="160"/>
    </row>
    <row r="699" spans="1:40" x14ac:dyDescent="0.3">
      <c r="F699" s="123"/>
      <c r="H699" s="123"/>
      <c r="I699" s="123"/>
      <c r="J699" s="219"/>
      <c r="K699" s="219"/>
      <c r="L699" s="123"/>
      <c r="M699" s="123"/>
      <c r="N699" s="219"/>
      <c r="O699" s="219"/>
      <c r="P699" s="123"/>
      <c r="Q699" s="123"/>
      <c r="R699" s="123"/>
      <c r="V699" s="123"/>
      <c r="Y699" s="123"/>
      <c r="Z699" s="219"/>
      <c r="AA699" s="123"/>
      <c r="AB699" s="123"/>
      <c r="AC699" s="219"/>
      <c r="AD699" s="219"/>
      <c r="AH699" s="236"/>
      <c r="AI699" s="123"/>
      <c r="AJ699" s="123"/>
      <c r="AL699" s="123"/>
      <c r="AM699" s="160"/>
      <c r="AN699" s="160"/>
    </row>
    <row r="700" spans="1:40" x14ac:dyDescent="0.3">
      <c r="C700" s="42"/>
      <c r="F700" s="123"/>
      <c r="H700" s="123"/>
      <c r="I700" s="123"/>
      <c r="J700" s="219"/>
      <c r="K700" s="219"/>
      <c r="L700" s="123"/>
      <c r="M700" s="123"/>
      <c r="N700" s="219"/>
      <c r="O700" s="219"/>
      <c r="P700" s="123"/>
      <c r="Q700" s="123"/>
      <c r="R700" s="123"/>
      <c r="T700" s="42"/>
      <c r="V700" s="123"/>
      <c r="Y700" s="123"/>
      <c r="Z700" s="219"/>
      <c r="AA700" s="123"/>
      <c r="AB700" s="123"/>
      <c r="AC700" s="219"/>
      <c r="AD700" s="219"/>
      <c r="AE700" s="123"/>
      <c r="AF700" s="123"/>
      <c r="AH700" s="236"/>
      <c r="AI700" s="123"/>
      <c r="AJ700" s="123"/>
      <c r="AL700" s="123"/>
      <c r="AM700" s="160"/>
      <c r="AN700" s="160"/>
    </row>
    <row r="701" spans="1:40" x14ac:dyDescent="0.3">
      <c r="F701" s="210"/>
      <c r="H701" s="210"/>
      <c r="I701" s="210"/>
      <c r="J701" s="213"/>
      <c r="K701" s="213"/>
      <c r="L701" s="210"/>
      <c r="M701" s="210"/>
      <c r="N701" s="210"/>
      <c r="O701" s="210"/>
      <c r="P701" s="210"/>
      <c r="Q701" s="210"/>
      <c r="R701" s="210"/>
      <c r="V701" s="210"/>
      <c r="Y701" s="210"/>
      <c r="Z701" s="213"/>
      <c r="AA701" s="210"/>
      <c r="AB701" s="210"/>
      <c r="AC701" s="210"/>
      <c r="AD701" s="210"/>
      <c r="AE701" s="210"/>
      <c r="AF701" s="210"/>
      <c r="AI701" s="210"/>
      <c r="AJ701" s="210"/>
      <c r="AK701" s="214"/>
      <c r="AL701" s="210"/>
    </row>
    <row r="703" spans="1:40" x14ac:dyDescent="0.3">
      <c r="C703" s="42"/>
      <c r="L703" s="123"/>
      <c r="M703" s="123"/>
      <c r="P703" s="123"/>
      <c r="Q703" s="123"/>
      <c r="R703" s="123"/>
      <c r="T703" s="42"/>
    </row>
    <row r="704" spans="1:40" x14ac:dyDescent="0.3">
      <c r="A704" s="42"/>
      <c r="L704" s="123"/>
      <c r="M704" s="123"/>
      <c r="P704" s="123"/>
      <c r="Q704" s="123"/>
      <c r="R704" s="123"/>
    </row>
    <row r="705" spans="12:18" x14ac:dyDescent="0.3">
      <c r="L705" s="123"/>
      <c r="M705" s="123"/>
      <c r="P705" s="123"/>
      <c r="Q705" s="123"/>
      <c r="R705" s="123"/>
    </row>
    <row r="706" spans="12:18" x14ac:dyDescent="0.3">
      <c r="L706" s="123"/>
      <c r="M706" s="123"/>
      <c r="P706" s="123"/>
      <c r="Q706" s="123"/>
      <c r="R706" s="123"/>
    </row>
    <row r="707" spans="12:18" x14ac:dyDescent="0.3">
      <c r="L707" s="123"/>
      <c r="M707" s="123"/>
      <c r="P707" s="123"/>
      <c r="Q707" s="123"/>
      <c r="R707" s="123"/>
    </row>
    <row r="708" spans="12:18" x14ac:dyDescent="0.3">
      <c r="L708" s="123"/>
      <c r="M708" s="123"/>
      <c r="P708" s="123"/>
      <c r="Q708" s="123"/>
      <c r="R708" s="123"/>
    </row>
    <row r="709" spans="12:18" x14ac:dyDescent="0.3">
      <c r="L709" s="123"/>
      <c r="M709" s="123"/>
      <c r="P709" s="123"/>
      <c r="Q709" s="123"/>
      <c r="R709" s="123"/>
    </row>
    <row r="742" spans="49:49" x14ac:dyDescent="0.3">
      <c r="AW742" s="123"/>
    </row>
    <row r="743" spans="49:49" x14ac:dyDescent="0.3">
      <c r="AW743" s="123"/>
    </row>
    <row r="744" spans="49:49" x14ac:dyDescent="0.3">
      <c r="AW744" s="123"/>
    </row>
    <row r="745" spans="49:49" x14ac:dyDescent="0.3">
      <c r="AW745" s="123"/>
    </row>
    <row r="746" spans="49:49" x14ac:dyDescent="0.3">
      <c r="AW746" s="123"/>
    </row>
    <row r="747" spans="49:49" x14ac:dyDescent="0.3">
      <c r="AW747" s="123"/>
    </row>
    <row r="750" spans="49:49" x14ac:dyDescent="0.3">
      <c r="AW750" s="123"/>
    </row>
    <row r="751" spans="49:49" x14ac:dyDescent="0.3">
      <c r="AW751" s="123"/>
    </row>
    <row r="752" spans="49:49" x14ac:dyDescent="0.3">
      <c r="AW752" s="123"/>
    </row>
    <row r="753" spans="49:49" x14ac:dyDescent="0.3">
      <c r="AW753" s="123"/>
    </row>
    <row r="754" spans="49:49" x14ac:dyDescent="0.3">
      <c r="AW754" s="123"/>
    </row>
    <row r="755" spans="49:49" x14ac:dyDescent="0.3">
      <c r="AW755" s="123"/>
    </row>
    <row r="756" spans="49:49" x14ac:dyDescent="0.3">
      <c r="AW756" s="123"/>
    </row>
    <row r="757" spans="49:49" x14ac:dyDescent="0.3">
      <c r="AW757" s="123"/>
    </row>
    <row r="760" spans="49:49" x14ac:dyDescent="0.3">
      <c r="AW760" s="123"/>
    </row>
    <row r="761" spans="49:49" x14ac:dyDescent="0.3">
      <c r="AW761" s="123"/>
    </row>
    <row r="764" spans="49:49" x14ac:dyDescent="0.3">
      <c r="AW764" s="123"/>
    </row>
    <row r="765" spans="49:49" x14ac:dyDescent="0.3">
      <c r="AW765" s="123"/>
    </row>
    <row r="766" spans="49:49" x14ac:dyDescent="0.3">
      <c r="AW766" s="123"/>
    </row>
    <row r="767" spans="49:49" x14ac:dyDescent="0.3">
      <c r="AW767" s="123"/>
    </row>
    <row r="775" spans="45:69" x14ac:dyDescent="0.3">
      <c r="AY775" s="42"/>
    </row>
    <row r="776" spans="45:69" x14ac:dyDescent="0.3">
      <c r="AY776" s="42"/>
    </row>
    <row r="777" spans="45:69" x14ac:dyDescent="0.3">
      <c r="BD777" s="42"/>
    </row>
    <row r="778" spans="45:69" x14ac:dyDescent="0.3">
      <c r="BD778" s="42"/>
    </row>
    <row r="779" spans="45:69" x14ac:dyDescent="0.3">
      <c r="AS779" s="42"/>
      <c r="BD779" s="42"/>
    </row>
    <row r="781" spans="45:69" x14ac:dyDescent="0.3">
      <c r="AS781" s="135"/>
      <c r="AT781" s="135"/>
      <c r="AU781" s="135"/>
      <c r="AV781" s="135"/>
      <c r="AW781" s="135"/>
      <c r="AX781" s="135"/>
      <c r="AY781" s="135"/>
      <c r="AZ781" s="135"/>
      <c r="BA781" s="135"/>
      <c r="BB781" s="135"/>
      <c r="BC781" s="135"/>
      <c r="BD781" s="135"/>
      <c r="BE781" s="135"/>
    </row>
    <row r="782" spans="45:69" x14ac:dyDescent="0.3">
      <c r="AX782" s="42"/>
    </row>
    <row r="783" spans="45:69" x14ac:dyDescent="0.3">
      <c r="AX783" s="135"/>
      <c r="AY783" s="135"/>
      <c r="AZ783" s="135"/>
      <c r="BA783" s="135"/>
      <c r="BC783" s="44"/>
      <c r="BD783" s="44"/>
    </row>
    <row r="784" spans="45:69" x14ac:dyDescent="0.3">
      <c r="AV784" s="44"/>
      <c r="AW784" s="44"/>
      <c r="AZ784" s="44"/>
      <c r="BA784" s="44"/>
      <c r="BC784" s="44"/>
      <c r="BD784" s="44"/>
      <c r="BE784" s="44"/>
      <c r="BG784" s="135"/>
      <c r="BH784" s="42"/>
      <c r="BK784" s="135"/>
      <c r="BM784" s="135"/>
      <c r="BN784" s="42"/>
      <c r="BQ784" s="135"/>
    </row>
    <row r="785" spans="45:69" x14ac:dyDescent="0.3"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H785" s="44"/>
      <c r="BI785" s="44"/>
      <c r="BJ785" s="44"/>
      <c r="BN785" s="44"/>
      <c r="BO785" s="44"/>
      <c r="BP785" s="44"/>
    </row>
    <row r="786" spans="45:69" x14ac:dyDescent="0.3">
      <c r="AS786" s="44"/>
      <c r="AU786" s="42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G786" s="44"/>
      <c r="BH786" s="44"/>
      <c r="BI786" s="44"/>
      <c r="BJ786" s="44"/>
      <c r="BK786" s="44"/>
      <c r="BM786" s="44"/>
      <c r="BN786" s="44"/>
      <c r="BO786" s="44"/>
      <c r="BP786" s="44"/>
      <c r="BQ786" s="44"/>
    </row>
    <row r="787" spans="45:69" x14ac:dyDescent="0.3">
      <c r="AS787" s="44"/>
      <c r="AU787" s="42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G787" s="44"/>
      <c r="BH787" s="44"/>
      <c r="BI787" s="44"/>
      <c r="BJ787" s="44"/>
      <c r="BK787" s="44"/>
      <c r="BM787" s="44"/>
      <c r="BN787" s="44"/>
      <c r="BO787" s="44"/>
      <c r="BP787" s="44"/>
      <c r="BQ787" s="44"/>
    </row>
    <row r="788" spans="45:69" x14ac:dyDescent="0.3">
      <c r="AS788" s="135"/>
      <c r="AT788" s="135"/>
      <c r="AU788" s="135"/>
      <c r="AV788" s="135"/>
      <c r="AW788" s="135"/>
      <c r="AX788" s="135"/>
      <c r="AY788" s="135"/>
      <c r="AZ788" s="135"/>
      <c r="BA788" s="135"/>
      <c r="BB788" s="135"/>
      <c r="BC788" s="135"/>
      <c r="BD788" s="135"/>
      <c r="BE788" s="135"/>
      <c r="BG788" s="135"/>
      <c r="BH788" s="135"/>
      <c r="BI788" s="135"/>
      <c r="BJ788" s="135"/>
      <c r="BK788" s="135"/>
      <c r="BM788" s="135"/>
      <c r="BN788" s="135"/>
      <c r="BO788" s="135"/>
      <c r="BP788" s="135"/>
      <c r="BQ788" s="135"/>
    </row>
    <row r="789" spans="45:69" x14ac:dyDescent="0.3"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</row>
    <row r="790" spans="45:69" x14ac:dyDescent="0.3">
      <c r="AU790" s="42"/>
      <c r="AV790" s="44"/>
      <c r="AY790" s="219"/>
    </row>
    <row r="791" spans="45:69" x14ac:dyDescent="0.3">
      <c r="AV791" s="44"/>
      <c r="AW791" s="123"/>
      <c r="AX791" s="188"/>
      <c r="AY791" s="188"/>
      <c r="AZ791" s="188"/>
      <c r="BA791" s="160"/>
      <c r="BB791" s="188"/>
      <c r="BC791" s="219"/>
      <c r="BD791" s="219"/>
      <c r="BE791" s="160"/>
      <c r="BG791" s="188"/>
      <c r="BH791" s="188"/>
      <c r="BI791" s="188"/>
      <c r="BJ791" s="188"/>
      <c r="BK791" s="188"/>
      <c r="BM791" s="188"/>
      <c r="BN791" s="188"/>
      <c r="BO791" s="188"/>
      <c r="BP791" s="188"/>
      <c r="BQ791" s="188"/>
    </row>
    <row r="792" spans="45:69" x14ac:dyDescent="0.3">
      <c r="AV792" s="44"/>
      <c r="AW792" s="123"/>
      <c r="AX792" s="188"/>
      <c r="AY792" s="188"/>
      <c r="AZ792" s="188"/>
      <c r="BA792" s="160"/>
      <c r="BB792" s="188"/>
      <c r="BC792" s="219"/>
      <c r="BD792" s="219"/>
      <c r="BE792" s="160"/>
      <c r="BG792" s="188"/>
      <c r="BH792" s="188"/>
      <c r="BI792" s="188"/>
      <c r="BJ792" s="188"/>
      <c r="BK792" s="188"/>
      <c r="BM792" s="188"/>
      <c r="BN792" s="188"/>
      <c r="BO792" s="188"/>
      <c r="BP792" s="188"/>
      <c r="BQ792" s="188"/>
    </row>
    <row r="793" spans="45:69" x14ac:dyDescent="0.3">
      <c r="AV793" s="44"/>
      <c r="AW793" s="123"/>
      <c r="AX793" s="188"/>
      <c r="AY793" s="188"/>
      <c r="AZ793" s="188"/>
      <c r="BA793" s="160"/>
      <c r="BB793" s="188"/>
      <c r="BC793" s="219"/>
      <c r="BD793" s="219"/>
      <c r="BE793" s="160"/>
      <c r="BG793" s="188"/>
      <c r="BH793" s="188"/>
      <c r="BI793" s="188"/>
      <c r="BJ793" s="188"/>
      <c r="BK793" s="188"/>
      <c r="BM793" s="188"/>
      <c r="BN793" s="188"/>
      <c r="BO793" s="188"/>
      <c r="BP793" s="188"/>
      <c r="BQ793" s="188"/>
    </row>
    <row r="794" spans="45:69" x14ac:dyDescent="0.3">
      <c r="AV794" s="44"/>
      <c r="AW794" s="123"/>
      <c r="AX794" s="188"/>
      <c r="AY794" s="188"/>
      <c r="AZ794" s="188"/>
      <c r="BA794" s="160"/>
      <c r="BB794" s="188"/>
      <c r="BC794" s="219"/>
      <c r="BD794" s="219"/>
      <c r="BE794" s="160"/>
      <c r="BG794" s="188"/>
      <c r="BH794" s="188"/>
      <c r="BI794" s="188"/>
      <c r="BJ794" s="188"/>
      <c r="BK794" s="188"/>
      <c r="BM794" s="188"/>
      <c r="BN794" s="188"/>
      <c r="BO794" s="188"/>
      <c r="BP794" s="188"/>
      <c r="BQ794" s="188"/>
    </row>
    <row r="795" spans="45:69" x14ac:dyDescent="0.3">
      <c r="AV795" s="44"/>
      <c r="AW795" s="123"/>
      <c r="AX795" s="188"/>
      <c r="AY795" s="188"/>
      <c r="AZ795" s="188"/>
      <c r="BA795" s="160"/>
      <c r="BB795" s="188"/>
      <c r="BC795" s="219"/>
      <c r="BD795" s="219"/>
      <c r="BE795" s="160"/>
      <c r="BG795" s="188"/>
      <c r="BH795" s="188"/>
      <c r="BI795" s="188"/>
      <c r="BJ795" s="188"/>
      <c r="BK795" s="188"/>
      <c r="BM795" s="188"/>
      <c r="BN795" s="188"/>
      <c r="BO795" s="188"/>
      <c r="BP795" s="188"/>
      <c r="BQ795" s="188"/>
    </row>
    <row r="796" spans="45:69" x14ac:dyDescent="0.3">
      <c r="AV796" s="44"/>
      <c r="AW796" s="123"/>
      <c r="AX796" s="188"/>
      <c r="AY796" s="188"/>
      <c r="AZ796" s="188"/>
      <c r="BA796" s="160"/>
      <c r="BB796" s="188"/>
      <c r="BC796" s="219"/>
      <c r="BD796" s="219"/>
      <c r="BE796" s="160"/>
      <c r="BG796" s="188"/>
      <c r="BH796" s="188"/>
      <c r="BI796" s="188"/>
      <c r="BJ796" s="188"/>
      <c r="BK796" s="188"/>
      <c r="BM796" s="188"/>
      <c r="BN796" s="188"/>
      <c r="BO796" s="188"/>
      <c r="BP796" s="188"/>
      <c r="BQ796" s="188"/>
    </row>
    <row r="797" spans="45:69" x14ac:dyDescent="0.3">
      <c r="AV797" s="44"/>
      <c r="AW797" s="123"/>
      <c r="AX797" s="188"/>
      <c r="AY797" s="188"/>
      <c r="AZ797" s="188"/>
      <c r="BA797" s="160"/>
      <c r="BB797" s="188"/>
      <c r="BC797" s="219"/>
      <c r="BD797" s="219"/>
      <c r="BE797" s="160"/>
      <c r="BG797" s="188"/>
      <c r="BH797" s="188"/>
      <c r="BI797" s="188"/>
      <c r="BJ797" s="188"/>
      <c r="BK797" s="188"/>
      <c r="BM797" s="188"/>
      <c r="BN797" s="188"/>
      <c r="BO797" s="188"/>
      <c r="BP797" s="188"/>
      <c r="BQ797" s="188"/>
    </row>
    <row r="798" spans="45:69" x14ac:dyDescent="0.3">
      <c r="AY798" s="219"/>
      <c r="AZ798" s="188"/>
      <c r="BA798" s="160"/>
      <c r="BB798" s="188"/>
      <c r="BC798" s="219"/>
      <c r="BD798" s="219"/>
      <c r="BE798" s="160"/>
      <c r="BK798" s="188"/>
      <c r="BQ798" s="188"/>
    </row>
    <row r="799" spans="45:69" x14ac:dyDescent="0.3">
      <c r="AV799" s="44"/>
      <c r="AY799" s="219"/>
      <c r="AZ799" s="188"/>
      <c r="BA799" s="160"/>
      <c r="BB799" s="188"/>
      <c r="BC799" s="219"/>
      <c r="BD799" s="219"/>
      <c r="BE799" s="160"/>
      <c r="BK799" s="188"/>
      <c r="BQ799" s="188"/>
    </row>
    <row r="800" spans="45:69" x14ac:dyDescent="0.3">
      <c r="AV800" s="44"/>
      <c r="AW800" s="123"/>
      <c r="AX800" s="188"/>
      <c r="AY800" s="188"/>
      <c r="AZ800" s="188"/>
      <c r="BA800" s="160"/>
      <c r="BB800" s="188"/>
      <c r="BC800" s="219"/>
      <c r="BD800" s="219"/>
      <c r="BE800" s="160"/>
      <c r="BG800" s="188"/>
      <c r="BH800" s="188"/>
      <c r="BI800" s="188"/>
      <c r="BJ800" s="188"/>
      <c r="BK800" s="188"/>
      <c r="BM800" s="188"/>
      <c r="BN800" s="188"/>
      <c r="BO800" s="188"/>
      <c r="BP800" s="188"/>
      <c r="BQ800" s="188"/>
    </row>
    <row r="801" spans="45:69" x14ac:dyDescent="0.3">
      <c r="AV801" s="44"/>
      <c r="AW801" s="123"/>
      <c r="AX801" s="188"/>
      <c r="AY801" s="188"/>
      <c r="AZ801" s="188"/>
      <c r="BA801" s="160"/>
      <c r="BB801" s="188"/>
      <c r="BC801" s="219"/>
      <c r="BD801" s="219"/>
      <c r="BE801" s="160"/>
      <c r="BG801" s="188"/>
      <c r="BH801" s="188"/>
      <c r="BI801" s="188"/>
      <c r="BJ801" s="188"/>
      <c r="BK801" s="188"/>
      <c r="BM801" s="188"/>
      <c r="BN801" s="188"/>
      <c r="BO801" s="188"/>
      <c r="BP801" s="188"/>
      <c r="BQ801" s="188"/>
    </row>
    <row r="802" spans="45:69" x14ac:dyDescent="0.3">
      <c r="AV802" s="44"/>
      <c r="AW802" s="123"/>
      <c r="AX802" s="188"/>
      <c r="AY802" s="188"/>
      <c r="AZ802" s="188"/>
      <c r="BA802" s="160"/>
      <c r="BB802" s="188"/>
      <c r="BC802" s="219"/>
      <c r="BD802" s="219"/>
      <c r="BE802" s="160"/>
      <c r="BG802" s="188"/>
      <c r="BH802" s="188"/>
      <c r="BI802" s="188"/>
      <c r="BJ802" s="188"/>
      <c r="BK802" s="188"/>
      <c r="BM802" s="188"/>
      <c r="BN802" s="188"/>
      <c r="BO802" s="188"/>
      <c r="BP802" s="188"/>
      <c r="BQ802" s="188"/>
    </row>
    <row r="803" spans="45:69" x14ac:dyDescent="0.3">
      <c r="AV803" s="44"/>
      <c r="AW803" s="123"/>
      <c r="AX803" s="188"/>
      <c r="AY803" s="188"/>
      <c r="AZ803" s="188"/>
      <c r="BA803" s="160"/>
      <c r="BB803" s="188"/>
      <c r="BC803" s="219"/>
      <c r="BD803" s="219"/>
      <c r="BE803" s="160"/>
      <c r="BG803" s="188"/>
      <c r="BH803" s="188"/>
      <c r="BI803" s="188"/>
      <c r="BJ803" s="188"/>
      <c r="BK803" s="188"/>
      <c r="BM803" s="188"/>
      <c r="BN803" s="188"/>
      <c r="BO803" s="188"/>
      <c r="BP803" s="188"/>
      <c r="BQ803" s="188"/>
    </row>
    <row r="804" spans="45:69" x14ac:dyDescent="0.3">
      <c r="AV804" s="44"/>
      <c r="AW804" s="123"/>
      <c r="AX804" s="188"/>
      <c r="AY804" s="188"/>
      <c r="AZ804" s="188"/>
      <c r="BA804" s="160"/>
      <c r="BB804" s="188"/>
      <c r="BC804" s="219"/>
      <c r="BD804" s="219"/>
      <c r="BE804" s="160"/>
      <c r="BG804" s="188"/>
      <c r="BH804" s="188"/>
      <c r="BI804" s="188"/>
      <c r="BJ804" s="188"/>
      <c r="BK804" s="188"/>
      <c r="BM804" s="188"/>
      <c r="BN804" s="188"/>
      <c r="BO804" s="188"/>
      <c r="BP804" s="188"/>
      <c r="BQ804" s="188"/>
    </row>
    <row r="805" spans="45:69" x14ac:dyDescent="0.3">
      <c r="AV805" s="44"/>
      <c r="AW805" s="123"/>
      <c r="AX805" s="188"/>
      <c r="AY805" s="188"/>
      <c r="AZ805" s="188"/>
      <c r="BA805" s="160"/>
      <c r="BB805" s="188"/>
      <c r="BC805" s="219"/>
      <c r="BD805" s="219"/>
      <c r="BE805" s="160"/>
      <c r="BG805" s="188"/>
      <c r="BH805" s="188"/>
      <c r="BI805" s="188"/>
      <c r="BJ805" s="188"/>
      <c r="BK805" s="188"/>
      <c r="BM805" s="188"/>
      <c r="BN805" s="188"/>
      <c r="BO805" s="188"/>
      <c r="BP805" s="188"/>
      <c r="BQ805" s="188"/>
    </row>
    <row r="806" spans="45:69" x14ac:dyDescent="0.3">
      <c r="AV806" s="44"/>
      <c r="AW806" s="123"/>
      <c r="AX806" s="188"/>
      <c r="AY806" s="188"/>
      <c r="AZ806" s="188"/>
      <c r="BA806" s="160"/>
      <c r="BB806" s="188"/>
      <c r="BC806" s="219"/>
      <c r="BD806" s="219"/>
      <c r="BE806" s="160"/>
      <c r="BG806" s="188"/>
      <c r="BH806" s="188"/>
      <c r="BI806" s="188"/>
      <c r="BJ806" s="188"/>
      <c r="BK806" s="188"/>
      <c r="BM806" s="188"/>
      <c r="BN806" s="188"/>
      <c r="BO806" s="188"/>
      <c r="BP806" s="188"/>
      <c r="BQ806" s="188"/>
    </row>
    <row r="807" spans="45:69" x14ac:dyDescent="0.3">
      <c r="AV807" s="44"/>
      <c r="AW807" s="123"/>
      <c r="AX807" s="188"/>
      <c r="AY807" s="188"/>
      <c r="AZ807" s="188"/>
      <c r="BA807" s="160"/>
      <c r="BB807" s="188"/>
      <c r="BC807" s="219"/>
      <c r="BD807" s="219"/>
      <c r="BE807" s="160"/>
      <c r="BG807" s="188"/>
      <c r="BH807" s="188"/>
      <c r="BI807" s="188"/>
      <c r="BJ807" s="188"/>
      <c r="BK807" s="188"/>
      <c r="BM807" s="188"/>
      <c r="BN807" s="188"/>
      <c r="BO807" s="188"/>
      <c r="BP807" s="188"/>
      <c r="BQ807" s="188"/>
    </row>
    <row r="808" spans="45:69" x14ac:dyDescent="0.3">
      <c r="AY808" s="219"/>
      <c r="AZ808" s="188"/>
      <c r="BA808" s="160"/>
      <c r="BB808" s="188"/>
      <c r="BC808" s="219"/>
      <c r="BD808" s="219"/>
      <c r="BE808" s="160"/>
      <c r="BK808" s="188"/>
      <c r="BQ808" s="188"/>
    </row>
    <row r="809" spans="45:69" x14ac:dyDescent="0.3">
      <c r="AU809" s="42"/>
      <c r="AZ809" s="188"/>
      <c r="BB809" s="188"/>
      <c r="BG809" s="188"/>
      <c r="BH809" s="188"/>
      <c r="BJ809" s="188"/>
      <c r="BK809" s="188"/>
    </row>
    <row r="810" spans="45:69" x14ac:dyDescent="0.3">
      <c r="AZ810" s="188"/>
      <c r="BB810" s="188"/>
    </row>
    <row r="811" spans="45:69" x14ac:dyDescent="0.3">
      <c r="AS811" s="42"/>
      <c r="AZ811" s="188"/>
      <c r="BB811" s="188"/>
      <c r="BI811" s="188"/>
    </row>
    <row r="812" spans="45:69" x14ac:dyDescent="0.3">
      <c r="AZ812" s="188"/>
      <c r="BB812" s="188"/>
    </row>
    <row r="813" spans="45:69" x14ac:dyDescent="0.3">
      <c r="AY813" s="188"/>
      <c r="BB813" s="188"/>
    </row>
    <row r="814" spans="45:69" x14ac:dyDescent="0.3">
      <c r="AY814" s="42"/>
      <c r="AZ814" s="188"/>
      <c r="BB814" s="188"/>
    </row>
    <row r="815" spans="45:69" x14ac:dyDescent="0.3">
      <c r="AY815" s="42"/>
      <c r="AZ815" s="188"/>
      <c r="BB815" s="188"/>
    </row>
    <row r="816" spans="45:69" x14ac:dyDescent="0.3">
      <c r="AZ816" s="188"/>
      <c r="BB816" s="188"/>
      <c r="BD816" s="42"/>
    </row>
    <row r="817" spans="45:75" x14ac:dyDescent="0.3">
      <c r="AZ817" s="188"/>
      <c r="BB817" s="188"/>
      <c r="BD817" s="42"/>
    </row>
    <row r="818" spans="45:75" x14ac:dyDescent="0.3">
      <c r="AS818" s="42"/>
      <c r="AZ818" s="188"/>
      <c r="BB818" s="188"/>
      <c r="BD818" s="42"/>
    </row>
    <row r="819" spans="45:75" x14ac:dyDescent="0.3">
      <c r="AZ819" s="188"/>
      <c r="BB819" s="188"/>
    </row>
    <row r="820" spans="45:75" x14ac:dyDescent="0.3">
      <c r="AS820" s="135"/>
      <c r="AT820" s="135"/>
      <c r="AU820" s="135"/>
      <c r="AV820" s="135"/>
      <c r="AW820" s="135"/>
      <c r="AX820" s="135"/>
      <c r="AY820" s="135"/>
      <c r="AZ820" s="244"/>
      <c r="BA820" s="135"/>
      <c r="BB820" s="244"/>
      <c r="BC820" s="135"/>
      <c r="BD820" s="135"/>
      <c r="BE820" s="135"/>
    </row>
    <row r="821" spans="45:75" x14ac:dyDescent="0.3">
      <c r="AX821" s="42"/>
      <c r="AZ821" s="188"/>
      <c r="BB821" s="188"/>
    </row>
    <row r="822" spans="45:75" x14ac:dyDescent="0.3">
      <c r="AX822" s="135"/>
      <c r="AY822" s="135"/>
      <c r="AZ822" s="244"/>
      <c r="BA822" s="135"/>
      <c r="BB822" s="188"/>
      <c r="BC822" s="44"/>
      <c r="BD822" s="44"/>
    </row>
    <row r="823" spans="45:75" x14ac:dyDescent="0.3">
      <c r="AV823" s="44"/>
      <c r="AW823" s="44"/>
      <c r="AZ823" s="245"/>
      <c r="BA823" s="44"/>
      <c r="BB823" s="188"/>
      <c r="BC823" s="44"/>
      <c r="BD823" s="44"/>
      <c r="BE823" s="44"/>
      <c r="BG823" s="135"/>
      <c r="BH823" s="135"/>
      <c r="BI823" s="42"/>
      <c r="BM823" s="135"/>
      <c r="BN823" s="135"/>
      <c r="BP823" s="135"/>
      <c r="BQ823" s="135"/>
      <c r="BR823" s="42"/>
      <c r="BV823" s="135"/>
      <c r="BW823" s="135"/>
    </row>
    <row r="824" spans="45:75" x14ac:dyDescent="0.3">
      <c r="AV824" s="44"/>
      <c r="AW824" s="44"/>
      <c r="AX824" s="44"/>
      <c r="AY824" s="44"/>
      <c r="AZ824" s="245"/>
      <c r="BA824" s="44"/>
      <c r="BB824" s="245"/>
      <c r="BC824" s="44"/>
      <c r="BD824" s="44"/>
      <c r="BE824" s="44"/>
      <c r="BH824" s="44"/>
      <c r="BI824" s="44"/>
      <c r="BJ824" s="44"/>
      <c r="BK824" s="44"/>
      <c r="BL824" s="44"/>
      <c r="BM824" s="44"/>
      <c r="BQ824" s="44"/>
      <c r="BR824" s="44"/>
      <c r="BS824" s="44"/>
      <c r="BT824" s="44"/>
      <c r="BU824" s="44"/>
      <c r="BV824" s="44"/>
    </row>
    <row r="825" spans="45:75" x14ac:dyDescent="0.3">
      <c r="AS825" s="44"/>
      <c r="AU825" s="42"/>
      <c r="AV825" s="44"/>
      <c r="AW825" s="44"/>
      <c r="AX825" s="44"/>
      <c r="AY825" s="44"/>
      <c r="AZ825" s="245"/>
      <c r="BA825" s="44"/>
      <c r="BB825" s="245"/>
      <c r="BC825" s="44"/>
      <c r="BD825" s="44"/>
      <c r="BE825" s="44"/>
      <c r="BG825" s="44"/>
      <c r="BH825" s="44"/>
      <c r="BI825" s="44"/>
      <c r="BJ825" s="44"/>
      <c r="BK825" s="44"/>
      <c r="BL825" s="44"/>
      <c r="BM825" s="44"/>
      <c r="BN825" s="44"/>
      <c r="BP825" s="44"/>
      <c r="BQ825" s="44"/>
      <c r="BR825" s="44"/>
      <c r="BS825" s="44"/>
      <c r="BT825" s="44"/>
      <c r="BU825" s="44"/>
      <c r="BV825" s="44"/>
      <c r="BW825" s="44"/>
    </row>
    <row r="826" spans="45:75" x14ac:dyDescent="0.3">
      <c r="AS826" s="44"/>
      <c r="AU826" s="42"/>
      <c r="AV826" s="44"/>
      <c r="AW826" s="44"/>
      <c r="AX826" s="44"/>
      <c r="AY826" s="44"/>
      <c r="AZ826" s="245"/>
      <c r="BA826" s="44"/>
      <c r="BB826" s="245"/>
      <c r="BC826" s="44"/>
      <c r="BD826" s="44"/>
      <c r="BE826" s="44"/>
      <c r="BG826" s="44"/>
      <c r="BH826" s="44"/>
      <c r="BI826" s="44"/>
      <c r="BJ826" s="44"/>
      <c r="BK826" s="44"/>
      <c r="BL826" s="44"/>
      <c r="BM826" s="44"/>
      <c r="BN826" s="44"/>
      <c r="BP826" s="44"/>
      <c r="BQ826" s="44"/>
      <c r="BR826" s="44"/>
      <c r="BS826" s="44"/>
      <c r="BT826" s="44"/>
      <c r="BU826" s="44"/>
      <c r="BV826" s="44"/>
      <c r="BW826" s="44"/>
    </row>
    <row r="827" spans="45:75" x14ac:dyDescent="0.3">
      <c r="AS827" s="135"/>
      <c r="AT827" s="135"/>
      <c r="AU827" s="135"/>
      <c r="AV827" s="135"/>
      <c r="AW827" s="135"/>
      <c r="AX827" s="135"/>
      <c r="AY827" s="135"/>
      <c r="AZ827" s="244"/>
      <c r="BA827" s="135"/>
      <c r="BB827" s="244"/>
      <c r="BC827" s="135"/>
      <c r="BD827" s="135"/>
      <c r="BE827" s="135"/>
      <c r="BG827" s="135"/>
      <c r="BH827" s="135"/>
      <c r="BI827" s="135"/>
      <c r="BJ827" s="135"/>
      <c r="BK827" s="135"/>
      <c r="BL827" s="135"/>
      <c r="BM827" s="135"/>
      <c r="BN827" s="135"/>
      <c r="BP827" s="135"/>
      <c r="BQ827" s="135"/>
      <c r="BR827" s="135"/>
      <c r="BS827" s="135"/>
      <c r="BT827" s="135"/>
      <c r="BU827" s="135"/>
      <c r="BV827" s="135"/>
      <c r="BW827" s="135"/>
    </row>
    <row r="828" spans="45:75" x14ac:dyDescent="0.3">
      <c r="AV828" s="44"/>
      <c r="AW828" s="44"/>
      <c r="AX828" s="44"/>
      <c r="AY828" s="44"/>
      <c r="AZ828" s="245"/>
      <c r="BA828" s="44"/>
      <c r="BB828" s="245"/>
      <c r="BC828" s="44"/>
      <c r="BD828" s="44"/>
      <c r="BE828" s="44"/>
      <c r="BG828" s="188"/>
      <c r="BH828" s="188"/>
      <c r="BI828" s="188"/>
      <c r="BJ828" s="188"/>
      <c r="BK828" s="188"/>
      <c r="BL828" s="188"/>
      <c r="BM828" s="188"/>
      <c r="BN828" s="188"/>
      <c r="BO828" s="188"/>
      <c r="BP828" s="188"/>
      <c r="BQ828" s="188"/>
      <c r="BR828" s="188"/>
      <c r="BS828" s="188"/>
      <c r="BT828" s="188"/>
      <c r="BU828" s="188"/>
      <c r="BV828" s="188"/>
      <c r="BW828" s="188"/>
    </row>
    <row r="829" spans="45:75" x14ac:dyDescent="0.3">
      <c r="AU829" s="42"/>
      <c r="AW829" s="123"/>
      <c r="AX829" s="188"/>
      <c r="AY829" s="188"/>
      <c r="AZ829" s="188"/>
      <c r="BA829" s="236"/>
      <c r="BB829" s="188"/>
      <c r="BC829" s="188"/>
      <c r="BD829" s="188"/>
      <c r="BE829" s="236"/>
      <c r="BG829" s="188"/>
      <c r="BH829" s="188"/>
      <c r="BI829" s="188"/>
      <c r="BJ829" s="188"/>
      <c r="BK829" s="188"/>
      <c r="BL829" s="188"/>
      <c r="BM829" s="188"/>
      <c r="BN829" s="188"/>
      <c r="BO829" s="188"/>
      <c r="BP829" s="188"/>
      <c r="BQ829" s="188"/>
      <c r="BR829" s="188"/>
      <c r="BS829" s="188"/>
      <c r="BT829" s="188"/>
      <c r="BU829" s="188"/>
      <c r="BV829" s="188"/>
      <c r="BW829" s="188"/>
    </row>
    <row r="830" spans="45:75" x14ac:dyDescent="0.3">
      <c r="AW830" s="123"/>
      <c r="AX830" s="188"/>
      <c r="AY830" s="188"/>
      <c r="AZ830" s="188"/>
      <c r="BA830" s="236"/>
      <c r="BB830" s="188"/>
      <c r="BC830" s="188"/>
      <c r="BD830" s="188"/>
      <c r="BE830" s="236"/>
      <c r="BG830" s="188"/>
      <c r="BH830" s="188"/>
      <c r="BI830" s="188"/>
      <c r="BJ830" s="188"/>
      <c r="BK830" s="188"/>
      <c r="BL830" s="188"/>
      <c r="BM830" s="188"/>
      <c r="BN830" s="188"/>
      <c r="BO830" s="188"/>
      <c r="BP830" s="188"/>
      <c r="BQ830" s="188"/>
      <c r="BR830" s="188"/>
      <c r="BS830" s="188"/>
      <c r="BT830" s="188"/>
      <c r="BU830" s="188"/>
      <c r="BV830" s="188"/>
      <c r="BW830" s="188"/>
    </row>
    <row r="831" spans="45:75" x14ac:dyDescent="0.3">
      <c r="AW831" s="123"/>
      <c r="AX831" s="188"/>
      <c r="AY831" s="188"/>
      <c r="AZ831" s="188"/>
      <c r="BA831" s="236"/>
      <c r="BB831" s="188"/>
      <c r="BC831" s="188"/>
      <c r="BD831" s="188"/>
      <c r="BE831" s="236"/>
      <c r="BG831" s="188"/>
      <c r="BH831" s="188"/>
      <c r="BI831" s="188"/>
      <c r="BJ831" s="188"/>
      <c r="BK831" s="188"/>
      <c r="BL831" s="188"/>
      <c r="BM831" s="188"/>
      <c r="BN831" s="188"/>
      <c r="BO831" s="188"/>
      <c r="BP831" s="188"/>
      <c r="BQ831" s="188"/>
      <c r="BR831" s="188"/>
      <c r="BS831" s="188"/>
      <c r="BT831" s="188"/>
      <c r="BU831" s="188"/>
      <c r="BV831" s="188"/>
      <c r="BW831" s="188"/>
    </row>
    <row r="832" spans="45:75" x14ac:dyDescent="0.3">
      <c r="AW832" s="123"/>
      <c r="AX832" s="188"/>
      <c r="AY832" s="188"/>
      <c r="AZ832" s="188"/>
      <c r="BA832" s="236"/>
      <c r="BB832" s="188"/>
      <c r="BC832" s="188"/>
      <c r="BD832" s="188"/>
      <c r="BE832" s="236"/>
      <c r="BG832" s="188"/>
      <c r="BH832" s="188"/>
      <c r="BI832" s="188"/>
      <c r="BJ832" s="188"/>
      <c r="BK832" s="188"/>
      <c r="BL832" s="188"/>
      <c r="BM832" s="188"/>
      <c r="BN832" s="188"/>
      <c r="BO832" s="188"/>
      <c r="BP832" s="188"/>
      <c r="BQ832" s="188"/>
      <c r="BR832" s="188"/>
      <c r="BS832" s="188"/>
      <c r="BT832" s="188"/>
      <c r="BU832" s="188"/>
      <c r="BV832" s="188"/>
      <c r="BW832" s="188"/>
    </row>
    <row r="833" spans="49:75" x14ac:dyDescent="0.3">
      <c r="AW833" s="123"/>
      <c r="AX833" s="188"/>
      <c r="AY833" s="188"/>
      <c r="AZ833" s="188"/>
      <c r="BA833" s="236"/>
      <c r="BB833" s="188"/>
      <c r="BC833" s="188"/>
      <c r="BD833" s="188"/>
      <c r="BE833" s="236"/>
      <c r="BG833" s="188"/>
      <c r="BH833" s="188"/>
      <c r="BI833" s="188"/>
      <c r="BJ833" s="188"/>
      <c r="BK833" s="188"/>
      <c r="BL833" s="188"/>
      <c r="BM833" s="188"/>
      <c r="BN833" s="188"/>
      <c r="BO833" s="188"/>
      <c r="BP833" s="188"/>
      <c r="BQ833" s="188"/>
      <c r="BR833" s="188"/>
      <c r="BS833" s="188"/>
      <c r="BT833" s="188"/>
      <c r="BU833" s="188"/>
      <c r="BV833" s="188"/>
      <c r="BW833" s="188"/>
    </row>
    <row r="834" spans="49:75" x14ac:dyDescent="0.3">
      <c r="AW834" s="123"/>
      <c r="AX834" s="188"/>
      <c r="AY834" s="188"/>
      <c r="AZ834" s="188"/>
      <c r="BA834" s="236"/>
      <c r="BB834" s="188"/>
      <c r="BC834" s="188"/>
      <c r="BD834" s="188"/>
      <c r="BE834" s="236"/>
      <c r="BG834" s="188"/>
      <c r="BH834" s="188"/>
      <c r="BI834" s="188"/>
      <c r="BJ834" s="188"/>
      <c r="BK834" s="188"/>
      <c r="BL834" s="188"/>
      <c r="BM834" s="188"/>
      <c r="BN834" s="188"/>
      <c r="BO834" s="188"/>
      <c r="BP834" s="188"/>
      <c r="BQ834" s="188"/>
      <c r="BR834" s="188"/>
      <c r="BS834" s="188"/>
      <c r="BT834" s="188"/>
      <c r="BU834" s="188"/>
      <c r="BV834" s="188"/>
      <c r="BW834" s="188"/>
    </row>
    <row r="835" spans="49:75" x14ac:dyDescent="0.3">
      <c r="AW835" s="123"/>
      <c r="AX835" s="188"/>
      <c r="AY835" s="188"/>
      <c r="AZ835" s="188"/>
      <c r="BA835" s="236"/>
      <c r="BB835" s="188"/>
      <c r="BC835" s="188"/>
      <c r="BD835" s="188"/>
      <c r="BE835" s="236"/>
      <c r="BG835" s="188"/>
      <c r="BH835" s="188"/>
      <c r="BI835" s="188"/>
      <c r="BJ835" s="188"/>
      <c r="BK835" s="188"/>
      <c r="BL835" s="188"/>
      <c r="BM835" s="188"/>
      <c r="BN835" s="188"/>
      <c r="BO835" s="188"/>
      <c r="BP835" s="188"/>
      <c r="BQ835" s="188"/>
      <c r="BR835" s="188"/>
      <c r="BS835" s="188"/>
      <c r="BT835" s="188"/>
      <c r="BU835" s="188"/>
      <c r="BV835" s="188"/>
      <c r="BW835" s="188"/>
    </row>
    <row r="836" spans="49:75" x14ac:dyDescent="0.3">
      <c r="AW836" s="123"/>
      <c r="AX836" s="188"/>
      <c r="AY836" s="188"/>
      <c r="AZ836" s="188"/>
      <c r="BA836" s="236"/>
      <c r="BB836" s="188"/>
      <c r="BC836" s="188"/>
      <c r="BD836" s="188"/>
      <c r="BE836" s="236"/>
      <c r="BG836" s="188"/>
      <c r="BH836" s="188"/>
      <c r="BI836" s="188"/>
      <c r="BJ836" s="188"/>
      <c r="BK836" s="188"/>
      <c r="BL836" s="188"/>
      <c r="BM836" s="188"/>
      <c r="BN836" s="188"/>
      <c r="BO836" s="188"/>
      <c r="BP836" s="188"/>
      <c r="BQ836" s="188"/>
      <c r="BR836" s="188"/>
      <c r="BS836" s="188"/>
      <c r="BT836" s="188"/>
      <c r="BU836" s="188"/>
      <c r="BV836" s="188"/>
      <c r="BW836" s="188"/>
    </row>
    <row r="837" spans="49:75" x14ac:dyDescent="0.3">
      <c r="AW837" s="123"/>
      <c r="AX837" s="188"/>
      <c r="AY837" s="188"/>
      <c r="AZ837" s="188"/>
      <c r="BA837" s="236"/>
      <c r="BB837" s="188"/>
      <c r="BC837" s="188"/>
      <c r="BD837" s="188"/>
      <c r="BE837" s="236"/>
      <c r="BG837" s="188"/>
      <c r="BH837" s="188"/>
      <c r="BI837" s="188"/>
      <c r="BJ837" s="188"/>
      <c r="BK837" s="188"/>
      <c r="BL837" s="188"/>
      <c r="BM837" s="188"/>
      <c r="BN837" s="188"/>
      <c r="BO837" s="188"/>
      <c r="BP837" s="188"/>
      <c r="BQ837" s="188"/>
      <c r="BR837" s="188"/>
      <c r="BS837" s="188"/>
      <c r="BT837" s="188"/>
      <c r="BU837" s="188"/>
      <c r="BV837" s="188"/>
      <c r="BW837" s="188"/>
    </row>
    <row r="838" spans="49:75" x14ac:dyDescent="0.3">
      <c r="AW838" s="123"/>
      <c r="AX838" s="188"/>
      <c r="AY838" s="188"/>
      <c r="AZ838" s="188"/>
      <c r="BA838" s="236"/>
      <c r="BB838" s="188"/>
      <c r="BC838" s="188"/>
      <c r="BD838" s="188"/>
      <c r="BE838" s="236"/>
      <c r="BG838" s="188"/>
      <c r="BH838" s="188"/>
      <c r="BI838" s="188"/>
      <c r="BJ838" s="188"/>
      <c r="BK838" s="188"/>
      <c r="BL838" s="188"/>
      <c r="BM838" s="188"/>
      <c r="BN838" s="188"/>
      <c r="BO838" s="188"/>
      <c r="BP838" s="188"/>
      <c r="BQ838" s="188"/>
      <c r="BR838" s="188"/>
      <c r="BS838" s="188"/>
      <c r="BT838" s="188"/>
      <c r="BU838" s="188"/>
      <c r="BV838" s="188"/>
      <c r="BW838" s="188"/>
    </row>
    <row r="839" spans="49:75" x14ac:dyDescent="0.3">
      <c r="AW839" s="123"/>
      <c r="AX839" s="188"/>
      <c r="AY839" s="188"/>
      <c r="AZ839" s="188"/>
      <c r="BA839" s="236"/>
      <c r="BB839" s="188"/>
      <c r="BC839" s="188"/>
      <c r="BD839" s="188"/>
      <c r="BE839" s="236"/>
      <c r="BG839" s="188"/>
      <c r="BH839" s="188"/>
      <c r="BI839" s="188"/>
      <c r="BJ839" s="188"/>
      <c r="BK839" s="188"/>
      <c r="BL839" s="188"/>
      <c r="BM839" s="188"/>
      <c r="BN839" s="188"/>
      <c r="BO839" s="188"/>
      <c r="BP839" s="188"/>
      <c r="BQ839" s="188"/>
      <c r="BR839" s="188"/>
      <c r="BS839" s="188"/>
      <c r="BT839" s="188"/>
      <c r="BU839" s="188"/>
      <c r="BV839" s="188"/>
      <c r="BW839" s="188"/>
    </row>
    <row r="840" spans="49:75" x14ac:dyDescent="0.3">
      <c r="AW840" s="123"/>
      <c r="AX840" s="188"/>
      <c r="AY840" s="188"/>
      <c r="AZ840" s="188"/>
      <c r="BA840" s="236"/>
      <c r="BB840" s="188"/>
      <c r="BC840" s="188"/>
      <c r="BD840" s="188"/>
      <c r="BE840" s="236"/>
      <c r="BG840" s="188"/>
      <c r="BH840" s="188"/>
      <c r="BI840" s="188"/>
      <c r="BJ840" s="188"/>
      <c r="BK840" s="188"/>
      <c r="BL840" s="188"/>
      <c r="BM840" s="188"/>
      <c r="BN840" s="188"/>
      <c r="BO840" s="188"/>
      <c r="BP840" s="188"/>
      <c r="BQ840" s="188"/>
      <c r="BR840" s="188"/>
      <c r="BS840" s="188"/>
      <c r="BT840" s="188"/>
      <c r="BU840" s="188"/>
      <c r="BV840" s="188"/>
      <c r="BW840" s="188"/>
    </row>
    <row r="841" spans="49:75" x14ac:dyDescent="0.3">
      <c r="AW841" s="123"/>
      <c r="AX841" s="188"/>
      <c r="AY841" s="188"/>
      <c r="AZ841" s="188"/>
      <c r="BA841" s="236"/>
      <c r="BB841" s="188"/>
      <c r="BC841" s="188"/>
      <c r="BD841" s="188"/>
      <c r="BE841" s="236"/>
      <c r="BG841" s="188"/>
      <c r="BH841" s="188"/>
      <c r="BI841" s="188"/>
      <c r="BJ841" s="188"/>
      <c r="BK841" s="188"/>
      <c r="BL841" s="188"/>
      <c r="BM841" s="188"/>
      <c r="BN841" s="188"/>
      <c r="BO841" s="188"/>
      <c r="BP841" s="188"/>
      <c r="BQ841" s="188"/>
      <c r="BR841" s="188"/>
      <c r="BS841" s="188"/>
      <c r="BT841" s="188"/>
      <c r="BU841" s="188"/>
      <c r="BV841" s="188"/>
      <c r="BW841" s="188"/>
    </row>
    <row r="842" spans="49:75" x14ac:dyDescent="0.3">
      <c r="AW842" s="123"/>
      <c r="AX842" s="188"/>
      <c r="AY842" s="188"/>
      <c r="AZ842" s="188"/>
      <c r="BA842" s="236"/>
      <c r="BB842" s="188"/>
      <c r="BC842" s="188"/>
      <c r="BD842" s="188"/>
      <c r="BE842" s="236"/>
      <c r="BG842" s="188"/>
      <c r="BH842" s="188"/>
      <c r="BI842" s="188"/>
      <c r="BJ842" s="188"/>
      <c r="BK842" s="188"/>
      <c r="BL842" s="188"/>
      <c r="BM842" s="188"/>
      <c r="BN842" s="188"/>
      <c r="BO842" s="188"/>
      <c r="BP842" s="188"/>
      <c r="BQ842" s="188"/>
      <c r="BR842" s="188"/>
      <c r="BS842" s="188"/>
      <c r="BT842" s="188"/>
      <c r="BU842" s="188"/>
      <c r="BV842" s="188"/>
      <c r="BW842" s="188"/>
    </row>
    <row r="843" spans="49:75" x14ac:dyDescent="0.3">
      <c r="AW843" s="123"/>
      <c r="AX843" s="188"/>
      <c r="AY843" s="188"/>
      <c r="AZ843" s="188"/>
      <c r="BA843" s="236"/>
      <c r="BB843" s="188"/>
      <c r="BC843" s="188"/>
      <c r="BD843" s="188"/>
      <c r="BE843" s="236"/>
      <c r="BG843" s="188"/>
      <c r="BH843" s="188"/>
      <c r="BI843" s="188"/>
      <c r="BJ843" s="188"/>
      <c r="BK843" s="188"/>
      <c r="BL843" s="188"/>
      <c r="BM843" s="188"/>
      <c r="BN843" s="188"/>
      <c r="BO843" s="188"/>
      <c r="BP843" s="188"/>
      <c r="BQ843" s="188"/>
      <c r="BR843" s="188"/>
      <c r="BS843" s="188"/>
      <c r="BT843" s="188"/>
      <c r="BU843" s="188"/>
      <c r="BV843" s="188"/>
      <c r="BW843" s="188"/>
    </row>
    <row r="844" spans="49:75" x14ac:dyDescent="0.3">
      <c r="AW844" s="123"/>
      <c r="AX844" s="188"/>
      <c r="AY844" s="188"/>
      <c r="AZ844" s="188"/>
      <c r="BA844" s="236"/>
      <c r="BB844" s="188"/>
      <c r="BC844" s="188"/>
      <c r="BD844" s="188"/>
      <c r="BE844" s="236"/>
      <c r="BG844" s="188"/>
      <c r="BH844" s="188"/>
      <c r="BI844" s="188"/>
      <c r="BJ844" s="188"/>
      <c r="BK844" s="188"/>
      <c r="BL844" s="188"/>
      <c r="BM844" s="188"/>
      <c r="BN844" s="188"/>
      <c r="BO844" s="188"/>
      <c r="BP844" s="188"/>
      <c r="BQ844" s="188"/>
      <c r="BR844" s="188"/>
      <c r="BS844" s="188"/>
      <c r="BT844" s="188"/>
      <c r="BU844" s="188"/>
      <c r="BV844" s="188"/>
      <c r="BW844" s="188"/>
    </row>
    <row r="845" spans="49:75" x14ac:dyDescent="0.3">
      <c r="AW845" s="123"/>
      <c r="AX845" s="188"/>
      <c r="AY845" s="188"/>
      <c r="AZ845" s="188"/>
      <c r="BA845" s="236"/>
      <c r="BB845" s="188"/>
      <c r="BC845" s="188"/>
      <c r="BD845" s="188"/>
      <c r="BE845" s="236"/>
      <c r="BG845" s="188"/>
      <c r="BH845" s="188"/>
      <c r="BI845" s="188"/>
      <c r="BJ845" s="188"/>
      <c r="BK845" s="188"/>
      <c r="BL845" s="188"/>
      <c r="BM845" s="188"/>
      <c r="BN845" s="188"/>
      <c r="BO845" s="188"/>
      <c r="BP845" s="188"/>
      <c r="BQ845" s="188"/>
      <c r="BR845" s="188"/>
      <c r="BS845" s="188"/>
      <c r="BT845" s="188"/>
      <c r="BU845" s="188"/>
      <c r="BV845" s="188"/>
      <c r="BW845" s="188"/>
    </row>
    <row r="846" spans="49:75" x14ac:dyDescent="0.3">
      <c r="AW846" s="123"/>
      <c r="AX846" s="188"/>
      <c r="AY846" s="188"/>
      <c r="AZ846" s="188"/>
      <c r="BA846" s="236"/>
      <c r="BB846" s="188"/>
      <c r="BC846" s="188"/>
      <c r="BD846" s="188"/>
      <c r="BE846" s="236"/>
      <c r="BG846" s="188"/>
      <c r="BH846" s="188"/>
      <c r="BI846" s="188"/>
      <c r="BJ846" s="188"/>
      <c r="BK846" s="188"/>
      <c r="BL846" s="188"/>
      <c r="BM846" s="188"/>
      <c r="BN846" s="188"/>
      <c r="BO846" s="188"/>
      <c r="BP846" s="188"/>
      <c r="BQ846" s="188"/>
      <c r="BR846" s="188"/>
      <c r="BS846" s="188"/>
      <c r="BT846" s="188"/>
      <c r="BU846" s="188"/>
      <c r="BV846" s="188"/>
      <c r="BW846" s="188"/>
    </row>
    <row r="847" spans="49:75" x14ac:dyDescent="0.3">
      <c r="AW847" s="123"/>
      <c r="AX847" s="188"/>
      <c r="AY847" s="188"/>
      <c r="AZ847" s="188"/>
      <c r="BA847" s="236"/>
      <c r="BB847" s="188"/>
      <c r="BC847" s="188"/>
      <c r="BD847" s="188"/>
      <c r="BE847" s="236"/>
      <c r="BG847" s="188"/>
      <c r="BH847" s="188"/>
      <c r="BI847" s="188"/>
      <c r="BJ847" s="188"/>
      <c r="BK847" s="188"/>
      <c r="BL847" s="188"/>
      <c r="BM847" s="188"/>
      <c r="BN847" s="188"/>
      <c r="BO847" s="188"/>
      <c r="BP847" s="188"/>
      <c r="BQ847" s="188"/>
      <c r="BR847" s="188"/>
      <c r="BS847" s="188"/>
      <c r="BT847" s="188"/>
      <c r="BU847" s="188"/>
      <c r="BV847" s="188"/>
      <c r="BW847" s="188"/>
    </row>
    <row r="848" spans="49:75" x14ac:dyDescent="0.3">
      <c r="AW848" s="123"/>
      <c r="AX848" s="188"/>
      <c r="AY848" s="188"/>
      <c r="AZ848" s="188"/>
      <c r="BA848" s="236"/>
      <c r="BB848" s="188"/>
      <c r="BC848" s="188"/>
      <c r="BD848" s="188"/>
      <c r="BE848" s="236"/>
      <c r="BG848" s="188"/>
      <c r="BH848" s="188"/>
      <c r="BI848" s="188"/>
      <c r="BJ848" s="188"/>
      <c r="BK848" s="188"/>
      <c r="BL848" s="188"/>
      <c r="BM848" s="188"/>
      <c r="BN848" s="188"/>
      <c r="BO848" s="188"/>
      <c r="BP848" s="188"/>
      <c r="BQ848" s="188"/>
      <c r="BR848" s="188"/>
      <c r="BS848" s="188"/>
      <c r="BT848" s="188"/>
      <c r="BU848" s="188"/>
      <c r="BV848" s="188"/>
      <c r="BW848" s="188"/>
    </row>
    <row r="849" spans="45:75" x14ac:dyDescent="0.3">
      <c r="AW849" s="123"/>
      <c r="AX849" s="188"/>
      <c r="AY849" s="188"/>
      <c r="AZ849" s="188"/>
      <c r="BA849" s="236"/>
      <c r="BB849" s="188"/>
      <c r="BC849" s="188"/>
      <c r="BD849" s="188"/>
      <c r="BE849" s="236"/>
      <c r="BG849" s="188"/>
      <c r="BH849" s="188"/>
      <c r="BI849" s="188"/>
      <c r="BJ849" s="188"/>
      <c r="BK849" s="188"/>
      <c r="BL849" s="188"/>
      <c r="BM849" s="188"/>
      <c r="BN849" s="188"/>
      <c r="BO849" s="188"/>
      <c r="BP849" s="188"/>
      <c r="BQ849" s="188"/>
      <c r="BR849" s="188"/>
      <c r="BS849" s="188"/>
      <c r="BT849" s="188"/>
      <c r="BU849" s="188"/>
      <c r="BV849" s="188"/>
      <c r="BW849" s="188"/>
    </row>
    <row r="850" spans="45:75" x14ac:dyDescent="0.3">
      <c r="AW850" s="123"/>
      <c r="AX850" s="188"/>
      <c r="AY850" s="188"/>
      <c r="AZ850" s="188"/>
      <c r="BA850" s="236"/>
      <c r="BB850" s="188"/>
      <c r="BC850" s="188"/>
      <c r="BD850" s="188"/>
      <c r="BE850" s="236"/>
      <c r="BG850" s="135"/>
      <c r="BH850" s="135"/>
      <c r="BI850" s="42"/>
      <c r="BM850" s="135"/>
      <c r="BN850" s="135"/>
      <c r="BO850" s="188"/>
      <c r="BP850" s="135"/>
      <c r="BQ850" s="135"/>
      <c r="BR850" s="42"/>
      <c r="BV850" s="135"/>
      <c r="BW850" s="135"/>
    </row>
    <row r="851" spans="45:75" x14ac:dyDescent="0.3">
      <c r="AU851" s="42"/>
      <c r="AV851" s="44"/>
      <c r="AW851" s="123"/>
      <c r="AX851" s="188"/>
      <c r="AY851" s="188"/>
      <c r="AZ851" s="188"/>
      <c r="BA851" s="236"/>
      <c r="BB851" s="188"/>
      <c r="BC851" s="188"/>
      <c r="BD851" s="188"/>
      <c r="BE851" s="236"/>
      <c r="BG851" s="245"/>
      <c r="BH851" s="188"/>
      <c r="BI851" s="188"/>
      <c r="BJ851" s="188"/>
      <c r="BK851" s="245"/>
      <c r="BL851" s="246"/>
      <c r="BM851" s="188"/>
      <c r="BN851" s="245"/>
      <c r="BO851" s="188"/>
      <c r="BP851" s="245"/>
      <c r="BQ851" s="188"/>
      <c r="BR851" s="188"/>
      <c r="BS851" s="188"/>
      <c r="BT851" s="245"/>
      <c r="BU851" s="246"/>
      <c r="BV851" s="188"/>
      <c r="BW851" s="245"/>
    </row>
    <row r="852" spans="45:75" x14ac:dyDescent="0.3">
      <c r="AV852" s="44"/>
      <c r="AW852" s="123"/>
      <c r="AX852" s="188"/>
      <c r="AY852" s="188"/>
      <c r="AZ852" s="188"/>
      <c r="BA852" s="236"/>
      <c r="BB852" s="188"/>
      <c r="BC852" s="188"/>
      <c r="BD852" s="188"/>
      <c r="BE852" s="236"/>
      <c r="BG852" s="188"/>
      <c r="BH852" s="188"/>
      <c r="BI852" s="188"/>
      <c r="BJ852" s="188"/>
      <c r="BK852" s="188"/>
      <c r="BL852" s="246"/>
      <c r="BM852" s="188"/>
      <c r="BN852" s="188"/>
      <c r="BO852" s="188"/>
      <c r="BP852" s="188"/>
      <c r="BQ852" s="188"/>
      <c r="BR852" s="188"/>
      <c r="BS852" s="188"/>
      <c r="BT852" s="188"/>
      <c r="BU852" s="246"/>
      <c r="BV852" s="188"/>
      <c r="BW852" s="188"/>
    </row>
    <row r="853" spans="45:75" x14ac:dyDescent="0.3">
      <c r="AV853" s="44"/>
      <c r="AW853" s="123"/>
      <c r="AX853" s="188"/>
      <c r="AY853" s="188"/>
      <c r="AZ853" s="188"/>
      <c r="BA853" s="236"/>
      <c r="BB853" s="188"/>
      <c r="BC853" s="188"/>
      <c r="BD853" s="188"/>
      <c r="BE853" s="236"/>
      <c r="BG853" s="188"/>
      <c r="BH853" s="188"/>
      <c r="BI853" s="188"/>
      <c r="BJ853" s="188"/>
      <c r="BK853" s="188"/>
      <c r="BL853" s="246"/>
      <c r="BM853" s="188"/>
      <c r="BN853" s="188"/>
      <c r="BO853" s="188"/>
      <c r="BP853" s="188"/>
      <c r="BQ853" s="188"/>
      <c r="BR853" s="188"/>
      <c r="BS853" s="188"/>
      <c r="BT853" s="188"/>
      <c r="BU853" s="246"/>
      <c r="BV853" s="188"/>
      <c r="BW853" s="188"/>
    </row>
    <row r="854" spans="45:75" x14ac:dyDescent="0.3">
      <c r="AV854" s="44"/>
      <c r="AW854" s="123"/>
      <c r="AX854" s="188"/>
      <c r="AY854" s="188"/>
      <c r="AZ854" s="188"/>
      <c r="BA854" s="236"/>
      <c r="BB854" s="188"/>
      <c r="BC854" s="188"/>
      <c r="BD854" s="188"/>
      <c r="BE854" s="236"/>
      <c r="BG854" s="188"/>
      <c r="BH854" s="188"/>
      <c r="BI854" s="188"/>
      <c r="BJ854" s="188"/>
      <c r="BK854" s="188"/>
      <c r="BL854" s="246"/>
      <c r="BM854" s="188"/>
      <c r="BN854" s="188"/>
      <c r="BO854" s="188"/>
      <c r="BP854" s="188"/>
      <c r="BQ854" s="188"/>
      <c r="BR854" s="188"/>
      <c r="BS854" s="188"/>
      <c r="BT854" s="188"/>
      <c r="BU854" s="246"/>
      <c r="BV854" s="188"/>
      <c r="BW854" s="188"/>
    </row>
    <row r="855" spans="45:75" x14ac:dyDescent="0.3">
      <c r="AX855" s="188"/>
      <c r="AY855" s="188"/>
      <c r="AZ855" s="188"/>
      <c r="BA855" s="236"/>
      <c r="BB855" s="188"/>
      <c r="BC855" s="188"/>
      <c r="BD855" s="188"/>
      <c r="BE855" s="236"/>
      <c r="BG855" s="188"/>
      <c r="BH855" s="188"/>
      <c r="BI855" s="188"/>
      <c r="BJ855" s="188"/>
      <c r="BK855" s="188"/>
      <c r="BL855" s="188"/>
      <c r="BM855" s="188"/>
      <c r="BN855" s="188"/>
      <c r="BO855" s="188"/>
      <c r="BP855" s="188"/>
      <c r="BQ855" s="188"/>
      <c r="BR855" s="188"/>
      <c r="BS855" s="188"/>
      <c r="BT855" s="188"/>
      <c r="BU855" s="188"/>
      <c r="BV855" s="188"/>
    </row>
    <row r="856" spans="45:75" x14ac:dyDescent="0.3">
      <c r="AU856" s="42"/>
    </row>
    <row r="857" spans="45:75" x14ac:dyDescent="0.3">
      <c r="AU857" s="42"/>
      <c r="AZ857" s="188"/>
      <c r="BA857" s="236"/>
      <c r="BB857" s="188"/>
      <c r="BC857" s="188"/>
      <c r="BD857" s="188"/>
      <c r="BE857" s="236"/>
      <c r="BG857" s="188"/>
      <c r="BH857" s="188"/>
      <c r="BI857" s="188"/>
      <c r="BJ857" s="188"/>
      <c r="BK857" s="188"/>
      <c r="BL857" s="188"/>
      <c r="BM857" s="188"/>
      <c r="BN857" s="188"/>
      <c r="BO857" s="188"/>
      <c r="BP857" s="188"/>
      <c r="BQ857" s="188"/>
      <c r="BR857" s="188"/>
      <c r="BS857" s="188"/>
      <c r="BT857" s="188"/>
      <c r="BU857" s="188"/>
      <c r="BV857" s="188"/>
    </row>
    <row r="858" spans="45:75" x14ac:dyDescent="0.3">
      <c r="AS858" s="42"/>
      <c r="AZ858" s="188"/>
      <c r="BB858" s="188"/>
    </row>
    <row r="859" spans="45:75" x14ac:dyDescent="0.3">
      <c r="AZ859" s="188"/>
      <c r="BB859" s="188"/>
      <c r="BO859" s="188"/>
      <c r="BP859" s="188"/>
      <c r="BQ859" s="188"/>
      <c r="BR859" s="188"/>
      <c r="BS859" s="188"/>
      <c r="BT859" s="188"/>
      <c r="BU859" s="188"/>
      <c r="BV859" s="188"/>
    </row>
    <row r="860" spans="45:75" x14ac:dyDescent="0.3">
      <c r="AY860" s="188"/>
      <c r="AZ860" s="188"/>
      <c r="BB860" s="188"/>
      <c r="BO860" s="188"/>
      <c r="BP860" s="188"/>
      <c r="BQ860" s="188"/>
      <c r="BR860" s="188"/>
      <c r="BS860" s="188"/>
      <c r="BT860" s="188"/>
      <c r="BU860" s="188"/>
      <c r="BV860" s="188"/>
    </row>
    <row r="861" spans="45:75" x14ac:dyDescent="0.3">
      <c r="AY861" s="42"/>
      <c r="AZ861" s="188"/>
      <c r="BB861" s="188"/>
      <c r="BO861" s="188"/>
      <c r="BP861" s="188"/>
      <c r="BQ861" s="188"/>
      <c r="BR861" s="188"/>
      <c r="BS861" s="188"/>
      <c r="BT861" s="188"/>
      <c r="BU861" s="188"/>
      <c r="BV861" s="188"/>
    </row>
    <row r="862" spans="45:75" x14ac:dyDescent="0.3">
      <c r="AY862" s="42"/>
      <c r="AZ862" s="188"/>
      <c r="BB862" s="188"/>
      <c r="BO862" s="188"/>
      <c r="BP862" s="188"/>
      <c r="BQ862" s="188"/>
      <c r="BR862" s="188"/>
      <c r="BS862" s="188"/>
      <c r="BT862" s="188"/>
      <c r="BU862" s="188"/>
      <c r="BV862" s="188"/>
    </row>
    <row r="863" spans="45:75" x14ac:dyDescent="0.3">
      <c r="AZ863" s="188"/>
      <c r="BB863" s="188"/>
      <c r="BD863" s="42"/>
      <c r="BO863" s="188"/>
      <c r="BP863" s="188"/>
      <c r="BQ863" s="188"/>
      <c r="BR863" s="188"/>
      <c r="BS863" s="188"/>
      <c r="BT863" s="188"/>
      <c r="BU863" s="188"/>
      <c r="BV863" s="188"/>
    </row>
    <row r="864" spans="45:75" x14ac:dyDescent="0.3">
      <c r="AZ864" s="188"/>
      <c r="BB864" s="188"/>
      <c r="BD864" s="42"/>
      <c r="BO864" s="188"/>
      <c r="BP864" s="188"/>
      <c r="BQ864" s="188"/>
      <c r="BR864" s="188"/>
      <c r="BS864" s="188"/>
      <c r="BT864" s="188"/>
      <c r="BU864" s="188"/>
      <c r="BV864" s="188"/>
    </row>
    <row r="865" spans="45:74" x14ac:dyDescent="0.3">
      <c r="AS865" s="42"/>
      <c r="AZ865" s="188"/>
      <c r="BB865" s="188"/>
      <c r="BD865" s="42"/>
      <c r="BO865" s="188"/>
      <c r="BP865" s="188"/>
      <c r="BQ865" s="188"/>
      <c r="BR865" s="188"/>
      <c r="BS865" s="188"/>
      <c r="BT865" s="188"/>
      <c r="BU865" s="188"/>
      <c r="BV865" s="188"/>
    </row>
    <row r="866" spans="45:74" x14ac:dyDescent="0.3">
      <c r="AZ866" s="188"/>
      <c r="BB866" s="188"/>
      <c r="BO866" s="188"/>
      <c r="BP866" s="188"/>
      <c r="BQ866" s="188"/>
      <c r="BR866" s="188"/>
      <c r="BS866" s="188"/>
      <c r="BT866" s="188"/>
      <c r="BU866" s="188"/>
      <c r="BV866" s="188"/>
    </row>
    <row r="867" spans="45:74" x14ac:dyDescent="0.3">
      <c r="AS867" s="135"/>
      <c r="AT867" s="135"/>
      <c r="AU867" s="135"/>
      <c r="AV867" s="135"/>
      <c r="AW867" s="135"/>
      <c r="AX867" s="135"/>
      <c r="AY867" s="135"/>
      <c r="AZ867" s="244"/>
      <c r="BA867" s="135"/>
      <c r="BB867" s="244"/>
      <c r="BC867" s="135"/>
      <c r="BD867" s="135"/>
      <c r="BE867" s="135"/>
      <c r="BO867" s="188"/>
      <c r="BP867" s="188"/>
      <c r="BQ867" s="188"/>
      <c r="BR867" s="188"/>
      <c r="BS867" s="188"/>
      <c r="BT867" s="188"/>
      <c r="BU867" s="188"/>
      <c r="BV867" s="188"/>
    </row>
    <row r="868" spans="45:74" x14ac:dyDescent="0.3">
      <c r="AX868" s="42"/>
      <c r="AZ868" s="188"/>
      <c r="BB868" s="188"/>
      <c r="BO868" s="188"/>
      <c r="BP868" s="188"/>
      <c r="BQ868" s="188"/>
      <c r="BR868" s="188"/>
      <c r="BS868" s="188"/>
      <c r="BT868" s="188"/>
      <c r="BU868" s="188"/>
      <c r="BV868" s="188"/>
    </row>
    <row r="869" spans="45:74" x14ac:dyDescent="0.3">
      <c r="AX869" s="135"/>
      <c r="AY869" s="135"/>
      <c r="AZ869" s="244"/>
      <c r="BA869" s="135"/>
      <c r="BB869" s="188"/>
      <c r="BC869" s="44"/>
      <c r="BD869" s="44"/>
      <c r="BO869" s="188"/>
      <c r="BP869" s="188"/>
      <c r="BQ869" s="188"/>
      <c r="BR869" s="188"/>
      <c r="BS869" s="188"/>
      <c r="BT869" s="188"/>
      <c r="BU869" s="188"/>
      <c r="BV869" s="188"/>
    </row>
    <row r="870" spans="45:74" x14ac:dyDescent="0.3">
      <c r="AV870" s="44"/>
      <c r="AW870" s="44"/>
      <c r="AZ870" s="245"/>
      <c r="BA870" s="44"/>
      <c r="BB870" s="188"/>
      <c r="BC870" s="44"/>
      <c r="BD870" s="44"/>
      <c r="BE870" s="44"/>
      <c r="BG870" s="135"/>
      <c r="BH870" s="42"/>
      <c r="BK870" s="135"/>
      <c r="BM870" s="135"/>
      <c r="BN870" s="42"/>
      <c r="BQ870" s="135"/>
    </row>
    <row r="871" spans="45:74" x14ac:dyDescent="0.3">
      <c r="AV871" s="44"/>
      <c r="AW871" s="44"/>
      <c r="AX871" s="44"/>
      <c r="AY871" s="44"/>
      <c r="AZ871" s="245"/>
      <c r="BA871" s="44"/>
      <c r="BB871" s="245"/>
      <c r="BC871" s="44"/>
      <c r="BD871" s="44"/>
      <c r="BE871" s="44"/>
      <c r="BH871" s="44"/>
      <c r="BI871" s="44"/>
      <c r="BN871" s="44"/>
      <c r="BO871" s="44"/>
    </row>
    <row r="872" spans="45:74" x14ac:dyDescent="0.3">
      <c r="AS872" s="44"/>
      <c r="AU872" s="42"/>
      <c r="AV872" s="44"/>
      <c r="AW872" s="44"/>
      <c r="AX872" s="44"/>
      <c r="AY872" s="44"/>
      <c r="AZ872" s="245"/>
      <c r="BA872" s="44"/>
      <c r="BB872" s="245"/>
      <c r="BC872" s="44"/>
      <c r="BD872" s="44"/>
      <c r="BE872" s="44"/>
      <c r="BG872" s="44"/>
      <c r="BH872" s="44"/>
      <c r="BI872" s="44"/>
      <c r="BJ872" s="44"/>
      <c r="BK872" s="44"/>
      <c r="BM872" s="44"/>
      <c r="BN872" s="44"/>
      <c r="BO872" s="44"/>
      <c r="BP872" s="44"/>
      <c r="BQ872" s="44"/>
    </row>
    <row r="873" spans="45:74" x14ac:dyDescent="0.3">
      <c r="AS873" s="44"/>
      <c r="AU873" s="42"/>
      <c r="AV873" s="44"/>
      <c r="AW873" s="44"/>
      <c r="AX873" s="44"/>
      <c r="AY873" s="44"/>
      <c r="AZ873" s="245"/>
      <c r="BA873" s="44"/>
      <c r="BB873" s="245"/>
      <c r="BC873" s="44"/>
      <c r="BD873" s="44"/>
      <c r="BE873" s="44"/>
      <c r="BG873" s="44"/>
      <c r="BH873" s="44"/>
      <c r="BI873" s="44"/>
      <c r="BJ873" s="44"/>
      <c r="BK873" s="44"/>
      <c r="BM873" s="44"/>
      <c r="BN873" s="44"/>
      <c r="BO873" s="44"/>
      <c r="BP873" s="44"/>
      <c r="BQ873" s="44"/>
    </row>
    <row r="874" spans="45:74" x14ac:dyDescent="0.3">
      <c r="AS874" s="135"/>
      <c r="AT874" s="135"/>
      <c r="AU874" s="135"/>
      <c r="AV874" s="135"/>
      <c r="AW874" s="135"/>
      <c r="AX874" s="135"/>
      <c r="AY874" s="135"/>
      <c r="AZ874" s="244"/>
      <c r="BA874" s="135"/>
      <c r="BB874" s="244"/>
      <c r="BC874" s="135"/>
      <c r="BD874" s="135"/>
      <c r="BE874" s="135"/>
      <c r="BG874" s="135"/>
      <c r="BH874" s="135"/>
      <c r="BI874" s="135"/>
      <c r="BJ874" s="135"/>
      <c r="BK874" s="135"/>
      <c r="BM874" s="135"/>
      <c r="BN874" s="135"/>
      <c r="BO874" s="135"/>
      <c r="BP874" s="135"/>
      <c r="BQ874" s="135"/>
    </row>
    <row r="875" spans="45:74" x14ac:dyDescent="0.3">
      <c r="AV875" s="44"/>
      <c r="AW875" s="44"/>
      <c r="AX875" s="44"/>
      <c r="AY875" s="44"/>
      <c r="AZ875" s="245"/>
      <c r="BA875" s="44"/>
      <c r="BB875" s="245"/>
      <c r="BC875" s="44"/>
      <c r="BD875" s="44"/>
      <c r="BE875" s="44"/>
      <c r="BG875" s="188"/>
      <c r="BH875" s="188"/>
      <c r="BI875" s="188"/>
      <c r="BJ875" s="188"/>
      <c r="BK875" s="188"/>
      <c r="BL875" s="188"/>
      <c r="BM875" s="188"/>
      <c r="BN875" s="188"/>
      <c r="BO875" s="188"/>
      <c r="BP875" s="188"/>
      <c r="BQ875" s="188"/>
    </row>
    <row r="876" spans="45:74" x14ac:dyDescent="0.3">
      <c r="AT876" s="42"/>
      <c r="AV876" s="123"/>
      <c r="AW876" s="123"/>
      <c r="AX876" s="188"/>
      <c r="AY876" s="188"/>
      <c r="AZ876" s="188"/>
      <c r="BA876" s="236"/>
      <c r="BB876" s="188"/>
      <c r="BC876" s="188"/>
      <c r="BD876" s="188"/>
      <c r="BE876" s="236"/>
      <c r="BG876" s="188"/>
      <c r="BH876" s="188"/>
      <c r="BI876" s="188"/>
      <c r="BJ876" s="188"/>
      <c r="BK876" s="188"/>
      <c r="BL876" s="188"/>
      <c r="BM876" s="188"/>
      <c r="BN876" s="188"/>
      <c r="BO876" s="188"/>
      <c r="BP876" s="188"/>
      <c r="BQ876" s="188"/>
      <c r="BR876" s="188"/>
      <c r="BS876" s="188"/>
    </row>
    <row r="877" spans="45:74" x14ac:dyDescent="0.3">
      <c r="AV877" s="123"/>
      <c r="AW877" s="123"/>
      <c r="AX877" s="188"/>
      <c r="AY877" s="188"/>
      <c r="AZ877" s="188"/>
      <c r="BA877" s="236"/>
      <c r="BB877" s="188"/>
      <c r="BC877" s="188"/>
      <c r="BD877" s="188"/>
      <c r="BE877" s="236"/>
      <c r="BG877" s="188"/>
      <c r="BH877" s="188"/>
      <c r="BI877" s="188"/>
      <c r="BJ877" s="188"/>
      <c r="BK877" s="188"/>
      <c r="BL877" s="188"/>
      <c r="BM877" s="188"/>
      <c r="BN877" s="188"/>
      <c r="BO877" s="188"/>
      <c r="BP877" s="188"/>
      <c r="BQ877" s="188"/>
      <c r="BR877" s="188"/>
      <c r="BS877" s="188"/>
    </row>
    <row r="878" spans="45:74" x14ac:dyDescent="0.3">
      <c r="AV878" s="123"/>
      <c r="AW878" s="123"/>
      <c r="AX878" s="188"/>
      <c r="AY878" s="188"/>
      <c r="AZ878" s="188"/>
      <c r="BA878" s="236"/>
      <c r="BB878" s="188"/>
      <c r="BC878" s="188"/>
      <c r="BD878" s="188"/>
      <c r="BE878" s="236"/>
      <c r="BG878" s="188"/>
      <c r="BH878" s="188"/>
      <c r="BI878" s="188"/>
      <c r="BJ878" s="188"/>
      <c r="BK878" s="188"/>
      <c r="BL878" s="188"/>
      <c r="BM878" s="188"/>
      <c r="BN878" s="188"/>
      <c r="BO878" s="188"/>
      <c r="BP878" s="188"/>
      <c r="BQ878" s="188"/>
      <c r="BR878" s="188"/>
      <c r="BS878" s="188"/>
    </row>
    <row r="879" spans="45:74" x14ac:dyDescent="0.3">
      <c r="AV879" s="123"/>
      <c r="AW879" s="123"/>
      <c r="AX879" s="188"/>
      <c r="AY879" s="188"/>
      <c r="AZ879" s="188"/>
      <c r="BA879" s="236"/>
      <c r="BB879" s="188"/>
      <c r="BC879" s="188"/>
      <c r="BD879" s="188"/>
      <c r="BE879" s="236"/>
      <c r="BG879" s="188"/>
      <c r="BH879" s="188"/>
      <c r="BI879" s="188"/>
      <c r="BJ879" s="188"/>
      <c r="BK879" s="188"/>
      <c r="BL879" s="188"/>
      <c r="BM879" s="188"/>
      <c r="BN879" s="188"/>
      <c r="BO879" s="188"/>
      <c r="BP879" s="188"/>
      <c r="BQ879" s="188"/>
      <c r="BR879" s="188"/>
      <c r="BS879" s="188"/>
    </row>
    <row r="880" spans="45:74" x14ac:dyDescent="0.3">
      <c r="AV880" s="123"/>
      <c r="AW880" s="123"/>
      <c r="AX880" s="188"/>
      <c r="AY880" s="188"/>
      <c r="AZ880" s="188"/>
      <c r="BA880" s="236"/>
      <c r="BB880" s="188"/>
      <c r="BC880" s="188"/>
      <c r="BD880" s="188"/>
      <c r="BE880" s="236"/>
      <c r="BG880" s="188"/>
      <c r="BH880" s="188"/>
      <c r="BI880" s="188"/>
      <c r="BJ880" s="188"/>
      <c r="BK880" s="188"/>
      <c r="BL880" s="188"/>
      <c r="BM880" s="188"/>
      <c r="BN880" s="188"/>
      <c r="BO880" s="188"/>
      <c r="BP880" s="188"/>
      <c r="BQ880" s="188"/>
      <c r="BR880" s="188"/>
      <c r="BS880" s="188"/>
    </row>
    <row r="881" spans="46:71" x14ac:dyDescent="0.3">
      <c r="AV881" s="123"/>
      <c r="AW881" s="123"/>
      <c r="AX881" s="188"/>
      <c r="AY881" s="188"/>
      <c r="AZ881" s="188"/>
      <c r="BA881" s="236"/>
      <c r="BB881" s="188"/>
      <c r="BC881" s="188"/>
      <c r="BD881" s="188"/>
      <c r="BE881" s="236"/>
      <c r="BG881" s="188"/>
      <c r="BH881" s="188"/>
      <c r="BI881" s="188"/>
      <c r="BJ881" s="188"/>
      <c r="BK881" s="188"/>
      <c r="BL881" s="188"/>
      <c r="BM881" s="188"/>
      <c r="BN881" s="188"/>
      <c r="BO881" s="188"/>
      <c r="BP881" s="188"/>
      <c r="BQ881" s="188"/>
      <c r="BR881" s="188"/>
      <c r="BS881" s="188"/>
    </row>
    <row r="882" spans="46:71" x14ac:dyDescent="0.3">
      <c r="AV882" s="123"/>
      <c r="AW882" s="123"/>
      <c r="AX882" s="188"/>
      <c r="AY882" s="188"/>
      <c r="AZ882" s="188"/>
      <c r="BA882" s="236"/>
      <c r="BB882" s="188"/>
      <c r="BC882" s="188"/>
      <c r="BD882" s="188"/>
      <c r="BE882" s="236"/>
      <c r="BG882" s="188"/>
      <c r="BH882" s="188"/>
      <c r="BI882" s="188"/>
      <c r="BJ882" s="188"/>
      <c r="BK882" s="188"/>
      <c r="BL882" s="188"/>
      <c r="BM882" s="188"/>
      <c r="BN882" s="188"/>
      <c r="BO882" s="188"/>
      <c r="BP882" s="188"/>
      <c r="BQ882" s="188"/>
      <c r="BR882" s="188"/>
      <c r="BS882" s="188"/>
    </row>
    <row r="883" spans="46:71" x14ac:dyDescent="0.3">
      <c r="AV883" s="123"/>
      <c r="AW883" s="123"/>
      <c r="AX883" s="188"/>
      <c r="AY883" s="188"/>
      <c r="AZ883" s="188"/>
      <c r="BA883" s="236"/>
      <c r="BB883" s="188"/>
      <c r="BC883" s="188"/>
      <c r="BD883" s="188"/>
      <c r="BE883" s="236"/>
      <c r="BG883" s="188"/>
      <c r="BH883" s="188"/>
      <c r="BI883" s="188"/>
      <c r="BJ883" s="188"/>
      <c r="BK883" s="188"/>
      <c r="BL883" s="188"/>
      <c r="BM883" s="188"/>
      <c r="BN883" s="188"/>
      <c r="BO883" s="188"/>
      <c r="BP883" s="188"/>
      <c r="BQ883" s="188"/>
      <c r="BR883" s="188"/>
      <c r="BS883" s="188"/>
    </row>
    <row r="884" spans="46:71" x14ac:dyDescent="0.3">
      <c r="AV884" s="123"/>
      <c r="AW884" s="123"/>
      <c r="AX884" s="188"/>
      <c r="AY884" s="188"/>
      <c r="AZ884" s="188"/>
      <c r="BA884" s="236"/>
      <c r="BB884" s="188"/>
      <c r="BC884" s="188"/>
      <c r="BD884" s="188"/>
      <c r="BE884" s="236"/>
      <c r="BG884" s="188"/>
      <c r="BH884" s="188"/>
      <c r="BI884" s="188"/>
      <c r="BJ884" s="188"/>
      <c r="BK884" s="188"/>
      <c r="BL884" s="188"/>
      <c r="BM884" s="188"/>
      <c r="BN884" s="188"/>
      <c r="BO884" s="188"/>
      <c r="BP884" s="188"/>
      <c r="BQ884" s="188"/>
      <c r="BR884" s="188"/>
      <c r="BS884" s="188"/>
    </row>
    <row r="885" spans="46:71" x14ac:dyDescent="0.3">
      <c r="AV885" s="123"/>
      <c r="AW885" s="123"/>
      <c r="AX885" s="188"/>
      <c r="AY885" s="188"/>
      <c r="AZ885" s="188"/>
      <c r="BA885" s="236"/>
      <c r="BB885" s="188"/>
      <c r="BC885" s="188"/>
      <c r="BD885" s="188"/>
      <c r="BE885" s="236"/>
      <c r="BG885" s="188"/>
      <c r="BH885" s="188"/>
      <c r="BI885" s="188"/>
      <c r="BJ885" s="188"/>
      <c r="BK885" s="188"/>
      <c r="BL885" s="188"/>
      <c r="BM885" s="188"/>
      <c r="BN885" s="188"/>
      <c r="BO885" s="188"/>
      <c r="BP885" s="188"/>
      <c r="BQ885" s="188"/>
      <c r="BR885" s="188"/>
      <c r="BS885" s="188"/>
    </row>
    <row r="886" spans="46:71" x14ac:dyDescent="0.3">
      <c r="AV886" s="123"/>
      <c r="AW886" s="123"/>
      <c r="AX886" s="188"/>
      <c r="AY886" s="188"/>
      <c r="AZ886" s="188"/>
      <c r="BA886" s="236"/>
      <c r="BB886" s="188"/>
      <c r="BC886" s="188"/>
      <c r="BD886" s="188"/>
      <c r="BE886" s="236"/>
      <c r="BG886" s="188"/>
      <c r="BH886" s="188"/>
      <c r="BI886" s="188"/>
      <c r="BJ886" s="188"/>
      <c r="BK886" s="188"/>
      <c r="BL886" s="188"/>
      <c r="BM886" s="188"/>
      <c r="BN886" s="188"/>
      <c r="BO886" s="188"/>
      <c r="BP886" s="188"/>
      <c r="BQ886" s="188"/>
      <c r="BR886" s="188"/>
      <c r="BS886" s="188"/>
    </row>
    <row r="887" spans="46:71" x14ac:dyDescent="0.3">
      <c r="AV887" s="123"/>
      <c r="AW887" s="123"/>
      <c r="AX887" s="188"/>
      <c r="AY887" s="188"/>
      <c r="AZ887" s="188"/>
      <c r="BA887" s="236"/>
      <c r="BB887" s="188"/>
      <c r="BC887" s="188"/>
      <c r="BD887" s="188"/>
      <c r="BE887" s="236"/>
      <c r="BG887" s="188"/>
      <c r="BH887" s="188"/>
      <c r="BI887" s="188"/>
      <c r="BJ887" s="188"/>
      <c r="BK887" s="188"/>
      <c r="BL887" s="188"/>
      <c r="BM887" s="188"/>
      <c r="BN887" s="188"/>
      <c r="BO887" s="188"/>
      <c r="BP887" s="188"/>
      <c r="BQ887" s="188"/>
      <c r="BR887" s="188"/>
      <c r="BS887" s="188"/>
    </row>
    <row r="888" spans="46:71" x14ac:dyDescent="0.3">
      <c r="AV888" s="123"/>
      <c r="AW888" s="123"/>
      <c r="AX888" s="188"/>
      <c r="AY888" s="188"/>
      <c r="AZ888" s="188"/>
      <c r="BA888" s="236"/>
      <c r="BB888" s="188"/>
      <c r="BC888" s="188"/>
      <c r="BD888" s="188"/>
      <c r="BE888" s="236"/>
      <c r="BG888" s="188"/>
      <c r="BH888" s="188"/>
      <c r="BI888" s="188"/>
      <c r="BJ888" s="188"/>
      <c r="BK888" s="188"/>
      <c r="BL888" s="188"/>
      <c r="BM888" s="188"/>
      <c r="BN888" s="188"/>
      <c r="BO888" s="188"/>
      <c r="BP888" s="188"/>
      <c r="BQ888" s="188"/>
      <c r="BR888" s="188"/>
      <c r="BS888" s="188"/>
    </row>
    <row r="889" spans="46:71" x14ac:dyDescent="0.3">
      <c r="AV889" s="123"/>
      <c r="AW889" s="123"/>
      <c r="AX889" s="188"/>
      <c r="AY889" s="188"/>
      <c r="AZ889" s="188"/>
      <c r="BA889" s="236"/>
      <c r="BB889" s="188"/>
      <c r="BC889" s="188"/>
      <c r="BD889" s="188"/>
      <c r="BE889" s="236"/>
      <c r="BG889" s="188"/>
      <c r="BH889" s="188"/>
      <c r="BI889" s="188"/>
      <c r="BJ889" s="188"/>
      <c r="BK889" s="188"/>
      <c r="BL889" s="188"/>
      <c r="BM889" s="188"/>
      <c r="BN889" s="188"/>
      <c r="BO889" s="188"/>
      <c r="BP889" s="188"/>
      <c r="BQ889" s="188"/>
      <c r="BR889" s="188"/>
      <c r="BS889" s="188"/>
    </row>
    <row r="890" spans="46:71" x14ac:dyDescent="0.3">
      <c r="AV890" s="123"/>
      <c r="AW890" s="123"/>
      <c r="AX890" s="188"/>
      <c r="AY890" s="188"/>
      <c r="AZ890" s="188"/>
      <c r="BA890" s="236"/>
      <c r="BB890" s="188"/>
      <c r="BC890" s="188"/>
      <c r="BD890" s="188"/>
      <c r="BE890" s="236"/>
      <c r="BG890" s="188"/>
      <c r="BH890" s="188"/>
      <c r="BI890" s="188"/>
      <c r="BJ890" s="188"/>
      <c r="BK890" s="188"/>
      <c r="BL890" s="188"/>
      <c r="BM890" s="188"/>
      <c r="BN890" s="188"/>
      <c r="BO890" s="188"/>
      <c r="BP890" s="188"/>
      <c r="BQ890" s="188"/>
      <c r="BR890" s="188"/>
      <c r="BS890" s="188"/>
    </row>
    <row r="891" spans="46:71" x14ac:dyDescent="0.3">
      <c r="AV891" s="123"/>
      <c r="AW891" s="123"/>
      <c r="AX891" s="188"/>
      <c r="AY891" s="188"/>
      <c r="AZ891" s="188"/>
      <c r="BA891" s="236"/>
      <c r="BB891" s="188"/>
      <c r="BC891" s="188"/>
      <c r="BD891" s="188"/>
      <c r="BE891" s="236"/>
      <c r="BG891" s="188"/>
      <c r="BH891" s="188"/>
      <c r="BI891" s="188"/>
      <c r="BJ891" s="188"/>
      <c r="BK891" s="188"/>
      <c r="BL891" s="188"/>
      <c r="BM891" s="188"/>
      <c r="BN891" s="188"/>
      <c r="BO891" s="188"/>
      <c r="BP891" s="188"/>
      <c r="BQ891" s="188"/>
      <c r="BR891" s="188"/>
      <c r="BS891" s="188"/>
    </row>
    <row r="892" spans="46:71" x14ac:dyDescent="0.3">
      <c r="AV892" s="123"/>
      <c r="AW892" s="123"/>
      <c r="AX892" s="188"/>
      <c r="AY892" s="188"/>
      <c r="AZ892" s="188"/>
      <c r="BA892" s="236"/>
      <c r="BB892" s="188"/>
      <c r="BC892" s="188"/>
      <c r="BD892" s="188"/>
      <c r="BE892" s="236"/>
      <c r="BG892" s="188"/>
      <c r="BH892" s="188"/>
      <c r="BI892" s="188"/>
      <c r="BJ892" s="188"/>
      <c r="BK892" s="188"/>
      <c r="BL892" s="188"/>
      <c r="BM892" s="188"/>
      <c r="BN892" s="188"/>
      <c r="BO892" s="188"/>
      <c r="BP892" s="188"/>
      <c r="BQ892" s="188"/>
      <c r="BR892" s="188"/>
      <c r="BS892" s="188"/>
    </row>
    <row r="893" spans="46:71" x14ac:dyDescent="0.3">
      <c r="AV893" s="123"/>
      <c r="AW893" s="123"/>
      <c r="AX893" s="188"/>
      <c r="AY893" s="188"/>
      <c r="AZ893" s="188"/>
      <c r="BA893" s="236"/>
      <c r="BB893" s="188"/>
      <c r="BC893" s="188"/>
      <c r="BD893" s="188"/>
      <c r="BE893" s="236"/>
      <c r="BG893" s="188"/>
      <c r="BH893" s="188"/>
      <c r="BI893" s="188"/>
      <c r="BJ893" s="188"/>
      <c r="BK893" s="188"/>
      <c r="BL893" s="188"/>
      <c r="BM893" s="188"/>
      <c r="BN893" s="188"/>
      <c r="BO893" s="188"/>
      <c r="BP893" s="188"/>
      <c r="BQ893" s="188"/>
      <c r="BR893" s="188"/>
      <c r="BS893" s="188"/>
    </row>
    <row r="894" spans="46:71" x14ac:dyDescent="0.3">
      <c r="AZ894" s="188"/>
      <c r="BB894" s="188"/>
      <c r="BC894" s="188"/>
      <c r="BD894" s="188"/>
      <c r="BG894" s="188"/>
      <c r="BH894" s="188"/>
      <c r="BI894" s="188"/>
      <c r="BJ894" s="188"/>
      <c r="BK894" s="188"/>
      <c r="BL894" s="188"/>
      <c r="BM894" s="188"/>
      <c r="BN894" s="188"/>
      <c r="BO894" s="188"/>
      <c r="BP894" s="188"/>
      <c r="BQ894" s="188"/>
      <c r="BR894" s="188"/>
      <c r="BS894" s="188"/>
    </row>
    <row r="895" spans="46:71" x14ac:dyDescent="0.3">
      <c r="AT895" s="42"/>
      <c r="AV895" s="123"/>
      <c r="AW895" s="123"/>
      <c r="AX895" s="188"/>
      <c r="AY895" s="188"/>
      <c r="AZ895" s="188"/>
      <c r="BA895" s="236"/>
      <c r="BB895" s="188"/>
      <c r="BC895" s="188"/>
      <c r="BD895" s="188"/>
      <c r="BE895" s="236"/>
    </row>
    <row r="896" spans="46:71" x14ac:dyDescent="0.3">
      <c r="AV896" s="123"/>
      <c r="AW896" s="123"/>
      <c r="AX896" s="188"/>
      <c r="AY896" s="188"/>
      <c r="AZ896" s="188"/>
      <c r="BA896" s="236"/>
      <c r="BB896" s="188"/>
      <c r="BC896" s="188"/>
      <c r="BD896" s="188"/>
      <c r="BE896" s="236"/>
    </row>
    <row r="897" spans="48:57" x14ac:dyDescent="0.3">
      <c r="AV897" s="123"/>
      <c r="AW897" s="123"/>
      <c r="AX897" s="188"/>
      <c r="AY897" s="188"/>
      <c r="AZ897" s="188"/>
      <c r="BA897" s="236"/>
      <c r="BB897" s="188"/>
      <c r="BC897" s="188"/>
      <c r="BD897" s="188"/>
      <c r="BE897" s="236"/>
    </row>
    <row r="898" spans="48:57" x14ac:dyDescent="0.3">
      <c r="AV898" s="123"/>
      <c r="AW898" s="123"/>
      <c r="AX898" s="188"/>
      <c r="AY898" s="188"/>
      <c r="AZ898" s="188"/>
      <c r="BA898" s="236"/>
      <c r="BB898" s="188"/>
      <c r="BC898" s="188"/>
      <c r="BD898" s="188"/>
      <c r="BE898" s="236"/>
    </row>
    <row r="899" spans="48:57" x14ac:dyDescent="0.3">
      <c r="AV899" s="123"/>
      <c r="AW899" s="123"/>
      <c r="AX899" s="188"/>
      <c r="AY899" s="188"/>
      <c r="AZ899" s="188"/>
      <c r="BA899" s="236"/>
      <c r="BB899" s="188"/>
      <c r="BC899" s="188"/>
      <c r="BD899" s="188"/>
      <c r="BE899" s="236"/>
    </row>
    <row r="900" spans="48:57" x14ac:dyDescent="0.3">
      <c r="AV900" s="123"/>
      <c r="AW900" s="123"/>
      <c r="AX900" s="188"/>
      <c r="AY900" s="188"/>
      <c r="AZ900" s="188"/>
      <c r="BA900" s="236"/>
      <c r="BB900" s="188"/>
      <c r="BC900" s="188"/>
      <c r="BD900" s="188"/>
      <c r="BE900" s="236"/>
    </row>
    <row r="901" spans="48:57" x14ac:dyDescent="0.3">
      <c r="AV901" s="123"/>
      <c r="AW901" s="123"/>
      <c r="AX901" s="188"/>
      <c r="AY901" s="188"/>
      <c r="AZ901" s="188"/>
      <c r="BA901" s="236"/>
      <c r="BB901" s="188"/>
      <c r="BC901" s="188"/>
      <c r="BD901" s="188"/>
      <c r="BE901" s="236"/>
    </row>
    <row r="902" spans="48:57" x14ac:dyDescent="0.3">
      <c r="AV902" s="123"/>
      <c r="AW902" s="123"/>
      <c r="AX902" s="188"/>
      <c r="AY902" s="188"/>
      <c r="AZ902" s="188"/>
      <c r="BA902" s="236"/>
      <c r="BB902" s="188"/>
      <c r="BC902" s="188"/>
      <c r="BD902" s="188"/>
      <c r="BE902" s="236"/>
    </row>
    <row r="903" spans="48:57" x14ac:dyDescent="0.3">
      <c r="AV903" s="123"/>
      <c r="AW903" s="123"/>
      <c r="AX903" s="188"/>
      <c r="AY903" s="188"/>
      <c r="AZ903" s="188"/>
      <c r="BA903" s="236"/>
      <c r="BB903" s="188"/>
      <c r="BC903" s="188"/>
      <c r="BD903" s="188"/>
      <c r="BE903" s="236"/>
    </row>
    <row r="904" spans="48:57" x14ac:dyDescent="0.3">
      <c r="AV904" s="123"/>
      <c r="AW904" s="123"/>
      <c r="AX904" s="188"/>
      <c r="AY904" s="188"/>
      <c r="AZ904" s="188"/>
      <c r="BA904" s="236"/>
      <c r="BB904" s="188"/>
      <c r="BC904" s="188"/>
      <c r="BD904" s="188"/>
      <c r="BE904" s="236"/>
    </row>
    <row r="905" spans="48:57" x14ac:dyDescent="0.3">
      <c r="AV905" s="123"/>
      <c r="AW905" s="123"/>
      <c r="AX905" s="188"/>
      <c r="AY905" s="188"/>
      <c r="AZ905" s="188"/>
      <c r="BA905" s="236"/>
      <c r="BB905" s="188"/>
      <c r="BC905" s="188"/>
      <c r="BD905" s="188"/>
      <c r="BE905" s="236"/>
    </row>
    <row r="906" spans="48:57" x14ac:dyDescent="0.3">
      <c r="AV906" s="123"/>
      <c r="AW906" s="123"/>
      <c r="AX906" s="188"/>
      <c r="AY906" s="188"/>
      <c r="AZ906" s="188"/>
      <c r="BA906" s="236"/>
      <c r="BB906" s="188"/>
      <c r="BC906" s="188"/>
      <c r="BD906" s="188"/>
      <c r="BE906" s="236"/>
    </row>
    <row r="907" spans="48:57" x14ac:dyDescent="0.3">
      <c r="AV907" s="123"/>
      <c r="AW907" s="123"/>
      <c r="AX907" s="188"/>
      <c r="AY907" s="188"/>
      <c r="AZ907" s="188"/>
      <c r="BA907" s="236"/>
      <c r="BB907" s="188"/>
      <c r="BC907" s="188"/>
      <c r="BD907" s="188"/>
      <c r="BE907" s="236"/>
    </row>
    <row r="908" spans="48:57" x14ac:dyDescent="0.3">
      <c r="AV908" s="123"/>
      <c r="AW908" s="123"/>
      <c r="AX908" s="188"/>
      <c r="AY908" s="188"/>
      <c r="AZ908" s="188"/>
      <c r="BA908" s="236"/>
      <c r="BB908" s="188"/>
      <c r="BC908" s="188"/>
      <c r="BD908" s="188"/>
      <c r="BE908" s="236"/>
    </row>
    <row r="909" spans="48:57" x14ac:dyDescent="0.3">
      <c r="AV909" s="123"/>
      <c r="AW909" s="123"/>
      <c r="AX909" s="188"/>
      <c r="AY909" s="188"/>
      <c r="AZ909" s="188"/>
      <c r="BA909" s="236"/>
      <c r="BB909" s="188"/>
      <c r="BC909" s="188"/>
      <c r="BD909" s="188"/>
      <c r="BE909" s="236"/>
    </row>
    <row r="910" spans="48:57" x14ac:dyDescent="0.3">
      <c r="AV910" s="123"/>
      <c r="AW910" s="123"/>
      <c r="AX910" s="188"/>
      <c r="AY910" s="188"/>
      <c r="AZ910" s="188"/>
      <c r="BA910" s="236"/>
      <c r="BB910" s="188"/>
      <c r="BC910" s="188"/>
      <c r="BD910" s="188"/>
      <c r="BE910" s="236"/>
    </row>
    <row r="911" spans="48:57" x14ac:dyDescent="0.3">
      <c r="AV911" s="123"/>
      <c r="AW911" s="123"/>
      <c r="AX911" s="188"/>
      <c r="AY911" s="188"/>
      <c r="AZ911" s="188"/>
      <c r="BA911" s="236"/>
      <c r="BB911" s="188"/>
      <c r="BC911" s="188"/>
      <c r="BD911" s="188"/>
      <c r="BE911" s="236"/>
    </row>
    <row r="912" spans="48:57" x14ac:dyDescent="0.3">
      <c r="AV912" s="123"/>
      <c r="AW912" s="123"/>
      <c r="AX912" s="188"/>
      <c r="AY912" s="188"/>
      <c r="AZ912" s="188"/>
      <c r="BA912" s="236"/>
      <c r="BB912" s="188"/>
      <c r="BC912" s="188"/>
      <c r="BD912" s="188"/>
      <c r="BE912" s="236"/>
    </row>
    <row r="913" spans="45:57" x14ac:dyDescent="0.3">
      <c r="BB913" s="188"/>
    </row>
    <row r="914" spans="45:57" x14ac:dyDescent="0.3">
      <c r="AU914" s="42"/>
      <c r="BB914" s="188"/>
    </row>
    <row r="915" spans="45:57" x14ac:dyDescent="0.3">
      <c r="AU915" s="42"/>
    </row>
    <row r="916" spans="45:57" x14ac:dyDescent="0.3">
      <c r="AU916" s="42"/>
      <c r="BB916" s="188"/>
    </row>
    <row r="917" spans="45:57" x14ac:dyDescent="0.3">
      <c r="AS917" s="42"/>
      <c r="AZ917" s="188"/>
      <c r="BB917" s="188"/>
    </row>
    <row r="918" spans="45:57" x14ac:dyDescent="0.3">
      <c r="AZ918" s="188"/>
      <c r="BB918" s="188"/>
    </row>
    <row r="919" spans="45:57" x14ac:dyDescent="0.3">
      <c r="AY919" s="188"/>
      <c r="AZ919" s="188"/>
      <c r="BB919" s="188"/>
    </row>
    <row r="920" spans="45:57" x14ac:dyDescent="0.3">
      <c r="AY920" s="42"/>
      <c r="AZ920" s="188"/>
      <c r="BB920" s="188"/>
    </row>
    <row r="921" spans="45:57" x14ac:dyDescent="0.3">
      <c r="AY921" s="42"/>
      <c r="AZ921" s="188"/>
      <c r="BB921" s="188"/>
    </row>
    <row r="922" spans="45:57" x14ac:dyDescent="0.3">
      <c r="AZ922" s="188"/>
      <c r="BB922" s="188"/>
      <c r="BD922" s="42"/>
    </row>
    <row r="923" spans="45:57" x14ac:dyDescent="0.3">
      <c r="AZ923" s="188"/>
      <c r="BB923" s="188"/>
      <c r="BD923" s="42"/>
    </row>
    <row r="924" spans="45:57" x14ac:dyDescent="0.3">
      <c r="AS924" s="42"/>
      <c r="AZ924" s="188"/>
      <c r="BB924" s="188"/>
      <c r="BD924" s="42"/>
    </row>
    <row r="925" spans="45:57" x14ac:dyDescent="0.3">
      <c r="AZ925" s="188"/>
      <c r="BB925" s="188"/>
    </row>
    <row r="926" spans="45:57" x14ac:dyDescent="0.3">
      <c r="AS926" s="135"/>
      <c r="AT926" s="135"/>
      <c r="AU926" s="135"/>
      <c r="AV926" s="135"/>
      <c r="AW926" s="135"/>
      <c r="AX926" s="135"/>
      <c r="AY926" s="135"/>
      <c r="AZ926" s="244"/>
      <c r="BA926" s="135"/>
      <c r="BB926" s="244"/>
      <c r="BC926" s="135"/>
      <c r="BD926" s="135"/>
      <c r="BE926" s="135"/>
    </row>
    <row r="927" spans="45:57" x14ac:dyDescent="0.3">
      <c r="AX927" s="42"/>
      <c r="AZ927" s="188"/>
      <c r="BB927" s="188"/>
    </row>
    <row r="928" spans="45:57" x14ac:dyDescent="0.3">
      <c r="AX928" s="135"/>
      <c r="AY928" s="135"/>
      <c r="AZ928" s="244"/>
      <c r="BA928" s="135"/>
      <c r="BB928" s="188"/>
      <c r="BC928" s="44"/>
      <c r="BD928" s="44"/>
    </row>
    <row r="929" spans="45:57" x14ac:dyDescent="0.3">
      <c r="AV929" s="44"/>
      <c r="AW929" s="44"/>
      <c r="AZ929" s="245"/>
      <c r="BA929" s="44"/>
      <c r="BB929" s="188"/>
      <c r="BC929" s="44"/>
      <c r="BD929" s="44"/>
      <c r="BE929" s="44"/>
    </row>
    <row r="930" spans="45:57" x14ac:dyDescent="0.3">
      <c r="AV930" s="44"/>
      <c r="AW930" s="44"/>
      <c r="AX930" s="44"/>
      <c r="AY930" s="44"/>
      <c r="AZ930" s="245"/>
      <c r="BA930" s="44"/>
      <c r="BB930" s="245"/>
      <c r="BC930" s="44"/>
      <c r="BD930" s="44"/>
      <c r="BE930" s="44"/>
    </row>
    <row r="931" spans="45:57" x14ac:dyDescent="0.3">
      <c r="AS931" s="44"/>
      <c r="AU931" s="42"/>
      <c r="AV931" s="44"/>
      <c r="AW931" s="44"/>
      <c r="AX931" s="44"/>
      <c r="AY931" s="44"/>
      <c r="AZ931" s="245"/>
      <c r="BA931" s="44"/>
      <c r="BB931" s="245"/>
      <c r="BC931" s="44"/>
      <c r="BD931" s="44"/>
      <c r="BE931" s="44"/>
    </row>
    <row r="932" spans="45:57" x14ac:dyDescent="0.3">
      <c r="AS932" s="44"/>
      <c r="AU932" s="42"/>
      <c r="AV932" s="44"/>
      <c r="AW932" s="44"/>
      <c r="AX932" s="44"/>
      <c r="AY932" s="44"/>
      <c r="AZ932" s="245"/>
      <c r="BA932" s="44"/>
      <c r="BB932" s="245"/>
      <c r="BC932" s="44"/>
      <c r="BD932" s="44"/>
      <c r="BE932" s="44"/>
    </row>
    <row r="933" spans="45:57" x14ac:dyDescent="0.3">
      <c r="AS933" s="135"/>
      <c r="AT933" s="135"/>
      <c r="AU933" s="135"/>
      <c r="AV933" s="135"/>
      <c r="AW933" s="135"/>
      <c r="AX933" s="135"/>
      <c r="AY933" s="135"/>
      <c r="AZ933" s="244"/>
      <c r="BA933" s="135"/>
      <c r="BB933" s="244"/>
      <c r="BC933" s="135"/>
      <c r="BD933" s="135"/>
      <c r="BE933" s="135"/>
    </row>
    <row r="934" spans="45:57" x14ac:dyDescent="0.3">
      <c r="AV934" s="44"/>
      <c r="AW934" s="44"/>
      <c r="AX934" s="44"/>
      <c r="AY934" s="44"/>
      <c r="AZ934" s="245"/>
      <c r="BA934" s="44"/>
      <c r="BB934" s="245"/>
      <c r="BC934" s="44"/>
      <c r="BD934" s="44"/>
      <c r="BE934" s="44"/>
    </row>
    <row r="935" spans="45:57" x14ac:dyDescent="0.3">
      <c r="AT935" s="42"/>
      <c r="AV935" s="123"/>
      <c r="AW935" s="123"/>
      <c r="AX935" s="188"/>
      <c r="AY935" s="188"/>
      <c r="AZ935" s="188"/>
      <c r="BA935" s="236"/>
      <c r="BB935" s="188"/>
      <c r="BC935" s="188"/>
      <c r="BD935" s="188"/>
      <c r="BE935" s="236"/>
    </row>
    <row r="936" spans="45:57" x14ac:dyDescent="0.3">
      <c r="AV936" s="123"/>
      <c r="AW936" s="123"/>
      <c r="AX936" s="188"/>
      <c r="AY936" s="188"/>
      <c r="AZ936" s="188"/>
      <c r="BA936" s="236"/>
      <c r="BB936" s="188"/>
      <c r="BC936" s="188"/>
      <c r="BD936" s="188"/>
      <c r="BE936" s="236"/>
    </row>
    <row r="937" spans="45:57" x14ac:dyDescent="0.3">
      <c r="AV937" s="123"/>
      <c r="AW937" s="123"/>
      <c r="AX937" s="188"/>
      <c r="AY937" s="188"/>
      <c r="AZ937" s="188"/>
      <c r="BA937" s="236"/>
      <c r="BB937" s="188"/>
      <c r="BC937" s="188"/>
      <c r="BD937" s="188"/>
      <c r="BE937" s="236"/>
    </row>
    <row r="938" spans="45:57" x14ac:dyDescent="0.3">
      <c r="AV938" s="123"/>
      <c r="AW938" s="123"/>
      <c r="AX938" s="188"/>
      <c r="AY938" s="188"/>
      <c r="AZ938" s="188"/>
      <c r="BA938" s="236"/>
      <c r="BB938" s="188"/>
      <c r="BC938" s="188"/>
      <c r="BD938" s="188"/>
      <c r="BE938" s="236"/>
    </row>
    <row r="939" spans="45:57" x14ac:dyDescent="0.3">
      <c r="AV939" s="123"/>
      <c r="AW939" s="123"/>
      <c r="AX939" s="188"/>
      <c r="AY939" s="188"/>
      <c r="AZ939" s="188"/>
      <c r="BA939" s="236"/>
      <c r="BB939" s="188"/>
      <c r="BC939" s="188"/>
      <c r="BD939" s="188"/>
      <c r="BE939" s="236"/>
    </row>
    <row r="940" spans="45:57" x14ac:dyDescent="0.3">
      <c r="AV940" s="123"/>
      <c r="AW940" s="123"/>
      <c r="AX940" s="188"/>
      <c r="AY940" s="188"/>
      <c r="AZ940" s="188"/>
      <c r="BA940" s="236"/>
      <c r="BB940" s="188"/>
      <c r="BC940" s="188"/>
      <c r="BD940" s="188"/>
      <c r="BE940" s="236"/>
    </row>
    <row r="941" spans="45:57" x14ac:dyDescent="0.3">
      <c r="AV941" s="123"/>
      <c r="AW941" s="123"/>
      <c r="AX941" s="188"/>
      <c r="AY941" s="188"/>
      <c r="AZ941" s="188"/>
      <c r="BA941" s="236"/>
      <c r="BB941" s="188"/>
      <c r="BC941" s="188"/>
      <c r="BD941" s="188"/>
      <c r="BE941" s="236"/>
    </row>
    <row r="942" spans="45:57" x14ac:dyDescent="0.3">
      <c r="AV942" s="123"/>
      <c r="AW942" s="123"/>
      <c r="AX942" s="188"/>
      <c r="AY942" s="188"/>
      <c r="AZ942" s="188"/>
      <c r="BA942" s="236"/>
      <c r="BB942" s="188"/>
      <c r="BC942" s="188"/>
      <c r="BD942" s="188"/>
      <c r="BE942" s="236"/>
    </row>
    <row r="943" spans="45:57" x14ac:dyDescent="0.3">
      <c r="AV943" s="123"/>
      <c r="AW943" s="123"/>
      <c r="AX943" s="188"/>
      <c r="AY943" s="188"/>
      <c r="AZ943" s="188"/>
      <c r="BA943" s="236"/>
      <c r="BB943" s="188"/>
      <c r="BC943" s="188"/>
      <c r="BD943" s="188"/>
      <c r="BE943" s="236"/>
    </row>
    <row r="944" spans="45:57" x14ac:dyDescent="0.3">
      <c r="AV944" s="123"/>
      <c r="AW944" s="123"/>
      <c r="AX944" s="188"/>
      <c r="AY944" s="188"/>
      <c r="AZ944" s="188"/>
      <c r="BA944" s="236"/>
      <c r="BB944" s="188"/>
      <c r="BC944" s="188"/>
      <c r="BD944" s="188"/>
      <c r="BE944" s="236"/>
    </row>
    <row r="945" spans="45:57" x14ac:dyDescent="0.3">
      <c r="AV945" s="123"/>
      <c r="AW945" s="123"/>
      <c r="BB945" s="188"/>
    </row>
    <row r="946" spans="45:57" x14ac:dyDescent="0.3">
      <c r="AT946" s="42"/>
      <c r="AV946" s="123"/>
      <c r="AW946" s="123"/>
      <c r="AX946" s="188"/>
      <c r="AY946" s="188"/>
      <c r="AZ946" s="188"/>
      <c r="BA946" s="236"/>
      <c r="BB946" s="188"/>
      <c r="BC946" s="188"/>
      <c r="BD946" s="188"/>
      <c r="BE946" s="236"/>
    </row>
    <row r="947" spans="45:57" x14ac:dyDescent="0.3">
      <c r="AV947" s="123"/>
      <c r="AW947" s="123"/>
      <c r="AX947" s="188"/>
      <c r="AY947" s="188"/>
      <c r="AZ947" s="188"/>
      <c r="BA947" s="236"/>
      <c r="BB947" s="188"/>
      <c r="BC947" s="188"/>
      <c r="BD947" s="188"/>
      <c r="BE947" s="236"/>
    </row>
    <row r="948" spans="45:57" x14ac:dyDescent="0.3">
      <c r="AV948" s="123"/>
      <c r="AW948" s="123"/>
      <c r="AX948" s="188"/>
      <c r="AY948" s="188"/>
      <c r="AZ948" s="188"/>
      <c r="BA948" s="236"/>
      <c r="BB948" s="188"/>
      <c r="BC948" s="188"/>
      <c r="BD948" s="188"/>
      <c r="BE948" s="236"/>
    </row>
    <row r="949" spans="45:57" x14ac:dyDescent="0.3">
      <c r="AV949" s="123"/>
      <c r="AW949" s="123"/>
      <c r="AX949" s="188"/>
      <c r="AY949" s="188"/>
      <c r="AZ949" s="188"/>
      <c r="BA949" s="236"/>
      <c r="BB949" s="188"/>
      <c r="BC949" s="188"/>
      <c r="BD949" s="188"/>
      <c r="BE949" s="236"/>
    </row>
    <row r="950" spans="45:57" x14ac:dyDescent="0.3">
      <c r="AV950" s="123"/>
      <c r="AW950" s="123"/>
      <c r="AX950" s="188"/>
      <c r="AY950" s="188"/>
      <c r="AZ950" s="188"/>
      <c r="BA950" s="236"/>
      <c r="BB950" s="188"/>
      <c r="BC950" s="188"/>
      <c r="BD950" s="188"/>
      <c r="BE950" s="236"/>
    </row>
    <row r="951" spans="45:57" x14ac:dyDescent="0.3">
      <c r="AV951" s="123"/>
      <c r="AW951" s="123"/>
      <c r="AX951" s="188"/>
      <c r="AY951" s="188"/>
      <c r="AZ951" s="188"/>
      <c r="BA951" s="236"/>
      <c r="BB951" s="188"/>
      <c r="BC951" s="188"/>
      <c r="BD951" s="188"/>
      <c r="BE951" s="236"/>
    </row>
    <row r="952" spans="45:57" x14ac:dyDescent="0.3">
      <c r="AV952" s="123"/>
      <c r="AW952" s="123"/>
      <c r="AX952" s="188"/>
      <c r="AY952" s="188"/>
      <c r="AZ952" s="188"/>
      <c r="BA952" s="236"/>
      <c r="BB952" s="188"/>
      <c r="BC952" s="188"/>
      <c r="BD952" s="188"/>
      <c r="BE952" s="236"/>
    </row>
    <row r="953" spans="45:57" x14ac:dyDescent="0.3">
      <c r="AV953" s="123"/>
      <c r="AW953" s="123"/>
      <c r="AX953" s="188"/>
      <c r="AY953" s="188"/>
      <c r="AZ953" s="188"/>
      <c r="BA953" s="236"/>
      <c r="BB953" s="188"/>
      <c r="BC953" s="188"/>
      <c r="BD953" s="188"/>
      <c r="BE953" s="236"/>
    </row>
    <row r="954" spans="45:57" x14ac:dyDescent="0.3">
      <c r="AV954" s="123"/>
      <c r="AW954" s="123"/>
      <c r="AX954" s="188"/>
      <c r="AY954" s="188"/>
      <c r="AZ954" s="188"/>
      <c r="BA954" s="236"/>
      <c r="BB954" s="188"/>
      <c r="BC954" s="188"/>
      <c r="BD954" s="188"/>
      <c r="BE954" s="236"/>
    </row>
    <row r="955" spans="45:57" x14ac:dyDescent="0.3">
      <c r="AV955" s="123"/>
      <c r="AW955" s="123"/>
      <c r="AX955" s="188"/>
      <c r="AY955" s="188"/>
      <c r="AZ955" s="188"/>
      <c r="BA955" s="236"/>
      <c r="BB955" s="188"/>
      <c r="BC955" s="188"/>
      <c r="BD955" s="188"/>
      <c r="BE955" s="236"/>
    </row>
    <row r="957" spans="45:57" x14ac:dyDescent="0.3">
      <c r="AU957" s="42"/>
    </row>
    <row r="958" spans="45:57" x14ac:dyDescent="0.3">
      <c r="AU958" s="42"/>
    </row>
    <row r="959" spans="45:57" x14ac:dyDescent="0.3">
      <c r="AU959" s="42"/>
    </row>
    <row r="960" spans="45:57" x14ac:dyDescent="0.3">
      <c r="AS960" s="42"/>
    </row>
    <row r="981" spans="52:71" x14ac:dyDescent="0.3">
      <c r="AZ981" s="188"/>
      <c r="BB981" s="188"/>
      <c r="BC981" s="188"/>
      <c r="BD981" s="188"/>
      <c r="BG981" s="188"/>
      <c r="BH981" s="188"/>
      <c r="BI981" s="188"/>
      <c r="BJ981" s="188"/>
      <c r="BK981" s="188"/>
      <c r="BL981" s="188"/>
      <c r="BM981" s="188"/>
      <c r="BN981" s="188"/>
      <c r="BO981" s="188"/>
      <c r="BP981" s="188"/>
      <c r="BQ981" s="188"/>
      <c r="BR981" s="188"/>
      <c r="BS981" s="188"/>
    </row>
    <row r="982" spans="52:71" x14ac:dyDescent="0.3">
      <c r="AZ982" s="188"/>
      <c r="BB982" s="188"/>
      <c r="BC982" s="188"/>
      <c r="BD982" s="188"/>
      <c r="BG982" s="188"/>
      <c r="BH982" s="188"/>
      <c r="BI982" s="188"/>
      <c r="BJ982" s="188"/>
      <c r="BK982" s="188"/>
      <c r="BL982" s="188"/>
      <c r="BM982" s="188"/>
      <c r="BN982" s="188"/>
      <c r="BO982" s="188"/>
      <c r="BP982" s="188"/>
      <c r="BQ982" s="188"/>
      <c r="BR982" s="188"/>
      <c r="BS982" s="188"/>
    </row>
    <row r="983" spans="52:71" x14ac:dyDescent="0.3">
      <c r="AZ983" s="188"/>
      <c r="BB983" s="188"/>
      <c r="BC983" s="188"/>
      <c r="BD983" s="188"/>
      <c r="BG983" s="188"/>
      <c r="BH983" s="188"/>
      <c r="BI983" s="188"/>
      <c r="BJ983" s="188"/>
      <c r="BK983" s="188"/>
      <c r="BL983" s="188"/>
      <c r="BM983" s="188"/>
      <c r="BN983" s="188"/>
      <c r="BO983" s="188"/>
      <c r="BP983" s="188"/>
      <c r="BQ983" s="188"/>
      <c r="BR983" s="188"/>
      <c r="BS983" s="188"/>
    </row>
    <row r="984" spans="52:71" x14ac:dyDescent="0.3">
      <c r="AZ984" s="188"/>
      <c r="BB984" s="188"/>
      <c r="BC984" s="188"/>
      <c r="BD984" s="188"/>
      <c r="BG984" s="188"/>
      <c r="BH984" s="188"/>
      <c r="BI984" s="188"/>
      <c r="BJ984" s="188"/>
      <c r="BK984" s="188"/>
      <c r="BL984" s="188"/>
      <c r="BM984" s="188"/>
      <c r="BN984" s="188"/>
      <c r="BO984" s="188"/>
      <c r="BP984" s="188"/>
      <c r="BQ984" s="188"/>
      <c r="BR984" s="188"/>
      <c r="BS984" s="188"/>
    </row>
    <row r="985" spans="52:71" x14ac:dyDescent="0.3">
      <c r="AZ985" s="188"/>
      <c r="BB985" s="188"/>
      <c r="BC985" s="188"/>
      <c r="BD985" s="188"/>
      <c r="BG985" s="188"/>
      <c r="BH985" s="188"/>
      <c r="BI985" s="188"/>
      <c r="BJ985" s="188"/>
      <c r="BK985" s="188"/>
      <c r="BL985" s="188"/>
      <c r="BM985" s="188"/>
      <c r="BN985" s="188"/>
      <c r="BO985" s="188"/>
      <c r="BP985" s="188"/>
      <c r="BQ985" s="188"/>
      <c r="BR985" s="188"/>
      <c r="BS985" s="188"/>
    </row>
    <row r="986" spans="52:71" x14ac:dyDescent="0.3">
      <c r="AZ986" s="188"/>
      <c r="BB986" s="188"/>
      <c r="BC986" s="188"/>
      <c r="BD986" s="188"/>
      <c r="BG986" s="188"/>
      <c r="BH986" s="188"/>
      <c r="BI986" s="188"/>
      <c r="BJ986" s="188"/>
      <c r="BK986" s="188"/>
      <c r="BL986" s="188"/>
      <c r="BM986" s="188"/>
      <c r="BN986" s="188"/>
      <c r="BO986" s="188"/>
      <c r="BP986" s="188"/>
      <c r="BQ986" s="188"/>
      <c r="BR986" s="188"/>
      <c r="BS986" s="188"/>
    </row>
    <row r="987" spans="52:71" x14ac:dyDescent="0.3">
      <c r="AZ987" s="188"/>
      <c r="BB987" s="188"/>
      <c r="BC987" s="188"/>
      <c r="BD987" s="188"/>
      <c r="BG987" s="188"/>
      <c r="BH987" s="188"/>
      <c r="BI987" s="188"/>
      <c r="BJ987" s="188"/>
      <c r="BK987" s="188"/>
      <c r="BL987" s="188"/>
      <c r="BM987" s="188"/>
      <c r="BN987" s="188"/>
      <c r="BO987" s="188"/>
      <c r="BP987" s="188"/>
      <c r="BQ987" s="188"/>
      <c r="BR987" s="188"/>
      <c r="BS987" s="188"/>
    </row>
    <row r="988" spans="52:71" x14ac:dyDescent="0.3">
      <c r="AZ988" s="188"/>
      <c r="BB988" s="188"/>
      <c r="BC988" s="188"/>
      <c r="BD988" s="188"/>
      <c r="BG988" s="188"/>
      <c r="BH988" s="188"/>
      <c r="BI988" s="188"/>
      <c r="BJ988" s="188"/>
      <c r="BK988" s="188"/>
      <c r="BL988" s="188"/>
      <c r="BM988" s="188"/>
      <c r="BN988" s="188"/>
      <c r="BO988" s="188"/>
      <c r="BP988" s="188"/>
      <c r="BQ988" s="188"/>
      <c r="BR988" s="188"/>
      <c r="BS988" s="188"/>
    </row>
    <row r="989" spans="52:71" x14ac:dyDescent="0.3">
      <c r="AZ989" s="188"/>
      <c r="BB989" s="188"/>
      <c r="BC989" s="188"/>
      <c r="BD989" s="188"/>
      <c r="BG989" s="188"/>
      <c r="BH989" s="188"/>
      <c r="BI989" s="188"/>
      <c r="BJ989" s="188"/>
      <c r="BK989" s="188"/>
      <c r="BL989" s="188"/>
      <c r="BM989" s="188"/>
      <c r="BN989" s="188"/>
      <c r="BO989" s="188"/>
      <c r="BP989" s="188"/>
      <c r="BQ989" s="188"/>
      <c r="BR989" s="188"/>
      <c r="BS989" s="188"/>
    </row>
    <row r="990" spans="52:71" x14ac:dyDescent="0.3">
      <c r="AZ990" s="188"/>
      <c r="BB990" s="188"/>
      <c r="BC990" s="188"/>
      <c r="BD990" s="188"/>
      <c r="BG990" s="188"/>
      <c r="BH990" s="188"/>
      <c r="BI990" s="188"/>
      <c r="BJ990" s="188"/>
      <c r="BK990" s="188"/>
      <c r="BL990" s="188"/>
      <c r="BM990" s="188"/>
      <c r="BN990" s="188"/>
      <c r="BO990" s="188"/>
      <c r="BP990" s="188"/>
      <c r="BQ990" s="188"/>
      <c r="BR990" s="188"/>
      <c r="BS990" s="188"/>
    </row>
    <row r="991" spans="52:71" x14ac:dyDescent="0.3">
      <c r="AZ991" s="188"/>
      <c r="BB991" s="188"/>
      <c r="BC991" s="188"/>
      <c r="BD991" s="188"/>
      <c r="BG991" s="188"/>
      <c r="BH991" s="188"/>
      <c r="BI991" s="188"/>
      <c r="BJ991" s="188"/>
      <c r="BK991" s="188"/>
      <c r="BL991" s="188"/>
      <c r="BM991" s="188"/>
      <c r="BN991" s="188"/>
      <c r="BO991" s="188"/>
      <c r="BP991" s="188"/>
      <c r="BQ991" s="188"/>
      <c r="BR991" s="188"/>
      <c r="BS991" s="188"/>
    </row>
    <row r="992" spans="52:71" x14ac:dyDescent="0.3">
      <c r="AZ992" s="188"/>
      <c r="BB992" s="188"/>
      <c r="BC992" s="188"/>
      <c r="BD992" s="188"/>
      <c r="BG992" s="188"/>
      <c r="BH992" s="188"/>
      <c r="BI992" s="188"/>
      <c r="BJ992" s="188"/>
      <c r="BK992" s="188"/>
      <c r="BL992" s="188"/>
      <c r="BM992" s="188"/>
      <c r="BN992" s="188"/>
      <c r="BO992" s="188"/>
      <c r="BP992" s="188"/>
      <c r="BQ992" s="188"/>
      <c r="BR992" s="188"/>
      <c r="BS992" s="188"/>
    </row>
    <row r="993" spans="52:71" x14ac:dyDescent="0.3">
      <c r="AZ993" s="188"/>
      <c r="BG993" s="188"/>
      <c r="BH993" s="188"/>
      <c r="BI993" s="188"/>
      <c r="BJ993" s="188"/>
      <c r="BK993" s="188"/>
      <c r="BL993" s="188"/>
      <c r="BM993" s="188"/>
      <c r="BN993" s="188"/>
      <c r="BO993" s="188"/>
      <c r="BP993" s="188"/>
      <c r="BQ993" s="188"/>
      <c r="BR993" s="188"/>
      <c r="BS993" s="188"/>
    </row>
    <row r="994" spans="52:71" x14ac:dyDescent="0.3">
      <c r="AZ994" s="188"/>
      <c r="BG994" s="188"/>
      <c r="BH994" s="188"/>
      <c r="BI994" s="188"/>
      <c r="BJ994" s="188"/>
      <c r="BK994" s="188"/>
      <c r="BL994" s="188"/>
      <c r="BM994" s="188"/>
      <c r="BN994" s="188"/>
      <c r="BO994" s="188"/>
      <c r="BP994" s="188"/>
      <c r="BQ994" s="188"/>
      <c r="BR994" s="188"/>
      <c r="BS994" s="188"/>
    </row>
    <row r="995" spans="52:71" x14ac:dyDescent="0.3">
      <c r="AZ995" s="188"/>
      <c r="BG995" s="188"/>
      <c r="BH995" s="188"/>
      <c r="BI995" s="188"/>
      <c r="BJ995" s="188"/>
      <c r="BK995" s="188"/>
      <c r="BL995" s="188"/>
      <c r="BM995" s="188"/>
      <c r="BN995" s="188"/>
      <c r="BO995" s="188"/>
      <c r="BP995" s="188"/>
      <c r="BQ995" s="188"/>
      <c r="BR995" s="188"/>
      <c r="BS995" s="188"/>
    </row>
    <row r="996" spans="52:71" x14ac:dyDescent="0.3">
      <c r="AZ996" s="188"/>
      <c r="BG996" s="188"/>
      <c r="BH996" s="188"/>
      <c r="BI996" s="188"/>
      <c r="BJ996" s="188"/>
      <c r="BK996" s="188"/>
      <c r="BL996" s="188"/>
      <c r="BM996" s="188"/>
      <c r="BN996" s="188"/>
      <c r="BO996" s="188"/>
      <c r="BP996" s="188"/>
      <c r="BQ996" s="188"/>
      <c r="BR996" s="188"/>
      <c r="BS996" s="188"/>
    </row>
    <row r="997" spans="52:71" x14ac:dyDescent="0.3">
      <c r="AZ997" s="188"/>
      <c r="BG997" s="188"/>
      <c r="BH997" s="188"/>
      <c r="BI997" s="188"/>
      <c r="BJ997" s="188"/>
      <c r="BK997" s="188"/>
      <c r="BL997" s="188"/>
      <c r="BM997" s="188"/>
      <c r="BN997" s="188"/>
      <c r="BO997" s="188"/>
      <c r="BP997" s="188"/>
      <c r="BQ997" s="188"/>
      <c r="BR997" s="188"/>
      <c r="BS997" s="188"/>
    </row>
    <row r="998" spans="52:71" x14ac:dyDescent="0.3">
      <c r="AZ998" s="188"/>
      <c r="BG998" s="188"/>
      <c r="BH998" s="188"/>
      <c r="BI998" s="188"/>
      <c r="BJ998" s="188"/>
      <c r="BK998" s="188"/>
      <c r="BL998" s="188"/>
      <c r="BM998" s="188"/>
      <c r="BN998" s="188"/>
      <c r="BO998" s="188"/>
      <c r="BP998" s="188"/>
      <c r="BQ998" s="188"/>
      <c r="BR998" s="188"/>
      <c r="BS998" s="188"/>
    </row>
    <row r="999" spans="52:71" x14ac:dyDescent="0.3">
      <c r="AZ999" s="188"/>
      <c r="BG999" s="188"/>
      <c r="BH999" s="188"/>
      <c r="BI999" s="188"/>
      <c r="BJ999" s="188"/>
      <c r="BK999" s="188"/>
      <c r="BL999" s="188"/>
      <c r="BM999" s="188"/>
      <c r="BN999" s="188"/>
      <c r="BO999" s="188"/>
      <c r="BP999" s="188"/>
      <c r="BQ999" s="188"/>
      <c r="BR999" s="188"/>
      <c r="BS999" s="188"/>
    </row>
    <row r="1000" spans="52:71" x14ac:dyDescent="0.3">
      <c r="AZ1000" s="188"/>
    </row>
    <row r="1001" spans="52:71" x14ac:dyDescent="0.3">
      <c r="AZ1001" s="188"/>
    </row>
    <row r="1015" spans="1:28" x14ac:dyDescent="0.3">
      <c r="A1015" s="42"/>
    </row>
    <row r="1018" spans="1:28" x14ac:dyDescent="0.3">
      <c r="Y1018" s="42"/>
    </row>
    <row r="1019" spans="1:28" x14ac:dyDescent="0.3">
      <c r="A1019" s="42"/>
      <c r="H1019" s="42"/>
      <c r="I1019" s="42"/>
    </row>
    <row r="1020" spans="1:28" x14ac:dyDescent="0.3">
      <c r="A1020" s="42"/>
      <c r="V1020" s="44"/>
      <c r="AA1020" s="44"/>
      <c r="AB1020" s="44"/>
    </row>
    <row r="1021" spans="1:28" x14ac:dyDescent="0.3">
      <c r="A1021" s="42"/>
      <c r="V1021" s="135"/>
      <c r="AA1021" s="135"/>
      <c r="AB1021" s="135"/>
    </row>
    <row r="1022" spans="1:28" x14ac:dyDescent="0.3">
      <c r="A1022" s="42"/>
      <c r="U1022" s="42"/>
      <c r="AA1022" s="44"/>
      <c r="AB1022" s="44"/>
    </row>
    <row r="1023" spans="1:28" x14ac:dyDescent="0.3">
      <c r="A1023" s="42"/>
    </row>
    <row r="1024" spans="1:28" x14ac:dyDescent="0.3">
      <c r="A1024" s="42"/>
      <c r="U1024" s="42"/>
      <c r="AA1024" s="44"/>
      <c r="AB1024" s="44"/>
    </row>
    <row r="1025" spans="1:28" x14ac:dyDescent="0.3">
      <c r="A1025" s="42"/>
    </row>
    <row r="1026" spans="1:28" x14ac:dyDescent="0.3">
      <c r="A1026" s="42"/>
      <c r="U1026" s="42"/>
      <c r="V1026" s="247"/>
      <c r="AA1026" s="44"/>
      <c r="AB1026" s="44"/>
    </row>
    <row r="1027" spans="1:28" x14ac:dyDescent="0.3">
      <c r="A1027" s="42"/>
    </row>
    <row r="1028" spans="1:28" x14ac:dyDescent="0.3">
      <c r="A1028" s="42"/>
      <c r="U1028" s="42"/>
      <c r="AA1028" s="44"/>
      <c r="AB1028" s="44"/>
    </row>
    <row r="1029" spans="1:28" x14ac:dyDescent="0.3">
      <c r="A1029" s="42"/>
    </row>
    <row r="1030" spans="1:28" x14ac:dyDescent="0.3">
      <c r="A1030" s="42"/>
      <c r="U1030" s="42"/>
      <c r="AA1030" s="44"/>
      <c r="AB1030" s="44"/>
    </row>
    <row r="1031" spans="1:28" x14ac:dyDescent="0.3">
      <c r="A1031" s="42"/>
    </row>
    <row r="1032" spans="1:28" x14ac:dyDescent="0.3">
      <c r="A1032" s="42"/>
    </row>
    <row r="1033" spans="1:28" x14ac:dyDescent="0.3">
      <c r="A1033" s="42"/>
    </row>
    <row r="1034" spans="1:28" x14ac:dyDescent="0.3">
      <c r="A1034" s="42"/>
    </row>
    <row r="1035" spans="1:28" x14ac:dyDescent="0.3">
      <c r="A1035" s="42"/>
    </row>
    <row r="1036" spans="1:28" x14ac:dyDescent="0.3">
      <c r="A1036" s="42"/>
    </row>
    <row r="1037" spans="1:28" x14ac:dyDescent="0.3">
      <c r="A1037" s="42"/>
    </row>
    <row r="1038" spans="1:28" x14ac:dyDescent="0.3">
      <c r="A1038" s="42"/>
    </row>
    <row r="1039" spans="1:28" x14ac:dyDescent="0.3">
      <c r="A1039" s="42"/>
    </row>
    <row r="1040" spans="1:28" x14ac:dyDescent="0.3">
      <c r="A1040" s="42"/>
    </row>
    <row r="1041" spans="1:9" x14ac:dyDescent="0.3">
      <c r="A1041" s="42"/>
      <c r="H1041" s="42"/>
      <c r="I1041" s="42"/>
    </row>
    <row r="1044" spans="1:9" x14ac:dyDescent="0.3">
      <c r="A1044" s="42"/>
    </row>
    <row r="1047" spans="1:9" x14ac:dyDescent="0.3">
      <c r="A1047" s="42"/>
    </row>
    <row r="1050" spans="1:9" x14ac:dyDescent="0.3">
      <c r="A1050" s="42"/>
    </row>
    <row r="1051" spans="1:9" x14ac:dyDescent="0.3">
      <c r="A1051" s="42"/>
    </row>
    <row r="1052" spans="1:9" x14ac:dyDescent="0.3">
      <c r="A1052" s="42"/>
    </row>
    <row r="1053" spans="1:9" x14ac:dyDescent="0.3">
      <c r="A1053" s="42"/>
    </row>
    <row r="1054" spans="1:9" x14ac:dyDescent="0.3">
      <c r="A1054" s="42"/>
    </row>
    <row r="1055" spans="1:9" x14ac:dyDescent="0.3">
      <c r="A1055" s="42"/>
    </row>
    <row r="1056" spans="1:9" x14ac:dyDescent="0.3">
      <c r="A1056" s="42"/>
    </row>
    <row r="1057" spans="1:1" x14ac:dyDescent="0.3">
      <c r="A1057" s="42"/>
    </row>
    <row r="1058" spans="1:1" x14ac:dyDescent="0.3">
      <c r="A1058" s="42"/>
    </row>
    <row r="1059" spans="1:1" x14ac:dyDescent="0.3">
      <c r="A1059" s="42"/>
    </row>
    <row r="1060" spans="1:1" x14ac:dyDescent="0.3">
      <c r="A1060" s="42"/>
    </row>
    <row r="1061" spans="1:1" x14ac:dyDescent="0.3">
      <c r="A1061" s="42"/>
    </row>
    <row r="1062" spans="1:1" x14ac:dyDescent="0.3">
      <c r="A1062" s="42"/>
    </row>
    <row r="1063" spans="1:1" x14ac:dyDescent="0.3">
      <c r="A1063" s="42"/>
    </row>
    <row r="1064" spans="1:1" x14ac:dyDescent="0.3">
      <c r="A1064" s="42"/>
    </row>
    <row r="1065" spans="1:1" x14ac:dyDescent="0.3">
      <c r="A1065" s="42"/>
    </row>
    <row r="1066" spans="1:1" x14ac:dyDescent="0.3">
      <c r="A1066" s="42"/>
    </row>
    <row r="1067" spans="1:1" x14ac:dyDescent="0.3">
      <c r="A1067" s="42"/>
    </row>
    <row r="1068" spans="1:1" x14ac:dyDescent="0.3">
      <c r="A1068" s="42"/>
    </row>
    <row r="1069" spans="1:1" x14ac:dyDescent="0.3">
      <c r="A1069" s="42"/>
    </row>
    <row r="1070" spans="1:1" x14ac:dyDescent="0.3">
      <c r="A1070" s="42"/>
    </row>
    <row r="1071" spans="1:1" x14ac:dyDescent="0.3">
      <c r="A1071" s="42"/>
    </row>
    <row r="1072" spans="1:1" x14ac:dyDescent="0.3">
      <c r="A1072" s="42"/>
    </row>
    <row r="1073" spans="1:1" x14ac:dyDescent="0.3">
      <c r="A1073" s="42"/>
    </row>
    <row r="1074" spans="1:1" x14ac:dyDescent="0.3">
      <c r="A1074" s="42"/>
    </row>
    <row r="1075" spans="1:1" x14ac:dyDescent="0.3">
      <c r="A1075" s="42"/>
    </row>
    <row r="1076" spans="1:1" x14ac:dyDescent="0.3">
      <c r="A1076" s="42"/>
    </row>
    <row r="1077" spans="1:1" x14ac:dyDescent="0.3">
      <c r="A1077" s="42"/>
    </row>
    <row r="1078" spans="1:1" x14ac:dyDescent="0.3">
      <c r="A1078" s="42"/>
    </row>
    <row r="1079" spans="1:1" x14ac:dyDescent="0.3">
      <c r="A1079" s="42"/>
    </row>
    <row r="1080" spans="1:1" x14ac:dyDescent="0.3">
      <c r="A1080" s="42"/>
    </row>
    <row r="1081" spans="1:1" x14ac:dyDescent="0.3">
      <c r="A1081" s="42"/>
    </row>
    <row r="1082" spans="1:1" x14ac:dyDescent="0.3">
      <c r="A1082" s="42"/>
    </row>
    <row r="1083" spans="1:1" x14ac:dyDescent="0.3">
      <c r="A1083" s="42"/>
    </row>
    <row r="1084" spans="1:1" x14ac:dyDescent="0.3">
      <c r="A1084" s="42"/>
    </row>
    <row r="1089" spans="1:1" x14ac:dyDescent="0.3">
      <c r="A1089" s="42"/>
    </row>
    <row r="1090" spans="1:1" x14ac:dyDescent="0.3">
      <c r="A1090" s="42"/>
    </row>
    <row r="1093" spans="1:1" x14ac:dyDescent="0.3">
      <c r="A1093" s="42"/>
    </row>
    <row r="1095" spans="1:1" x14ac:dyDescent="0.3">
      <c r="A1095" s="42"/>
    </row>
    <row r="1097" spans="1:1" x14ac:dyDescent="0.3">
      <c r="A1097" s="42"/>
    </row>
    <row r="1099" spans="1:1" x14ac:dyDescent="0.3">
      <c r="A1099" s="42"/>
    </row>
    <row r="1102" spans="1:1" x14ac:dyDescent="0.3">
      <c r="A1102" s="42"/>
    </row>
    <row r="1103" spans="1:1" x14ac:dyDescent="0.3">
      <c r="A1103" s="42"/>
    </row>
    <row r="1104" spans="1:1" x14ac:dyDescent="0.3">
      <c r="A1104" s="42"/>
    </row>
    <row r="1105" spans="1:1" x14ac:dyDescent="0.3">
      <c r="A1105" s="42"/>
    </row>
    <row r="1106" spans="1:1" x14ac:dyDescent="0.3">
      <c r="A1106" s="42"/>
    </row>
    <row r="1107" spans="1:1" x14ac:dyDescent="0.3">
      <c r="A1107" s="42"/>
    </row>
    <row r="1108" spans="1:1" x14ac:dyDescent="0.3">
      <c r="A1108" s="42"/>
    </row>
    <row r="1109" spans="1:1" x14ac:dyDescent="0.3">
      <c r="A1109" s="42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Y50">
      <selection activeCell="Y75" sqref="Y7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3"/>
      <headerFooter alignWithMargins="0"/>
    </customSheetView>
    <customSheetView guid="{2431C9E5-7CC2-4B8D-99C3-962247B1DBF5}" scale="75" fitToPage="1" showRuler="0" topLeftCell="Y50">
      <selection activeCell="Y75" sqref="Y7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4"/>
      <headerFooter alignWithMargins="0"/>
    </customSheetView>
    <customSheetView guid="{2EA35095-1ADC-4CC7-8C3C-B487D65FA247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 topLeftCell="A7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8"/>
      <headerFooter alignWithMargins="0"/>
    </customSheetView>
    <customSheetView guid="{0BC1F393-8A13-47D5-BC6C-0C99615B5AB9}" scale="75" fitToPage="1" showRuler="0" topLeftCell="A7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C5">
      <selection activeCell="J33" sqref="J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C5">
      <selection activeCell="J33" sqref="J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F562D92E-120C-4AE9-9663-89E64D41DC53}" scale="75" fitToPage="1" topLeftCell="V50">
      <selection activeCell="P35" sqref="P3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1" type="noConversion"/>
  <pageMargins left="0.5" right="0.5" top="1" bottom="0" header="0" footer="0"/>
  <pageSetup scale="67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syncVertical="1" syncRef="A1" transitionEvaluation="1" transitionEntry="1" codeName="Sheet10">
    <pageSetUpPr fitToPage="1"/>
  </sheetPr>
  <dimension ref="A1:BX1140"/>
  <sheetViews>
    <sheetView zoomScale="75" workbookViewId="0"/>
  </sheetViews>
  <sheetFormatPr defaultColWidth="9.75" defaultRowHeight="15.6" x14ac:dyDescent="0.3"/>
  <cols>
    <col min="1" max="1" width="5" style="41" customWidth="1"/>
    <col min="2" max="2" width="0.4140625" style="41" customWidth="1"/>
    <col min="3" max="3" width="6.75" style="41" customWidth="1"/>
    <col min="4" max="4" width="38.6640625" style="41" customWidth="1"/>
    <col min="5" max="5" width="0.41406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2.582031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7.58203125" style="41" customWidth="1"/>
    <col min="19" max="19" width="6.75" style="41" customWidth="1"/>
    <col min="20" max="20" width="5.4140625" style="41" customWidth="1"/>
    <col min="21" max="21" width="0.58203125" style="41" customWidth="1"/>
    <col min="22" max="22" width="7.33203125" style="41" customWidth="1"/>
    <col min="23" max="23" width="37.4140625" style="41" customWidth="1"/>
    <col min="24" max="24" width="0.5820312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2.25" style="41" customWidth="1"/>
    <col min="30" max="30" width="0.9140625" style="41" customWidth="1"/>
    <col min="31" max="31" width="12.9140625" style="41" customWidth="1"/>
    <col min="32" max="32" width="0.75" style="41" customWidth="1"/>
    <col min="33" max="33" width="13.6640625" style="165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165" customWidth="1"/>
    <col min="38" max="38" width="0.582031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165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REHEARING ORDER CALCULATED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157</v>
      </c>
      <c r="AK6" s="206"/>
      <c r="AL6" s="42"/>
    </row>
    <row r="7" spans="1:40" x14ac:dyDescent="0.3">
      <c r="A7" s="41" t="str">
        <f>TYPE</f>
        <v>TYPE OF FILING: _X_ ORIGINAL   ___UPDATED  ___ REVISED</v>
      </c>
      <c r="R7" s="45" t="str">
        <f>"PAGE 7 OF "&amp;TEXT(Page_Num_2.3,"00")</f>
        <v>PAGE 7 OF 24</v>
      </c>
      <c r="AK7" s="206"/>
      <c r="AL7" s="42"/>
    </row>
    <row r="8" spans="1:40" x14ac:dyDescent="0.3">
      <c r="A8" s="42" t="s">
        <v>171</v>
      </c>
      <c r="R8" s="42" t="s">
        <v>3</v>
      </c>
      <c r="AK8" s="206"/>
      <c r="AL8" s="42"/>
    </row>
    <row r="9" spans="1:40" x14ac:dyDescent="0.3">
      <c r="A9" s="132" t="str">
        <f>TIME</f>
        <v>12 Months Projected with Riders</v>
      </c>
      <c r="R9" s="41" t="str">
        <f>WIT</f>
        <v>B. L. Sailers</v>
      </c>
      <c r="AK9" s="206"/>
      <c r="AL9" s="42"/>
    </row>
    <row r="10" spans="1:40" x14ac:dyDescent="0.3">
      <c r="A10" s="132" t="str">
        <f>INPUT!B5</f>
        <v xml:space="preserve"> </v>
      </c>
      <c r="AK10" s="206"/>
      <c r="AL10" s="42"/>
    </row>
    <row r="11" spans="1:40" x14ac:dyDescent="0.3">
      <c r="A11" s="40" t="s">
        <v>130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207"/>
      <c r="AH12" s="135"/>
      <c r="AI12" s="135"/>
      <c r="AJ12" s="135"/>
      <c r="AK12" s="207"/>
      <c r="AL12" s="135"/>
      <c r="AM12" s="135"/>
      <c r="AN12" s="135"/>
    </row>
    <row r="13" spans="1:40" ht="18" customHeight="1" x14ac:dyDescent="0.3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68"/>
      <c r="AH13" s="44"/>
      <c r="AK13" s="168"/>
      <c r="AL13" s="44"/>
      <c r="AM13" s="44"/>
      <c r="AN13" s="44"/>
    </row>
    <row r="14" spans="1:40" x14ac:dyDescent="0.3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68"/>
      <c r="AH14" s="44"/>
      <c r="AK14" s="168"/>
      <c r="AL14" s="44"/>
      <c r="AM14" s="44"/>
      <c r="AN14" s="44"/>
    </row>
    <row r="15" spans="1:4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842</v>
      </c>
      <c r="M15" s="44"/>
      <c r="N15" s="44" t="s">
        <v>842</v>
      </c>
      <c r="O15" s="44"/>
      <c r="P15" s="44" t="s">
        <v>842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68"/>
      <c r="AH15" s="44"/>
      <c r="AI15" s="44"/>
      <c r="AJ15" s="44"/>
      <c r="AK15" s="168"/>
      <c r="AL15" s="44"/>
      <c r="AM15" s="44"/>
      <c r="AN15" s="44"/>
    </row>
    <row r="16" spans="1:40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324</v>
      </c>
      <c r="Q16" s="44"/>
      <c r="R16" s="141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68"/>
      <c r="AH16" s="44"/>
      <c r="AI16" s="44"/>
      <c r="AJ16" s="44"/>
      <c r="AK16" s="168"/>
      <c r="AL16" s="44"/>
      <c r="AM16" s="44"/>
      <c r="AN16" s="44"/>
    </row>
    <row r="17" spans="1:40" x14ac:dyDescent="0.3">
      <c r="C17" s="141" t="s">
        <v>33</v>
      </c>
      <c r="D17" s="141" t="s">
        <v>34</v>
      </c>
      <c r="E17" s="141"/>
      <c r="F17" s="141" t="s">
        <v>35</v>
      </c>
      <c r="G17" s="153"/>
      <c r="H17" s="141" t="s">
        <v>36</v>
      </c>
      <c r="I17" s="141"/>
      <c r="J17" s="141" t="s">
        <v>37</v>
      </c>
      <c r="K17" s="141"/>
      <c r="L17" s="141" t="s">
        <v>38</v>
      </c>
      <c r="M17" s="141"/>
      <c r="N17" s="141" t="s">
        <v>39</v>
      </c>
      <c r="O17" s="141"/>
      <c r="P17" s="141" t="s">
        <v>40</v>
      </c>
      <c r="Q17" s="141"/>
      <c r="R17" s="141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68"/>
      <c r="AH17" s="44"/>
      <c r="AI17" s="44"/>
      <c r="AJ17" s="44"/>
      <c r="AK17" s="168"/>
      <c r="AL17" s="44"/>
      <c r="AM17" s="44"/>
      <c r="AN17" s="44"/>
    </row>
    <row r="18" spans="1:40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207"/>
      <c r="AH18" s="135"/>
      <c r="AI18" s="135"/>
      <c r="AJ18" s="135"/>
      <c r="AK18" s="207"/>
      <c r="AL18" s="135"/>
      <c r="AM18" s="135"/>
      <c r="AN18" s="135"/>
    </row>
    <row r="19" spans="1:40" ht="17.100000000000001" customHeight="1" x14ac:dyDescent="0.3">
      <c r="H19" s="171" t="s">
        <v>49</v>
      </c>
      <c r="I19" s="171"/>
      <c r="J19" s="172" t="s">
        <v>313</v>
      </c>
      <c r="K19" s="171"/>
      <c r="L19" s="171" t="s">
        <v>50</v>
      </c>
      <c r="M19" s="171"/>
      <c r="N19" s="171" t="s">
        <v>51</v>
      </c>
      <c r="O19" s="171"/>
      <c r="P19" s="171" t="s">
        <v>50</v>
      </c>
      <c r="Q19" s="171"/>
      <c r="R19" s="171" t="s">
        <v>50</v>
      </c>
      <c r="Y19" s="44"/>
      <c r="Z19" s="44"/>
      <c r="AA19" s="44"/>
      <c r="AB19" s="44"/>
      <c r="AC19" s="44"/>
      <c r="AD19" s="44"/>
      <c r="AE19" s="44"/>
      <c r="AF19" s="44"/>
      <c r="AG19" s="168"/>
      <c r="AH19" s="44"/>
      <c r="AI19" s="44"/>
      <c r="AJ19" s="44"/>
      <c r="AK19" s="168"/>
      <c r="AL19" s="44"/>
      <c r="AM19" s="44"/>
      <c r="AN19" s="44"/>
    </row>
    <row r="20" spans="1:40" x14ac:dyDescent="0.3">
      <c r="H20" s="44"/>
      <c r="I20" s="44"/>
      <c r="J20" s="46"/>
      <c r="K20" s="44"/>
      <c r="L20" s="44"/>
      <c r="M20" s="44"/>
      <c r="N20" s="44"/>
      <c r="O20" s="44"/>
      <c r="P20" s="44"/>
      <c r="Q20" s="44"/>
      <c r="R20" s="44"/>
      <c r="Y20" s="44"/>
      <c r="Z20" s="44"/>
      <c r="AA20" s="44"/>
      <c r="AB20" s="44"/>
      <c r="AC20" s="44"/>
      <c r="AD20" s="44"/>
      <c r="AE20" s="44"/>
      <c r="AF20" s="44"/>
      <c r="AG20" s="168"/>
      <c r="AH20" s="44"/>
      <c r="AI20" s="44"/>
      <c r="AJ20" s="44"/>
      <c r="AK20" s="168"/>
      <c r="AL20" s="44"/>
      <c r="AM20" s="44"/>
      <c r="AN20" s="44"/>
    </row>
    <row r="21" spans="1:40" x14ac:dyDescent="0.3">
      <c r="A21" s="41">
        <v>1</v>
      </c>
      <c r="C21" s="132" t="s">
        <v>95</v>
      </c>
      <c r="D21" s="132" t="s">
        <v>391</v>
      </c>
      <c r="E21" s="42"/>
      <c r="F21" s="1"/>
      <c r="G21" s="1"/>
      <c r="H21" s="3"/>
      <c r="I21" s="3"/>
      <c r="J21" s="7"/>
      <c r="K21" s="7"/>
      <c r="L21" s="3"/>
      <c r="M21" s="3"/>
      <c r="N21" s="4"/>
      <c r="O21" s="4"/>
      <c r="P21" s="3"/>
      <c r="Q21" s="3"/>
      <c r="R21" s="3"/>
      <c r="S21" s="123"/>
      <c r="T21" s="42"/>
      <c r="V21" s="123"/>
      <c r="Y21" s="123"/>
      <c r="Z21" s="213"/>
      <c r="AA21" s="123"/>
      <c r="AB21" s="123"/>
      <c r="AC21" s="160"/>
      <c r="AD21" s="160"/>
      <c r="AE21" s="123"/>
      <c r="AF21" s="123"/>
      <c r="AH21" s="160"/>
      <c r="AI21" s="123"/>
      <c r="AJ21" s="123"/>
      <c r="AL21" s="123"/>
      <c r="AM21" s="160"/>
      <c r="AN21" s="160"/>
    </row>
    <row r="22" spans="1:40" x14ac:dyDescent="0.3">
      <c r="F22" s="1"/>
      <c r="G22" s="1"/>
      <c r="H22" s="3"/>
      <c r="I22" s="3"/>
      <c r="J22" s="7"/>
      <c r="K22" s="7"/>
      <c r="L22" s="3"/>
      <c r="M22" s="3"/>
      <c r="N22" s="4"/>
      <c r="O22" s="4"/>
      <c r="P22" s="3"/>
      <c r="Q22" s="3"/>
      <c r="R22" s="3"/>
      <c r="S22" s="123"/>
      <c r="V22" s="210"/>
      <c r="Y22" s="210"/>
      <c r="Z22" s="213"/>
      <c r="AA22" s="210"/>
      <c r="AB22" s="210"/>
      <c r="AC22" s="210"/>
      <c r="AD22" s="210"/>
      <c r="AE22" s="210"/>
      <c r="AF22" s="210"/>
      <c r="AI22" s="210"/>
      <c r="AJ22" s="210"/>
      <c r="AK22" s="214"/>
      <c r="AL22" s="210"/>
      <c r="AM22" s="160"/>
      <c r="AN22" s="160"/>
    </row>
    <row r="23" spans="1:40" ht="15.9" customHeight="1" x14ac:dyDescent="0.3">
      <c r="A23" s="41">
        <v>2</v>
      </c>
      <c r="C23" s="45" t="s">
        <v>416</v>
      </c>
      <c r="F23" s="184">
        <v>0</v>
      </c>
      <c r="G23" s="1"/>
      <c r="H23" s="159"/>
      <c r="I23" s="159"/>
      <c r="J23" s="263"/>
      <c r="K23" s="263"/>
      <c r="L23" s="159">
        <v>0</v>
      </c>
      <c r="M23" s="159"/>
      <c r="N23" s="4">
        <f>ROUND((L23/L$38)*100,1)</f>
        <v>0</v>
      </c>
      <c r="O23" s="4"/>
      <c r="P23" s="3"/>
      <c r="Q23" s="3"/>
      <c r="R23" s="3">
        <f>L23+P23</f>
        <v>0</v>
      </c>
      <c r="S23" s="123"/>
      <c r="T23" s="42"/>
      <c r="Z23" s="213"/>
      <c r="AA23" s="123"/>
      <c r="AB23" s="123"/>
      <c r="AC23" s="160"/>
      <c r="AD23" s="160"/>
      <c r="AE23" s="123"/>
      <c r="AF23" s="123"/>
      <c r="AH23" s="160"/>
      <c r="AI23" s="123"/>
      <c r="AJ23" s="123"/>
      <c r="AL23" s="123"/>
      <c r="AM23" s="160"/>
      <c r="AN23" s="160"/>
    </row>
    <row r="24" spans="1:40" x14ac:dyDescent="0.3">
      <c r="F24" s="184"/>
      <c r="G24" s="1"/>
      <c r="H24" s="195"/>
      <c r="I24" s="195"/>
      <c r="J24" s="195"/>
      <c r="K24" s="195"/>
      <c r="L24" s="1"/>
      <c r="M24" s="1"/>
      <c r="N24" s="1"/>
      <c r="O24" s="1"/>
      <c r="P24" s="1"/>
      <c r="Q24" s="1"/>
      <c r="R24" s="3"/>
      <c r="S24" s="123"/>
      <c r="T24" s="42"/>
      <c r="AA24" s="123"/>
      <c r="AB24" s="123"/>
      <c r="AC24" s="123"/>
      <c r="AD24" s="123"/>
      <c r="AI24" s="123"/>
      <c r="AJ24" s="123"/>
      <c r="AL24" s="123"/>
    </row>
    <row r="25" spans="1:40" ht="15.75" customHeight="1" x14ac:dyDescent="0.3">
      <c r="A25" s="41">
        <v>3</v>
      </c>
      <c r="C25" s="45" t="s">
        <v>62</v>
      </c>
      <c r="F25" s="184">
        <v>166</v>
      </c>
      <c r="G25" s="1"/>
      <c r="H25" s="159"/>
      <c r="I25" s="159"/>
      <c r="J25" s="193">
        <f>INPUT!D96</f>
        <v>15</v>
      </c>
      <c r="K25" s="194"/>
      <c r="L25" s="3">
        <f>ROUND(F25*J25,0)</f>
        <v>2490</v>
      </c>
      <c r="M25" s="3"/>
      <c r="N25" s="4">
        <f>ROUND((L25/L$38)*100,1)</f>
        <v>4.2</v>
      </c>
      <c r="O25" s="4"/>
      <c r="P25" s="3"/>
      <c r="Q25" s="3"/>
      <c r="R25" s="3">
        <f>L25+P25</f>
        <v>2490</v>
      </c>
    </row>
    <row r="26" spans="1:40" x14ac:dyDescent="0.3">
      <c r="F26" s="159"/>
      <c r="G26" s="1"/>
      <c r="H26" s="195"/>
      <c r="I26" s="195"/>
      <c r="J26" s="222"/>
      <c r="K26" s="195"/>
      <c r="L26" s="1"/>
      <c r="M26" s="1"/>
      <c r="N26" s="1"/>
      <c r="O26" s="1"/>
      <c r="P26" s="1"/>
      <c r="Q26" s="1"/>
      <c r="R26" s="3"/>
      <c r="Y26" s="42"/>
    </row>
    <row r="27" spans="1:40" x14ac:dyDescent="0.3">
      <c r="A27" s="41">
        <v>4</v>
      </c>
      <c r="C27" s="45" t="s">
        <v>374</v>
      </c>
      <c r="F27" s="159"/>
      <c r="G27" s="1"/>
      <c r="H27" s="195"/>
      <c r="I27" s="195"/>
      <c r="J27" s="222"/>
      <c r="K27" s="195"/>
      <c r="L27" s="1"/>
      <c r="M27" s="1"/>
      <c r="N27" s="1"/>
      <c r="O27" s="1"/>
      <c r="P27" s="1"/>
      <c r="Q27" s="1"/>
      <c r="R27" s="3"/>
      <c r="Y27" s="42"/>
    </row>
    <row r="28" spans="1:40" x14ac:dyDescent="0.3">
      <c r="A28" s="41">
        <v>5</v>
      </c>
      <c r="C28" s="42" t="s">
        <v>154</v>
      </c>
      <c r="F28" s="196"/>
      <c r="G28" s="1"/>
      <c r="H28" s="197">
        <v>327203</v>
      </c>
      <c r="I28" s="159"/>
      <c r="J28" s="198">
        <f>INPUT!D98</f>
        <v>0.167657</v>
      </c>
      <c r="K28" s="199"/>
      <c r="L28" s="49">
        <f>ROUND((H28*(J28)),0)</f>
        <v>54858</v>
      </c>
      <c r="M28" s="3"/>
      <c r="N28" s="253">
        <f>ROUND((L28/L$38)*100,1)</f>
        <v>92.1</v>
      </c>
      <c r="O28" s="4"/>
      <c r="P28" s="196"/>
      <c r="Q28" s="3"/>
      <c r="R28" s="49">
        <f>L28+P28</f>
        <v>54858</v>
      </c>
      <c r="AA28" s="42"/>
      <c r="AB28" s="42"/>
    </row>
    <row r="29" spans="1:40" ht="20.100000000000001" customHeight="1" x14ac:dyDescent="0.3">
      <c r="A29" s="41">
        <v>6</v>
      </c>
      <c r="C29" s="178" t="s">
        <v>447</v>
      </c>
      <c r="F29" s="262">
        <f>F25</f>
        <v>166</v>
      </c>
      <c r="G29" s="1"/>
      <c r="H29" s="262">
        <f>H28</f>
        <v>327203</v>
      </c>
      <c r="I29" s="159"/>
      <c r="J29" s="198"/>
      <c r="K29" s="199"/>
      <c r="L29" s="145">
        <f>L23+L25+L28</f>
        <v>57348</v>
      </c>
      <c r="M29" s="3"/>
      <c r="N29" s="211">
        <f>ROUND((L29/L$38)*100,1)</f>
        <v>96.2</v>
      </c>
      <c r="O29" s="4"/>
      <c r="P29" s="262"/>
      <c r="Q29" s="3"/>
      <c r="R29" s="145">
        <f>R23+R25+R28</f>
        <v>57348</v>
      </c>
      <c r="AA29" s="42"/>
      <c r="AB29" s="42"/>
    </row>
    <row r="30" spans="1:40" x14ac:dyDescent="0.3">
      <c r="C30" s="42"/>
      <c r="F30" s="159"/>
      <c r="G30" s="1"/>
      <c r="H30" s="184"/>
      <c r="I30" s="159"/>
      <c r="J30" s="198"/>
      <c r="K30" s="199"/>
      <c r="L30" s="3"/>
      <c r="M30" s="3"/>
      <c r="N30" s="4"/>
      <c r="O30" s="4"/>
      <c r="P30" s="159"/>
      <c r="Q30" s="3"/>
      <c r="R30" s="3"/>
      <c r="AA30" s="42"/>
      <c r="AB30" s="42"/>
    </row>
    <row r="31" spans="1:40" x14ac:dyDescent="0.3">
      <c r="A31" s="41">
        <v>7</v>
      </c>
      <c r="C31" s="132" t="s">
        <v>432</v>
      </c>
      <c r="F31" s="159"/>
      <c r="G31" s="1"/>
      <c r="H31" s="184"/>
      <c r="I31" s="159"/>
      <c r="J31" s="198"/>
      <c r="K31" s="199"/>
      <c r="L31" s="3"/>
      <c r="M31" s="3"/>
      <c r="N31" s="4"/>
      <c r="O31" s="4"/>
      <c r="P31" s="159"/>
      <c r="Q31" s="3"/>
      <c r="R31" s="3"/>
      <c r="AA31" s="42"/>
      <c r="AB31" s="42"/>
    </row>
    <row r="32" spans="1:40" x14ac:dyDescent="0.3">
      <c r="A32" s="41">
        <v>8</v>
      </c>
      <c r="C32" s="192" t="str">
        <f>DSMR_Name</f>
        <v>DEMAND SIDE MANAGEMENT RIDER (DSMR)</v>
      </c>
      <c r="F32" s="159"/>
      <c r="G32" s="1"/>
      <c r="H32" s="184"/>
      <c r="I32" s="159"/>
      <c r="J32" s="217">
        <f>PRO_DSM_DIST</f>
        <v>3.503E-3</v>
      </c>
      <c r="K32" s="199"/>
      <c r="L32" s="3">
        <f>ROUND($H$29*J32,0)</f>
        <v>1146</v>
      </c>
      <c r="M32" s="3"/>
      <c r="N32" s="175">
        <f>ROUND((L32/L$38)*100,1)+0.1</f>
        <v>2</v>
      </c>
      <c r="O32" s="4"/>
      <c r="P32" s="159"/>
      <c r="Q32" s="3"/>
      <c r="R32" s="3">
        <f>L32+P32</f>
        <v>1146</v>
      </c>
      <c r="AA32" s="42"/>
      <c r="AB32" s="42"/>
    </row>
    <row r="33" spans="1:40" x14ac:dyDescent="0.3">
      <c r="A33" s="41">
        <v>9</v>
      </c>
      <c r="C33" s="192" t="str">
        <f>ESM_Name</f>
        <v>ENVIRONMENTAL SURCHARGE MECHANISM RIDER (ESM)</v>
      </c>
      <c r="F33" s="159"/>
      <c r="G33" s="1"/>
      <c r="H33" s="184"/>
      <c r="I33" s="159"/>
      <c r="J33" s="201">
        <f>PRO_ESM_NONRES</f>
        <v>5.7995821086186533E-3</v>
      </c>
      <c r="K33" s="199"/>
      <c r="L33" s="3">
        <f>ROUND((R29-(PRO_BASE_FUEL*H29)+R32+R35)*J33,0)</f>
        <v>280</v>
      </c>
      <c r="M33" s="3"/>
      <c r="N33" s="175">
        <f>ROUND((L33/L$38)*100,1)</f>
        <v>0.5</v>
      </c>
      <c r="O33" s="4"/>
      <c r="P33" s="159"/>
      <c r="Q33" s="3"/>
      <c r="R33" s="3">
        <f>L33+P33</f>
        <v>280</v>
      </c>
      <c r="AA33" s="42"/>
      <c r="AB33" s="42"/>
    </row>
    <row r="34" spans="1:40" x14ac:dyDescent="0.3">
      <c r="A34" s="41">
        <v>10</v>
      </c>
      <c r="C34" s="192" t="str">
        <f>FAC_Name</f>
        <v>FUEL ADJUSTMENT CLAUSE (FAC)</v>
      </c>
      <c r="F34" s="159"/>
      <c r="G34" s="1"/>
      <c r="H34" s="184"/>
      <c r="I34" s="159"/>
      <c r="J34" s="217">
        <f>PRO_FAC</f>
        <v>3.4872127999999998E-3</v>
      </c>
      <c r="K34" s="199"/>
      <c r="L34" s="3"/>
      <c r="M34" s="3"/>
      <c r="N34" s="175"/>
      <c r="O34" s="4"/>
      <c r="P34" s="159">
        <f>ROUND(H29*PRO_FAC,0)</f>
        <v>1141</v>
      </c>
      <c r="Q34" s="3"/>
      <c r="R34" s="3">
        <f>L34+P34</f>
        <v>1141</v>
      </c>
      <c r="AA34" s="42"/>
      <c r="AB34" s="42"/>
    </row>
    <row r="35" spans="1:40" x14ac:dyDescent="0.3">
      <c r="A35" s="41">
        <v>11</v>
      </c>
      <c r="C35" s="192" t="str">
        <f>PSM_Name</f>
        <v>PROFIT SHARING MECHANISM (PSM)</v>
      </c>
      <c r="F35" s="159"/>
      <c r="G35" s="1"/>
      <c r="H35" s="184"/>
      <c r="I35" s="159"/>
      <c r="J35" s="217">
        <f>PRO_PSM</f>
        <v>2.4750000000000002E-3</v>
      </c>
      <c r="K35" s="199"/>
      <c r="L35" s="49">
        <f>ROUND(H29*PRO_PSM,0)</f>
        <v>810</v>
      </c>
      <c r="M35" s="3"/>
      <c r="N35" s="177">
        <f>ROUND((L35/L$38)*100,1)</f>
        <v>1.4</v>
      </c>
      <c r="O35" s="4"/>
      <c r="P35" s="196"/>
      <c r="Q35" s="3"/>
      <c r="R35" s="49">
        <f>L35+P35</f>
        <v>810</v>
      </c>
      <c r="AA35" s="42"/>
      <c r="AB35" s="42"/>
    </row>
    <row r="36" spans="1:40" ht="20.100000000000001" customHeight="1" x14ac:dyDescent="0.3">
      <c r="A36" s="41">
        <v>12</v>
      </c>
      <c r="C36" s="132" t="s">
        <v>437</v>
      </c>
      <c r="F36" s="196"/>
      <c r="G36" s="1"/>
      <c r="H36" s="197"/>
      <c r="I36" s="159"/>
      <c r="J36" s="200"/>
      <c r="K36" s="199"/>
      <c r="L36" s="145">
        <f>SUM(L32:L35)</f>
        <v>2236</v>
      </c>
      <c r="M36" s="3"/>
      <c r="N36" s="180">
        <f>ROUND((L36/L$38)*100,1)</f>
        <v>3.8</v>
      </c>
      <c r="O36" s="4"/>
      <c r="P36" s="262">
        <f>SUM(P32:P35)</f>
        <v>1141</v>
      </c>
      <c r="Q36" s="3"/>
      <c r="R36" s="145">
        <f>SUM(R32:R35)</f>
        <v>3377</v>
      </c>
      <c r="AA36" s="42"/>
      <c r="AB36" s="42"/>
    </row>
    <row r="37" spans="1:40" x14ac:dyDescent="0.3">
      <c r="C37" s="132"/>
      <c r="F37" s="159"/>
      <c r="G37" s="1"/>
      <c r="H37" s="184"/>
      <c r="I37" s="159"/>
      <c r="J37" s="200"/>
      <c r="K37" s="199"/>
      <c r="L37" s="3"/>
      <c r="M37" s="3"/>
      <c r="N37" s="4"/>
      <c r="O37" s="4"/>
      <c r="P37" s="159"/>
      <c r="Q37" s="3"/>
      <c r="R37" s="3"/>
      <c r="AA37" s="42"/>
      <c r="AB37" s="42"/>
    </row>
    <row r="38" spans="1:40" ht="20.100000000000001" customHeight="1" thickBot="1" x14ac:dyDescent="0.35">
      <c r="A38" s="41">
        <v>13</v>
      </c>
      <c r="C38" s="132" t="s">
        <v>450</v>
      </c>
      <c r="E38" s="42"/>
      <c r="F38" s="151">
        <f>F23+F25</f>
        <v>166</v>
      </c>
      <c r="G38" s="1"/>
      <c r="H38" s="151">
        <f>H28</f>
        <v>327203</v>
      </c>
      <c r="I38" s="3"/>
      <c r="J38" s="7"/>
      <c r="K38" s="7"/>
      <c r="L38" s="151">
        <f>L29+L36</f>
        <v>59584</v>
      </c>
      <c r="M38" s="3"/>
      <c r="N38" s="218">
        <v>100</v>
      </c>
      <c r="O38" s="4"/>
      <c r="P38" s="151">
        <f>P36+P29</f>
        <v>1141</v>
      </c>
      <c r="Q38" s="159"/>
      <c r="R38" s="151">
        <f>R29+R36</f>
        <v>60725</v>
      </c>
    </row>
    <row r="39" spans="1:40" ht="16.2" thickTop="1" x14ac:dyDescent="0.3"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3"/>
    </row>
    <row r="40" spans="1:40" x14ac:dyDescent="0.3">
      <c r="F40"/>
      <c r="G40"/>
      <c r="H40"/>
      <c r="I40"/>
      <c r="J40"/>
      <c r="K40" s="2"/>
      <c r="L40" s="2"/>
      <c r="M40" s="2"/>
      <c r="N40" s="2"/>
      <c r="O40" s="2"/>
      <c r="P40" s="2"/>
      <c r="Q40" s="2"/>
      <c r="R40" s="2"/>
      <c r="Y40" s="44"/>
      <c r="Z40" s="44"/>
      <c r="AA40" s="44"/>
      <c r="AB40" s="44"/>
      <c r="AC40" s="44"/>
      <c r="AD40" s="44"/>
      <c r="AE40" s="44"/>
      <c r="AF40" s="44"/>
      <c r="AG40" s="168"/>
      <c r="AH40" s="44"/>
      <c r="AI40" s="44"/>
      <c r="AJ40" s="44"/>
      <c r="AK40" s="168"/>
      <c r="AL40" s="44"/>
      <c r="AM40" s="44"/>
      <c r="AN40" s="44"/>
    </row>
    <row r="41" spans="1:40" x14ac:dyDescent="0.3">
      <c r="A41" s="41">
        <v>14</v>
      </c>
      <c r="C41" s="132" t="s">
        <v>359</v>
      </c>
      <c r="D41" s="132" t="s">
        <v>153</v>
      </c>
      <c r="E41" s="42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T41" s="42"/>
      <c r="U41" s="42"/>
    </row>
    <row r="42" spans="1:40" x14ac:dyDescent="0.3"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T42" s="42"/>
    </row>
    <row r="43" spans="1:40" x14ac:dyDescent="0.3">
      <c r="A43" s="41">
        <v>15</v>
      </c>
      <c r="C43" s="45" t="s">
        <v>199</v>
      </c>
      <c r="F43" s="184">
        <v>275</v>
      </c>
      <c r="G43" s="1"/>
      <c r="H43" s="184"/>
      <c r="I43" s="195"/>
      <c r="J43" s="193">
        <f>INPUT!D104</f>
        <v>4.37</v>
      </c>
      <c r="K43" s="194"/>
      <c r="L43" s="3">
        <f>ROUND(F43*J43,0)</f>
        <v>1202</v>
      </c>
      <c r="M43" s="3"/>
      <c r="N43" s="4">
        <f>ROUND((L43/L$57)*100,1)</f>
        <v>0.1</v>
      </c>
      <c r="O43" s="1"/>
      <c r="P43" s="159"/>
      <c r="Q43" s="1"/>
      <c r="R43" s="3">
        <f>L43+P43</f>
        <v>1202</v>
      </c>
    </row>
    <row r="44" spans="1:40" x14ac:dyDescent="0.3">
      <c r="C44" s="42"/>
      <c r="F44" s="184"/>
      <c r="G44" s="1"/>
      <c r="H44" s="222"/>
      <c r="I44" s="195"/>
      <c r="J44" s="193"/>
      <c r="K44" s="194"/>
      <c r="L44" s="3"/>
      <c r="M44" s="3"/>
      <c r="N44" s="1"/>
      <c r="O44" s="1"/>
      <c r="P44" s="1"/>
      <c r="Q44" s="1"/>
      <c r="R44" s="3"/>
    </row>
    <row r="45" spans="1:40" x14ac:dyDescent="0.3">
      <c r="A45" s="41">
        <v>16</v>
      </c>
      <c r="C45" s="41" t="s">
        <v>375</v>
      </c>
      <c r="F45" s="184"/>
      <c r="G45" s="1"/>
      <c r="H45" s="222"/>
      <c r="I45" s="195"/>
      <c r="J45" s="222"/>
      <c r="K45" s="195"/>
      <c r="L45" s="1"/>
      <c r="M45" s="1"/>
      <c r="N45" s="1"/>
      <c r="O45" s="1"/>
      <c r="P45" s="1"/>
      <c r="Q45" s="1"/>
      <c r="R45" s="3"/>
      <c r="S45" s="123"/>
      <c r="T45" s="42"/>
      <c r="V45" s="123"/>
      <c r="Y45" s="123"/>
      <c r="Z45" s="193"/>
      <c r="AA45" s="123"/>
      <c r="AB45" s="123"/>
      <c r="AC45" s="160"/>
      <c r="AD45" s="160"/>
      <c r="AE45" s="123"/>
      <c r="AF45" s="123"/>
      <c r="AH45" s="160"/>
      <c r="AI45" s="123"/>
      <c r="AJ45" s="123"/>
      <c r="AL45" s="123"/>
      <c r="AM45" s="160"/>
      <c r="AN45" s="160"/>
    </row>
    <row r="46" spans="1:40" x14ac:dyDescent="0.3">
      <c r="A46" s="41">
        <v>17</v>
      </c>
      <c r="C46" s="45" t="s">
        <v>200</v>
      </c>
      <c r="F46" s="184"/>
      <c r="G46" s="1"/>
      <c r="H46" s="184">
        <v>11644</v>
      </c>
      <c r="I46" s="195"/>
      <c r="J46" s="198">
        <f>INPUT!D106</f>
        <v>0.13300200000000001</v>
      </c>
      <c r="K46" s="195"/>
      <c r="L46" s="3">
        <f>ROUND((H46*J46),0)</f>
        <v>1549</v>
      </c>
      <c r="M46" s="1"/>
      <c r="N46" s="4">
        <f>ROUND((L46/L$57)*100,1)</f>
        <v>0.2</v>
      </c>
      <c r="O46" s="1"/>
      <c r="P46" s="159"/>
      <c r="Q46" s="1"/>
      <c r="R46" s="3">
        <f>L46+P46</f>
        <v>1549</v>
      </c>
      <c r="S46" s="123"/>
      <c r="T46" s="42"/>
      <c r="V46" s="123"/>
      <c r="Y46" s="123"/>
      <c r="Z46" s="193"/>
      <c r="AA46" s="123"/>
      <c r="AB46" s="123"/>
      <c r="AC46" s="160"/>
      <c r="AD46" s="160"/>
      <c r="AE46" s="123"/>
      <c r="AF46" s="123"/>
      <c r="AH46" s="160"/>
      <c r="AI46" s="123"/>
      <c r="AJ46" s="123"/>
      <c r="AL46" s="123"/>
      <c r="AM46" s="160"/>
      <c r="AN46" s="160"/>
    </row>
    <row r="47" spans="1:40" x14ac:dyDescent="0.3">
      <c r="A47" s="41">
        <v>18</v>
      </c>
      <c r="C47" s="45" t="s">
        <v>201</v>
      </c>
      <c r="F47" s="197"/>
      <c r="G47" s="1"/>
      <c r="H47" s="197">
        <v>5911099</v>
      </c>
      <c r="I47" s="159"/>
      <c r="J47" s="198">
        <f>INPUT!D107</f>
        <v>0.151647</v>
      </c>
      <c r="K47" s="199"/>
      <c r="L47" s="49">
        <f>ROUND((H47*J47),0)</f>
        <v>896400</v>
      </c>
      <c r="M47" s="3"/>
      <c r="N47" s="253">
        <f>ROUND((L47/L$57)*100,1)</f>
        <v>95.5</v>
      </c>
      <c r="O47" s="4"/>
      <c r="P47" s="196"/>
      <c r="Q47" s="159"/>
      <c r="R47" s="49">
        <f>L47+P47</f>
        <v>896400</v>
      </c>
      <c r="S47" s="123"/>
      <c r="V47" s="210"/>
      <c r="Y47" s="123"/>
      <c r="Z47" s="184"/>
      <c r="AA47" s="123"/>
      <c r="AB47" s="123"/>
      <c r="AC47" s="160"/>
      <c r="AD47" s="160"/>
      <c r="AE47" s="123"/>
      <c r="AF47" s="123"/>
      <c r="AI47" s="123"/>
      <c r="AJ47" s="123"/>
      <c r="AL47" s="123"/>
    </row>
    <row r="48" spans="1:40" ht="20.100000000000001" customHeight="1" x14ac:dyDescent="0.3">
      <c r="A48" s="41">
        <v>19</v>
      </c>
      <c r="C48" s="178" t="s">
        <v>448</v>
      </c>
      <c r="F48" s="262">
        <f>SUM(F43:F47)</f>
        <v>275</v>
      </c>
      <c r="G48" s="1"/>
      <c r="H48" s="262">
        <f>SUM(H46:H47)</f>
        <v>5922743</v>
      </c>
      <c r="I48" s="159"/>
      <c r="J48" s="198"/>
      <c r="K48" s="199"/>
      <c r="L48" s="145">
        <f>SUM(L43:L47)</f>
        <v>899151</v>
      </c>
      <c r="M48" s="3"/>
      <c r="N48" s="211">
        <f>ROUND((L48/L$57)*100,1)</f>
        <v>95.8</v>
      </c>
      <c r="O48" s="4"/>
      <c r="P48" s="262"/>
      <c r="Q48" s="159"/>
      <c r="R48" s="145">
        <f>SUM(R43:R47)</f>
        <v>899151</v>
      </c>
      <c r="S48" s="123"/>
      <c r="V48" s="210"/>
      <c r="Y48" s="123"/>
      <c r="Z48" s="184"/>
      <c r="AA48" s="123"/>
      <c r="AB48" s="123"/>
      <c r="AC48" s="160"/>
      <c r="AD48" s="160"/>
      <c r="AE48" s="123"/>
      <c r="AF48" s="123"/>
      <c r="AI48" s="123"/>
      <c r="AJ48" s="123"/>
      <c r="AL48" s="123"/>
    </row>
    <row r="49" spans="1:40" x14ac:dyDescent="0.3">
      <c r="C49" s="42"/>
      <c r="F49" s="184"/>
      <c r="G49" s="1"/>
      <c r="H49" s="184"/>
      <c r="I49" s="159"/>
      <c r="J49" s="198"/>
      <c r="K49" s="199"/>
      <c r="L49" s="3"/>
      <c r="M49" s="3"/>
      <c r="N49" s="4"/>
      <c r="O49" s="4"/>
      <c r="P49" s="159"/>
      <c r="Q49" s="159"/>
      <c r="R49" s="3"/>
      <c r="S49" s="123"/>
      <c r="V49" s="210"/>
      <c r="Y49" s="123"/>
      <c r="Z49" s="184"/>
      <c r="AA49" s="123"/>
      <c r="AB49" s="123"/>
      <c r="AC49" s="160"/>
      <c r="AD49" s="160"/>
      <c r="AE49" s="123"/>
      <c r="AF49" s="123"/>
      <c r="AI49" s="123"/>
      <c r="AJ49" s="123"/>
      <c r="AL49" s="123"/>
    </row>
    <row r="50" spans="1:40" x14ac:dyDescent="0.3">
      <c r="A50" s="41">
        <v>20</v>
      </c>
      <c r="C50" s="132" t="s">
        <v>432</v>
      </c>
      <c r="F50" s="184"/>
      <c r="G50" s="1"/>
      <c r="H50" s="184"/>
      <c r="I50" s="159"/>
      <c r="J50" s="198"/>
      <c r="K50" s="199"/>
      <c r="L50" s="3"/>
      <c r="M50" s="3"/>
      <c r="N50" s="4"/>
      <c r="O50" s="4"/>
      <c r="P50" s="159"/>
      <c r="Q50" s="159"/>
      <c r="R50" s="3"/>
      <c r="S50" s="123"/>
      <c r="V50" s="210"/>
      <c r="Y50" s="123"/>
      <c r="Z50" s="184"/>
      <c r="AA50" s="123"/>
      <c r="AB50" s="123"/>
      <c r="AC50" s="160"/>
      <c r="AD50" s="160"/>
      <c r="AE50" s="123"/>
      <c r="AF50" s="123"/>
      <c r="AI50" s="123"/>
      <c r="AJ50" s="123"/>
      <c r="AL50" s="123"/>
    </row>
    <row r="51" spans="1:40" x14ac:dyDescent="0.3">
      <c r="A51" s="41">
        <v>21</v>
      </c>
      <c r="C51" s="192" t="str">
        <f>DSMR_Name</f>
        <v>DEMAND SIDE MANAGEMENT RIDER (DSMR)</v>
      </c>
      <c r="F51" s="184"/>
      <c r="G51" s="1"/>
      <c r="H51" s="184"/>
      <c r="I51" s="159"/>
      <c r="J51" s="217">
        <f>PRO_DSM_DIST</f>
        <v>3.503E-3</v>
      </c>
      <c r="K51" s="199"/>
      <c r="L51" s="3">
        <f>ROUND($H$48*J51,0)</f>
        <v>20747</v>
      </c>
      <c r="M51" s="3"/>
      <c r="N51" s="175">
        <f>ROUND((L51/L$57)*100,1)-0.1</f>
        <v>2.1</v>
      </c>
      <c r="O51" s="4"/>
      <c r="P51" s="159"/>
      <c r="Q51" s="159"/>
      <c r="R51" s="3">
        <f>L51+P51</f>
        <v>20747</v>
      </c>
      <c r="S51" s="123"/>
      <c r="V51" s="210"/>
      <c r="Y51" s="123"/>
      <c r="Z51" s="184"/>
      <c r="AA51" s="123"/>
      <c r="AB51" s="123"/>
      <c r="AC51" s="160"/>
      <c r="AD51" s="160"/>
      <c r="AE51" s="123"/>
      <c r="AF51" s="123"/>
      <c r="AI51" s="123"/>
      <c r="AJ51" s="123"/>
      <c r="AL51" s="123"/>
    </row>
    <row r="52" spans="1:40" x14ac:dyDescent="0.3">
      <c r="A52" s="41">
        <v>22</v>
      </c>
      <c r="C52" s="192" t="str">
        <f>ESM_Name</f>
        <v>ENVIRONMENTAL SURCHARGE MECHANISM RIDER (ESM)</v>
      </c>
      <c r="F52" s="184"/>
      <c r="G52" s="1"/>
      <c r="H52" s="184"/>
      <c r="I52" s="159"/>
      <c r="J52" s="201">
        <f>PRO_ESM_NONRES</f>
        <v>5.7995821086186533E-3</v>
      </c>
      <c r="K52" s="199"/>
      <c r="L52" s="3">
        <f>ROUND((R48-(PRO_BASE_FUEL*H48)+R51+R54)*J52,0)</f>
        <v>4260</v>
      </c>
      <c r="M52" s="3"/>
      <c r="N52" s="175">
        <f>ROUND((L52/L$57)*100,1)</f>
        <v>0.5</v>
      </c>
      <c r="O52" s="4"/>
      <c r="P52" s="159"/>
      <c r="Q52" s="159"/>
      <c r="R52" s="3">
        <f>L52+P52</f>
        <v>4260</v>
      </c>
      <c r="S52" s="123"/>
      <c r="V52" s="210"/>
      <c r="Y52" s="123"/>
      <c r="Z52" s="184"/>
      <c r="AA52" s="123"/>
      <c r="AB52" s="123"/>
      <c r="AC52" s="160"/>
      <c r="AD52" s="160"/>
      <c r="AE52" s="123"/>
      <c r="AF52" s="123"/>
      <c r="AI52" s="123"/>
      <c r="AJ52" s="123"/>
      <c r="AL52" s="123"/>
    </row>
    <row r="53" spans="1:40" x14ac:dyDescent="0.3">
      <c r="A53" s="41">
        <v>23</v>
      </c>
      <c r="C53" s="192" t="str">
        <f>FAC_Name</f>
        <v>FUEL ADJUSTMENT CLAUSE (FAC)</v>
      </c>
      <c r="F53" s="184"/>
      <c r="G53" s="1"/>
      <c r="H53" s="184"/>
      <c r="I53" s="159"/>
      <c r="J53" s="217">
        <f>PRO_FAC</f>
        <v>3.4872127999999998E-3</v>
      </c>
      <c r="K53" s="199"/>
      <c r="L53" s="3"/>
      <c r="M53" s="3"/>
      <c r="N53" s="175"/>
      <c r="O53" s="4"/>
      <c r="P53" s="159">
        <f>ROUND(H48*PRO_FAC,0)</f>
        <v>20654</v>
      </c>
      <c r="Q53" s="159"/>
      <c r="R53" s="3">
        <f>L53+P53</f>
        <v>20654</v>
      </c>
      <c r="S53" s="123"/>
      <c r="V53" s="210"/>
      <c r="Y53" s="123"/>
      <c r="Z53" s="184"/>
      <c r="AA53" s="123"/>
      <c r="AB53" s="123"/>
      <c r="AC53" s="160"/>
      <c r="AD53" s="160"/>
      <c r="AE53" s="123"/>
      <c r="AF53" s="123"/>
      <c r="AI53" s="123"/>
      <c r="AJ53" s="123"/>
      <c r="AL53" s="123"/>
    </row>
    <row r="54" spans="1:40" x14ac:dyDescent="0.3">
      <c r="A54" s="41">
        <v>24</v>
      </c>
      <c r="C54" s="192" t="str">
        <f>PSM_Name</f>
        <v>PROFIT SHARING MECHANISM (PSM)</v>
      </c>
      <c r="F54" s="184"/>
      <c r="G54" s="1"/>
      <c r="H54" s="184"/>
      <c r="I54" s="159"/>
      <c r="J54" s="217">
        <f>PRO_PSM</f>
        <v>2.4750000000000002E-3</v>
      </c>
      <c r="K54" s="199"/>
      <c r="L54" s="3">
        <f>ROUND($H$48*J54,0)</f>
        <v>14659</v>
      </c>
      <c r="M54" s="3"/>
      <c r="N54" s="177">
        <f>ROUND((L54/L$57)*100,1)</f>
        <v>1.6</v>
      </c>
      <c r="O54" s="4"/>
      <c r="P54" s="196"/>
      <c r="Q54" s="159"/>
      <c r="R54" s="49">
        <f>L54+P54</f>
        <v>14659</v>
      </c>
      <c r="S54" s="123"/>
      <c r="V54" s="210"/>
      <c r="Y54" s="123"/>
      <c r="Z54" s="184"/>
      <c r="AA54" s="123"/>
      <c r="AB54" s="123"/>
      <c r="AC54" s="160"/>
      <c r="AD54" s="160"/>
      <c r="AE54" s="123"/>
      <c r="AF54" s="123"/>
      <c r="AI54" s="123"/>
      <c r="AJ54" s="123"/>
      <c r="AL54" s="123"/>
    </row>
    <row r="55" spans="1:40" ht="20.100000000000001" customHeight="1" x14ac:dyDescent="0.3">
      <c r="A55" s="41">
        <v>25</v>
      </c>
      <c r="C55" s="132" t="s">
        <v>437</v>
      </c>
      <c r="F55" s="197"/>
      <c r="G55" s="1"/>
      <c r="H55" s="197"/>
      <c r="I55" s="159"/>
      <c r="J55" s="200"/>
      <c r="K55" s="199"/>
      <c r="L55" s="145">
        <f>SUM(L51:L54)</f>
        <v>39666</v>
      </c>
      <c r="M55" s="3"/>
      <c r="N55" s="180">
        <f>ROUND((L55/L$57)*100,1)</f>
        <v>4.2</v>
      </c>
      <c r="O55" s="4"/>
      <c r="P55" s="145">
        <f>SUM(P51:P54)</f>
        <v>20654</v>
      </c>
      <c r="Q55" s="159"/>
      <c r="R55" s="145">
        <f>SUM(R51:R54)</f>
        <v>60320</v>
      </c>
      <c r="S55" s="123"/>
      <c r="V55" s="210"/>
      <c r="Y55" s="123"/>
      <c r="Z55" s="184"/>
      <c r="AA55" s="123"/>
      <c r="AB55" s="123"/>
      <c r="AC55" s="160"/>
      <c r="AD55" s="160"/>
      <c r="AE55" s="123"/>
      <c r="AF55" s="123"/>
      <c r="AI55" s="123"/>
      <c r="AJ55" s="123"/>
      <c r="AL55" s="123"/>
    </row>
    <row r="56" spans="1:40" x14ac:dyDescent="0.3">
      <c r="C56" s="45"/>
      <c r="F56" s="184"/>
      <c r="G56" s="1"/>
      <c r="H56" s="184"/>
      <c r="I56" s="159"/>
      <c r="J56" s="200"/>
      <c r="K56" s="199"/>
      <c r="L56" s="3"/>
      <c r="M56" s="3"/>
      <c r="N56" s="4"/>
      <c r="O56" s="4"/>
      <c r="P56" s="159"/>
      <c r="Q56" s="159"/>
      <c r="R56" s="3"/>
      <c r="S56" s="123"/>
      <c r="V56" s="210"/>
      <c r="Y56" s="123"/>
      <c r="Z56" s="184"/>
      <c r="AA56" s="123"/>
      <c r="AB56" s="123"/>
      <c r="AC56" s="160"/>
      <c r="AD56" s="160"/>
      <c r="AE56" s="123"/>
      <c r="AF56" s="123"/>
      <c r="AI56" s="123"/>
      <c r="AJ56" s="123"/>
      <c r="AL56" s="123"/>
    </row>
    <row r="57" spans="1:40" ht="20.100000000000001" customHeight="1" thickBot="1" x14ac:dyDescent="0.35">
      <c r="A57" s="41">
        <v>26</v>
      </c>
      <c r="C57" s="132" t="s">
        <v>449</v>
      </c>
      <c r="E57" s="42"/>
      <c r="F57" s="151">
        <f>SUM(F43:F47)</f>
        <v>275</v>
      </c>
      <c r="G57" s="1"/>
      <c r="H57" s="151">
        <f>SUM(H43:H47)</f>
        <v>5922743</v>
      </c>
      <c r="I57" s="3"/>
      <c r="J57" s="7"/>
      <c r="K57" s="7"/>
      <c r="L57" s="151">
        <f>L48+L55</f>
        <v>938817</v>
      </c>
      <c r="M57" s="3"/>
      <c r="N57" s="218">
        <v>100</v>
      </c>
      <c r="O57" s="4"/>
      <c r="P57" s="151">
        <f>P48+P55</f>
        <v>20654</v>
      </c>
      <c r="Q57" s="3"/>
      <c r="R57" s="151">
        <f>R48+R55</f>
        <v>959471</v>
      </c>
      <c r="S57" s="123"/>
      <c r="V57" s="210"/>
      <c r="Y57" s="210"/>
      <c r="Z57" s="213"/>
      <c r="AA57" s="210"/>
      <c r="AB57" s="210"/>
      <c r="AC57" s="210"/>
      <c r="AD57" s="210"/>
      <c r="AE57" s="210"/>
      <c r="AF57" s="210"/>
      <c r="AI57" s="210"/>
      <c r="AJ57" s="210"/>
      <c r="AK57" s="214"/>
      <c r="AL57" s="210"/>
      <c r="AM57" s="160"/>
      <c r="AN57" s="160"/>
    </row>
    <row r="58" spans="1:40" ht="16.2" thickTop="1" x14ac:dyDescent="0.3"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3"/>
      <c r="S58" s="123"/>
      <c r="V58" s="184"/>
      <c r="Y58" s="184"/>
      <c r="Z58" s="213"/>
      <c r="AA58" s="123"/>
      <c r="AB58" s="123"/>
      <c r="AC58" s="160"/>
      <c r="AD58" s="160"/>
      <c r="AE58" s="123"/>
      <c r="AF58" s="123"/>
      <c r="AI58" s="123"/>
      <c r="AJ58" s="123"/>
      <c r="AL58" s="123"/>
      <c r="AM58" s="160"/>
      <c r="AN58" s="160"/>
    </row>
    <row r="59" spans="1:40" x14ac:dyDescent="0.3">
      <c r="C59" s="202" t="s">
        <v>59</v>
      </c>
      <c r="F59" s="123"/>
      <c r="H59" s="123"/>
      <c r="I59" s="123"/>
      <c r="J59" s="219"/>
      <c r="K59" s="219"/>
      <c r="L59" s="123"/>
      <c r="M59" s="123"/>
      <c r="N59" s="123"/>
      <c r="O59" s="123"/>
      <c r="P59" s="123"/>
      <c r="Q59" s="123"/>
      <c r="R59" s="123"/>
    </row>
    <row r="60" spans="1:40" x14ac:dyDescent="0.3">
      <c r="C60" s="202" t="str">
        <f>"(2) REFLECTS FUEL COMPONENT OF "&amp;TEXT(PRO_FAC,"$0.000000;($0.000000)")&amp;"  PER KWH."</f>
        <v>(2) REFLECTS FUEL COMPONENT OF $0.003487  PER KWH.</v>
      </c>
      <c r="F60" s="123"/>
      <c r="H60" s="123"/>
      <c r="I60" s="123"/>
      <c r="J60" s="219"/>
      <c r="K60" s="219"/>
      <c r="L60" s="123"/>
      <c r="M60" s="123"/>
      <c r="N60" s="123"/>
      <c r="O60" s="123"/>
      <c r="P60" s="123"/>
      <c r="Q60" s="123"/>
      <c r="R60" s="123"/>
    </row>
    <row r="61" spans="1:40" x14ac:dyDescent="0.3">
      <c r="C61" s="202" t="str">
        <f>"(3) REFLECTS FUEL COST RECOVERY INCLUDED IN BASE RATES OF "&amp;TEXT(PRO_BASE_FUEL,"$0.000000;($0.000000)")&amp;"  PER KWH."</f>
        <v>(3) REFLECTS FUEL COST RECOVERY INCLUDED IN BASE RATES OF $0.033780  PER KWH.</v>
      </c>
      <c r="F61" s="123"/>
      <c r="H61" s="123"/>
      <c r="I61" s="123"/>
      <c r="J61" s="219"/>
      <c r="K61" s="219"/>
      <c r="L61" s="123"/>
      <c r="M61" s="123"/>
      <c r="N61" s="123"/>
      <c r="O61" s="123"/>
      <c r="P61" s="123"/>
      <c r="Q61" s="123"/>
      <c r="R61" s="123"/>
    </row>
    <row r="62" spans="1:40" x14ac:dyDescent="0.3">
      <c r="C62" s="264" t="s">
        <v>390</v>
      </c>
    </row>
    <row r="63" spans="1:40" x14ac:dyDescent="0.3">
      <c r="A63" s="44"/>
      <c r="C63" s="44"/>
      <c r="D63" s="44"/>
      <c r="E63" s="44"/>
      <c r="F63" s="44"/>
      <c r="J63" s="44"/>
      <c r="K63" s="44"/>
      <c r="L63" s="44"/>
      <c r="M63" s="44"/>
      <c r="N63" s="44"/>
      <c r="O63" s="44"/>
      <c r="P63" s="44"/>
      <c r="Q63" s="44"/>
      <c r="R63" s="44"/>
    </row>
    <row r="64" spans="1:40" x14ac:dyDescent="0.3">
      <c r="A64" s="44"/>
      <c r="C64" s="44"/>
      <c r="D64" s="44"/>
      <c r="E64" s="44"/>
      <c r="F64"/>
      <c r="G64"/>
      <c r="H64"/>
      <c r="J64" s="44"/>
      <c r="K64" s="44"/>
      <c r="L64" s="44"/>
      <c r="M64" s="44"/>
      <c r="N64" s="44"/>
      <c r="O64" s="44"/>
      <c r="P64" s="44"/>
      <c r="Q64" s="44"/>
      <c r="R64" s="44"/>
    </row>
    <row r="65" spans="1:76" x14ac:dyDescent="0.3">
      <c r="A65" s="44"/>
      <c r="C65" s="44"/>
      <c r="D65" s="44"/>
      <c r="E65" s="44"/>
      <c r="F65"/>
      <c r="G65"/>
      <c r="H65"/>
      <c r="I65" s="44"/>
      <c r="J65" s="44"/>
      <c r="K65" s="44"/>
      <c r="L65" s="44"/>
      <c r="M65" s="44"/>
      <c r="N65" s="44"/>
      <c r="O65" s="44"/>
      <c r="P65" s="44"/>
      <c r="Q65" s="44"/>
      <c r="R65" s="44"/>
      <c r="T65" s="40" t="str">
        <f>NAME</f>
        <v>DUKE ENERGY KENTUCKY, INC.</v>
      </c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166"/>
      <c r="AH65" s="40"/>
      <c r="AI65" s="40"/>
      <c r="AJ65" s="40"/>
      <c r="AK65" s="166"/>
      <c r="AL65" s="40"/>
      <c r="AM65" s="40"/>
      <c r="AN65" s="40"/>
      <c r="AO65" s="40"/>
      <c r="AP65" s="40"/>
      <c r="AQ65" s="166"/>
    </row>
    <row r="66" spans="1:76" x14ac:dyDescent="0.3">
      <c r="A66" s="44"/>
      <c r="C66" s="44"/>
      <c r="D66" s="44"/>
      <c r="E66" s="44"/>
      <c r="F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T66" s="40" t="str">
        <f>CASE_NO</f>
        <v>CASE NO.   2024-00354</v>
      </c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166"/>
      <c r="AH66" s="40"/>
      <c r="AI66" s="40"/>
      <c r="AJ66" s="40"/>
      <c r="AK66" s="166"/>
      <c r="AL66" s="40"/>
      <c r="AM66" s="40"/>
      <c r="AN66" s="40"/>
      <c r="AO66" s="40"/>
      <c r="AP66" s="40"/>
      <c r="AQ66" s="166"/>
    </row>
    <row r="67" spans="1:76" x14ac:dyDescent="0.3">
      <c r="C67" s="44"/>
      <c r="D67" s="44"/>
      <c r="E67" s="44"/>
      <c r="F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T67" s="40" t="str">
        <f>TITLE</f>
        <v>ANNUALIZED TEST YEAR REVENUES AT REHEARING ORDER CALCULATED VS. MOST CURRENT RATES</v>
      </c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166"/>
      <c r="AH67" s="40"/>
      <c r="AI67" s="40"/>
      <c r="AJ67" s="40"/>
      <c r="AK67" s="166"/>
      <c r="AL67" s="40"/>
      <c r="AM67" s="40"/>
      <c r="AN67" s="40"/>
      <c r="AO67" s="40"/>
      <c r="AP67" s="40"/>
      <c r="AQ67" s="166"/>
    </row>
    <row r="68" spans="1:76" x14ac:dyDescent="0.3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T68" s="40" t="str">
        <f>DATE</f>
        <v>FOR THE TWELVE MONTHS ENDED June 30, 2026</v>
      </c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166"/>
      <c r="AH68" s="40"/>
      <c r="AI68" s="40"/>
      <c r="AJ68" s="40"/>
      <c r="AK68" s="166"/>
      <c r="AL68" s="40"/>
      <c r="AM68" s="40"/>
      <c r="AN68" s="40"/>
      <c r="AO68" s="40"/>
      <c r="AP68" s="40"/>
      <c r="AQ68" s="166"/>
    </row>
    <row r="69" spans="1:76" x14ac:dyDescent="0.3"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T69" s="40" t="str">
        <f>SERVICE</f>
        <v>(ELECTRIC SERVICE)</v>
      </c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166"/>
      <c r="AH69" s="40"/>
      <c r="AI69" s="40"/>
      <c r="AJ69" s="40"/>
      <c r="AK69" s="166"/>
      <c r="AL69" s="40"/>
      <c r="AM69" s="40"/>
      <c r="AN69" s="40"/>
      <c r="AO69" s="40"/>
      <c r="AP69" s="40"/>
      <c r="AQ69" s="166"/>
    </row>
    <row r="70" spans="1:76" x14ac:dyDescent="0.3">
      <c r="C70" s="42"/>
      <c r="D70" s="42"/>
      <c r="E70" s="42"/>
      <c r="T70" s="41" t="str">
        <f>DATA_PERIOD</f>
        <v>DATA: ____ BASE PERIOD   __X__FORECASTED PERIOD</v>
      </c>
      <c r="AO70" s="42" t="s">
        <v>158</v>
      </c>
      <c r="AP70" s="42"/>
    </row>
    <row r="71" spans="1:76" x14ac:dyDescent="0.3">
      <c r="D71" s="42"/>
      <c r="E71" s="42"/>
      <c r="T71" s="41" t="str">
        <f>TYPE</f>
        <v>TYPE OF FILING: _X_ ORIGINAL   ___UPDATED  ___ REVISED</v>
      </c>
      <c r="AO71" s="45" t="str">
        <f>"PAGE 7 OF "&amp;TEXT(Page_Num_2.2,"00")</f>
        <v>PAGE 7 OF 24</v>
      </c>
      <c r="AP71" s="42"/>
    </row>
    <row r="72" spans="1:76" x14ac:dyDescent="0.3">
      <c r="T72" s="42" t="s">
        <v>171</v>
      </c>
      <c r="AO72" s="42" t="s">
        <v>3</v>
      </c>
      <c r="AP72" s="42"/>
    </row>
    <row r="73" spans="1:76" x14ac:dyDescent="0.3">
      <c r="C73" s="42"/>
      <c r="T73" s="132" t="str">
        <f>TIME</f>
        <v>12 Months Projected with Riders</v>
      </c>
      <c r="AO73" s="41" t="str">
        <f>WIT</f>
        <v>B. L. Sailers</v>
      </c>
    </row>
    <row r="74" spans="1:76" x14ac:dyDescent="0.3">
      <c r="C74" s="42"/>
      <c r="T74" s="132" t="str">
        <f>INPUT!B5</f>
        <v xml:space="preserve"> </v>
      </c>
    </row>
    <row r="75" spans="1:76" x14ac:dyDescent="0.3">
      <c r="C75" s="42"/>
      <c r="F75" s="184"/>
      <c r="H75" s="184"/>
      <c r="I75" s="184"/>
      <c r="J75" s="193"/>
      <c r="K75" s="193"/>
      <c r="L75" s="123"/>
      <c r="M75" s="123"/>
      <c r="N75" s="160"/>
      <c r="O75" s="160"/>
      <c r="R75" s="123"/>
      <c r="T75" s="40" t="s">
        <v>131</v>
      </c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166"/>
      <c r="AH75" s="40"/>
      <c r="AI75" s="40"/>
      <c r="AJ75" s="40"/>
      <c r="AK75" s="166"/>
      <c r="AL75" s="40"/>
      <c r="AM75" s="40"/>
      <c r="AN75" s="40"/>
      <c r="AO75" s="40"/>
      <c r="AP75" s="40"/>
      <c r="AQ75" s="166"/>
    </row>
    <row r="76" spans="1:76" x14ac:dyDescent="0.3">
      <c r="C76" s="42"/>
      <c r="F76" s="184"/>
      <c r="H76" s="184"/>
      <c r="I76" s="184"/>
      <c r="J76" s="193"/>
      <c r="K76" s="193"/>
      <c r="L76" s="123"/>
      <c r="M76" s="123"/>
      <c r="N76" s="160"/>
      <c r="O76" s="160"/>
      <c r="R76" s="12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167"/>
      <c r="AH76" s="43"/>
      <c r="AI76" s="43"/>
      <c r="AJ76" s="43"/>
      <c r="AK76" s="167"/>
      <c r="AL76" s="43"/>
      <c r="AM76" s="43"/>
      <c r="AN76" s="43"/>
      <c r="AO76" s="43"/>
      <c r="AP76" s="43"/>
      <c r="AQ76" s="167"/>
    </row>
    <row r="77" spans="1:76" ht="18" customHeight="1" x14ac:dyDescent="0.3">
      <c r="F77" s="210"/>
      <c r="H77" s="123"/>
      <c r="I77" s="123"/>
      <c r="J77" s="213"/>
      <c r="K77" s="213"/>
      <c r="L77" s="210"/>
      <c r="M77" s="210"/>
      <c r="N77" s="210"/>
      <c r="O77" s="210"/>
      <c r="P77" s="210"/>
      <c r="Q77" s="210"/>
      <c r="R77" s="210"/>
      <c r="AE77" s="44" t="s">
        <v>8</v>
      </c>
      <c r="AF77" s="44"/>
      <c r="AG77" s="168" t="s">
        <v>7</v>
      </c>
      <c r="AH77" s="44"/>
      <c r="AI77" s="44" t="s">
        <v>9</v>
      </c>
      <c r="AJ77" s="44"/>
      <c r="AK77" s="168" t="s">
        <v>10</v>
      </c>
      <c r="AL77" s="44"/>
      <c r="AO77" s="44" t="s">
        <v>8</v>
      </c>
      <c r="AP77" s="44"/>
      <c r="AQ77" s="168" t="s">
        <v>11</v>
      </c>
    </row>
    <row r="78" spans="1:76" x14ac:dyDescent="0.3">
      <c r="C78" s="42"/>
      <c r="F78" s="123"/>
      <c r="H78" s="123"/>
      <c r="I78" s="123"/>
      <c r="J78" s="213"/>
      <c r="K78" s="213"/>
      <c r="L78" s="123"/>
      <c r="M78" s="123"/>
      <c r="N78" s="160"/>
      <c r="O78" s="160"/>
      <c r="P78" s="123"/>
      <c r="Q78" s="123"/>
      <c r="R78" s="123"/>
      <c r="AC78" s="44" t="s">
        <v>14</v>
      </c>
      <c r="AD78" s="44"/>
      <c r="AE78" s="44" t="s">
        <v>12</v>
      </c>
      <c r="AF78" s="44"/>
      <c r="AG78" s="168" t="s">
        <v>13</v>
      </c>
      <c r="AH78" s="44"/>
      <c r="AI78" s="44" t="s">
        <v>15</v>
      </c>
      <c r="AJ78" s="44"/>
      <c r="AK78" s="168" t="s">
        <v>16</v>
      </c>
      <c r="AL78" s="44"/>
      <c r="AO78" s="44" t="s">
        <v>11</v>
      </c>
      <c r="AP78" s="44"/>
      <c r="AQ78" s="168" t="s">
        <v>9</v>
      </c>
    </row>
    <row r="79" spans="1:76" x14ac:dyDescent="0.3">
      <c r="F79" s="210"/>
      <c r="H79" s="123"/>
      <c r="I79" s="123"/>
      <c r="J79" s="213"/>
      <c r="K79" s="213"/>
      <c r="L79" s="210"/>
      <c r="M79" s="210"/>
      <c r="N79" s="210"/>
      <c r="O79" s="210"/>
      <c r="P79" s="210"/>
      <c r="Q79" s="210"/>
      <c r="R79" s="210"/>
      <c r="T79" s="44" t="s">
        <v>17</v>
      </c>
      <c r="V79" s="44" t="s">
        <v>18</v>
      </c>
      <c r="W79" s="44" t="s">
        <v>19</v>
      </c>
      <c r="X79" s="44"/>
      <c r="Y79" s="44" t="s">
        <v>20</v>
      </c>
      <c r="AC79" s="44" t="s">
        <v>8</v>
      </c>
      <c r="AD79" s="44"/>
      <c r="AE79" s="44" t="s">
        <v>842</v>
      </c>
      <c r="AF79" s="44"/>
      <c r="AG79" s="168" t="s">
        <v>842</v>
      </c>
      <c r="AH79" s="44"/>
      <c r="AI79" s="46" t="s">
        <v>965</v>
      </c>
      <c r="AJ79" s="44"/>
      <c r="AK79" s="169" t="s">
        <v>965</v>
      </c>
      <c r="AL79" s="44"/>
      <c r="AM79" s="44" t="s">
        <v>842</v>
      </c>
      <c r="AN79" s="44"/>
      <c r="AO79" s="44" t="s">
        <v>9</v>
      </c>
      <c r="AP79" s="44"/>
      <c r="AQ79" s="168" t="s">
        <v>21</v>
      </c>
      <c r="AS79" s="123"/>
      <c r="AT79" s="123"/>
      <c r="AU79" s="235"/>
    </row>
    <row r="80" spans="1:76" x14ac:dyDescent="0.3">
      <c r="F80" s="123"/>
      <c r="H80" s="123"/>
      <c r="I80" s="123"/>
      <c r="J80" s="213"/>
      <c r="K80" s="213"/>
      <c r="L80" s="123"/>
      <c r="M80" s="123"/>
      <c r="N80" s="160"/>
      <c r="O80" s="160"/>
      <c r="P80" s="123"/>
      <c r="Q80" s="123"/>
      <c r="R80" s="123"/>
      <c r="T80" s="44" t="s">
        <v>22</v>
      </c>
      <c r="V80" s="44" t="s">
        <v>23</v>
      </c>
      <c r="W80" s="44" t="s">
        <v>24</v>
      </c>
      <c r="X80" s="44"/>
      <c r="Y80" s="44" t="s">
        <v>25</v>
      </c>
      <c r="AA80" s="44" t="s">
        <v>26</v>
      </c>
      <c r="AB80" s="44"/>
      <c r="AC80" s="44" t="s">
        <v>27</v>
      </c>
      <c r="AD80" s="44"/>
      <c r="AE80" s="44" t="s">
        <v>9</v>
      </c>
      <c r="AF80" s="44"/>
      <c r="AG80" s="168" t="s">
        <v>9</v>
      </c>
      <c r="AH80" s="44"/>
      <c r="AI80" s="141" t="s">
        <v>29</v>
      </c>
      <c r="AJ80" s="141"/>
      <c r="AK80" s="170" t="s">
        <v>30</v>
      </c>
      <c r="AL80" s="44"/>
      <c r="AM80" s="44" t="s">
        <v>324</v>
      </c>
      <c r="AN80" s="44"/>
      <c r="AO80" s="141" t="s">
        <v>31</v>
      </c>
      <c r="AP80" s="141"/>
      <c r="AQ80" s="170" t="s">
        <v>32</v>
      </c>
      <c r="AS80" s="123"/>
      <c r="AT80" s="123"/>
      <c r="AU80" s="160"/>
      <c r="BX80" s="222"/>
    </row>
    <row r="81" spans="1:47" x14ac:dyDescent="0.3">
      <c r="C81" s="42"/>
      <c r="F81" s="184"/>
      <c r="H81" s="184"/>
      <c r="I81" s="184"/>
      <c r="J81" s="193"/>
      <c r="K81" s="193"/>
      <c r="L81" s="123"/>
      <c r="M81" s="123"/>
      <c r="N81" s="160"/>
      <c r="O81" s="160"/>
      <c r="P81" s="123"/>
      <c r="Q81" s="123"/>
      <c r="R81" s="123"/>
      <c r="V81" s="141" t="s">
        <v>33</v>
      </c>
      <c r="W81" s="141" t="s">
        <v>34</v>
      </c>
      <c r="X81" s="141"/>
      <c r="Y81" s="141" t="s">
        <v>35</v>
      </c>
      <c r="Z81" s="153"/>
      <c r="AA81" s="141" t="s">
        <v>36</v>
      </c>
      <c r="AB81" s="141"/>
      <c r="AC81" s="141" t="s">
        <v>42</v>
      </c>
      <c r="AD81" s="141"/>
      <c r="AE81" s="141" t="s">
        <v>43</v>
      </c>
      <c r="AF81" s="141"/>
      <c r="AG81" s="170" t="s">
        <v>44</v>
      </c>
      <c r="AH81" s="141"/>
      <c r="AI81" s="141" t="s">
        <v>45</v>
      </c>
      <c r="AJ81" s="141"/>
      <c r="AK81" s="170" t="s">
        <v>46</v>
      </c>
      <c r="AL81" s="141"/>
      <c r="AM81" s="141" t="s">
        <v>40</v>
      </c>
      <c r="AN81" s="141"/>
      <c r="AO81" s="141" t="s">
        <v>47</v>
      </c>
      <c r="AP81" s="141"/>
      <c r="AQ81" s="170" t="s">
        <v>48</v>
      </c>
      <c r="AS81" s="123"/>
      <c r="AT81" s="123"/>
      <c r="AU81" s="160"/>
    </row>
    <row r="82" spans="1:47" x14ac:dyDescent="0.3">
      <c r="F82" s="123"/>
      <c r="H82" s="210"/>
      <c r="I82" s="210"/>
      <c r="J82" s="213"/>
      <c r="K82" s="213"/>
      <c r="L82" s="210"/>
      <c r="M82" s="210"/>
      <c r="N82" s="210"/>
      <c r="O82" s="210"/>
      <c r="P82" s="210"/>
      <c r="Q82" s="210"/>
      <c r="R82" s="210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167"/>
      <c r="AH82" s="43"/>
      <c r="AI82" s="43"/>
      <c r="AJ82" s="43"/>
      <c r="AK82" s="167"/>
      <c r="AL82" s="43"/>
      <c r="AM82" s="43"/>
      <c r="AN82" s="43"/>
      <c r="AO82" s="43"/>
      <c r="AP82" s="43"/>
      <c r="AQ82" s="167"/>
      <c r="AS82" s="123"/>
      <c r="AT82" s="123"/>
      <c r="AU82" s="160"/>
    </row>
    <row r="83" spans="1:47" ht="17.100000000000001" customHeight="1" x14ac:dyDescent="0.3">
      <c r="C83" s="42"/>
      <c r="F83" s="123"/>
      <c r="H83" s="123"/>
      <c r="I83" s="123"/>
      <c r="J83" s="219"/>
      <c r="K83" s="219"/>
      <c r="L83" s="123"/>
      <c r="M83" s="123"/>
      <c r="N83" s="160"/>
      <c r="O83" s="160"/>
      <c r="P83" s="123"/>
      <c r="Q83" s="123"/>
      <c r="R83" s="123"/>
      <c r="AA83" s="171" t="s">
        <v>49</v>
      </c>
      <c r="AB83" s="171"/>
      <c r="AC83" s="172" t="s">
        <v>313</v>
      </c>
      <c r="AD83" s="171"/>
      <c r="AE83" s="171" t="s">
        <v>50</v>
      </c>
      <c r="AF83" s="171"/>
      <c r="AG83" s="173" t="s">
        <v>51</v>
      </c>
      <c r="AH83" s="171"/>
      <c r="AI83" s="171" t="s">
        <v>50</v>
      </c>
      <c r="AJ83" s="171"/>
      <c r="AK83" s="173" t="s">
        <v>51</v>
      </c>
      <c r="AL83" s="171"/>
      <c r="AM83" s="171" t="s">
        <v>50</v>
      </c>
      <c r="AN83" s="171"/>
      <c r="AO83" s="171" t="s">
        <v>50</v>
      </c>
      <c r="AP83" s="171"/>
      <c r="AQ83" s="173" t="s">
        <v>51</v>
      </c>
      <c r="AS83" s="123"/>
      <c r="AT83" s="123"/>
      <c r="AU83" s="235"/>
    </row>
    <row r="84" spans="1:47" x14ac:dyDescent="0.3">
      <c r="T84" s="41">
        <v>1</v>
      </c>
      <c r="V84" s="132" t="s">
        <v>95</v>
      </c>
      <c r="W84" s="132" t="s">
        <v>391</v>
      </c>
      <c r="X84" s="42"/>
      <c r="Y84" s="1"/>
      <c r="Z84" s="1"/>
      <c r="AA84" s="3"/>
      <c r="AB84" s="3"/>
      <c r="AC84" s="7"/>
      <c r="AD84" s="7"/>
      <c r="AE84" s="3"/>
      <c r="AF84" s="3"/>
      <c r="AG84" s="175"/>
      <c r="AH84" s="4"/>
      <c r="AI84" s="1"/>
      <c r="AJ84" s="1"/>
      <c r="AK84" s="175"/>
      <c r="AL84" s="1"/>
      <c r="AM84" s="1"/>
      <c r="AN84" s="1"/>
      <c r="AO84" s="1"/>
      <c r="AP84" s="1"/>
      <c r="AQ84" s="175"/>
      <c r="AR84" s="184"/>
    </row>
    <row r="85" spans="1:47" x14ac:dyDescent="0.3">
      <c r="L85" s="42"/>
      <c r="M85" s="42"/>
      <c r="Y85" s="1"/>
      <c r="Z85" s="1"/>
      <c r="AA85" s="3"/>
      <c r="AB85" s="3"/>
      <c r="AC85" s="7"/>
      <c r="AD85" s="7"/>
      <c r="AE85" s="3"/>
      <c r="AF85" s="3"/>
      <c r="AG85" s="175"/>
      <c r="AH85" s="4"/>
      <c r="AI85" s="1"/>
      <c r="AJ85" s="1"/>
      <c r="AK85" s="175"/>
      <c r="AL85" s="1"/>
      <c r="AM85" s="1"/>
      <c r="AN85" s="1"/>
      <c r="AO85" s="1"/>
      <c r="AP85" s="1"/>
      <c r="AQ85" s="175"/>
      <c r="AR85" s="184"/>
    </row>
    <row r="86" spans="1:47" ht="15.9" customHeight="1" x14ac:dyDescent="0.3">
      <c r="R86" s="42"/>
      <c r="T86" s="41">
        <v>2</v>
      </c>
      <c r="V86" s="45" t="s">
        <v>416</v>
      </c>
      <c r="Y86" s="3">
        <f>F23</f>
        <v>0</v>
      </c>
      <c r="Z86" s="1"/>
      <c r="AA86" s="3"/>
      <c r="AB86" s="3"/>
      <c r="AC86" s="263"/>
      <c r="AD86" s="263"/>
      <c r="AE86" s="3">
        <f>L23</f>
        <v>0</v>
      </c>
      <c r="AF86" s="3"/>
      <c r="AG86" s="175">
        <f>ROUND((AE86/AE$101)*100,1)</f>
        <v>0</v>
      </c>
      <c r="AH86" s="4"/>
      <c r="AI86" s="3">
        <f>L23-AE86</f>
        <v>0</v>
      </c>
      <c r="AJ86" s="3"/>
      <c r="AK86" s="175">
        <v>0</v>
      </c>
      <c r="AL86" s="6"/>
      <c r="AM86" s="3"/>
      <c r="AN86" s="3"/>
      <c r="AO86" s="3">
        <f>AE86+AM86</f>
        <v>0</v>
      </c>
      <c r="AP86" s="3"/>
      <c r="AQ86" s="181" t="str">
        <f>IF(AO86=0,"0.0 ",ROUND((AI86/AO86)*100,1))</f>
        <v xml:space="preserve">0.0 </v>
      </c>
      <c r="AR86" s="184"/>
    </row>
    <row r="87" spans="1:47" x14ac:dyDescent="0.3">
      <c r="R87" s="42"/>
      <c r="Y87" s="3"/>
      <c r="Z87" s="1"/>
      <c r="AA87" s="1"/>
      <c r="AB87" s="1"/>
      <c r="AC87" s="195"/>
      <c r="AD87" s="195"/>
      <c r="AE87" s="1"/>
      <c r="AF87" s="1"/>
      <c r="AG87" s="175"/>
      <c r="AH87" s="1"/>
      <c r="AI87" s="1"/>
      <c r="AJ87" s="1"/>
      <c r="AK87" s="175"/>
      <c r="AL87" s="1"/>
      <c r="AM87" s="1"/>
      <c r="AN87" s="1"/>
      <c r="AO87" s="1"/>
      <c r="AP87" s="1"/>
      <c r="AQ87" s="175"/>
      <c r="AR87" s="123"/>
    </row>
    <row r="88" spans="1:47" x14ac:dyDescent="0.3">
      <c r="A88" s="42"/>
      <c r="R88" s="42"/>
      <c r="T88" s="41">
        <v>3</v>
      </c>
      <c r="V88" s="45" t="s">
        <v>62</v>
      </c>
      <c r="Y88" s="3">
        <f>F25</f>
        <v>166</v>
      </c>
      <c r="Z88" s="1"/>
      <c r="AA88" s="3"/>
      <c r="AB88" s="3"/>
      <c r="AC88" s="193">
        <f>INPUT!C96</f>
        <v>15</v>
      </c>
      <c r="AD88" s="194"/>
      <c r="AE88" s="3">
        <f>ROUND(Y88*AC88,0)</f>
        <v>2490</v>
      </c>
      <c r="AF88" s="3"/>
      <c r="AG88" s="175">
        <f>ROUND((AE88/AE$101)*100,1)</f>
        <v>4.8</v>
      </c>
      <c r="AH88" s="4"/>
      <c r="AI88" s="3">
        <f>L25-AE88</f>
        <v>0</v>
      </c>
      <c r="AJ88" s="3"/>
      <c r="AK88" s="175">
        <f>ROUND((AI88/AE88)*100,1)</f>
        <v>0</v>
      </c>
      <c r="AL88" s="6"/>
      <c r="AM88" s="3"/>
      <c r="AN88" s="3"/>
      <c r="AO88" s="3">
        <f>AE88+AM88</f>
        <v>2490</v>
      </c>
      <c r="AP88" s="3"/>
      <c r="AQ88" s="181">
        <f>IF(AO88=0,"0.0 ",ROUND((AI88/AO88)*100,1))</f>
        <v>0</v>
      </c>
      <c r="AR88" s="123"/>
    </row>
    <row r="89" spans="1:47" x14ac:dyDescent="0.3">
      <c r="L89" s="42"/>
      <c r="M89" s="42"/>
      <c r="Y89" s="3"/>
      <c r="Z89" s="1"/>
      <c r="AA89" s="1"/>
      <c r="AB89" s="1"/>
      <c r="AC89" s="222"/>
      <c r="AD89" s="195"/>
      <c r="AE89" s="1"/>
      <c r="AF89" s="1"/>
      <c r="AG89" s="175"/>
      <c r="AH89" s="1"/>
      <c r="AI89" s="1"/>
      <c r="AJ89" s="1"/>
      <c r="AK89" s="175"/>
      <c r="AL89" s="1"/>
      <c r="AM89" s="1"/>
      <c r="AN89" s="1"/>
      <c r="AO89" s="1"/>
      <c r="AP89" s="1"/>
      <c r="AQ89" s="175"/>
      <c r="AR89" s="123"/>
    </row>
    <row r="90" spans="1:47" x14ac:dyDescent="0.3">
      <c r="L90" s="42"/>
      <c r="M90" s="42"/>
      <c r="T90" s="41">
        <v>4</v>
      </c>
      <c r="V90" s="41" t="s">
        <v>374</v>
      </c>
      <c r="Y90" s="3"/>
      <c r="Z90" s="1"/>
      <c r="AA90" s="1"/>
      <c r="AB90" s="1"/>
      <c r="AC90" s="222"/>
      <c r="AD90" s="195"/>
      <c r="AE90" s="1"/>
      <c r="AF90" s="1"/>
      <c r="AG90" s="175"/>
      <c r="AH90" s="1"/>
      <c r="AI90" s="1"/>
      <c r="AJ90" s="1"/>
      <c r="AK90" s="175"/>
      <c r="AL90" s="1"/>
      <c r="AM90" s="1"/>
      <c r="AN90" s="1"/>
      <c r="AO90" s="1"/>
      <c r="AP90" s="1"/>
      <c r="AQ90" s="175"/>
      <c r="AR90" s="123"/>
    </row>
    <row r="91" spans="1:47" x14ac:dyDescent="0.3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T91" s="41">
        <v>5</v>
      </c>
      <c r="V91" s="45" t="s">
        <v>85</v>
      </c>
      <c r="Y91" s="49"/>
      <c r="Z91" s="1"/>
      <c r="AA91" s="49">
        <f>H28</f>
        <v>327203</v>
      </c>
      <c r="AB91" s="3"/>
      <c r="AC91" s="198">
        <f>INPUT!C98</f>
        <v>0.14451900000000001</v>
      </c>
      <c r="AD91" s="204"/>
      <c r="AE91" s="49">
        <f>ROUND((AA91*AC91),0)</f>
        <v>47287</v>
      </c>
      <c r="AF91" s="3"/>
      <c r="AG91" s="177">
        <f>ROUND((AE91/AE$101)*100,1)-0.1</f>
        <v>90.800000000000011</v>
      </c>
      <c r="AH91" s="4"/>
      <c r="AI91" s="49">
        <f>L28-AE91</f>
        <v>7571</v>
      </c>
      <c r="AJ91" s="3"/>
      <c r="AK91" s="177">
        <f>ROUND((AI91/AE91)*100,1)</f>
        <v>16</v>
      </c>
      <c r="AL91" s="6"/>
      <c r="AM91" s="196"/>
      <c r="AN91" s="3"/>
      <c r="AO91" s="49">
        <f>AE91+AM91</f>
        <v>47287</v>
      </c>
      <c r="AP91" s="3"/>
      <c r="AQ91" s="223">
        <f>IF(AO91=0,"0.0 ",ROUND((AI91/AO91)*100,1))</f>
        <v>16</v>
      </c>
    </row>
    <row r="92" spans="1:47" ht="20.100000000000001" customHeight="1" x14ac:dyDescent="0.3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T92" s="41">
        <v>6</v>
      </c>
      <c r="V92" s="178" t="s">
        <v>447</v>
      </c>
      <c r="Y92" s="145">
        <f>Y88</f>
        <v>166</v>
      </c>
      <c r="Z92" s="1"/>
      <c r="AA92" s="145">
        <f>AA91</f>
        <v>327203</v>
      </c>
      <c r="AB92" s="3"/>
      <c r="AC92" s="198"/>
      <c r="AD92" s="204"/>
      <c r="AE92" s="145">
        <f>SUM(AE86:AE91)</f>
        <v>49777</v>
      </c>
      <c r="AF92" s="3"/>
      <c r="AG92" s="180">
        <f>ROUND((AE92/AE$101)*100,1)</f>
        <v>95.7</v>
      </c>
      <c r="AH92" s="4"/>
      <c r="AI92" s="145">
        <f>SUM(AI86:AI91)</f>
        <v>7571</v>
      </c>
      <c r="AJ92" s="3"/>
      <c r="AK92" s="180">
        <f>ROUND((AI92/AE92)*100,1)</f>
        <v>15.2</v>
      </c>
      <c r="AL92" s="6"/>
      <c r="AM92" s="262"/>
      <c r="AN92" s="3"/>
      <c r="AO92" s="145">
        <f>SUM(AO86:AO91)</f>
        <v>49777</v>
      </c>
      <c r="AP92" s="3"/>
      <c r="AQ92" s="224">
        <f>IF(AO92=0,"0.0 ",ROUND((AI92/AO92)*100,1))</f>
        <v>15.2</v>
      </c>
    </row>
    <row r="93" spans="1:47" x14ac:dyDescent="0.3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V93" s="42"/>
      <c r="Y93" s="3"/>
      <c r="Z93" s="1"/>
      <c r="AA93" s="3"/>
      <c r="AB93" s="3"/>
      <c r="AC93" s="198"/>
      <c r="AD93" s="204"/>
      <c r="AE93" s="3"/>
      <c r="AF93" s="3"/>
      <c r="AG93" s="175"/>
      <c r="AH93" s="4"/>
      <c r="AI93" s="3"/>
      <c r="AJ93" s="3"/>
      <c r="AK93" s="175"/>
      <c r="AL93" s="6"/>
      <c r="AM93" s="159"/>
      <c r="AN93" s="3"/>
      <c r="AO93" s="3"/>
      <c r="AP93" s="3"/>
      <c r="AQ93" s="181"/>
    </row>
    <row r="94" spans="1:47" x14ac:dyDescent="0.3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T94" s="41">
        <v>7</v>
      </c>
      <c r="V94" s="132" t="s">
        <v>432</v>
      </c>
      <c r="Y94" s="3"/>
      <c r="Z94" s="1"/>
      <c r="AA94" s="3"/>
      <c r="AB94" s="3"/>
      <c r="AC94" s="198"/>
      <c r="AD94" s="204"/>
      <c r="AE94" s="3"/>
      <c r="AF94" s="3"/>
      <c r="AG94" s="175"/>
      <c r="AH94" s="4"/>
      <c r="AI94" s="3"/>
      <c r="AJ94" s="3"/>
      <c r="AK94" s="175"/>
      <c r="AL94" s="6"/>
      <c r="AM94" s="159"/>
      <c r="AN94" s="3"/>
      <c r="AO94" s="3"/>
      <c r="AP94" s="3"/>
      <c r="AQ94" s="181"/>
    </row>
    <row r="95" spans="1:47" x14ac:dyDescent="0.3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T95" s="41">
        <f>A32</f>
        <v>8</v>
      </c>
      <c r="V95" s="192" t="str">
        <f>C32</f>
        <v>DEMAND SIDE MANAGEMENT RIDER (DSMR)</v>
      </c>
      <c r="Y95" s="3"/>
      <c r="Z95" s="1"/>
      <c r="AA95" s="3"/>
      <c r="AB95" s="3"/>
      <c r="AC95" s="217">
        <f>DSM_DIST</f>
        <v>3.503E-3</v>
      </c>
      <c r="AD95" s="204"/>
      <c r="AE95" s="3">
        <f>ROUND(AA92*AC95,0)</f>
        <v>1146</v>
      </c>
      <c r="AF95" s="3"/>
      <c r="AG95" s="175">
        <f>ROUND((AE95/AE$101)*100,1)</f>
        <v>2.2000000000000002</v>
      </c>
      <c r="AH95" s="4"/>
      <c r="AI95" s="3">
        <f>L32-AE95</f>
        <v>0</v>
      </c>
      <c r="AJ95" s="3"/>
      <c r="AK95" s="175">
        <f>ROUND((AI95/AE95)*100,1)</f>
        <v>0</v>
      </c>
      <c r="AL95" s="6"/>
      <c r="AM95" s="159"/>
      <c r="AN95" s="3"/>
      <c r="AO95" s="3">
        <f>AE95+AM95</f>
        <v>1146</v>
      </c>
      <c r="AP95" s="3"/>
      <c r="AQ95" s="181">
        <f>IF(AO95=0,"0.0 ",ROUND((AI95/AO95)*100,1))</f>
        <v>0</v>
      </c>
    </row>
    <row r="96" spans="1:47" x14ac:dyDescent="0.3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T96" s="41">
        <f>A33</f>
        <v>9</v>
      </c>
      <c r="V96" s="192" t="str">
        <f>C33</f>
        <v>ENVIRONMENTAL SURCHARGE MECHANISM RIDER (ESM)</v>
      </c>
      <c r="Y96" s="3"/>
      <c r="Z96" s="1"/>
      <c r="AA96" s="3"/>
      <c r="AB96" s="3"/>
      <c r="AC96" s="231">
        <f>CUR_ESM_NonRes</f>
        <v>6.4941608437496566E-3</v>
      </c>
      <c r="AD96" s="204"/>
      <c r="AE96" s="3">
        <f>ROUND((AO92-(CUR_BASE_FUEL*AA92)+AO95+AO98)*AC96,0)</f>
        <v>264</v>
      </c>
      <c r="AF96" s="3"/>
      <c r="AG96" s="175">
        <f>ROUND((AE96/AE$101)*100,1)</f>
        <v>0.5</v>
      </c>
      <c r="AH96" s="4"/>
      <c r="AI96" s="3">
        <f>L33-AE96</f>
        <v>16</v>
      </c>
      <c r="AJ96" s="3"/>
      <c r="AK96" s="181">
        <f>IF(AE96=0,0,ROUND((AI96/AE96)*100,1))</f>
        <v>6.1</v>
      </c>
      <c r="AL96" s="6"/>
      <c r="AM96" s="159"/>
      <c r="AN96" s="3"/>
      <c r="AO96" s="3">
        <f>AE96+AM96</f>
        <v>264</v>
      </c>
      <c r="AP96" s="3"/>
      <c r="AQ96" s="181">
        <f>IF(AO96=0,"0.0 ",ROUND((AI96/AO96)*100,1))</f>
        <v>6.1</v>
      </c>
    </row>
    <row r="97" spans="1:47" x14ac:dyDescent="0.3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T97" s="41">
        <f>A34</f>
        <v>10</v>
      </c>
      <c r="V97" s="192" t="str">
        <f>C34</f>
        <v>FUEL ADJUSTMENT CLAUSE (FAC)</v>
      </c>
      <c r="Y97" s="3"/>
      <c r="Z97" s="1"/>
      <c r="AA97" s="3"/>
      <c r="AB97" s="3"/>
      <c r="AC97" s="217">
        <f>CUR_FAC</f>
        <v>3.4872127999999998E-3</v>
      </c>
      <c r="AD97" s="204"/>
      <c r="AE97" s="3"/>
      <c r="AF97" s="3"/>
      <c r="AG97" s="175"/>
      <c r="AH97" s="4"/>
      <c r="AI97" s="3"/>
      <c r="AJ97" s="3"/>
      <c r="AK97" s="175"/>
      <c r="AL97" s="6"/>
      <c r="AM97" s="159">
        <f>ROUND(AA92*CUR_FAC,0)</f>
        <v>1141</v>
      </c>
      <c r="AN97" s="3"/>
      <c r="AO97" s="3">
        <f>AE97+AM97</f>
        <v>1141</v>
      </c>
      <c r="AP97" s="3"/>
      <c r="AQ97" s="181">
        <f>IF(AO97=0,0,ROUND(((R34-AO97)/AO97)*100,1))</f>
        <v>0</v>
      </c>
    </row>
    <row r="98" spans="1:47" x14ac:dyDescent="0.3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T98" s="41">
        <f>A35</f>
        <v>11</v>
      </c>
      <c r="V98" s="192" t="str">
        <f>C35</f>
        <v>PROFIT SHARING MECHANISM (PSM)</v>
      </c>
      <c r="Y98" s="3"/>
      <c r="Z98" s="1"/>
      <c r="AA98" s="3"/>
      <c r="AB98" s="3"/>
      <c r="AC98" s="217">
        <f>RS_PSM</f>
        <v>2.4750000000000002E-3</v>
      </c>
      <c r="AD98" s="204"/>
      <c r="AE98" s="49">
        <f>ROUND(AA92*AC98,0)</f>
        <v>810</v>
      </c>
      <c r="AF98" s="3"/>
      <c r="AG98" s="177">
        <f>ROUND((AE98/AE$101)*100,1)</f>
        <v>1.6</v>
      </c>
      <c r="AH98" s="4"/>
      <c r="AI98" s="3">
        <f>L35-AE98</f>
        <v>0</v>
      </c>
      <c r="AJ98" s="3"/>
      <c r="AK98" s="177">
        <f>ROUND((AI98/AE98)*100,1)</f>
        <v>0</v>
      </c>
      <c r="AL98" s="6"/>
      <c r="AM98" s="196"/>
      <c r="AN98" s="3"/>
      <c r="AO98" s="49">
        <f>AE98+AM98</f>
        <v>810</v>
      </c>
      <c r="AP98" s="3"/>
      <c r="AQ98" s="223">
        <f>IF(AO98=0,"0.0 ",ROUND((AI98/AO98)*100,1))</f>
        <v>0</v>
      </c>
    </row>
    <row r="99" spans="1:47" ht="20.100000000000001" customHeight="1" x14ac:dyDescent="0.3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T99" s="41">
        <f>A36</f>
        <v>12</v>
      </c>
      <c r="V99" s="132" t="s">
        <v>437</v>
      </c>
      <c r="Y99" s="49"/>
      <c r="Z99" s="1"/>
      <c r="AA99" s="49"/>
      <c r="AB99" s="3"/>
      <c r="AC99" s="200"/>
      <c r="AD99" s="204"/>
      <c r="AE99" s="145">
        <f>SUM(AE95:AE98)</f>
        <v>2220</v>
      </c>
      <c r="AF99" s="3"/>
      <c r="AG99" s="180">
        <f>ROUND((AE99/AE$101)*100,1)</f>
        <v>4.3</v>
      </c>
      <c r="AH99" s="4"/>
      <c r="AI99" s="145">
        <f>SUM(AI95:AI98)</f>
        <v>16</v>
      </c>
      <c r="AJ99" s="3"/>
      <c r="AK99" s="180">
        <f>ROUND((AI99/AE99)*100,1)</f>
        <v>0.7</v>
      </c>
      <c r="AL99" s="6"/>
      <c r="AM99" s="145">
        <f>SUM(AM95:AM98)</f>
        <v>1141</v>
      </c>
      <c r="AN99" s="3"/>
      <c r="AO99" s="145">
        <f>SUM(AO95:AO98)</f>
        <v>3361</v>
      </c>
      <c r="AP99" s="3"/>
      <c r="AQ99" s="224">
        <f>IF(AO99=0,"0.0 ",ROUND((AI99/AO99)*100,1))</f>
        <v>0.5</v>
      </c>
    </row>
    <row r="100" spans="1:47" x14ac:dyDescent="0.3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V100" s="45"/>
      <c r="Y100" s="3"/>
      <c r="Z100" s="1"/>
      <c r="AA100" s="3"/>
      <c r="AB100" s="3"/>
      <c r="AC100" s="200"/>
      <c r="AD100" s="204"/>
      <c r="AE100" s="3"/>
      <c r="AF100" s="3"/>
      <c r="AG100" s="175"/>
      <c r="AH100" s="4"/>
      <c r="AI100" s="3"/>
      <c r="AJ100" s="3"/>
      <c r="AK100" s="175"/>
      <c r="AL100" s="6"/>
      <c r="AM100" s="159"/>
      <c r="AN100" s="3"/>
      <c r="AO100" s="3"/>
      <c r="AP100" s="3"/>
      <c r="AQ100" s="181"/>
    </row>
    <row r="101" spans="1:47" ht="20.100000000000001" customHeight="1" thickBot="1" x14ac:dyDescent="0.35">
      <c r="L101" s="44"/>
      <c r="M101" s="44"/>
      <c r="N101" s="44"/>
      <c r="O101" s="44"/>
      <c r="R101" s="44"/>
      <c r="T101" s="41">
        <f>A38</f>
        <v>13</v>
      </c>
      <c r="V101" s="132" t="s">
        <v>450</v>
      </c>
      <c r="X101" s="42"/>
      <c r="Y101" s="151">
        <f>F38</f>
        <v>166</v>
      </c>
      <c r="Z101" s="1"/>
      <c r="AA101" s="151">
        <f>H38</f>
        <v>327203</v>
      </c>
      <c r="AB101" s="3"/>
      <c r="AC101" s="7"/>
      <c r="AD101" s="7"/>
      <c r="AE101" s="151">
        <f>AE92+AE99</f>
        <v>51997</v>
      </c>
      <c r="AF101" s="3"/>
      <c r="AG101" s="187">
        <v>100</v>
      </c>
      <c r="AH101" s="4"/>
      <c r="AI101" s="151">
        <f>AI92+AI99</f>
        <v>7587</v>
      </c>
      <c r="AJ101" s="3"/>
      <c r="AK101" s="187">
        <f>ROUND((AI101/AE101)*100,1)</f>
        <v>14.6</v>
      </c>
      <c r="AL101" s="6"/>
      <c r="AM101" s="265">
        <f>AM99+AM92</f>
        <v>1141</v>
      </c>
      <c r="AN101" s="159"/>
      <c r="AO101" s="151">
        <f>AO99+AO92</f>
        <v>53138</v>
      </c>
      <c r="AP101" s="3"/>
      <c r="AQ101" s="232">
        <f>IF(AO101=0,"0.0 ",ROUND((AI101/AO101)*100,1))</f>
        <v>14.3</v>
      </c>
    </row>
    <row r="102" spans="1:47" ht="16.2" thickTop="1" x14ac:dyDescent="0.3">
      <c r="C102" s="42"/>
      <c r="F102" s="123"/>
      <c r="H102" s="123"/>
      <c r="I102" s="123"/>
      <c r="J102" s="219"/>
      <c r="K102" s="219"/>
      <c r="L102" s="123"/>
      <c r="M102" s="123"/>
      <c r="N102" s="160"/>
      <c r="O102" s="160"/>
      <c r="P102" s="123"/>
      <c r="Q102" s="123"/>
      <c r="R102" s="123"/>
      <c r="Y102" s="1"/>
      <c r="Z102" s="1"/>
      <c r="AA102" s="2"/>
      <c r="AB102" s="2"/>
      <c r="AC102" s="266"/>
      <c r="AD102" s="2"/>
      <c r="AE102" s="2"/>
      <c r="AF102" s="2"/>
      <c r="AG102" s="267"/>
      <c r="AH102" s="2"/>
      <c r="AI102" s="2"/>
      <c r="AJ102" s="2"/>
      <c r="AK102" s="267"/>
      <c r="AL102" s="2"/>
      <c r="AM102" s="2"/>
      <c r="AN102" s="2"/>
      <c r="AO102" s="2"/>
      <c r="AP102" s="2"/>
      <c r="AQ102" s="267"/>
      <c r="AS102" s="123"/>
      <c r="AT102" s="123"/>
      <c r="AU102" s="235"/>
    </row>
    <row r="103" spans="1:47" x14ac:dyDescent="0.3">
      <c r="C103" s="42"/>
      <c r="F103" s="123"/>
      <c r="H103" s="123"/>
      <c r="I103" s="123"/>
      <c r="J103" s="219"/>
      <c r="K103" s="219"/>
      <c r="L103" s="123"/>
      <c r="M103" s="123"/>
      <c r="N103" s="160"/>
      <c r="O103" s="160"/>
      <c r="P103" s="123"/>
      <c r="Q103" s="123"/>
      <c r="R103" s="123"/>
      <c r="Y103" s="268"/>
      <c r="Z103" s="268"/>
      <c r="AA103" s="268"/>
      <c r="AB103" s="2"/>
      <c r="AC103" s="2"/>
      <c r="AD103" s="2"/>
      <c r="AE103" s="2"/>
      <c r="AF103" s="2"/>
      <c r="AG103" s="267"/>
      <c r="AH103" s="2"/>
      <c r="AI103" s="2"/>
      <c r="AJ103" s="2"/>
      <c r="AK103" s="267"/>
      <c r="AL103" s="2"/>
      <c r="AM103" s="2"/>
      <c r="AN103" s="2"/>
      <c r="AO103" s="2"/>
      <c r="AP103" s="2"/>
      <c r="AQ103" s="267"/>
      <c r="AS103" s="123"/>
      <c r="AT103" s="123"/>
      <c r="AU103" s="235"/>
    </row>
    <row r="104" spans="1:47" x14ac:dyDescent="0.3">
      <c r="C104" s="42"/>
      <c r="F104" s="184"/>
      <c r="H104" s="184"/>
      <c r="I104" s="184"/>
      <c r="J104" s="227"/>
      <c r="K104" s="227"/>
      <c r="L104" s="123"/>
      <c r="M104" s="123"/>
      <c r="N104" s="160"/>
      <c r="O104" s="160"/>
      <c r="P104" s="184"/>
      <c r="Q104" s="184"/>
      <c r="R104" s="123"/>
      <c r="T104" s="41">
        <f>A41</f>
        <v>14</v>
      </c>
      <c r="V104" s="132" t="s">
        <v>359</v>
      </c>
      <c r="W104" s="132" t="s">
        <v>153</v>
      </c>
      <c r="X104" s="42"/>
      <c r="Y104" s="1"/>
      <c r="Z104" s="1"/>
      <c r="AA104" s="1"/>
      <c r="AB104" s="1"/>
      <c r="AC104" s="1"/>
      <c r="AD104" s="1"/>
      <c r="AE104" s="1"/>
      <c r="AF104" s="1"/>
      <c r="AG104" s="175"/>
      <c r="AH104" s="1"/>
      <c r="AI104" s="1"/>
      <c r="AJ104" s="1"/>
      <c r="AK104" s="175"/>
      <c r="AL104" s="1"/>
      <c r="AM104" s="1"/>
      <c r="AN104" s="1"/>
      <c r="AO104" s="1"/>
      <c r="AP104" s="1"/>
      <c r="AQ104" s="175"/>
      <c r="AS104" s="123"/>
      <c r="AT104" s="123"/>
      <c r="AU104" s="160"/>
    </row>
    <row r="105" spans="1:47" x14ac:dyDescent="0.3">
      <c r="C105" s="42"/>
      <c r="H105" s="184"/>
      <c r="I105" s="184"/>
      <c r="J105" s="227"/>
      <c r="K105" s="227"/>
      <c r="L105" s="123"/>
      <c r="M105" s="123"/>
      <c r="N105" s="160"/>
      <c r="O105" s="160"/>
      <c r="P105" s="184"/>
      <c r="Q105" s="184"/>
      <c r="R105" s="123"/>
      <c r="Y105" s="1"/>
      <c r="Z105" s="1"/>
      <c r="AA105" s="1"/>
      <c r="AB105" s="1"/>
      <c r="AC105" s="1"/>
      <c r="AD105" s="1"/>
      <c r="AE105" s="1"/>
      <c r="AF105" s="1"/>
      <c r="AG105" s="175"/>
      <c r="AH105" s="1"/>
      <c r="AI105" s="1"/>
      <c r="AJ105" s="1"/>
      <c r="AK105" s="175"/>
      <c r="AL105" s="1"/>
      <c r="AM105" s="1"/>
      <c r="AN105" s="1"/>
      <c r="AO105" s="1"/>
      <c r="AP105" s="1"/>
      <c r="AQ105" s="175"/>
      <c r="AS105" s="123"/>
      <c r="AT105" s="123"/>
      <c r="AU105" s="160"/>
    </row>
    <row r="106" spans="1:47" x14ac:dyDescent="0.3">
      <c r="C106" s="42"/>
      <c r="F106" s="123"/>
      <c r="H106" s="123"/>
      <c r="I106" s="123"/>
      <c r="J106" s="219"/>
      <c r="K106" s="219"/>
      <c r="L106" s="123"/>
      <c r="M106" s="123"/>
      <c r="N106" s="160"/>
      <c r="O106" s="160"/>
      <c r="P106" s="123"/>
      <c r="Q106" s="123"/>
      <c r="R106" s="123"/>
      <c r="T106" s="41">
        <f>A43</f>
        <v>15</v>
      </c>
      <c r="V106" s="45" t="s">
        <v>199</v>
      </c>
      <c r="Y106" s="3">
        <f>F43</f>
        <v>275</v>
      </c>
      <c r="Z106" s="1"/>
      <c r="AA106" s="3"/>
      <c r="AB106" s="1"/>
      <c r="AC106" s="193">
        <f>INPUT!C104</f>
        <v>3.79</v>
      </c>
      <c r="AD106" s="194"/>
      <c r="AE106" s="3">
        <f>ROUND(Y106*AC106,0)</f>
        <v>1042</v>
      </c>
      <c r="AF106" s="3"/>
      <c r="AG106" s="175">
        <f>ROUND((AE106/AE$120)*100,1)</f>
        <v>0.1</v>
      </c>
      <c r="AH106" s="1"/>
      <c r="AI106" s="3">
        <f>L43-AE106</f>
        <v>160</v>
      </c>
      <c r="AJ106" s="3"/>
      <c r="AK106" s="181">
        <f>IF(AE106=0,"0.0 ",ROUND((AI106/AE106)*100,1))</f>
        <v>15.4</v>
      </c>
      <c r="AL106" s="226"/>
      <c r="AM106" s="159"/>
      <c r="AN106" s="3"/>
      <c r="AO106" s="3">
        <f>AE106+AM106</f>
        <v>1042</v>
      </c>
      <c r="AP106" s="3"/>
      <c r="AQ106" s="181">
        <f>IF(AO106=0,"0.0 ",ROUND((AI106/AO106)*100,1))</f>
        <v>15.4</v>
      </c>
      <c r="AS106" s="123"/>
      <c r="AT106" s="123"/>
      <c r="AU106" s="160"/>
    </row>
    <row r="107" spans="1:47" x14ac:dyDescent="0.3">
      <c r="F107" s="210"/>
      <c r="H107" s="210"/>
      <c r="I107" s="210"/>
      <c r="J107" s="213"/>
      <c r="K107" s="213"/>
      <c r="L107" s="210"/>
      <c r="M107" s="210"/>
      <c r="N107" s="210"/>
      <c r="O107" s="210"/>
      <c r="P107" s="210"/>
      <c r="Q107" s="210"/>
      <c r="R107" s="210"/>
      <c r="Y107" s="3"/>
      <c r="Z107" s="1"/>
      <c r="AA107" s="1"/>
      <c r="AB107" s="1"/>
      <c r="AC107" s="222"/>
      <c r="AD107" s="195"/>
      <c r="AE107" s="1"/>
      <c r="AF107" s="1"/>
      <c r="AG107" s="175"/>
      <c r="AH107" s="1"/>
      <c r="AI107" s="1"/>
      <c r="AJ107" s="1"/>
      <c r="AK107" s="175"/>
      <c r="AL107" s="1"/>
      <c r="AM107" s="1"/>
      <c r="AN107" s="1"/>
      <c r="AO107" s="1"/>
      <c r="AP107" s="1"/>
      <c r="AQ107" s="175"/>
      <c r="AS107" s="123"/>
      <c r="AT107" s="123"/>
      <c r="AU107" s="160"/>
    </row>
    <row r="108" spans="1:47" x14ac:dyDescent="0.3">
      <c r="F108" s="210"/>
      <c r="H108" s="210"/>
      <c r="I108" s="210"/>
      <c r="J108" s="213"/>
      <c r="K108" s="213"/>
      <c r="L108" s="210"/>
      <c r="M108" s="210"/>
      <c r="N108" s="210"/>
      <c r="O108" s="210"/>
      <c r="P108" s="210"/>
      <c r="Q108" s="210"/>
      <c r="R108" s="210"/>
      <c r="T108" s="41">
        <f>A45</f>
        <v>16</v>
      </c>
      <c r="V108" s="41" t="s">
        <v>375</v>
      </c>
      <c r="Y108" s="3"/>
      <c r="Z108" s="1"/>
      <c r="AA108" s="1"/>
      <c r="AB108" s="1"/>
      <c r="AC108" s="222"/>
      <c r="AD108" s="195"/>
      <c r="AE108" s="1"/>
      <c r="AF108" s="1"/>
      <c r="AG108" s="175"/>
      <c r="AH108" s="1"/>
      <c r="AI108" s="1"/>
      <c r="AJ108" s="1"/>
      <c r="AK108" s="175"/>
      <c r="AL108" s="1"/>
      <c r="AM108" s="1"/>
      <c r="AN108" s="1"/>
      <c r="AO108" s="1"/>
      <c r="AP108" s="1"/>
      <c r="AQ108" s="175"/>
      <c r="AS108" s="123"/>
      <c r="AT108" s="123"/>
      <c r="AU108" s="160"/>
    </row>
    <row r="109" spans="1:47" x14ac:dyDescent="0.3">
      <c r="F109" s="210"/>
      <c r="H109" s="210"/>
      <c r="I109" s="210"/>
      <c r="J109" s="213"/>
      <c r="K109" s="213"/>
      <c r="L109" s="210"/>
      <c r="M109" s="210"/>
      <c r="N109" s="210"/>
      <c r="O109" s="210"/>
      <c r="P109" s="210"/>
      <c r="Q109" s="210"/>
      <c r="R109" s="210"/>
      <c r="T109" s="41">
        <f>A46</f>
        <v>17</v>
      </c>
      <c r="V109" s="45" t="s">
        <v>200</v>
      </c>
      <c r="Y109" s="3"/>
      <c r="Z109" s="1"/>
      <c r="AA109" s="3">
        <f>H46</f>
        <v>11644</v>
      </c>
      <c r="AB109" s="1"/>
      <c r="AC109" s="198">
        <f>INPUT!C106</f>
        <v>0.115594</v>
      </c>
      <c r="AD109" s="195"/>
      <c r="AE109" s="3">
        <f>ROUND((AA109*AC109),0)</f>
        <v>1346</v>
      </c>
      <c r="AF109" s="1"/>
      <c r="AG109" s="175">
        <f>ROUND((AE109/AE$120)*100,1)</f>
        <v>0.2</v>
      </c>
      <c r="AH109" s="1"/>
      <c r="AI109" s="3">
        <f>L46-AE109</f>
        <v>203</v>
      </c>
      <c r="AJ109" s="1"/>
      <c r="AK109" s="181">
        <f>IF(AE109=0,"0.0 ",ROUND((AI109/AE109)*100,1))</f>
        <v>15.1</v>
      </c>
      <c r="AL109" s="1"/>
      <c r="AM109" s="159"/>
      <c r="AN109" s="1"/>
      <c r="AO109" s="3">
        <f>AE109+AM109</f>
        <v>1346</v>
      </c>
      <c r="AP109" s="1"/>
      <c r="AQ109" s="181">
        <f>IF(AO109=0,"0.0 ",ROUND((AI109/AO109)*100,1))</f>
        <v>15.1</v>
      </c>
      <c r="AS109" s="123"/>
      <c r="AT109" s="123"/>
      <c r="AU109" s="160"/>
    </row>
    <row r="110" spans="1:47" x14ac:dyDescent="0.3">
      <c r="C110" s="42"/>
      <c r="F110" s="123"/>
      <c r="H110" s="123"/>
      <c r="I110" s="123"/>
      <c r="J110" s="219"/>
      <c r="K110" s="219"/>
      <c r="L110" s="123"/>
      <c r="M110" s="123"/>
      <c r="N110" s="160"/>
      <c r="O110" s="160"/>
      <c r="P110" s="123"/>
      <c r="Q110" s="123"/>
      <c r="R110" s="123"/>
      <c r="T110" s="41">
        <f>A47</f>
        <v>18</v>
      </c>
      <c r="V110" s="45" t="s">
        <v>201</v>
      </c>
      <c r="Y110" s="49"/>
      <c r="Z110" s="1"/>
      <c r="AA110" s="49">
        <f>H47</f>
        <v>5911099</v>
      </c>
      <c r="AB110" s="3"/>
      <c r="AC110" s="198">
        <f>INPUT!C107</f>
        <v>0.13156599999999999</v>
      </c>
      <c r="AD110" s="204"/>
      <c r="AE110" s="49">
        <f>ROUND((AA110*AC110),0)</f>
        <v>777700</v>
      </c>
      <c r="AF110" s="3"/>
      <c r="AG110" s="177">
        <f>ROUND((AE110/AE$120)*100,1)</f>
        <v>94.9</v>
      </c>
      <c r="AH110" s="4"/>
      <c r="AI110" s="49">
        <f>L47-AE110</f>
        <v>118700</v>
      </c>
      <c r="AJ110" s="3"/>
      <c r="AK110" s="223">
        <f>IF(AE110=0,"0.0 ",ROUND((AI110/AE110)*100,1))</f>
        <v>15.3</v>
      </c>
      <c r="AL110" s="6"/>
      <c r="AM110" s="196"/>
      <c r="AN110" s="159"/>
      <c r="AO110" s="49">
        <f>AE110+AM110</f>
        <v>777700</v>
      </c>
      <c r="AP110" s="3"/>
      <c r="AQ110" s="223">
        <f>IF(AO110=0,"0.0 ",ROUND((AI110/AO110)*100,1))</f>
        <v>15.3</v>
      </c>
      <c r="AS110" s="123"/>
      <c r="AT110" s="123"/>
      <c r="AU110" s="160"/>
    </row>
    <row r="111" spans="1:47" ht="20.100000000000001" customHeight="1" x14ac:dyDescent="0.3">
      <c r="C111" s="42"/>
      <c r="F111" s="123"/>
      <c r="H111" s="123"/>
      <c r="I111" s="123"/>
      <c r="J111" s="219"/>
      <c r="K111" s="219"/>
      <c r="L111" s="123"/>
      <c r="M111" s="123"/>
      <c r="N111" s="160"/>
      <c r="O111" s="160"/>
      <c r="P111" s="123"/>
      <c r="Q111" s="123"/>
      <c r="R111" s="123"/>
      <c r="T111" s="41">
        <f>A48</f>
        <v>19</v>
      </c>
      <c r="V111" s="178" t="s">
        <v>448</v>
      </c>
      <c r="Y111" s="145">
        <f>SUM(Y106:Y110)</f>
        <v>275</v>
      </c>
      <c r="Z111" s="1"/>
      <c r="AA111" s="145">
        <f>SUM(AA106:AA110)</f>
        <v>5922743</v>
      </c>
      <c r="AB111" s="3"/>
      <c r="AC111" s="198"/>
      <c r="AD111" s="204"/>
      <c r="AE111" s="145">
        <f>SUM(AE106:AE110)</f>
        <v>780088</v>
      </c>
      <c r="AF111" s="3"/>
      <c r="AG111" s="180">
        <f>ROUND((AE111/AE$120)*100,1)</f>
        <v>95.2</v>
      </c>
      <c r="AH111" s="4"/>
      <c r="AI111" s="145">
        <f>SUM(AI106:AI110)</f>
        <v>119063</v>
      </c>
      <c r="AJ111" s="3"/>
      <c r="AK111" s="224">
        <f>IF(AE111=0,"0.0 ",ROUND((AI111/AE111)*100,1))</f>
        <v>15.3</v>
      </c>
      <c r="AL111" s="6"/>
      <c r="AM111" s="262"/>
      <c r="AN111" s="159"/>
      <c r="AO111" s="145">
        <f>SUM(AO106:AO110)</f>
        <v>780088</v>
      </c>
      <c r="AP111" s="3"/>
      <c r="AQ111" s="224">
        <f>IF(AO111=0,"0.0 ",ROUND((AI111/AO111)*100,1))</f>
        <v>15.3</v>
      </c>
      <c r="AS111" s="123"/>
      <c r="AT111" s="123"/>
      <c r="AU111" s="160"/>
    </row>
    <row r="112" spans="1:47" x14ac:dyDescent="0.3">
      <c r="C112" s="42"/>
      <c r="F112" s="123"/>
      <c r="H112" s="123"/>
      <c r="I112" s="123"/>
      <c r="J112" s="219"/>
      <c r="K112" s="219"/>
      <c r="L112" s="123"/>
      <c r="M112" s="123"/>
      <c r="N112" s="160"/>
      <c r="O112" s="160"/>
      <c r="P112" s="123"/>
      <c r="Q112" s="123"/>
      <c r="R112" s="123"/>
      <c r="V112" s="42"/>
      <c r="Y112" s="3"/>
      <c r="Z112" s="1"/>
      <c r="AA112" s="3"/>
      <c r="AB112" s="3"/>
      <c r="AC112" s="198"/>
      <c r="AD112" s="204"/>
      <c r="AE112" s="3"/>
      <c r="AF112" s="3"/>
      <c r="AG112" s="175"/>
      <c r="AH112" s="4"/>
      <c r="AI112" s="3"/>
      <c r="AJ112" s="3"/>
      <c r="AK112" s="181"/>
      <c r="AL112" s="6"/>
      <c r="AM112" s="159"/>
      <c r="AN112" s="159"/>
      <c r="AO112" s="3"/>
      <c r="AP112" s="3"/>
      <c r="AQ112" s="181"/>
      <c r="AS112" s="123"/>
      <c r="AT112" s="123"/>
      <c r="AU112" s="160"/>
    </row>
    <row r="113" spans="1:47" x14ac:dyDescent="0.3">
      <c r="C113" s="42"/>
      <c r="F113" s="123"/>
      <c r="H113" s="123"/>
      <c r="I113" s="123"/>
      <c r="J113" s="219"/>
      <c r="K113" s="219"/>
      <c r="L113" s="123"/>
      <c r="M113" s="123"/>
      <c r="N113" s="160"/>
      <c r="O113" s="160"/>
      <c r="P113" s="123"/>
      <c r="Q113" s="123"/>
      <c r="R113" s="123"/>
      <c r="T113" s="41">
        <f t="shared" ref="T113:T118" si="0">A50</f>
        <v>20</v>
      </c>
      <c r="V113" s="132" t="s">
        <v>432</v>
      </c>
      <c r="Y113" s="3"/>
      <c r="Z113" s="1"/>
      <c r="AA113" s="3"/>
      <c r="AB113" s="3"/>
      <c r="AC113" s="198"/>
      <c r="AD113" s="204"/>
      <c r="AE113" s="3"/>
      <c r="AF113" s="3"/>
      <c r="AG113" s="175"/>
      <c r="AH113" s="4"/>
      <c r="AI113" s="3"/>
      <c r="AJ113" s="3"/>
      <c r="AK113" s="181"/>
      <c r="AL113" s="6"/>
      <c r="AM113" s="159"/>
      <c r="AN113" s="159"/>
      <c r="AO113" s="3"/>
      <c r="AP113" s="3"/>
      <c r="AQ113" s="181"/>
      <c r="AS113" s="123"/>
      <c r="AT113" s="123"/>
      <c r="AU113" s="160"/>
    </row>
    <row r="114" spans="1:47" x14ac:dyDescent="0.3">
      <c r="C114" s="42"/>
      <c r="F114" s="123"/>
      <c r="H114" s="123"/>
      <c r="I114" s="123"/>
      <c r="J114" s="219"/>
      <c r="K114" s="219"/>
      <c r="L114" s="123"/>
      <c r="M114" s="123"/>
      <c r="N114" s="160"/>
      <c r="O114" s="160"/>
      <c r="P114" s="123"/>
      <c r="Q114" s="123"/>
      <c r="R114" s="123"/>
      <c r="T114" s="41">
        <f t="shared" si="0"/>
        <v>21</v>
      </c>
      <c r="V114" s="192" t="str">
        <f>C51</f>
        <v>DEMAND SIDE MANAGEMENT RIDER (DSMR)</v>
      </c>
      <c r="Y114" s="3"/>
      <c r="Z114" s="1"/>
      <c r="AA114" s="3"/>
      <c r="AB114" s="3"/>
      <c r="AC114" s="217">
        <f>DSM_DIST</f>
        <v>3.503E-3</v>
      </c>
      <c r="AD114" s="204"/>
      <c r="AE114" s="3">
        <f>ROUND($AA$111*AC114,0)</f>
        <v>20747</v>
      </c>
      <c r="AF114" s="3"/>
      <c r="AG114" s="175">
        <f>ROUND((AE114/AE$120)*100,1)</f>
        <v>2.5</v>
      </c>
      <c r="AH114" s="4"/>
      <c r="AI114" s="3">
        <f>L51-AE114</f>
        <v>0</v>
      </c>
      <c r="AJ114" s="3"/>
      <c r="AK114" s="181">
        <f>IF(AE114=0,"0.0 ",ROUND((AI114/AE114)*100,1))</f>
        <v>0</v>
      </c>
      <c r="AL114" s="6"/>
      <c r="AM114" s="159"/>
      <c r="AN114" s="159"/>
      <c r="AO114" s="3">
        <f>AE114+AM114</f>
        <v>20747</v>
      </c>
      <c r="AP114" s="3"/>
      <c r="AQ114" s="181">
        <f>IF(AO114=0,"0.0 ",ROUND((AI114/AO114)*100,1))</f>
        <v>0</v>
      </c>
      <c r="AS114" s="123"/>
      <c r="AT114" s="123"/>
      <c r="AU114" s="160"/>
    </row>
    <row r="115" spans="1:47" x14ac:dyDescent="0.3">
      <c r="C115" s="42"/>
      <c r="F115" s="123"/>
      <c r="H115" s="123"/>
      <c r="I115" s="123"/>
      <c r="J115" s="219"/>
      <c r="K115" s="219"/>
      <c r="L115" s="123"/>
      <c r="M115" s="123"/>
      <c r="N115" s="160"/>
      <c r="O115" s="160"/>
      <c r="P115" s="123"/>
      <c r="Q115" s="123"/>
      <c r="R115" s="123"/>
      <c r="T115" s="41">
        <f t="shared" si="0"/>
        <v>22</v>
      </c>
      <c r="V115" s="192" t="str">
        <f>C52</f>
        <v>ENVIRONMENTAL SURCHARGE MECHANISM RIDER (ESM)</v>
      </c>
      <c r="Y115" s="3"/>
      <c r="Z115" s="1"/>
      <c r="AA115" s="3"/>
      <c r="AB115" s="3"/>
      <c r="AC115" s="231">
        <f>CUR_ESM_NonRes</f>
        <v>6.4941608437496566E-3</v>
      </c>
      <c r="AD115" s="204"/>
      <c r="AE115" s="3">
        <f>ROUND((AO111-(CUR_BASE_FUEL*AA111)+AO114+AO117)*AC115,0)</f>
        <v>3997</v>
      </c>
      <c r="AF115" s="3"/>
      <c r="AG115" s="175">
        <f>ROUND((AE115/AE$120)*100,1)</f>
        <v>0.5</v>
      </c>
      <c r="AH115" s="4"/>
      <c r="AI115" s="3">
        <f>L52-AE115</f>
        <v>263</v>
      </c>
      <c r="AJ115" s="3"/>
      <c r="AK115" s="181">
        <f>IF(AE115=0,"0.0 ",ROUND((AI115/AE115)*100,1))</f>
        <v>6.6</v>
      </c>
      <c r="AL115" s="6"/>
      <c r="AM115" s="159"/>
      <c r="AN115" s="159"/>
      <c r="AO115" s="3">
        <f>AE115+AM115</f>
        <v>3997</v>
      </c>
      <c r="AP115" s="3"/>
      <c r="AQ115" s="181">
        <f>IF(AO115=0,"0.0 ",ROUND((AI115/AO115)*100,1))</f>
        <v>6.6</v>
      </c>
      <c r="AS115" s="123"/>
      <c r="AT115" s="123"/>
      <c r="AU115" s="160"/>
    </row>
    <row r="116" spans="1:47" x14ac:dyDescent="0.3">
      <c r="C116" s="42"/>
      <c r="F116" s="123"/>
      <c r="H116" s="123"/>
      <c r="I116" s="123"/>
      <c r="J116" s="219"/>
      <c r="K116" s="219"/>
      <c r="L116" s="123"/>
      <c r="M116" s="123"/>
      <c r="N116" s="160"/>
      <c r="O116" s="160"/>
      <c r="P116" s="123"/>
      <c r="Q116" s="123"/>
      <c r="R116" s="123"/>
      <c r="T116" s="41">
        <f t="shared" si="0"/>
        <v>23</v>
      </c>
      <c r="V116" s="192" t="str">
        <f>C53</f>
        <v>FUEL ADJUSTMENT CLAUSE (FAC)</v>
      </c>
      <c r="Y116" s="3"/>
      <c r="Z116" s="1"/>
      <c r="AA116" s="3"/>
      <c r="AB116" s="3"/>
      <c r="AC116" s="217">
        <f>CUR_FAC</f>
        <v>3.4872127999999998E-3</v>
      </c>
      <c r="AD116" s="204"/>
      <c r="AE116" s="3"/>
      <c r="AF116" s="3"/>
      <c r="AG116" s="175"/>
      <c r="AH116" s="4"/>
      <c r="AI116" s="3"/>
      <c r="AJ116" s="3"/>
      <c r="AK116" s="181"/>
      <c r="AL116" s="6"/>
      <c r="AM116" s="159">
        <f>ROUND(AA111*CUR_FAC,0)</f>
        <v>20654</v>
      </c>
      <c r="AN116" s="159"/>
      <c r="AO116" s="3">
        <f>AE116+AM116</f>
        <v>20654</v>
      </c>
      <c r="AP116" s="3"/>
      <c r="AQ116" s="181">
        <f>IF(AO116=0,0,ROUND(((R53-AO116)/AO116)*100,1))</f>
        <v>0</v>
      </c>
      <c r="AS116" s="123"/>
      <c r="AT116" s="123"/>
      <c r="AU116" s="160"/>
    </row>
    <row r="117" spans="1:47" x14ac:dyDescent="0.3">
      <c r="C117" s="42"/>
      <c r="F117" s="123"/>
      <c r="H117" s="123"/>
      <c r="I117" s="123"/>
      <c r="J117" s="219"/>
      <c r="K117" s="219"/>
      <c r="L117" s="123"/>
      <c r="M117" s="123"/>
      <c r="N117" s="160"/>
      <c r="O117" s="160"/>
      <c r="P117" s="123"/>
      <c r="Q117" s="123"/>
      <c r="R117" s="123"/>
      <c r="T117" s="41">
        <f t="shared" si="0"/>
        <v>24</v>
      </c>
      <c r="V117" s="192" t="str">
        <f>C54</f>
        <v>PROFIT SHARING MECHANISM (PSM)</v>
      </c>
      <c r="Y117" s="3"/>
      <c r="Z117" s="1"/>
      <c r="AA117" s="3"/>
      <c r="AB117" s="3"/>
      <c r="AC117" s="217">
        <f>RS_PSM</f>
        <v>2.4750000000000002E-3</v>
      </c>
      <c r="AD117" s="204"/>
      <c r="AE117" s="49">
        <f>ROUND(AA111*RS_PSM,0)</f>
        <v>14659</v>
      </c>
      <c r="AF117" s="3"/>
      <c r="AG117" s="177">
        <f>ROUND((AE117/AE$120)*100,1)</f>
        <v>1.8</v>
      </c>
      <c r="AH117" s="4"/>
      <c r="AI117" s="49">
        <f>L54-AE117</f>
        <v>0</v>
      </c>
      <c r="AJ117" s="3"/>
      <c r="AK117" s="223">
        <f>IF(AE117=0,"0.0 ",ROUND((AI117/AE117)*100,1))</f>
        <v>0</v>
      </c>
      <c r="AL117" s="6"/>
      <c r="AM117" s="196"/>
      <c r="AN117" s="159"/>
      <c r="AO117" s="49">
        <f>AE117+AM117</f>
        <v>14659</v>
      </c>
      <c r="AP117" s="3"/>
      <c r="AQ117" s="223">
        <f>IF(AO117=0,"0.0 ",ROUND((AI117/AO117)*100,1))</f>
        <v>0</v>
      </c>
      <c r="AS117" s="123"/>
      <c r="AT117" s="123"/>
      <c r="AU117" s="160"/>
    </row>
    <row r="118" spans="1:47" x14ac:dyDescent="0.3">
      <c r="C118" s="42"/>
      <c r="F118" s="123"/>
      <c r="H118" s="123"/>
      <c r="I118" s="123"/>
      <c r="J118" s="219"/>
      <c r="K118" s="219"/>
      <c r="L118" s="123"/>
      <c r="M118" s="123"/>
      <c r="N118" s="160"/>
      <c r="O118" s="160"/>
      <c r="P118" s="123"/>
      <c r="Q118" s="123"/>
      <c r="R118" s="123"/>
      <c r="T118" s="41">
        <f t="shared" si="0"/>
        <v>25</v>
      </c>
      <c r="V118" s="132" t="s">
        <v>437</v>
      </c>
      <c r="Y118" s="49"/>
      <c r="Z118" s="1"/>
      <c r="AA118" s="49"/>
      <c r="AB118" s="3"/>
      <c r="AC118" s="200"/>
      <c r="AD118" s="204"/>
      <c r="AE118" s="145">
        <f>SUM(AE114:AE117)</f>
        <v>39403</v>
      </c>
      <c r="AF118" s="3"/>
      <c r="AG118" s="180">
        <f>ROUND((AE118/AE$120)*100,1)</f>
        <v>4.8</v>
      </c>
      <c r="AH118" s="4"/>
      <c r="AI118" s="145">
        <f>SUM(AI114:AI117)</f>
        <v>263</v>
      </c>
      <c r="AJ118" s="3"/>
      <c r="AK118" s="224">
        <f>IF(AE118=0,"0.0 ",ROUND((AI118/AE118)*100,1))</f>
        <v>0.7</v>
      </c>
      <c r="AL118" s="6"/>
      <c r="AM118" s="262">
        <f>SUM(AM114:AM117)</f>
        <v>20654</v>
      </c>
      <c r="AN118" s="159"/>
      <c r="AO118" s="145">
        <f>SUM(AO114:AO117)</f>
        <v>60057</v>
      </c>
      <c r="AP118" s="3"/>
      <c r="AQ118" s="224">
        <f>IF(AO118=0,"0.0 ",ROUND((AI118/AO118)*100,1))</f>
        <v>0.4</v>
      </c>
      <c r="AS118" s="123"/>
      <c r="AT118" s="123"/>
      <c r="AU118" s="160"/>
    </row>
    <row r="119" spans="1:47" x14ac:dyDescent="0.3">
      <c r="C119" s="42"/>
      <c r="F119" s="123"/>
      <c r="H119" s="123"/>
      <c r="I119" s="123"/>
      <c r="J119" s="219"/>
      <c r="K119" s="219"/>
      <c r="L119" s="123"/>
      <c r="M119" s="123"/>
      <c r="N119" s="160"/>
      <c r="O119" s="160"/>
      <c r="P119" s="123"/>
      <c r="Q119" s="123"/>
      <c r="R119" s="123"/>
      <c r="V119" s="45"/>
      <c r="Y119" s="3"/>
      <c r="Z119" s="1"/>
      <c r="AA119" s="3"/>
      <c r="AB119" s="3"/>
      <c r="AC119" s="200"/>
      <c r="AD119" s="204"/>
      <c r="AE119" s="3"/>
      <c r="AF119" s="3"/>
      <c r="AG119" s="175"/>
      <c r="AH119" s="4"/>
      <c r="AI119" s="3"/>
      <c r="AJ119" s="3"/>
      <c r="AK119" s="181"/>
      <c r="AL119" s="6"/>
      <c r="AM119" s="159"/>
      <c r="AN119" s="159"/>
      <c r="AO119" s="3"/>
      <c r="AP119" s="3"/>
      <c r="AQ119" s="181"/>
      <c r="AS119" s="123"/>
      <c r="AT119" s="123"/>
      <c r="AU119" s="160"/>
    </row>
    <row r="120" spans="1:47" ht="24.75" customHeight="1" thickBot="1" x14ac:dyDescent="0.35">
      <c r="A120" s="42"/>
      <c r="F120" s="123"/>
      <c r="H120" s="123"/>
      <c r="I120" s="123"/>
      <c r="J120" s="219"/>
      <c r="K120" s="219"/>
      <c r="L120" s="123"/>
      <c r="M120" s="123"/>
      <c r="N120" s="123"/>
      <c r="O120" s="123"/>
      <c r="P120" s="123"/>
      <c r="Q120" s="123"/>
      <c r="R120" s="123"/>
      <c r="T120" s="41">
        <f>A57</f>
        <v>26</v>
      </c>
      <c r="V120" s="132" t="s">
        <v>449</v>
      </c>
      <c r="X120" s="42"/>
      <c r="Y120" s="151">
        <f>F57</f>
        <v>275</v>
      </c>
      <c r="Z120" s="1"/>
      <c r="AA120" s="151">
        <f>H57</f>
        <v>5922743</v>
      </c>
      <c r="AB120" s="3"/>
      <c r="AC120" s="7"/>
      <c r="AD120" s="7"/>
      <c r="AE120" s="151">
        <f>AE111+AE118</f>
        <v>819491</v>
      </c>
      <c r="AF120" s="3"/>
      <c r="AG120" s="187">
        <v>100</v>
      </c>
      <c r="AH120" s="4"/>
      <c r="AI120" s="151">
        <f>AI111+AI118</f>
        <v>119326</v>
      </c>
      <c r="AJ120" s="3"/>
      <c r="AK120" s="232">
        <f>IF(AE120=0,"0.0 ",ROUND((AI120/AE120)*100,1))</f>
        <v>14.6</v>
      </c>
      <c r="AL120" s="6"/>
      <c r="AM120" s="151">
        <f>AM111+AM118</f>
        <v>20654</v>
      </c>
      <c r="AN120" s="3"/>
      <c r="AO120" s="151">
        <f>AO111+AO118</f>
        <v>840145</v>
      </c>
      <c r="AP120" s="3"/>
      <c r="AQ120" s="232">
        <f>IF(AO120=0,"0.0 ",ROUND((AI120/AO120)*100,1))</f>
        <v>14.2</v>
      </c>
      <c r="AR120" s="123"/>
      <c r="AS120" s="123"/>
      <c r="AT120" s="123"/>
      <c r="AU120" s="160"/>
    </row>
    <row r="121" spans="1:47" ht="16.2" thickTop="1" x14ac:dyDescent="0.3">
      <c r="L121" s="123"/>
      <c r="M121" s="123"/>
      <c r="N121" s="123"/>
      <c r="O121" s="123"/>
      <c r="P121" s="123"/>
      <c r="Q121" s="123"/>
      <c r="R121" s="123"/>
      <c r="Y121" s="1"/>
      <c r="Z121" s="1"/>
      <c r="AA121" s="1"/>
      <c r="AB121" s="1"/>
      <c r="AC121" s="1"/>
      <c r="AD121" s="1"/>
      <c r="AE121" s="1"/>
      <c r="AF121" s="1"/>
      <c r="AG121" s="175"/>
      <c r="AH121" s="1"/>
      <c r="AI121" s="1"/>
      <c r="AJ121" s="1"/>
      <c r="AK121" s="175"/>
      <c r="AL121" s="1"/>
      <c r="AM121" s="1"/>
      <c r="AN121" s="1"/>
      <c r="AO121" s="1"/>
      <c r="AP121" s="1"/>
      <c r="AQ121" s="175"/>
      <c r="AR121" s="123"/>
      <c r="AS121" s="123"/>
      <c r="AT121" s="123"/>
      <c r="AU121" s="160"/>
    </row>
    <row r="122" spans="1:47" x14ac:dyDescent="0.3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V122" s="202" t="s">
        <v>59</v>
      </c>
      <c r="Y122" s="123"/>
      <c r="AA122" s="123"/>
      <c r="AB122" s="123"/>
      <c r="AC122" s="219"/>
      <c r="AD122" s="219"/>
      <c r="AE122" s="123"/>
      <c r="AF122" s="123"/>
      <c r="AH122" s="123"/>
    </row>
    <row r="123" spans="1:47" x14ac:dyDescent="0.3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V123" s="202" t="str">
        <f>"(2) REFLECTS FUEL COMPONENT OF "&amp;TEXT(CUR_FAC,"$0.000000;($0.000000)")&amp;"  PER KWH."</f>
        <v>(2) REFLECTS FUEL COMPONENT OF $0.003487  PER KWH.</v>
      </c>
      <c r="Y123" s="123"/>
      <c r="AA123" s="123"/>
      <c r="AB123" s="123"/>
      <c r="AC123" s="219"/>
      <c r="AD123" s="219"/>
      <c r="AE123" s="123"/>
      <c r="AF123" s="123"/>
      <c r="AH123" s="123"/>
    </row>
    <row r="124" spans="1:47" x14ac:dyDescent="0.3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V124" s="202" t="str">
        <f>"(3) REFLECTS FUEL COST RECOVERY INCLUDED IN BASE RATES OF "&amp;TEXT(CUR_BASE_FUEL,"$0.000000;($0.000000)")&amp;"  PER KWH."</f>
        <v>(3) REFLECTS FUEL COST RECOVERY INCLUDED IN BASE RATES OF $0.033780  PER KWH.</v>
      </c>
      <c r="Y124" s="123"/>
      <c r="AA124" s="123"/>
      <c r="AB124" s="123"/>
      <c r="AC124" s="219"/>
      <c r="AD124" s="219"/>
      <c r="AE124" s="123"/>
      <c r="AF124" s="123"/>
      <c r="AH124" s="123"/>
    </row>
    <row r="125" spans="1:47" x14ac:dyDescent="0.3"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V125" s="264" t="s">
        <v>390</v>
      </c>
    </row>
    <row r="126" spans="1:47" x14ac:dyDescent="0.3">
      <c r="C126" s="42"/>
      <c r="D126" s="42"/>
      <c r="E126" s="42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207"/>
      <c r="AH126" s="135"/>
      <c r="AI126" s="135"/>
      <c r="AJ126" s="135"/>
      <c r="AK126" s="207"/>
      <c r="AL126" s="135"/>
      <c r="AM126" s="135"/>
      <c r="AN126" s="135"/>
    </row>
    <row r="127" spans="1:47" x14ac:dyDescent="0.3">
      <c r="C127" s="42"/>
      <c r="AA127" s="44"/>
      <c r="AB127" s="44"/>
      <c r="AC127" s="44"/>
      <c r="AD127" s="44"/>
      <c r="AE127" s="44"/>
      <c r="AF127" s="44"/>
      <c r="AG127" s="168"/>
      <c r="AH127" s="44"/>
      <c r="AK127" s="168"/>
      <c r="AL127" s="44"/>
      <c r="AM127" s="44"/>
      <c r="AN127" s="44"/>
    </row>
    <row r="128" spans="1:47" x14ac:dyDescent="0.3">
      <c r="Z128" s="44"/>
      <c r="AA128" s="44"/>
      <c r="AB128" s="44"/>
      <c r="AC128" s="44"/>
      <c r="AD128" s="44"/>
      <c r="AE128" s="44"/>
      <c r="AF128" s="44"/>
      <c r="AG128" s="168"/>
      <c r="AH128" s="44"/>
      <c r="AK128" s="168"/>
      <c r="AL128" s="44"/>
      <c r="AM128" s="44"/>
      <c r="AN128" s="44"/>
    </row>
    <row r="129" spans="3:40" x14ac:dyDescent="0.3">
      <c r="C129" s="42"/>
      <c r="T129" s="44"/>
      <c r="U129" s="44"/>
      <c r="V129" s="44"/>
      <c r="Z129" s="44"/>
      <c r="AA129" s="44"/>
      <c r="AB129" s="44"/>
      <c r="AC129" s="44"/>
      <c r="AD129" s="44"/>
      <c r="AE129" s="44"/>
      <c r="AF129" s="44"/>
      <c r="AG129" s="168"/>
      <c r="AH129" s="44"/>
      <c r="AI129" s="44"/>
      <c r="AJ129" s="44"/>
      <c r="AK129" s="168"/>
      <c r="AL129" s="44"/>
      <c r="AM129" s="44"/>
      <c r="AN129" s="44"/>
    </row>
    <row r="130" spans="3:40" x14ac:dyDescent="0.3">
      <c r="C130" s="42"/>
      <c r="F130" s="184"/>
      <c r="H130" s="184"/>
      <c r="I130" s="184"/>
      <c r="J130" s="193"/>
      <c r="K130" s="193"/>
      <c r="L130" s="123"/>
      <c r="M130" s="123"/>
      <c r="N130" s="160"/>
      <c r="O130" s="160"/>
      <c r="R130" s="123"/>
      <c r="T130" s="44"/>
      <c r="U130" s="44"/>
      <c r="V130" s="44"/>
      <c r="Y130" s="44"/>
      <c r="Z130" s="44"/>
      <c r="AA130" s="44"/>
      <c r="AB130" s="44"/>
      <c r="AC130" s="44"/>
      <c r="AD130" s="44"/>
      <c r="AE130" s="44"/>
      <c r="AF130" s="44"/>
      <c r="AG130" s="168"/>
      <c r="AH130" s="44"/>
      <c r="AI130" s="44"/>
      <c r="AJ130" s="44"/>
      <c r="AK130" s="168"/>
      <c r="AL130" s="44"/>
      <c r="AM130" s="44"/>
      <c r="AN130" s="44"/>
    </row>
    <row r="131" spans="3:40" x14ac:dyDescent="0.3">
      <c r="C131" s="42"/>
      <c r="F131" s="184"/>
      <c r="H131" s="184"/>
      <c r="I131" s="184"/>
      <c r="J131" s="193"/>
      <c r="K131" s="193"/>
      <c r="L131" s="123"/>
      <c r="M131" s="123"/>
      <c r="N131" s="160"/>
      <c r="O131" s="160"/>
      <c r="R131" s="123"/>
      <c r="T131" s="44"/>
      <c r="U131" s="44"/>
      <c r="V131" s="44"/>
      <c r="Y131" s="44"/>
      <c r="Z131" s="44"/>
      <c r="AA131" s="44"/>
      <c r="AB131" s="44"/>
      <c r="AC131" s="44"/>
      <c r="AD131" s="44"/>
      <c r="AE131" s="44"/>
      <c r="AF131" s="44"/>
      <c r="AG131" s="168"/>
      <c r="AH131" s="44"/>
      <c r="AI131" s="44"/>
      <c r="AJ131" s="44"/>
      <c r="AK131" s="168"/>
      <c r="AL131" s="44"/>
      <c r="AM131" s="44"/>
      <c r="AN131" s="44"/>
    </row>
    <row r="132" spans="3:40" x14ac:dyDescent="0.3">
      <c r="C132" s="42"/>
      <c r="F132" s="184"/>
      <c r="H132" s="184"/>
      <c r="I132" s="184"/>
      <c r="J132" s="193"/>
      <c r="K132" s="193"/>
      <c r="L132" s="123"/>
      <c r="M132" s="123"/>
      <c r="N132" s="160"/>
      <c r="O132" s="160"/>
      <c r="R132" s="123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207"/>
      <c r="AH132" s="135"/>
      <c r="AI132" s="135"/>
      <c r="AJ132" s="135"/>
      <c r="AK132" s="207"/>
      <c r="AL132" s="135"/>
      <c r="AM132" s="135"/>
      <c r="AN132" s="135"/>
    </row>
    <row r="133" spans="3:40" x14ac:dyDescent="0.3">
      <c r="F133" s="210"/>
      <c r="H133" s="123"/>
      <c r="I133" s="123"/>
      <c r="J133" s="213"/>
      <c r="K133" s="213"/>
      <c r="L133" s="210"/>
      <c r="M133" s="210"/>
      <c r="N133" s="210"/>
      <c r="O133" s="210"/>
      <c r="P133" s="210"/>
      <c r="Q133" s="210"/>
      <c r="R133" s="210"/>
      <c r="Y133" s="44"/>
      <c r="Z133" s="44"/>
      <c r="AA133" s="44"/>
      <c r="AB133" s="44"/>
      <c r="AC133" s="44"/>
      <c r="AD133" s="44"/>
      <c r="AE133" s="44"/>
      <c r="AF133" s="44"/>
      <c r="AG133" s="168"/>
      <c r="AH133" s="44"/>
      <c r="AI133" s="44"/>
      <c r="AJ133" s="44"/>
      <c r="AK133" s="168"/>
      <c r="AL133" s="44"/>
      <c r="AM133" s="44"/>
      <c r="AN133" s="44"/>
    </row>
    <row r="134" spans="3:40" x14ac:dyDescent="0.3">
      <c r="C134" s="42"/>
      <c r="F134" s="123"/>
      <c r="H134" s="123"/>
      <c r="I134" s="123"/>
      <c r="J134" s="213"/>
      <c r="K134" s="213"/>
      <c r="L134" s="123"/>
      <c r="M134" s="123"/>
      <c r="N134" s="160"/>
      <c r="O134" s="160"/>
      <c r="P134" s="123"/>
      <c r="Q134" s="123"/>
      <c r="R134" s="123"/>
      <c r="T134" s="42"/>
      <c r="U134" s="42"/>
    </row>
    <row r="135" spans="3:40" x14ac:dyDescent="0.3">
      <c r="F135" s="210"/>
      <c r="H135" s="123"/>
      <c r="I135" s="123"/>
      <c r="J135" s="213"/>
      <c r="K135" s="213"/>
      <c r="L135" s="210"/>
      <c r="M135" s="210"/>
      <c r="N135" s="210"/>
      <c r="O135" s="210"/>
      <c r="P135" s="210"/>
      <c r="Q135" s="210"/>
      <c r="R135" s="210"/>
      <c r="T135" s="42"/>
    </row>
    <row r="136" spans="3:40" x14ac:dyDescent="0.3">
      <c r="C136" s="42"/>
      <c r="F136" s="184"/>
      <c r="H136" s="184"/>
      <c r="I136" s="184"/>
      <c r="J136" s="237"/>
      <c r="K136" s="237"/>
      <c r="L136" s="123"/>
      <c r="M136" s="123"/>
      <c r="N136" s="160"/>
      <c r="O136" s="160"/>
      <c r="P136" s="123"/>
      <c r="Q136" s="123"/>
      <c r="R136" s="123"/>
      <c r="S136" s="123"/>
    </row>
    <row r="137" spans="3:40" x14ac:dyDescent="0.3">
      <c r="C137" s="42"/>
      <c r="F137" s="184"/>
      <c r="H137" s="184"/>
      <c r="I137" s="184"/>
      <c r="J137" s="193"/>
      <c r="K137" s="193"/>
      <c r="L137" s="123"/>
      <c r="M137" s="123"/>
      <c r="N137" s="160"/>
      <c r="O137" s="160"/>
      <c r="P137" s="123"/>
      <c r="Q137" s="123"/>
      <c r="R137" s="123"/>
      <c r="T137" s="42"/>
    </row>
    <row r="138" spans="3:40" x14ac:dyDescent="0.3">
      <c r="C138" s="42"/>
      <c r="F138" s="184"/>
      <c r="H138" s="184"/>
      <c r="I138" s="184"/>
      <c r="J138" s="193"/>
      <c r="K138" s="193"/>
      <c r="L138" s="123"/>
      <c r="M138" s="123"/>
      <c r="N138" s="160"/>
      <c r="O138" s="160"/>
      <c r="P138" s="123"/>
      <c r="Q138" s="123"/>
      <c r="R138" s="123"/>
      <c r="T138" s="42"/>
      <c r="V138" s="123"/>
      <c r="Y138" s="184"/>
      <c r="Z138" s="193"/>
      <c r="AA138" s="123"/>
      <c r="AB138" s="123"/>
      <c r="AC138" s="160"/>
      <c r="AD138" s="160"/>
      <c r="AE138" s="123"/>
      <c r="AF138" s="123"/>
      <c r="AG138" s="233"/>
      <c r="AH138" s="234"/>
      <c r="AL138" s="123"/>
      <c r="AM138" s="235"/>
      <c r="AN138" s="235"/>
    </row>
    <row r="139" spans="3:40" x14ac:dyDescent="0.3">
      <c r="F139" s="123"/>
      <c r="H139" s="210"/>
      <c r="I139" s="210"/>
      <c r="J139" s="213"/>
      <c r="K139" s="213"/>
      <c r="L139" s="210"/>
      <c r="M139" s="210"/>
      <c r="N139" s="210"/>
      <c r="O139" s="210"/>
      <c r="P139" s="210"/>
      <c r="Q139" s="210"/>
      <c r="R139" s="210"/>
      <c r="T139" s="42"/>
      <c r="V139" s="123"/>
      <c r="Y139" s="184"/>
      <c r="Z139" s="193"/>
      <c r="AA139" s="123"/>
      <c r="AB139" s="123"/>
      <c r="AC139" s="160"/>
      <c r="AD139" s="160"/>
      <c r="AE139" s="123"/>
      <c r="AF139" s="123"/>
      <c r="AH139" s="236"/>
      <c r="AL139" s="123"/>
      <c r="AM139" s="160"/>
      <c r="AN139" s="160"/>
    </row>
    <row r="140" spans="3:40" x14ac:dyDescent="0.3">
      <c r="C140" s="42"/>
      <c r="F140" s="123"/>
      <c r="H140" s="123"/>
      <c r="I140" s="123"/>
      <c r="J140" s="213"/>
      <c r="K140" s="213"/>
      <c r="L140" s="123"/>
      <c r="M140" s="123"/>
      <c r="N140" s="160"/>
      <c r="O140" s="160"/>
      <c r="P140" s="123"/>
      <c r="Q140" s="123"/>
      <c r="R140" s="123"/>
      <c r="T140" s="42"/>
      <c r="V140" s="123"/>
      <c r="Y140" s="184"/>
      <c r="Z140" s="193"/>
      <c r="AA140" s="123"/>
      <c r="AB140" s="123"/>
      <c r="AC140" s="160"/>
      <c r="AD140" s="160"/>
      <c r="AE140" s="123"/>
      <c r="AF140" s="123"/>
      <c r="AH140" s="236"/>
      <c r="AL140" s="123"/>
      <c r="AM140" s="160"/>
      <c r="AN140" s="160"/>
    </row>
    <row r="141" spans="3:40" x14ac:dyDescent="0.3">
      <c r="F141" s="123"/>
      <c r="H141" s="210"/>
      <c r="I141" s="210"/>
      <c r="J141" s="213"/>
      <c r="K141" s="213"/>
      <c r="L141" s="210"/>
      <c r="M141" s="210"/>
      <c r="N141" s="210"/>
      <c r="O141" s="210"/>
      <c r="P141" s="210"/>
      <c r="Q141" s="210"/>
      <c r="R141" s="210"/>
      <c r="V141" s="210"/>
      <c r="Y141" s="123"/>
      <c r="Z141" s="213"/>
      <c r="AA141" s="210"/>
      <c r="AB141" s="210"/>
      <c r="AC141" s="210"/>
      <c r="AD141" s="210"/>
      <c r="AE141" s="210"/>
      <c r="AF141" s="210"/>
      <c r="AI141" s="210"/>
      <c r="AJ141" s="210"/>
      <c r="AK141" s="214"/>
      <c r="AL141" s="210"/>
      <c r="AM141" s="160"/>
      <c r="AN141" s="160"/>
    </row>
    <row r="142" spans="3:40" x14ac:dyDescent="0.3">
      <c r="C142" s="42"/>
      <c r="F142" s="123"/>
      <c r="H142" s="123"/>
      <c r="I142" s="123"/>
      <c r="J142" s="213"/>
      <c r="K142" s="213"/>
      <c r="L142" s="123"/>
      <c r="M142" s="123"/>
      <c r="N142" s="123"/>
      <c r="O142" s="123"/>
      <c r="P142" s="123"/>
      <c r="Q142" s="123"/>
      <c r="R142" s="123"/>
      <c r="T142" s="42"/>
      <c r="V142" s="123"/>
      <c r="Y142" s="123"/>
      <c r="Z142" s="219"/>
      <c r="AA142" s="123"/>
      <c r="AB142" s="123"/>
      <c r="AC142" s="160"/>
      <c r="AD142" s="160"/>
      <c r="AE142" s="123"/>
      <c r="AF142" s="123"/>
      <c r="AH142" s="236"/>
      <c r="AI142" s="123"/>
      <c r="AJ142" s="123"/>
      <c r="AL142" s="123"/>
      <c r="AM142" s="160"/>
      <c r="AN142" s="160"/>
    </row>
    <row r="143" spans="3:40" x14ac:dyDescent="0.3">
      <c r="C143" s="42"/>
      <c r="F143" s="123"/>
      <c r="H143" s="184"/>
      <c r="I143" s="184"/>
      <c r="J143" s="238"/>
      <c r="K143" s="238"/>
      <c r="L143" s="123"/>
      <c r="M143" s="123"/>
      <c r="N143" s="160"/>
      <c r="O143" s="160"/>
      <c r="P143" s="123"/>
      <c r="Q143" s="123"/>
      <c r="R143" s="123"/>
      <c r="V143" s="210"/>
      <c r="Y143" s="123"/>
      <c r="Z143" s="213"/>
      <c r="AA143" s="210"/>
      <c r="AB143" s="210"/>
      <c r="AC143" s="210"/>
      <c r="AD143" s="210"/>
      <c r="AE143" s="210"/>
      <c r="AF143" s="210"/>
      <c r="AI143" s="210"/>
      <c r="AJ143" s="210"/>
      <c r="AK143" s="214"/>
      <c r="AL143" s="210"/>
      <c r="AM143" s="160"/>
      <c r="AN143" s="160"/>
    </row>
    <row r="144" spans="3:40" x14ac:dyDescent="0.3">
      <c r="C144" s="42"/>
      <c r="H144" s="184"/>
      <c r="I144" s="184"/>
      <c r="J144" s="238"/>
      <c r="K144" s="238"/>
      <c r="L144" s="123"/>
      <c r="M144" s="123"/>
      <c r="N144" s="160"/>
      <c r="O144" s="160"/>
      <c r="P144" s="123"/>
      <c r="Q144" s="123"/>
      <c r="R144" s="123"/>
      <c r="T144" s="42"/>
      <c r="V144" s="184"/>
      <c r="Y144" s="184"/>
      <c r="Z144" s="237"/>
      <c r="AA144" s="123"/>
      <c r="AB144" s="123"/>
      <c r="AC144" s="160"/>
      <c r="AD144" s="160"/>
      <c r="AE144" s="123"/>
      <c r="AF144" s="123"/>
      <c r="AH144" s="160"/>
      <c r="AI144" s="123"/>
      <c r="AJ144" s="123"/>
      <c r="AL144" s="123"/>
      <c r="AM144" s="160"/>
      <c r="AN144" s="160"/>
    </row>
    <row r="145" spans="3:40" x14ac:dyDescent="0.3">
      <c r="F145" s="123"/>
      <c r="H145" s="123"/>
      <c r="I145" s="123"/>
      <c r="J145" s="213"/>
      <c r="K145" s="213"/>
      <c r="L145" s="210"/>
      <c r="M145" s="210"/>
      <c r="N145" s="210"/>
      <c r="O145" s="210"/>
      <c r="P145" s="210"/>
      <c r="Q145" s="210"/>
      <c r="R145" s="210"/>
      <c r="T145" s="42"/>
      <c r="V145" s="184"/>
      <c r="Y145" s="123"/>
      <c r="Z145" s="193"/>
      <c r="AA145" s="123"/>
      <c r="AB145" s="123"/>
      <c r="AC145" s="160"/>
      <c r="AD145" s="160"/>
      <c r="AE145" s="123"/>
      <c r="AF145" s="123"/>
      <c r="AH145" s="236"/>
      <c r="AI145" s="123"/>
      <c r="AJ145" s="123"/>
      <c r="AL145" s="123"/>
      <c r="AM145" s="160"/>
      <c r="AN145" s="160"/>
    </row>
    <row r="146" spans="3:40" x14ac:dyDescent="0.3">
      <c r="C146" s="42"/>
      <c r="F146" s="123"/>
      <c r="H146" s="123"/>
      <c r="I146" s="123"/>
      <c r="J146" s="219"/>
      <c r="K146" s="219"/>
      <c r="L146" s="123"/>
      <c r="M146" s="123"/>
      <c r="N146" s="160"/>
      <c r="O146" s="160"/>
      <c r="P146" s="123"/>
      <c r="Q146" s="123"/>
      <c r="R146" s="123"/>
      <c r="T146" s="42"/>
      <c r="V146" s="184"/>
      <c r="Y146" s="123"/>
      <c r="Z146" s="193"/>
      <c r="AA146" s="123"/>
      <c r="AB146" s="123"/>
      <c r="AC146" s="160"/>
      <c r="AD146" s="160"/>
      <c r="AE146" s="123"/>
      <c r="AF146" s="123"/>
      <c r="AH146" s="236"/>
      <c r="AI146" s="123"/>
      <c r="AJ146" s="123"/>
      <c r="AL146" s="123"/>
      <c r="AM146" s="160"/>
      <c r="AN146" s="160"/>
    </row>
    <row r="147" spans="3:40" x14ac:dyDescent="0.3">
      <c r="F147" s="123"/>
      <c r="H147" s="123"/>
      <c r="I147" s="123"/>
      <c r="J147" s="213"/>
      <c r="K147" s="213"/>
      <c r="L147" s="210"/>
      <c r="M147" s="210"/>
      <c r="N147" s="210"/>
      <c r="O147" s="210"/>
      <c r="P147" s="210"/>
      <c r="Q147" s="210"/>
      <c r="R147" s="210"/>
      <c r="V147" s="123"/>
      <c r="Y147" s="210"/>
      <c r="Z147" s="213"/>
      <c r="AA147" s="210"/>
      <c r="AB147" s="210"/>
      <c r="AC147" s="210"/>
      <c r="AD147" s="210"/>
      <c r="AE147" s="210"/>
      <c r="AF147" s="210"/>
      <c r="AI147" s="210"/>
      <c r="AJ147" s="210"/>
      <c r="AK147" s="214"/>
      <c r="AL147" s="210"/>
      <c r="AM147" s="160"/>
      <c r="AN147" s="160"/>
    </row>
    <row r="148" spans="3:40" x14ac:dyDescent="0.3">
      <c r="C148" s="42"/>
      <c r="F148" s="123"/>
      <c r="H148" s="123"/>
      <c r="I148" s="123"/>
      <c r="J148" s="219"/>
      <c r="K148" s="219"/>
      <c r="L148" s="123"/>
      <c r="M148" s="123"/>
      <c r="N148" s="160"/>
      <c r="O148" s="160"/>
      <c r="P148" s="123"/>
      <c r="Q148" s="123"/>
      <c r="R148" s="123"/>
      <c r="T148" s="42"/>
      <c r="V148" s="123"/>
      <c r="Y148" s="123"/>
      <c r="Z148" s="213"/>
      <c r="AA148" s="123"/>
      <c r="AB148" s="123"/>
      <c r="AC148" s="160"/>
      <c r="AD148" s="160"/>
      <c r="AE148" s="123"/>
      <c r="AF148" s="123"/>
      <c r="AH148" s="236"/>
      <c r="AI148" s="123"/>
      <c r="AJ148" s="123"/>
      <c r="AL148" s="123"/>
      <c r="AM148" s="160"/>
      <c r="AN148" s="160"/>
    </row>
    <row r="149" spans="3:40" x14ac:dyDescent="0.3">
      <c r="C149" s="42"/>
      <c r="F149" s="123"/>
      <c r="H149" s="184"/>
      <c r="I149" s="184"/>
      <c r="J149" s="227"/>
      <c r="K149" s="227"/>
      <c r="L149" s="123"/>
      <c r="M149" s="123"/>
      <c r="N149" s="160"/>
      <c r="O149" s="160"/>
      <c r="P149" s="123"/>
      <c r="Q149" s="123"/>
      <c r="R149" s="123"/>
      <c r="V149" s="123"/>
      <c r="Y149" s="210"/>
      <c r="Z149" s="213"/>
      <c r="AA149" s="210"/>
      <c r="AB149" s="210"/>
      <c r="AC149" s="210"/>
      <c r="AD149" s="210"/>
      <c r="AE149" s="210"/>
      <c r="AF149" s="210"/>
      <c r="AI149" s="210"/>
      <c r="AJ149" s="210"/>
      <c r="AK149" s="214"/>
      <c r="AL149" s="210"/>
      <c r="AM149" s="160"/>
      <c r="AN149" s="160"/>
    </row>
    <row r="150" spans="3:40" x14ac:dyDescent="0.3">
      <c r="F150" s="210"/>
      <c r="H150" s="210"/>
      <c r="I150" s="210"/>
      <c r="J150" s="213"/>
      <c r="K150" s="213"/>
      <c r="L150" s="210"/>
      <c r="M150" s="210"/>
      <c r="N150" s="210"/>
      <c r="O150" s="210"/>
      <c r="P150" s="210"/>
      <c r="Q150" s="210"/>
      <c r="R150" s="210"/>
      <c r="T150" s="42"/>
      <c r="V150" s="123"/>
      <c r="Y150" s="123"/>
      <c r="Z150" s="213"/>
      <c r="AA150" s="123"/>
      <c r="AB150" s="123"/>
      <c r="AC150" s="123"/>
      <c r="AD150" s="123"/>
      <c r="AE150" s="123"/>
      <c r="AF150" s="123"/>
      <c r="AH150" s="236"/>
      <c r="AI150" s="123"/>
      <c r="AJ150" s="123"/>
      <c r="AL150" s="123"/>
      <c r="AM150" s="160"/>
      <c r="AN150" s="160"/>
    </row>
    <row r="151" spans="3:40" x14ac:dyDescent="0.3">
      <c r="C151" s="42"/>
      <c r="F151" s="123"/>
      <c r="H151" s="123"/>
      <c r="I151" s="123"/>
      <c r="J151" s="213"/>
      <c r="K151" s="213"/>
      <c r="L151" s="123"/>
      <c r="M151" s="123"/>
      <c r="N151" s="160"/>
      <c r="O151" s="160"/>
      <c r="P151" s="123"/>
      <c r="Q151" s="123"/>
      <c r="R151" s="123"/>
      <c r="S151" s="123"/>
      <c r="T151" s="42"/>
      <c r="V151" s="123"/>
      <c r="Y151" s="123"/>
      <c r="Z151" s="238"/>
      <c r="AA151" s="123"/>
      <c r="AB151" s="123"/>
      <c r="AC151" s="160"/>
      <c r="AD151" s="160"/>
      <c r="AE151" s="123"/>
      <c r="AF151" s="123"/>
      <c r="AH151" s="236"/>
      <c r="AI151" s="123"/>
      <c r="AJ151" s="123"/>
      <c r="AL151" s="123"/>
      <c r="AM151" s="160"/>
      <c r="AN151" s="160"/>
    </row>
    <row r="152" spans="3:40" x14ac:dyDescent="0.3">
      <c r="F152" s="210"/>
      <c r="H152" s="210"/>
      <c r="I152" s="210"/>
      <c r="J152" s="213"/>
      <c r="K152" s="213"/>
      <c r="L152" s="210"/>
      <c r="M152" s="210"/>
      <c r="N152" s="210"/>
      <c r="O152" s="210"/>
      <c r="P152" s="210"/>
      <c r="Q152" s="210"/>
      <c r="R152" s="210"/>
      <c r="S152" s="123"/>
      <c r="T152" s="42"/>
      <c r="Y152" s="123"/>
      <c r="Z152" s="238"/>
      <c r="AA152" s="123"/>
      <c r="AB152" s="123"/>
      <c r="AC152" s="160"/>
      <c r="AD152" s="160"/>
      <c r="AE152" s="123"/>
      <c r="AF152" s="123"/>
      <c r="AH152" s="236"/>
      <c r="AI152" s="123"/>
      <c r="AJ152" s="123"/>
      <c r="AL152" s="123"/>
      <c r="AM152" s="160"/>
      <c r="AN152" s="160"/>
    </row>
    <row r="153" spans="3:40" x14ac:dyDescent="0.3">
      <c r="C153" s="42"/>
      <c r="F153" s="184"/>
      <c r="H153" s="239"/>
      <c r="I153" s="239"/>
      <c r="J153" s="213"/>
      <c r="K153" s="213"/>
      <c r="L153" s="123"/>
      <c r="M153" s="123"/>
      <c r="N153" s="160"/>
      <c r="O153" s="160"/>
      <c r="P153" s="123"/>
      <c r="Q153" s="123"/>
      <c r="R153" s="123"/>
      <c r="S153" s="123"/>
      <c r="V153" s="123"/>
      <c r="Y153" s="123"/>
      <c r="Z153" s="213"/>
      <c r="AA153" s="210"/>
      <c r="AB153" s="210"/>
      <c r="AC153" s="210"/>
      <c r="AD153" s="210"/>
      <c r="AE153" s="210"/>
      <c r="AF153" s="210"/>
      <c r="AI153" s="210"/>
      <c r="AJ153" s="210"/>
      <c r="AK153" s="214"/>
      <c r="AL153" s="210"/>
      <c r="AM153" s="160"/>
      <c r="AN153" s="160"/>
    </row>
    <row r="154" spans="3:40" x14ac:dyDescent="0.3">
      <c r="T154" s="42"/>
      <c r="V154" s="123"/>
      <c r="Y154" s="123"/>
      <c r="Z154" s="219"/>
      <c r="AA154" s="123"/>
      <c r="AB154" s="123"/>
      <c r="AC154" s="160"/>
      <c r="AD154" s="160"/>
      <c r="AE154" s="123"/>
      <c r="AF154" s="123"/>
      <c r="AH154" s="236"/>
      <c r="AI154" s="123"/>
      <c r="AJ154" s="123"/>
      <c r="AL154" s="123"/>
      <c r="AM154" s="160"/>
      <c r="AN154" s="160"/>
    </row>
    <row r="155" spans="3:40" x14ac:dyDescent="0.3">
      <c r="C155" s="42"/>
      <c r="V155" s="123"/>
      <c r="Y155" s="123"/>
      <c r="Z155" s="213"/>
      <c r="AA155" s="210"/>
      <c r="AB155" s="210"/>
      <c r="AC155" s="210"/>
      <c r="AD155" s="210"/>
      <c r="AE155" s="210"/>
      <c r="AF155" s="210"/>
      <c r="AI155" s="210"/>
      <c r="AJ155" s="210"/>
      <c r="AK155" s="214"/>
      <c r="AL155" s="210"/>
      <c r="AM155" s="160"/>
      <c r="AN155" s="160"/>
    </row>
    <row r="156" spans="3:40" x14ac:dyDescent="0.3">
      <c r="C156" s="42"/>
      <c r="F156" s="184"/>
      <c r="H156" s="184"/>
      <c r="I156" s="184"/>
      <c r="J156" s="193"/>
      <c r="K156" s="193"/>
      <c r="L156" s="123"/>
      <c r="M156" s="123"/>
      <c r="N156" s="160"/>
      <c r="O156" s="160"/>
      <c r="R156" s="123"/>
      <c r="T156" s="42"/>
      <c r="V156" s="123"/>
      <c r="Y156" s="123"/>
      <c r="Z156" s="219"/>
      <c r="AA156" s="123"/>
      <c r="AB156" s="123"/>
      <c r="AC156" s="160"/>
      <c r="AD156" s="160"/>
      <c r="AE156" s="123"/>
      <c r="AF156" s="123"/>
      <c r="AH156" s="236"/>
      <c r="AI156" s="123"/>
      <c r="AJ156" s="123"/>
      <c r="AL156" s="123"/>
      <c r="AM156" s="160"/>
      <c r="AN156" s="160"/>
    </row>
    <row r="157" spans="3:40" x14ac:dyDescent="0.3">
      <c r="C157" s="42"/>
      <c r="F157" s="184"/>
      <c r="H157" s="184"/>
      <c r="I157" s="184"/>
      <c r="J157" s="193"/>
      <c r="K157" s="193"/>
      <c r="L157" s="123"/>
      <c r="M157" s="123"/>
      <c r="N157" s="160"/>
      <c r="O157" s="160"/>
      <c r="R157" s="123"/>
      <c r="T157" s="42"/>
      <c r="V157" s="184"/>
      <c r="Y157" s="123"/>
      <c r="Z157" s="227"/>
      <c r="AA157" s="123"/>
      <c r="AB157" s="123"/>
      <c r="AC157" s="160"/>
      <c r="AD157" s="160"/>
      <c r="AE157" s="123"/>
      <c r="AF157" s="123"/>
      <c r="AH157" s="236"/>
      <c r="AI157" s="123"/>
      <c r="AJ157" s="123"/>
      <c r="AL157" s="123"/>
      <c r="AM157" s="160"/>
      <c r="AN157" s="160"/>
    </row>
    <row r="158" spans="3:40" x14ac:dyDescent="0.3">
      <c r="C158" s="42"/>
      <c r="F158" s="184"/>
      <c r="H158" s="184"/>
      <c r="I158" s="184"/>
      <c r="J158" s="193"/>
      <c r="K158" s="193"/>
      <c r="L158" s="123"/>
      <c r="M158" s="123"/>
      <c r="N158" s="160"/>
      <c r="O158" s="160"/>
      <c r="R158" s="123"/>
      <c r="V158" s="210"/>
      <c r="Y158" s="210"/>
      <c r="Z158" s="213"/>
      <c r="AA158" s="210"/>
      <c r="AB158" s="210"/>
      <c r="AC158" s="210"/>
      <c r="AD158" s="210"/>
      <c r="AE158" s="210"/>
      <c r="AF158" s="210"/>
      <c r="AI158" s="210"/>
      <c r="AJ158" s="210"/>
      <c r="AK158" s="214"/>
      <c r="AL158" s="210"/>
      <c r="AM158" s="160"/>
      <c r="AN158" s="160"/>
    </row>
    <row r="159" spans="3:40" x14ac:dyDescent="0.3">
      <c r="F159" s="210"/>
      <c r="H159" s="123"/>
      <c r="I159" s="123"/>
      <c r="J159" s="213"/>
      <c r="K159" s="213"/>
      <c r="L159" s="210"/>
      <c r="M159" s="210"/>
      <c r="N159" s="210"/>
      <c r="O159" s="210"/>
      <c r="P159" s="210"/>
      <c r="Q159" s="210"/>
      <c r="R159" s="210"/>
      <c r="T159" s="42"/>
      <c r="V159" s="123"/>
      <c r="Y159" s="123"/>
      <c r="Z159" s="213"/>
      <c r="AA159" s="123"/>
      <c r="AB159" s="123"/>
      <c r="AC159" s="160"/>
      <c r="AD159" s="160"/>
      <c r="AE159" s="123"/>
      <c r="AF159" s="123"/>
      <c r="AH159" s="160"/>
      <c r="AI159" s="123"/>
      <c r="AJ159" s="123"/>
      <c r="AL159" s="123"/>
      <c r="AM159" s="160"/>
      <c r="AN159" s="160"/>
    </row>
    <row r="160" spans="3:40" x14ac:dyDescent="0.3">
      <c r="C160" s="42"/>
      <c r="F160" s="123"/>
      <c r="H160" s="123"/>
      <c r="I160" s="123"/>
      <c r="J160" s="213"/>
      <c r="K160" s="213"/>
      <c r="L160" s="123"/>
      <c r="M160" s="123"/>
      <c r="N160" s="160"/>
      <c r="O160" s="160"/>
      <c r="P160" s="123"/>
      <c r="Q160" s="123"/>
      <c r="R160" s="123"/>
      <c r="V160" s="210"/>
      <c r="Y160" s="210"/>
      <c r="Z160" s="213"/>
      <c r="AA160" s="210"/>
      <c r="AB160" s="210"/>
      <c r="AC160" s="210"/>
      <c r="AD160" s="210"/>
      <c r="AE160" s="210"/>
      <c r="AF160" s="210"/>
      <c r="AI160" s="210"/>
      <c r="AJ160" s="210"/>
      <c r="AK160" s="214"/>
      <c r="AL160" s="210"/>
      <c r="AM160" s="160"/>
      <c r="AN160" s="160"/>
    </row>
    <row r="161" spans="3:40" x14ac:dyDescent="0.3">
      <c r="F161" s="210"/>
      <c r="H161" s="123"/>
      <c r="I161" s="123"/>
      <c r="J161" s="213"/>
      <c r="K161" s="213"/>
      <c r="L161" s="210"/>
      <c r="M161" s="210"/>
      <c r="N161" s="210"/>
      <c r="O161" s="210"/>
      <c r="P161" s="210"/>
      <c r="Q161" s="210"/>
      <c r="R161" s="210"/>
      <c r="T161" s="42"/>
      <c r="V161" s="184"/>
      <c r="Y161" s="184"/>
      <c r="Z161" s="213"/>
      <c r="AA161" s="123"/>
      <c r="AB161" s="123"/>
      <c r="AC161" s="160"/>
      <c r="AD161" s="160"/>
      <c r="AE161" s="123"/>
      <c r="AF161" s="123"/>
      <c r="AI161" s="123"/>
      <c r="AJ161" s="123"/>
      <c r="AL161" s="123"/>
      <c r="AM161" s="160"/>
      <c r="AN161" s="160"/>
    </row>
    <row r="162" spans="3:40" x14ac:dyDescent="0.3">
      <c r="C162" s="42"/>
      <c r="F162" s="184"/>
      <c r="H162" s="184"/>
      <c r="I162" s="184"/>
      <c r="J162" s="237"/>
      <c r="K162" s="237"/>
      <c r="L162" s="123"/>
      <c r="M162" s="123"/>
      <c r="N162" s="160"/>
      <c r="O162" s="160"/>
      <c r="P162" s="123"/>
      <c r="Q162" s="123"/>
      <c r="R162" s="123"/>
      <c r="S162" s="123"/>
    </row>
    <row r="163" spans="3:40" x14ac:dyDescent="0.3">
      <c r="C163" s="42"/>
      <c r="F163" s="184"/>
      <c r="H163" s="184"/>
      <c r="I163" s="184"/>
      <c r="J163" s="193"/>
      <c r="K163" s="193"/>
      <c r="L163" s="123"/>
      <c r="M163" s="123"/>
      <c r="N163" s="160"/>
      <c r="O163" s="160"/>
      <c r="P163" s="123"/>
      <c r="Q163" s="123"/>
      <c r="R163" s="123"/>
      <c r="T163" s="42"/>
    </row>
    <row r="164" spans="3:40" x14ac:dyDescent="0.3">
      <c r="C164" s="42"/>
      <c r="F164" s="184"/>
      <c r="H164" s="184"/>
      <c r="I164" s="184"/>
      <c r="J164" s="193"/>
      <c r="K164" s="193"/>
      <c r="L164" s="123"/>
      <c r="M164" s="123"/>
      <c r="N164" s="160"/>
      <c r="O164" s="160"/>
      <c r="P164" s="123"/>
      <c r="Q164" s="123"/>
      <c r="R164" s="123"/>
      <c r="T164" s="42"/>
      <c r="V164" s="123"/>
      <c r="Y164" s="184"/>
      <c r="Z164" s="193"/>
      <c r="AA164" s="123"/>
      <c r="AB164" s="123"/>
      <c r="AC164" s="160"/>
      <c r="AD164" s="160"/>
      <c r="AE164" s="123"/>
      <c r="AF164" s="123"/>
      <c r="AG164" s="233"/>
      <c r="AH164" s="234"/>
      <c r="AL164" s="123"/>
      <c r="AM164" s="235"/>
      <c r="AN164" s="235"/>
    </row>
    <row r="165" spans="3:40" x14ac:dyDescent="0.3">
      <c r="F165" s="123"/>
      <c r="H165" s="210"/>
      <c r="I165" s="210"/>
      <c r="J165" s="213"/>
      <c r="K165" s="213"/>
      <c r="L165" s="210"/>
      <c r="M165" s="210"/>
      <c r="N165" s="210"/>
      <c r="O165" s="210"/>
      <c r="P165" s="210"/>
      <c r="Q165" s="210"/>
      <c r="R165" s="210"/>
      <c r="T165" s="42"/>
      <c r="V165" s="123"/>
      <c r="Y165" s="184"/>
      <c r="Z165" s="193"/>
      <c r="AA165" s="123"/>
      <c r="AB165" s="123"/>
      <c r="AC165" s="160"/>
      <c r="AD165" s="160"/>
      <c r="AE165" s="123"/>
      <c r="AF165" s="123"/>
      <c r="AH165" s="236"/>
      <c r="AL165" s="123"/>
      <c r="AM165" s="160"/>
      <c r="AN165" s="160"/>
    </row>
    <row r="166" spans="3:40" x14ac:dyDescent="0.3">
      <c r="C166" s="42"/>
      <c r="F166" s="123"/>
      <c r="H166" s="123"/>
      <c r="I166" s="123"/>
      <c r="J166" s="213"/>
      <c r="K166" s="213"/>
      <c r="L166" s="123"/>
      <c r="M166" s="123"/>
      <c r="N166" s="160"/>
      <c r="O166" s="160"/>
      <c r="P166" s="123"/>
      <c r="Q166" s="123"/>
      <c r="R166" s="123"/>
      <c r="T166" s="42"/>
      <c r="V166" s="123"/>
      <c r="Y166" s="184"/>
      <c r="Z166" s="193"/>
      <c r="AA166" s="123"/>
      <c r="AB166" s="123"/>
      <c r="AC166" s="160"/>
      <c r="AD166" s="160"/>
      <c r="AE166" s="123"/>
      <c r="AF166" s="123"/>
      <c r="AH166" s="236"/>
      <c r="AL166" s="123"/>
      <c r="AM166" s="160"/>
      <c r="AN166" s="160"/>
    </row>
    <row r="167" spans="3:40" x14ac:dyDescent="0.3">
      <c r="F167" s="123"/>
      <c r="H167" s="210"/>
      <c r="I167" s="210"/>
      <c r="J167" s="213"/>
      <c r="K167" s="213"/>
      <c r="L167" s="210"/>
      <c r="M167" s="210"/>
      <c r="N167" s="210"/>
      <c r="O167" s="210"/>
      <c r="P167" s="210"/>
      <c r="Q167" s="210"/>
      <c r="R167" s="210"/>
      <c r="V167" s="210"/>
      <c r="Y167" s="123"/>
      <c r="Z167" s="213"/>
      <c r="AA167" s="210"/>
      <c r="AB167" s="210"/>
      <c r="AC167" s="210"/>
      <c r="AD167" s="210"/>
      <c r="AE167" s="210"/>
      <c r="AF167" s="210"/>
      <c r="AI167" s="210"/>
      <c r="AJ167" s="210"/>
      <c r="AK167" s="214"/>
      <c r="AL167" s="210"/>
      <c r="AM167" s="160"/>
      <c r="AN167" s="160"/>
    </row>
    <row r="168" spans="3:40" x14ac:dyDescent="0.3">
      <c r="C168" s="42"/>
      <c r="F168" s="123"/>
      <c r="H168" s="123"/>
      <c r="I168" s="123"/>
      <c r="J168" s="213"/>
      <c r="K168" s="213"/>
      <c r="L168" s="123"/>
      <c r="M168" s="123"/>
      <c r="N168" s="123"/>
      <c r="O168" s="123"/>
      <c r="P168" s="123"/>
      <c r="Q168" s="123"/>
      <c r="R168" s="123"/>
      <c r="T168" s="42"/>
      <c r="V168" s="123"/>
      <c r="Y168" s="123"/>
      <c r="Z168" s="213"/>
      <c r="AA168" s="123"/>
      <c r="AB168" s="123"/>
      <c r="AC168" s="160"/>
      <c r="AD168" s="160"/>
      <c r="AE168" s="123"/>
      <c r="AF168" s="123"/>
      <c r="AH168" s="236"/>
      <c r="AI168" s="123"/>
      <c r="AJ168" s="123"/>
      <c r="AL168" s="123"/>
      <c r="AM168" s="160"/>
      <c r="AN168" s="160"/>
    </row>
    <row r="169" spans="3:40" x14ac:dyDescent="0.3">
      <c r="C169" s="42"/>
      <c r="F169" s="123"/>
      <c r="H169" s="184"/>
      <c r="I169" s="184"/>
      <c r="J169" s="238"/>
      <c r="K169" s="238"/>
      <c r="L169" s="123"/>
      <c r="M169" s="123"/>
      <c r="N169" s="160"/>
      <c r="O169" s="160"/>
      <c r="P169" s="123"/>
      <c r="Q169" s="123"/>
      <c r="R169" s="123"/>
      <c r="V169" s="210"/>
      <c r="Y169" s="123"/>
      <c r="Z169" s="213"/>
      <c r="AA169" s="210"/>
      <c r="AB169" s="210"/>
      <c r="AC169" s="210"/>
      <c r="AD169" s="210"/>
      <c r="AE169" s="210"/>
      <c r="AF169" s="210"/>
      <c r="AI169" s="210"/>
      <c r="AJ169" s="210"/>
      <c r="AK169" s="214"/>
      <c r="AL169" s="210"/>
      <c r="AM169" s="160"/>
      <c r="AN169" s="160"/>
    </row>
    <row r="170" spans="3:40" x14ac:dyDescent="0.3">
      <c r="C170" s="42"/>
      <c r="H170" s="184"/>
      <c r="I170" s="184"/>
      <c r="J170" s="238"/>
      <c r="K170" s="238"/>
      <c r="L170" s="123"/>
      <c r="M170" s="123"/>
      <c r="N170" s="160"/>
      <c r="O170" s="160"/>
      <c r="P170" s="123"/>
      <c r="Q170" s="123"/>
      <c r="R170" s="123"/>
      <c r="T170" s="42"/>
      <c r="V170" s="184"/>
      <c r="Y170" s="184"/>
      <c r="Z170" s="237"/>
      <c r="AA170" s="123"/>
      <c r="AB170" s="123"/>
      <c r="AC170" s="160"/>
      <c r="AD170" s="160"/>
      <c r="AE170" s="123"/>
      <c r="AF170" s="123"/>
      <c r="AH170" s="160"/>
      <c r="AI170" s="123"/>
      <c r="AJ170" s="123"/>
      <c r="AL170" s="123"/>
      <c r="AM170" s="160"/>
      <c r="AN170" s="160"/>
    </row>
    <row r="171" spans="3:40" x14ac:dyDescent="0.3">
      <c r="F171" s="123"/>
      <c r="H171" s="123"/>
      <c r="I171" s="123"/>
      <c r="J171" s="213"/>
      <c r="K171" s="213"/>
      <c r="L171" s="210"/>
      <c r="M171" s="210"/>
      <c r="N171" s="210"/>
      <c r="O171" s="210"/>
      <c r="P171" s="210"/>
      <c r="Q171" s="210"/>
      <c r="R171" s="210"/>
      <c r="T171" s="42"/>
      <c r="V171" s="184"/>
      <c r="Y171" s="123"/>
      <c r="Z171" s="193"/>
      <c r="AA171" s="123"/>
      <c r="AB171" s="123"/>
      <c r="AC171" s="160"/>
      <c r="AD171" s="160"/>
      <c r="AE171" s="123"/>
      <c r="AF171" s="123"/>
      <c r="AH171" s="236"/>
      <c r="AI171" s="123"/>
      <c r="AJ171" s="123"/>
      <c r="AL171" s="123"/>
      <c r="AM171" s="160"/>
      <c r="AN171" s="160"/>
    </row>
    <row r="172" spans="3:40" x14ac:dyDescent="0.3">
      <c r="C172" s="42"/>
      <c r="F172" s="123"/>
      <c r="H172" s="123"/>
      <c r="I172" s="123"/>
      <c r="J172" s="219"/>
      <c r="K172" s="219"/>
      <c r="L172" s="123"/>
      <c r="M172" s="123"/>
      <c r="N172" s="160"/>
      <c r="O172" s="160"/>
      <c r="P172" s="123"/>
      <c r="Q172" s="123"/>
      <c r="R172" s="123"/>
      <c r="T172" s="42"/>
      <c r="V172" s="184"/>
      <c r="Y172" s="123"/>
      <c r="Z172" s="193"/>
      <c r="AA172" s="123"/>
      <c r="AB172" s="123"/>
      <c r="AC172" s="160"/>
      <c r="AD172" s="160"/>
      <c r="AE172" s="123"/>
      <c r="AF172" s="123"/>
      <c r="AH172" s="236"/>
      <c r="AI172" s="123"/>
      <c r="AJ172" s="123"/>
      <c r="AL172" s="123"/>
      <c r="AM172" s="160"/>
      <c r="AN172" s="160"/>
    </row>
    <row r="173" spans="3:40" x14ac:dyDescent="0.3">
      <c r="F173" s="123"/>
      <c r="H173" s="123"/>
      <c r="I173" s="123"/>
      <c r="J173" s="213"/>
      <c r="K173" s="213"/>
      <c r="L173" s="210"/>
      <c r="M173" s="210"/>
      <c r="N173" s="210"/>
      <c r="O173" s="210"/>
      <c r="P173" s="210"/>
      <c r="Q173" s="210"/>
      <c r="R173" s="210"/>
      <c r="V173" s="123"/>
      <c r="Y173" s="210"/>
      <c r="Z173" s="213"/>
      <c r="AA173" s="210"/>
      <c r="AB173" s="210"/>
      <c r="AC173" s="210"/>
      <c r="AD173" s="210"/>
      <c r="AE173" s="210"/>
      <c r="AF173" s="210"/>
      <c r="AI173" s="210"/>
      <c r="AJ173" s="210"/>
      <c r="AK173" s="214"/>
      <c r="AL173" s="210"/>
      <c r="AM173" s="160"/>
      <c r="AN173" s="160"/>
    </row>
    <row r="174" spans="3:40" x14ac:dyDescent="0.3">
      <c r="C174" s="42"/>
      <c r="F174" s="123"/>
      <c r="H174" s="123"/>
      <c r="I174" s="123"/>
      <c r="J174" s="219"/>
      <c r="K174" s="219"/>
      <c r="L174" s="123"/>
      <c r="M174" s="123"/>
      <c r="N174" s="160"/>
      <c r="O174" s="160"/>
      <c r="P174" s="123"/>
      <c r="Q174" s="123"/>
      <c r="R174" s="123"/>
      <c r="T174" s="42"/>
      <c r="V174" s="123"/>
      <c r="Y174" s="123"/>
      <c r="Z174" s="213"/>
      <c r="AA174" s="123"/>
      <c r="AB174" s="123"/>
      <c r="AC174" s="160"/>
      <c r="AD174" s="160"/>
      <c r="AE174" s="123"/>
      <c r="AF174" s="123"/>
      <c r="AH174" s="236"/>
      <c r="AI174" s="123"/>
      <c r="AJ174" s="123"/>
      <c r="AL174" s="123"/>
      <c r="AM174" s="160"/>
      <c r="AN174" s="160"/>
    </row>
    <row r="175" spans="3:40" x14ac:dyDescent="0.3">
      <c r="C175" s="42"/>
      <c r="F175" s="184"/>
      <c r="H175" s="184"/>
      <c r="I175" s="184"/>
      <c r="J175" s="227"/>
      <c r="K175" s="227"/>
      <c r="L175" s="123"/>
      <c r="M175" s="123"/>
      <c r="N175" s="160"/>
      <c r="O175" s="160"/>
      <c r="P175" s="123"/>
      <c r="Q175" s="123"/>
      <c r="R175" s="123"/>
      <c r="V175" s="123"/>
      <c r="Y175" s="210"/>
      <c r="Z175" s="213"/>
      <c r="AA175" s="210"/>
      <c r="AB175" s="210"/>
      <c r="AC175" s="210"/>
      <c r="AD175" s="210"/>
      <c r="AE175" s="210"/>
      <c r="AF175" s="210"/>
      <c r="AI175" s="210"/>
      <c r="AJ175" s="210"/>
      <c r="AK175" s="214"/>
      <c r="AL175" s="210"/>
      <c r="AM175" s="160"/>
      <c r="AN175" s="160"/>
    </row>
    <row r="176" spans="3:40" x14ac:dyDescent="0.3">
      <c r="F176" s="210"/>
      <c r="H176" s="210"/>
      <c r="I176" s="210"/>
      <c r="J176" s="213"/>
      <c r="K176" s="213"/>
      <c r="L176" s="210"/>
      <c r="M176" s="210"/>
      <c r="N176" s="210"/>
      <c r="O176" s="210"/>
      <c r="P176" s="210"/>
      <c r="Q176" s="210"/>
      <c r="R176" s="210"/>
      <c r="T176" s="42"/>
      <c r="V176" s="123"/>
      <c r="Y176" s="123"/>
      <c r="Z176" s="213"/>
      <c r="AA176" s="123"/>
      <c r="AB176" s="123"/>
      <c r="AC176" s="123"/>
      <c r="AD176" s="123"/>
      <c r="AE176" s="123"/>
      <c r="AF176" s="123"/>
      <c r="AH176" s="236"/>
      <c r="AI176" s="123"/>
      <c r="AJ176" s="123"/>
      <c r="AL176" s="123"/>
      <c r="AM176" s="160"/>
      <c r="AN176" s="160"/>
    </row>
    <row r="177" spans="1:40" x14ac:dyDescent="0.3">
      <c r="C177" s="42"/>
      <c r="F177" s="123"/>
      <c r="H177" s="123"/>
      <c r="I177" s="123"/>
      <c r="J177" s="213"/>
      <c r="K177" s="213"/>
      <c r="L177" s="123"/>
      <c r="M177" s="123"/>
      <c r="N177" s="160"/>
      <c r="O177" s="160"/>
      <c r="P177" s="123"/>
      <c r="Q177" s="123"/>
      <c r="R177" s="123"/>
      <c r="S177" s="123"/>
      <c r="T177" s="42"/>
      <c r="V177" s="123"/>
      <c r="Y177" s="123"/>
      <c r="Z177" s="238"/>
      <c r="AA177" s="123"/>
      <c r="AB177" s="123"/>
      <c r="AC177" s="160"/>
      <c r="AD177" s="160"/>
      <c r="AE177" s="123"/>
      <c r="AF177" s="123"/>
      <c r="AH177" s="236"/>
      <c r="AI177" s="123"/>
      <c r="AJ177" s="123"/>
      <c r="AL177" s="123"/>
      <c r="AM177" s="160"/>
      <c r="AN177" s="160"/>
    </row>
    <row r="178" spans="1:40" x14ac:dyDescent="0.3">
      <c r="F178" s="210"/>
      <c r="H178" s="210"/>
      <c r="I178" s="210"/>
      <c r="J178" s="213"/>
      <c r="K178" s="213"/>
      <c r="L178" s="210"/>
      <c r="M178" s="210"/>
      <c r="N178" s="210"/>
      <c r="O178" s="210"/>
      <c r="P178" s="210"/>
      <c r="Q178" s="210"/>
      <c r="R178" s="210"/>
      <c r="S178" s="123"/>
      <c r="T178" s="42"/>
      <c r="Y178" s="123"/>
      <c r="Z178" s="238"/>
      <c r="AA178" s="123"/>
      <c r="AB178" s="123"/>
      <c r="AC178" s="160"/>
      <c r="AD178" s="160"/>
      <c r="AE178" s="123"/>
      <c r="AF178" s="123"/>
      <c r="AH178" s="236"/>
      <c r="AI178" s="123"/>
      <c r="AJ178" s="123"/>
      <c r="AL178" s="123"/>
      <c r="AM178" s="160"/>
      <c r="AN178" s="160"/>
    </row>
    <row r="179" spans="1:40" x14ac:dyDescent="0.3">
      <c r="C179" s="42"/>
      <c r="V179" s="123"/>
      <c r="Y179" s="123"/>
      <c r="Z179" s="213"/>
      <c r="AA179" s="210"/>
      <c r="AB179" s="210"/>
      <c r="AC179" s="210"/>
      <c r="AD179" s="210"/>
      <c r="AE179" s="210"/>
      <c r="AF179" s="210"/>
      <c r="AI179" s="210"/>
      <c r="AJ179" s="210"/>
      <c r="AK179" s="214"/>
      <c r="AL179" s="210"/>
      <c r="AM179" s="160"/>
      <c r="AN179" s="160"/>
    </row>
    <row r="180" spans="1:40" x14ac:dyDescent="0.3">
      <c r="C180" s="42"/>
      <c r="F180" s="123"/>
      <c r="H180" s="123"/>
      <c r="I180" s="123"/>
      <c r="L180" s="123"/>
      <c r="M180" s="123"/>
      <c r="N180" s="160"/>
      <c r="O180" s="160"/>
      <c r="P180" s="184"/>
      <c r="Q180" s="184"/>
      <c r="R180" s="123"/>
      <c r="T180" s="42"/>
      <c r="V180" s="123"/>
      <c r="Y180" s="123"/>
      <c r="Z180" s="219"/>
      <c r="AA180" s="123"/>
      <c r="AB180" s="123"/>
      <c r="AC180" s="160"/>
      <c r="AD180" s="160"/>
      <c r="AE180" s="123"/>
      <c r="AF180" s="123"/>
      <c r="AH180" s="236"/>
      <c r="AI180" s="123"/>
      <c r="AJ180" s="123"/>
      <c r="AL180" s="123"/>
      <c r="AM180" s="160"/>
      <c r="AN180" s="160"/>
    </row>
    <row r="181" spans="1:40" x14ac:dyDescent="0.3">
      <c r="F181" s="210"/>
      <c r="H181" s="210"/>
      <c r="I181" s="210"/>
      <c r="J181" s="213"/>
      <c r="K181" s="213"/>
      <c r="L181" s="210"/>
      <c r="M181" s="210"/>
      <c r="N181" s="210"/>
      <c r="O181" s="210"/>
      <c r="P181" s="210"/>
      <c r="Q181" s="210"/>
      <c r="R181" s="210"/>
      <c r="V181" s="123"/>
      <c r="Y181" s="123"/>
      <c r="Z181" s="213"/>
      <c r="AA181" s="210"/>
      <c r="AB181" s="210"/>
      <c r="AC181" s="210"/>
      <c r="AD181" s="210"/>
      <c r="AE181" s="210"/>
      <c r="AF181" s="210"/>
      <c r="AI181" s="210"/>
      <c r="AJ181" s="210"/>
      <c r="AK181" s="214"/>
      <c r="AL181" s="210"/>
      <c r="AM181" s="160"/>
      <c r="AN181" s="160"/>
    </row>
    <row r="182" spans="1:40" x14ac:dyDescent="0.3">
      <c r="T182" s="42"/>
      <c r="V182" s="123"/>
      <c r="Y182" s="123"/>
      <c r="Z182" s="219"/>
      <c r="AA182" s="123"/>
      <c r="AB182" s="123"/>
      <c r="AC182" s="160"/>
      <c r="AD182" s="160"/>
      <c r="AE182" s="123"/>
      <c r="AF182" s="123"/>
      <c r="AH182" s="236"/>
      <c r="AI182" s="123"/>
      <c r="AJ182" s="123"/>
      <c r="AL182" s="123"/>
      <c r="AM182" s="160"/>
      <c r="AN182" s="160"/>
    </row>
    <row r="183" spans="1:40" x14ac:dyDescent="0.3">
      <c r="C183" s="42"/>
      <c r="L183" s="123"/>
      <c r="M183" s="123"/>
      <c r="N183" s="123"/>
      <c r="O183" s="123"/>
      <c r="P183" s="123"/>
      <c r="Q183" s="123"/>
      <c r="R183" s="123"/>
      <c r="S183" s="123"/>
      <c r="T183" s="42"/>
      <c r="V183" s="184"/>
      <c r="Y183" s="123"/>
      <c r="Z183" s="227"/>
      <c r="AA183" s="123"/>
      <c r="AB183" s="123"/>
      <c r="AC183" s="160"/>
      <c r="AD183" s="160"/>
      <c r="AE183" s="123"/>
      <c r="AF183" s="123"/>
      <c r="AH183" s="236"/>
      <c r="AI183" s="123"/>
      <c r="AJ183" s="123"/>
      <c r="AL183" s="123"/>
      <c r="AM183" s="160"/>
      <c r="AN183" s="160"/>
    </row>
    <row r="184" spans="1:40" x14ac:dyDescent="0.3">
      <c r="A184" s="42"/>
      <c r="V184" s="210"/>
      <c r="Y184" s="210"/>
      <c r="Z184" s="213"/>
      <c r="AA184" s="210"/>
      <c r="AB184" s="210"/>
      <c r="AC184" s="210"/>
      <c r="AD184" s="210"/>
      <c r="AE184" s="210"/>
      <c r="AF184" s="210"/>
      <c r="AI184" s="210"/>
      <c r="AJ184" s="210"/>
      <c r="AK184" s="214"/>
      <c r="AL184" s="210"/>
      <c r="AM184" s="160"/>
      <c r="AN184" s="160"/>
    </row>
    <row r="185" spans="1:40" x14ac:dyDescent="0.3">
      <c r="T185" s="42"/>
      <c r="V185" s="123"/>
      <c r="Y185" s="123"/>
      <c r="Z185" s="213"/>
      <c r="AA185" s="123"/>
      <c r="AB185" s="123"/>
      <c r="AC185" s="160"/>
      <c r="AD185" s="160"/>
      <c r="AE185" s="123"/>
      <c r="AF185" s="123"/>
      <c r="AH185" s="160"/>
      <c r="AI185" s="123"/>
      <c r="AJ185" s="123"/>
      <c r="AL185" s="123"/>
      <c r="AM185" s="160"/>
      <c r="AN185" s="160"/>
    </row>
    <row r="186" spans="1:40" x14ac:dyDescent="0.3">
      <c r="H186" s="42"/>
      <c r="I186" s="42"/>
      <c r="V186" s="210"/>
      <c r="Y186" s="210"/>
      <c r="Z186" s="213"/>
      <c r="AA186" s="210"/>
      <c r="AB186" s="210"/>
      <c r="AC186" s="210"/>
      <c r="AD186" s="210"/>
      <c r="AE186" s="210"/>
      <c r="AF186" s="210"/>
      <c r="AI186" s="210"/>
      <c r="AJ186" s="210"/>
      <c r="AK186" s="214"/>
      <c r="AL186" s="210"/>
      <c r="AM186" s="160"/>
      <c r="AN186" s="160"/>
    </row>
    <row r="187" spans="1:40" x14ac:dyDescent="0.3">
      <c r="T187" s="42"/>
    </row>
    <row r="188" spans="1:40" x14ac:dyDescent="0.3">
      <c r="L188" s="42"/>
      <c r="M188" s="42"/>
      <c r="AA188" s="42"/>
      <c r="AB188" s="42"/>
    </row>
    <row r="189" spans="1:40" x14ac:dyDescent="0.3">
      <c r="R189" s="42"/>
      <c r="AK189" s="206"/>
      <c r="AL189" s="42"/>
    </row>
    <row r="190" spans="1:40" x14ac:dyDescent="0.3">
      <c r="R190" s="42"/>
      <c r="AK190" s="206"/>
      <c r="AL190" s="42"/>
    </row>
    <row r="191" spans="1:40" x14ac:dyDescent="0.3">
      <c r="A191" s="42"/>
      <c r="R191" s="42"/>
      <c r="AK191" s="206"/>
      <c r="AL191" s="42"/>
    </row>
    <row r="192" spans="1:40" x14ac:dyDescent="0.3">
      <c r="L192" s="42"/>
      <c r="M192" s="42"/>
      <c r="AA192" s="42"/>
      <c r="AB192" s="42"/>
    </row>
    <row r="193" spans="1:40" x14ac:dyDescent="0.3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207"/>
      <c r="AH193" s="135"/>
      <c r="AI193" s="135"/>
      <c r="AJ193" s="135"/>
      <c r="AK193" s="207"/>
      <c r="AL193" s="135"/>
      <c r="AM193" s="135"/>
      <c r="AN193" s="135"/>
    </row>
    <row r="194" spans="1:40" x14ac:dyDescent="0.3">
      <c r="L194" s="44"/>
      <c r="M194" s="44"/>
      <c r="N194" s="44"/>
      <c r="O194" s="44"/>
      <c r="R194" s="44"/>
      <c r="AA194" s="44"/>
      <c r="AB194" s="44"/>
      <c r="AC194" s="44"/>
      <c r="AD194" s="44"/>
      <c r="AE194" s="44"/>
      <c r="AF194" s="44"/>
      <c r="AG194" s="168"/>
      <c r="AH194" s="44"/>
      <c r="AK194" s="168"/>
      <c r="AL194" s="44"/>
      <c r="AM194" s="44"/>
      <c r="AN194" s="44"/>
    </row>
    <row r="195" spans="1:40" x14ac:dyDescent="0.3">
      <c r="L195" s="44"/>
      <c r="M195" s="44"/>
      <c r="N195" s="44"/>
      <c r="O195" s="44"/>
      <c r="R195" s="44"/>
      <c r="Z195" s="44"/>
      <c r="AA195" s="44"/>
      <c r="AB195" s="44"/>
      <c r="AC195" s="44"/>
      <c r="AD195" s="44"/>
      <c r="AE195" s="44"/>
      <c r="AF195" s="44"/>
      <c r="AG195" s="168"/>
      <c r="AH195" s="44"/>
      <c r="AK195" s="168"/>
      <c r="AL195" s="44"/>
      <c r="AM195" s="44"/>
      <c r="AN195" s="44"/>
    </row>
    <row r="196" spans="1:40" x14ac:dyDescent="0.3">
      <c r="A196" s="44"/>
      <c r="C196" s="44"/>
      <c r="D196" s="44"/>
      <c r="E196" s="44"/>
      <c r="F196" s="44"/>
      <c r="J196" s="44"/>
      <c r="K196" s="44"/>
      <c r="L196" s="44"/>
      <c r="M196" s="44"/>
      <c r="N196" s="44"/>
      <c r="O196" s="44"/>
      <c r="P196" s="44"/>
      <c r="Q196" s="44"/>
      <c r="R196" s="44"/>
      <c r="T196" s="44"/>
      <c r="U196" s="44"/>
      <c r="V196" s="44"/>
      <c r="Z196" s="44"/>
      <c r="AA196" s="44"/>
      <c r="AB196" s="44"/>
      <c r="AC196" s="44"/>
      <c r="AD196" s="44"/>
      <c r="AE196" s="44"/>
      <c r="AF196" s="44"/>
      <c r="AG196" s="168"/>
      <c r="AH196" s="44"/>
      <c r="AI196" s="44"/>
      <c r="AJ196" s="44"/>
      <c r="AK196" s="168"/>
      <c r="AL196" s="44"/>
      <c r="AM196" s="44"/>
      <c r="AN196" s="44"/>
    </row>
    <row r="197" spans="1:40" x14ac:dyDescent="0.3">
      <c r="A197" s="44"/>
      <c r="C197" s="44"/>
      <c r="D197" s="44"/>
      <c r="E197" s="44"/>
      <c r="F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T197" s="44"/>
      <c r="U197" s="44"/>
      <c r="V197" s="44"/>
      <c r="Y197" s="44"/>
      <c r="Z197" s="44"/>
      <c r="AA197" s="44"/>
      <c r="AB197" s="44"/>
      <c r="AC197" s="44"/>
      <c r="AD197" s="44"/>
      <c r="AE197" s="44"/>
      <c r="AF197" s="44"/>
      <c r="AG197" s="168"/>
      <c r="AH197" s="44"/>
      <c r="AI197" s="44"/>
      <c r="AJ197" s="44"/>
      <c r="AK197" s="168"/>
      <c r="AL197" s="44"/>
      <c r="AM197" s="44"/>
      <c r="AN197" s="44"/>
    </row>
    <row r="198" spans="1:40" x14ac:dyDescent="0.3">
      <c r="C198" s="44"/>
      <c r="D198" s="44"/>
      <c r="E198" s="44"/>
      <c r="F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T198" s="44"/>
      <c r="U198" s="44"/>
      <c r="V198" s="44"/>
      <c r="Y198" s="44"/>
      <c r="Z198" s="44"/>
      <c r="AA198" s="44"/>
      <c r="AB198" s="44"/>
      <c r="AC198" s="44"/>
      <c r="AD198" s="44"/>
      <c r="AE198" s="44"/>
      <c r="AF198" s="44"/>
      <c r="AG198" s="168"/>
      <c r="AH198" s="44"/>
      <c r="AI198" s="44"/>
      <c r="AJ198" s="44"/>
      <c r="AK198" s="168"/>
      <c r="AL198" s="44"/>
      <c r="AM198" s="44"/>
      <c r="AN198" s="44"/>
    </row>
    <row r="199" spans="1:40" x14ac:dyDescent="0.3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207"/>
      <c r="AH199" s="135"/>
      <c r="AI199" s="135"/>
      <c r="AJ199" s="135"/>
      <c r="AK199" s="207"/>
      <c r="AL199" s="135"/>
      <c r="AM199" s="135"/>
      <c r="AN199" s="135"/>
    </row>
    <row r="200" spans="1:40" x14ac:dyDescent="0.3"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Y200" s="44"/>
      <c r="Z200" s="44"/>
      <c r="AA200" s="44"/>
      <c r="AB200" s="44"/>
      <c r="AC200" s="44"/>
      <c r="AD200" s="44"/>
      <c r="AE200" s="44"/>
      <c r="AF200" s="44"/>
      <c r="AG200" s="168"/>
      <c r="AH200" s="44"/>
      <c r="AI200" s="44"/>
      <c r="AJ200" s="44"/>
      <c r="AK200" s="168"/>
      <c r="AL200" s="44"/>
      <c r="AM200" s="44"/>
      <c r="AN200" s="44"/>
    </row>
    <row r="201" spans="1:40" x14ac:dyDescent="0.3">
      <c r="C201" s="42"/>
      <c r="D201" s="42"/>
      <c r="E201" s="42"/>
      <c r="T201" s="42"/>
      <c r="U201" s="42"/>
    </row>
    <row r="202" spans="1:40" x14ac:dyDescent="0.3">
      <c r="D202" s="42"/>
      <c r="E202" s="42"/>
      <c r="U202" s="42"/>
    </row>
    <row r="204" spans="1:40" x14ac:dyDescent="0.3">
      <c r="C204" s="42"/>
      <c r="F204" s="184"/>
      <c r="H204" s="184"/>
      <c r="I204" s="184"/>
      <c r="J204" s="193"/>
      <c r="K204" s="193"/>
      <c r="L204" s="123"/>
      <c r="M204" s="123"/>
      <c r="N204" s="160"/>
      <c r="O204" s="160"/>
      <c r="R204" s="123"/>
      <c r="T204" s="42"/>
      <c r="V204" s="123"/>
      <c r="Y204" s="184"/>
      <c r="Z204" s="193"/>
      <c r="AA204" s="123"/>
      <c r="AB204" s="123"/>
      <c r="AC204" s="160"/>
      <c r="AD204" s="160"/>
      <c r="AE204" s="123"/>
      <c r="AF204" s="123"/>
      <c r="AG204" s="233"/>
      <c r="AH204" s="234"/>
      <c r="AL204" s="123"/>
      <c r="AM204" s="235"/>
      <c r="AN204" s="235"/>
    </row>
    <row r="205" spans="1:40" x14ac:dyDescent="0.3">
      <c r="C205" s="42"/>
      <c r="F205" s="184"/>
      <c r="H205" s="184"/>
      <c r="I205" s="184"/>
      <c r="J205" s="193"/>
      <c r="K205" s="193"/>
      <c r="L205" s="123"/>
      <c r="M205" s="123"/>
      <c r="N205" s="160"/>
      <c r="O205" s="160"/>
      <c r="R205" s="123"/>
      <c r="T205" s="42"/>
      <c r="V205" s="123"/>
      <c r="Y205" s="184"/>
      <c r="Z205" s="193"/>
      <c r="AA205" s="123"/>
      <c r="AB205" s="123"/>
      <c r="AC205" s="160"/>
      <c r="AD205" s="160"/>
      <c r="AE205" s="123"/>
      <c r="AF205" s="123"/>
      <c r="AH205" s="236"/>
      <c r="AL205" s="123"/>
      <c r="AM205" s="160"/>
      <c r="AN205" s="160"/>
    </row>
    <row r="206" spans="1:40" x14ac:dyDescent="0.3">
      <c r="F206" s="210"/>
      <c r="H206" s="123"/>
      <c r="I206" s="123"/>
      <c r="J206" s="213"/>
      <c r="K206" s="213"/>
      <c r="L206" s="210"/>
      <c r="M206" s="210"/>
      <c r="N206" s="210"/>
      <c r="O206" s="210"/>
      <c r="P206" s="210"/>
      <c r="Q206" s="210"/>
      <c r="R206" s="210"/>
      <c r="V206" s="210"/>
      <c r="Y206" s="123"/>
      <c r="Z206" s="213"/>
      <c r="AA206" s="210"/>
      <c r="AB206" s="210"/>
      <c r="AC206" s="210"/>
      <c r="AD206" s="210"/>
      <c r="AE206" s="210"/>
      <c r="AF206" s="210"/>
      <c r="AI206" s="210"/>
      <c r="AJ206" s="210"/>
      <c r="AK206" s="214"/>
      <c r="AL206" s="210"/>
      <c r="AM206" s="160"/>
      <c r="AN206" s="160"/>
    </row>
    <row r="207" spans="1:40" x14ac:dyDescent="0.3">
      <c r="C207" s="42"/>
      <c r="F207" s="123"/>
      <c r="H207" s="123"/>
      <c r="I207" s="123"/>
      <c r="J207" s="213"/>
      <c r="K207" s="213"/>
      <c r="L207" s="123"/>
      <c r="M207" s="123"/>
      <c r="N207" s="160"/>
      <c r="O207" s="160"/>
      <c r="P207" s="123"/>
      <c r="Q207" s="123"/>
      <c r="R207" s="123"/>
      <c r="T207" s="42"/>
      <c r="V207" s="123"/>
      <c r="Y207" s="123"/>
      <c r="Z207" s="219"/>
      <c r="AA207" s="123"/>
      <c r="AB207" s="123"/>
      <c r="AC207" s="160"/>
      <c r="AD207" s="160"/>
      <c r="AE207" s="123"/>
      <c r="AF207" s="123"/>
      <c r="AH207" s="236"/>
      <c r="AI207" s="123"/>
      <c r="AJ207" s="123"/>
      <c r="AL207" s="123"/>
      <c r="AM207" s="160"/>
      <c r="AN207" s="160"/>
    </row>
    <row r="208" spans="1:40" x14ac:dyDescent="0.3">
      <c r="F208" s="210"/>
      <c r="H208" s="123"/>
      <c r="I208" s="123"/>
      <c r="J208" s="213"/>
      <c r="K208" s="213"/>
      <c r="L208" s="210"/>
      <c r="M208" s="210"/>
      <c r="N208" s="210"/>
      <c r="O208" s="210"/>
      <c r="P208" s="210"/>
      <c r="Q208" s="210"/>
      <c r="R208" s="210"/>
      <c r="V208" s="210"/>
      <c r="Y208" s="123"/>
      <c r="Z208" s="213"/>
      <c r="AA208" s="210"/>
      <c r="AB208" s="210"/>
      <c r="AC208" s="210"/>
      <c r="AD208" s="210"/>
      <c r="AE208" s="210"/>
      <c r="AF208" s="210"/>
      <c r="AI208" s="210"/>
      <c r="AJ208" s="210"/>
      <c r="AK208" s="214"/>
      <c r="AL208" s="210"/>
      <c r="AM208" s="160"/>
      <c r="AN208" s="160"/>
    </row>
    <row r="209" spans="3:40" x14ac:dyDescent="0.3">
      <c r="F209" s="123"/>
      <c r="H209" s="123"/>
      <c r="I209" s="123"/>
      <c r="J209" s="213"/>
      <c r="K209" s="213"/>
      <c r="L209" s="123"/>
      <c r="M209" s="123"/>
      <c r="N209" s="160"/>
      <c r="O209" s="160"/>
      <c r="P209" s="123"/>
      <c r="Q209" s="123"/>
      <c r="R209" s="123"/>
      <c r="V209" s="123"/>
      <c r="Y209" s="123"/>
      <c r="Z209" s="219"/>
      <c r="AA209" s="123"/>
      <c r="AB209" s="123"/>
      <c r="AC209" s="160"/>
      <c r="AD209" s="160"/>
      <c r="AE209" s="123"/>
      <c r="AF209" s="123"/>
      <c r="AH209" s="236"/>
      <c r="AI209" s="123"/>
      <c r="AJ209" s="123"/>
      <c r="AL209" s="123"/>
      <c r="AM209" s="160"/>
      <c r="AN209" s="160"/>
    </row>
    <row r="210" spans="3:40" x14ac:dyDescent="0.3">
      <c r="C210" s="42"/>
      <c r="F210" s="184"/>
      <c r="H210" s="184"/>
      <c r="I210" s="184"/>
      <c r="J210" s="193"/>
      <c r="K210" s="193"/>
      <c r="L210" s="123"/>
      <c r="M210" s="123"/>
      <c r="N210" s="160"/>
      <c r="O210" s="160"/>
      <c r="P210" s="123"/>
      <c r="Q210" s="123"/>
      <c r="R210" s="123"/>
      <c r="T210" s="42"/>
      <c r="V210" s="184"/>
      <c r="Y210" s="123"/>
      <c r="Z210" s="193"/>
      <c r="AA210" s="123"/>
      <c r="AB210" s="123"/>
      <c r="AC210" s="160"/>
      <c r="AD210" s="160"/>
      <c r="AE210" s="123"/>
      <c r="AF210" s="123"/>
      <c r="AG210" s="233"/>
      <c r="AH210" s="234"/>
      <c r="AI210" s="123"/>
      <c r="AJ210" s="123"/>
      <c r="AL210" s="123"/>
      <c r="AM210" s="235"/>
      <c r="AN210" s="235"/>
    </row>
    <row r="211" spans="3:40" x14ac:dyDescent="0.3">
      <c r="C211" s="42"/>
      <c r="F211" s="184"/>
      <c r="H211" s="184"/>
      <c r="I211" s="184"/>
      <c r="J211" s="193"/>
      <c r="K211" s="193"/>
      <c r="L211" s="123"/>
      <c r="M211" s="123"/>
      <c r="N211" s="160"/>
      <c r="O211" s="160"/>
      <c r="P211" s="123"/>
      <c r="Q211" s="123"/>
      <c r="R211" s="123"/>
      <c r="T211" s="42"/>
      <c r="V211" s="184"/>
      <c r="Y211" s="123"/>
      <c r="Z211" s="193"/>
      <c r="AA211" s="123"/>
      <c r="AB211" s="123"/>
      <c r="AC211" s="160"/>
      <c r="AD211" s="160"/>
      <c r="AE211" s="123"/>
      <c r="AF211" s="123"/>
      <c r="AH211" s="236"/>
      <c r="AI211" s="123"/>
      <c r="AJ211" s="123"/>
      <c r="AL211" s="123"/>
      <c r="AM211" s="160"/>
      <c r="AN211" s="160"/>
    </row>
    <row r="212" spans="3:40" x14ac:dyDescent="0.3">
      <c r="F212" s="123"/>
      <c r="H212" s="210"/>
      <c r="I212" s="210"/>
      <c r="J212" s="213"/>
      <c r="K212" s="213"/>
      <c r="L212" s="210"/>
      <c r="M212" s="210"/>
      <c r="N212" s="210"/>
      <c r="O212" s="210"/>
      <c r="P212" s="210"/>
      <c r="Q212" s="210"/>
      <c r="R212" s="210"/>
      <c r="V212" s="123"/>
      <c r="Y212" s="210"/>
      <c r="Z212" s="213"/>
      <c r="AA212" s="210"/>
      <c r="AB212" s="210"/>
      <c r="AC212" s="210"/>
      <c r="AD212" s="210"/>
      <c r="AE212" s="210"/>
      <c r="AF212" s="210"/>
      <c r="AI212" s="210"/>
      <c r="AJ212" s="210"/>
      <c r="AK212" s="214"/>
      <c r="AL212" s="210"/>
      <c r="AM212" s="160"/>
      <c r="AN212" s="160"/>
    </row>
    <row r="213" spans="3:40" x14ac:dyDescent="0.3">
      <c r="C213" s="42"/>
      <c r="F213" s="123"/>
      <c r="H213" s="123"/>
      <c r="I213" s="123"/>
      <c r="J213" s="213"/>
      <c r="K213" s="213"/>
      <c r="L213" s="123"/>
      <c r="M213" s="123"/>
      <c r="N213" s="160"/>
      <c r="O213" s="160"/>
      <c r="P213" s="123"/>
      <c r="Q213" s="123"/>
      <c r="R213" s="123"/>
      <c r="T213" s="42"/>
      <c r="V213" s="123"/>
      <c r="Y213" s="123"/>
      <c r="Z213" s="213"/>
      <c r="AA213" s="123"/>
      <c r="AB213" s="123"/>
      <c r="AC213" s="160"/>
      <c r="AD213" s="160"/>
      <c r="AE213" s="123"/>
      <c r="AF213" s="123"/>
      <c r="AH213" s="236"/>
      <c r="AI213" s="123"/>
      <c r="AJ213" s="123"/>
      <c r="AL213" s="123"/>
      <c r="AM213" s="160"/>
      <c r="AN213" s="160"/>
    </row>
    <row r="214" spans="3:40" x14ac:dyDescent="0.3">
      <c r="F214" s="123"/>
      <c r="H214" s="210"/>
      <c r="I214" s="210"/>
      <c r="J214" s="213"/>
      <c r="K214" s="213"/>
      <c r="L214" s="210"/>
      <c r="M214" s="210"/>
      <c r="N214" s="210"/>
      <c r="O214" s="210"/>
      <c r="P214" s="210"/>
      <c r="Q214" s="210"/>
      <c r="R214" s="210"/>
      <c r="V214" s="123"/>
      <c r="Y214" s="210"/>
      <c r="Z214" s="213"/>
      <c r="AA214" s="210"/>
      <c r="AB214" s="210"/>
      <c r="AC214" s="210"/>
      <c r="AD214" s="210"/>
      <c r="AE214" s="210"/>
      <c r="AF214" s="210"/>
      <c r="AI214" s="210"/>
      <c r="AJ214" s="210"/>
      <c r="AK214" s="214"/>
      <c r="AL214" s="210"/>
      <c r="AM214" s="160"/>
      <c r="AN214" s="160"/>
    </row>
    <row r="215" spans="3:40" x14ac:dyDescent="0.3">
      <c r="F215" s="123"/>
      <c r="H215" s="123"/>
      <c r="I215" s="123"/>
      <c r="J215" s="213"/>
      <c r="K215" s="213"/>
      <c r="L215" s="123"/>
      <c r="M215" s="123"/>
      <c r="N215" s="123"/>
      <c r="O215" s="123"/>
      <c r="P215" s="123"/>
      <c r="Q215" s="123"/>
      <c r="R215" s="123"/>
      <c r="V215" s="123"/>
      <c r="Y215" s="123"/>
      <c r="Z215" s="213"/>
      <c r="AA215" s="123"/>
      <c r="AB215" s="123"/>
      <c r="AC215" s="123"/>
      <c r="AD215" s="123"/>
      <c r="AE215" s="123"/>
      <c r="AF215" s="123"/>
      <c r="AH215" s="236"/>
      <c r="AI215" s="123"/>
      <c r="AJ215" s="123"/>
      <c r="AL215" s="123"/>
      <c r="AM215" s="160"/>
      <c r="AN215" s="160"/>
    </row>
    <row r="216" spans="3:40" x14ac:dyDescent="0.3">
      <c r="C216" s="42"/>
      <c r="F216" s="184"/>
      <c r="H216" s="184"/>
      <c r="I216" s="184"/>
      <c r="J216" s="227"/>
      <c r="K216" s="227"/>
      <c r="L216" s="123"/>
      <c r="M216" s="123"/>
      <c r="N216" s="160"/>
      <c r="O216" s="160"/>
      <c r="P216" s="184"/>
      <c r="Q216" s="184"/>
      <c r="R216" s="123"/>
      <c r="T216" s="42"/>
      <c r="V216" s="184"/>
      <c r="Y216" s="184"/>
      <c r="Z216" s="237"/>
      <c r="AA216" s="123"/>
      <c r="AB216" s="123"/>
      <c r="AC216" s="160"/>
      <c r="AD216" s="160"/>
      <c r="AE216" s="123"/>
      <c r="AF216" s="123"/>
      <c r="AH216" s="236"/>
      <c r="AI216" s="184"/>
      <c r="AJ216" s="184"/>
      <c r="AL216" s="123"/>
      <c r="AM216" s="160"/>
      <c r="AN216" s="160"/>
    </row>
    <row r="217" spans="3:40" x14ac:dyDescent="0.3">
      <c r="C217" s="42"/>
      <c r="F217" s="184"/>
      <c r="H217" s="184"/>
      <c r="I217" s="184"/>
      <c r="J217" s="227"/>
      <c r="K217" s="227"/>
      <c r="L217" s="123"/>
      <c r="M217" s="123"/>
      <c r="N217" s="160"/>
      <c r="O217" s="160"/>
      <c r="P217" s="184"/>
      <c r="Q217" s="184"/>
      <c r="R217" s="123"/>
      <c r="T217" s="42"/>
      <c r="V217" s="184"/>
      <c r="Y217" s="123"/>
      <c r="Z217" s="212"/>
      <c r="AA217" s="123"/>
      <c r="AB217" s="123"/>
      <c r="AC217" s="160"/>
      <c r="AD217" s="160"/>
      <c r="AE217" s="123"/>
      <c r="AF217" s="123"/>
      <c r="AH217" s="236"/>
      <c r="AI217" s="184"/>
      <c r="AJ217" s="184"/>
      <c r="AL217" s="123"/>
      <c r="AM217" s="160"/>
      <c r="AN217" s="160"/>
    </row>
    <row r="218" spans="3:40" x14ac:dyDescent="0.3">
      <c r="C218" s="42"/>
      <c r="F218" s="184"/>
      <c r="H218" s="184"/>
      <c r="I218" s="184"/>
      <c r="J218" s="227"/>
      <c r="K218" s="227"/>
      <c r="L218" s="123"/>
      <c r="M218" s="123"/>
      <c r="N218" s="160"/>
      <c r="O218" s="160"/>
      <c r="P218" s="184"/>
      <c r="Q218" s="184"/>
      <c r="R218" s="123"/>
      <c r="T218" s="42"/>
      <c r="V218" s="184"/>
      <c r="Y218" s="123"/>
      <c r="Z218" s="212"/>
      <c r="AA218" s="123"/>
      <c r="AB218" s="123"/>
      <c r="AC218" s="160"/>
      <c r="AD218" s="160"/>
      <c r="AE218" s="123"/>
      <c r="AF218" s="123"/>
      <c r="AH218" s="236"/>
      <c r="AI218" s="184"/>
      <c r="AJ218" s="184"/>
      <c r="AL218" s="123"/>
      <c r="AM218" s="160"/>
      <c r="AN218" s="160"/>
    </row>
    <row r="219" spans="3:40" x14ac:dyDescent="0.3">
      <c r="F219" s="210"/>
      <c r="H219" s="210"/>
      <c r="I219" s="210"/>
      <c r="J219" s="213"/>
      <c r="K219" s="213"/>
      <c r="L219" s="210"/>
      <c r="M219" s="210"/>
      <c r="N219" s="210"/>
      <c r="O219" s="210"/>
      <c r="P219" s="210"/>
      <c r="Q219" s="210"/>
      <c r="R219" s="210"/>
      <c r="V219" s="210"/>
      <c r="Y219" s="210"/>
      <c r="Z219" s="213"/>
      <c r="AA219" s="210"/>
      <c r="AB219" s="210"/>
      <c r="AC219" s="210"/>
      <c r="AD219" s="210"/>
      <c r="AE219" s="210"/>
      <c r="AF219" s="210"/>
      <c r="AI219" s="210"/>
      <c r="AJ219" s="210"/>
      <c r="AK219" s="214"/>
      <c r="AL219" s="210"/>
      <c r="AM219" s="160"/>
      <c r="AN219" s="160"/>
    </row>
    <row r="220" spans="3:40" x14ac:dyDescent="0.3">
      <c r="C220" s="42"/>
      <c r="F220" s="123"/>
      <c r="H220" s="123"/>
      <c r="I220" s="123"/>
      <c r="J220" s="219"/>
      <c r="K220" s="219"/>
      <c r="L220" s="123"/>
      <c r="M220" s="123"/>
      <c r="N220" s="160"/>
      <c r="O220" s="160"/>
      <c r="P220" s="123"/>
      <c r="Q220" s="123"/>
      <c r="R220" s="123"/>
      <c r="T220" s="42"/>
      <c r="V220" s="123"/>
      <c r="Y220" s="123"/>
      <c r="Z220" s="219"/>
      <c r="AA220" s="123"/>
      <c r="AB220" s="123"/>
      <c r="AC220" s="160"/>
      <c r="AD220" s="160"/>
      <c r="AE220" s="123"/>
      <c r="AF220" s="123"/>
      <c r="AH220" s="236"/>
      <c r="AI220" s="123"/>
      <c r="AJ220" s="123"/>
      <c r="AL220" s="123"/>
      <c r="AM220" s="160"/>
      <c r="AN220" s="160"/>
    </row>
    <row r="221" spans="3:40" x14ac:dyDescent="0.3">
      <c r="F221" s="210"/>
      <c r="H221" s="210"/>
      <c r="I221" s="210"/>
      <c r="J221" s="213"/>
      <c r="K221" s="213"/>
      <c r="L221" s="210"/>
      <c r="M221" s="210"/>
      <c r="N221" s="210"/>
      <c r="O221" s="210"/>
      <c r="P221" s="210"/>
      <c r="Q221" s="210"/>
      <c r="R221" s="210"/>
      <c r="V221" s="210"/>
      <c r="Y221" s="210"/>
      <c r="Z221" s="213"/>
      <c r="AA221" s="210"/>
      <c r="AB221" s="210"/>
      <c r="AC221" s="210"/>
      <c r="AD221" s="210"/>
      <c r="AE221" s="210"/>
      <c r="AF221" s="210"/>
      <c r="AI221" s="210"/>
      <c r="AJ221" s="210"/>
      <c r="AK221" s="214"/>
      <c r="AL221" s="210"/>
      <c r="AM221" s="160"/>
      <c r="AN221" s="160"/>
    </row>
    <row r="222" spans="3:40" x14ac:dyDescent="0.3">
      <c r="C222" s="42"/>
      <c r="F222" s="123"/>
      <c r="H222" s="123"/>
      <c r="I222" s="123"/>
      <c r="J222" s="219"/>
      <c r="K222" s="219"/>
      <c r="L222" s="123"/>
      <c r="M222" s="123"/>
      <c r="N222" s="160"/>
      <c r="O222" s="160"/>
      <c r="P222" s="123"/>
      <c r="Q222" s="123"/>
      <c r="R222" s="123"/>
      <c r="T222" s="42"/>
      <c r="V222" s="123"/>
      <c r="Y222" s="123"/>
      <c r="Z222" s="219"/>
      <c r="AA222" s="123"/>
      <c r="AB222" s="123"/>
      <c r="AC222" s="160"/>
      <c r="AD222" s="160"/>
      <c r="AE222" s="123"/>
      <c r="AF222" s="123"/>
      <c r="AH222" s="236"/>
      <c r="AI222" s="123"/>
      <c r="AJ222" s="123"/>
      <c r="AL222" s="123"/>
      <c r="AM222" s="160"/>
      <c r="AN222" s="160"/>
    </row>
    <row r="223" spans="3:40" x14ac:dyDescent="0.3">
      <c r="C223" s="42"/>
      <c r="F223" s="123"/>
      <c r="H223" s="123"/>
      <c r="I223" s="123"/>
      <c r="J223" s="219"/>
      <c r="K223" s="219"/>
      <c r="L223" s="123"/>
      <c r="M223" s="123"/>
      <c r="N223" s="160"/>
      <c r="O223" s="160"/>
      <c r="P223" s="123"/>
      <c r="Q223" s="123"/>
      <c r="R223" s="123"/>
      <c r="T223" s="42"/>
      <c r="V223" s="123"/>
      <c r="Y223" s="123"/>
      <c r="Z223" s="219"/>
      <c r="AA223" s="123"/>
      <c r="AB223" s="123"/>
      <c r="AC223" s="160"/>
      <c r="AD223" s="160"/>
      <c r="AE223" s="123"/>
      <c r="AF223" s="123"/>
      <c r="AH223" s="236"/>
      <c r="AI223" s="123"/>
      <c r="AJ223" s="123"/>
      <c r="AL223" s="123"/>
      <c r="AM223" s="160"/>
      <c r="AN223" s="160"/>
    </row>
    <row r="224" spans="3:40" x14ac:dyDescent="0.3">
      <c r="F224" s="210"/>
      <c r="H224" s="210"/>
      <c r="I224" s="210"/>
      <c r="J224" s="213"/>
      <c r="K224" s="213"/>
      <c r="L224" s="210"/>
      <c r="M224" s="210"/>
      <c r="N224" s="210"/>
      <c r="O224" s="210"/>
      <c r="P224" s="210"/>
      <c r="Q224" s="210"/>
      <c r="R224" s="210"/>
      <c r="V224" s="210"/>
      <c r="Y224" s="210"/>
      <c r="Z224" s="213"/>
      <c r="AA224" s="210"/>
      <c r="AB224" s="210"/>
      <c r="AC224" s="210"/>
      <c r="AD224" s="210"/>
      <c r="AE224" s="210"/>
      <c r="AF224" s="210"/>
      <c r="AI224" s="210"/>
      <c r="AJ224" s="210"/>
      <c r="AK224" s="214"/>
      <c r="AL224" s="210"/>
      <c r="AM224" s="123"/>
      <c r="AN224" s="123"/>
    </row>
    <row r="225" spans="1:40" x14ac:dyDescent="0.3">
      <c r="F225" s="123"/>
      <c r="H225" s="123"/>
      <c r="I225" s="123"/>
      <c r="J225" s="219"/>
      <c r="K225" s="219"/>
      <c r="L225" s="123"/>
      <c r="M225" s="123"/>
      <c r="N225" s="123"/>
      <c r="O225" s="123"/>
      <c r="P225" s="123"/>
      <c r="Q225" s="123"/>
      <c r="R225" s="123"/>
      <c r="V225" s="123"/>
      <c r="Y225" s="123"/>
      <c r="Z225" s="219"/>
      <c r="AA225" s="123"/>
      <c r="AB225" s="123"/>
      <c r="AC225" s="123"/>
      <c r="AD225" s="123"/>
    </row>
    <row r="226" spans="1:40" x14ac:dyDescent="0.3">
      <c r="C226" s="42"/>
      <c r="F226" s="123"/>
      <c r="H226" s="123"/>
      <c r="I226" s="123"/>
      <c r="J226" s="219"/>
      <c r="K226" s="219"/>
      <c r="L226" s="123"/>
      <c r="M226" s="123"/>
      <c r="N226" s="123"/>
      <c r="O226" s="123"/>
      <c r="P226" s="123"/>
      <c r="Q226" s="123"/>
      <c r="R226" s="123"/>
      <c r="T226" s="42"/>
      <c r="V226" s="123"/>
      <c r="Y226" s="123"/>
      <c r="Z226" s="219"/>
      <c r="AA226" s="123"/>
      <c r="AB226" s="123"/>
      <c r="AC226" s="123"/>
      <c r="AD226" s="123"/>
    </row>
    <row r="227" spans="1:40" x14ac:dyDescent="0.3">
      <c r="A227" s="42"/>
    </row>
    <row r="229" spans="1:40" x14ac:dyDescent="0.3">
      <c r="H229" s="42"/>
      <c r="I229" s="42"/>
      <c r="Y229" s="42"/>
    </row>
    <row r="231" spans="1:40" x14ac:dyDescent="0.3">
      <c r="L231" s="42"/>
      <c r="M231" s="42"/>
      <c r="AA231" s="42"/>
      <c r="AB231" s="42"/>
    </row>
    <row r="232" spans="1:40" x14ac:dyDescent="0.3">
      <c r="R232" s="42"/>
      <c r="AK232" s="206"/>
      <c r="AL232" s="42"/>
    </row>
    <row r="233" spans="1:40" x14ac:dyDescent="0.3">
      <c r="R233" s="42"/>
      <c r="AK233" s="206"/>
      <c r="AL233" s="42"/>
    </row>
    <row r="234" spans="1:40" x14ac:dyDescent="0.3">
      <c r="A234" s="42"/>
      <c r="R234" s="42"/>
      <c r="AK234" s="206"/>
      <c r="AL234" s="42"/>
    </row>
    <row r="235" spans="1:40" x14ac:dyDescent="0.3">
      <c r="L235" s="42"/>
      <c r="M235" s="42"/>
      <c r="AA235" s="42"/>
      <c r="AB235" s="42"/>
    </row>
    <row r="236" spans="1:40" x14ac:dyDescent="0.3">
      <c r="A236" s="135"/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207"/>
      <c r="AH236" s="135"/>
      <c r="AI236" s="135"/>
      <c r="AJ236" s="135"/>
      <c r="AK236" s="207"/>
      <c r="AL236" s="135"/>
      <c r="AM236" s="135"/>
      <c r="AN236" s="135"/>
    </row>
    <row r="237" spans="1:40" x14ac:dyDescent="0.3">
      <c r="L237" s="44"/>
      <c r="M237" s="44"/>
      <c r="N237" s="44"/>
      <c r="O237" s="44"/>
      <c r="R237" s="44"/>
      <c r="AA237" s="44"/>
      <c r="AB237" s="44"/>
      <c r="AC237" s="44"/>
      <c r="AD237" s="44"/>
      <c r="AE237" s="44"/>
      <c r="AF237" s="44"/>
      <c r="AG237" s="168"/>
      <c r="AH237" s="44"/>
      <c r="AK237" s="168"/>
      <c r="AL237" s="44"/>
      <c r="AM237" s="44"/>
      <c r="AN237" s="44"/>
    </row>
    <row r="238" spans="1:40" x14ac:dyDescent="0.3">
      <c r="L238" s="44"/>
      <c r="M238" s="44"/>
      <c r="N238" s="44"/>
      <c r="O238" s="44"/>
      <c r="R238" s="44"/>
      <c r="Z238" s="44"/>
      <c r="AA238" s="44"/>
      <c r="AB238" s="44"/>
      <c r="AC238" s="44"/>
      <c r="AD238" s="44"/>
      <c r="AE238" s="44"/>
      <c r="AF238" s="44"/>
      <c r="AG238" s="168"/>
      <c r="AH238" s="44"/>
      <c r="AK238" s="168"/>
      <c r="AL238" s="44"/>
      <c r="AM238" s="44"/>
      <c r="AN238" s="44"/>
    </row>
    <row r="239" spans="1:40" x14ac:dyDescent="0.3">
      <c r="A239" s="44"/>
      <c r="C239" s="44"/>
      <c r="D239" s="44"/>
      <c r="E239" s="44"/>
      <c r="F239" s="44"/>
      <c r="J239" s="44"/>
      <c r="K239" s="44"/>
      <c r="L239" s="44"/>
      <c r="M239" s="44"/>
      <c r="N239" s="44"/>
      <c r="O239" s="44"/>
      <c r="P239" s="44"/>
      <c r="Q239" s="44"/>
      <c r="R239" s="44"/>
      <c r="T239" s="44"/>
      <c r="U239" s="44"/>
      <c r="V239" s="44"/>
      <c r="Z239" s="44"/>
      <c r="AA239" s="44"/>
      <c r="AB239" s="44"/>
      <c r="AC239" s="44"/>
      <c r="AD239" s="44"/>
      <c r="AE239" s="44"/>
      <c r="AF239" s="44"/>
      <c r="AG239" s="168"/>
      <c r="AH239" s="44"/>
      <c r="AI239" s="44"/>
      <c r="AJ239" s="44"/>
      <c r="AK239" s="168"/>
      <c r="AL239" s="44"/>
      <c r="AM239" s="44"/>
      <c r="AN239" s="44"/>
    </row>
    <row r="240" spans="1:40" x14ac:dyDescent="0.3">
      <c r="A240" s="44"/>
      <c r="C240" s="44"/>
      <c r="D240" s="44"/>
      <c r="E240" s="44"/>
      <c r="F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T240" s="44"/>
      <c r="U240" s="44"/>
      <c r="V240" s="44"/>
      <c r="Y240" s="44"/>
      <c r="Z240" s="44"/>
      <c r="AA240" s="44"/>
      <c r="AB240" s="44"/>
      <c r="AC240" s="44"/>
      <c r="AD240" s="44"/>
      <c r="AE240" s="44"/>
      <c r="AF240" s="44"/>
      <c r="AG240" s="168"/>
      <c r="AH240" s="44"/>
      <c r="AI240" s="44"/>
      <c r="AJ240" s="44"/>
      <c r="AK240" s="168"/>
      <c r="AL240" s="44"/>
      <c r="AM240" s="44"/>
      <c r="AN240" s="44"/>
    </row>
    <row r="241" spans="1:40" x14ac:dyDescent="0.3"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T241" s="44"/>
      <c r="U241" s="44"/>
      <c r="V241" s="44"/>
      <c r="Y241" s="44"/>
      <c r="Z241" s="44"/>
      <c r="AA241" s="44"/>
      <c r="AB241" s="44"/>
      <c r="AC241" s="44"/>
      <c r="AD241" s="44"/>
      <c r="AE241" s="44"/>
      <c r="AF241" s="44"/>
      <c r="AG241" s="168"/>
      <c r="AH241" s="44"/>
      <c r="AI241" s="44"/>
      <c r="AJ241" s="44"/>
      <c r="AK241" s="168"/>
      <c r="AL241" s="44"/>
      <c r="AM241" s="44"/>
      <c r="AN241" s="44"/>
    </row>
    <row r="242" spans="1:40" x14ac:dyDescent="0.3">
      <c r="A242" s="135"/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207"/>
      <c r="AH242" s="135"/>
      <c r="AI242" s="135"/>
      <c r="AJ242" s="135"/>
      <c r="AK242" s="207"/>
      <c r="AL242" s="135"/>
      <c r="AM242" s="135"/>
      <c r="AN242" s="135"/>
    </row>
    <row r="243" spans="1:40" x14ac:dyDescent="0.3"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Y243" s="44"/>
      <c r="Z243" s="44"/>
      <c r="AA243" s="44"/>
      <c r="AB243" s="44"/>
      <c r="AC243" s="44"/>
      <c r="AD243" s="44"/>
      <c r="AE243" s="44"/>
      <c r="AF243" s="44"/>
      <c r="AG243" s="168"/>
      <c r="AH243" s="44"/>
      <c r="AI243" s="44"/>
      <c r="AJ243" s="44"/>
      <c r="AK243" s="168"/>
      <c r="AL243" s="44"/>
      <c r="AM243" s="44"/>
      <c r="AN243" s="44"/>
    </row>
    <row r="244" spans="1:40" x14ac:dyDescent="0.3">
      <c r="C244" s="42"/>
      <c r="D244" s="42"/>
      <c r="E244" s="42"/>
      <c r="T244" s="42"/>
      <c r="U244" s="42"/>
    </row>
    <row r="246" spans="1:40" x14ac:dyDescent="0.3">
      <c r="C246" s="42"/>
      <c r="F246" s="184"/>
      <c r="H246" s="222"/>
      <c r="I246" s="222"/>
      <c r="J246" s="193"/>
      <c r="K246" s="193"/>
      <c r="L246" s="123"/>
      <c r="M246" s="123"/>
      <c r="R246" s="123"/>
      <c r="T246" s="42"/>
      <c r="V246" s="123"/>
      <c r="Z246" s="193"/>
      <c r="AA246" s="123"/>
      <c r="AB246" s="123"/>
      <c r="AE246" s="123"/>
      <c r="AF246" s="123"/>
      <c r="AG246" s="233"/>
      <c r="AH246" s="234"/>
      <c r="AI246" s="123"/>
      <c r="AJ246" s="123"/>
      <c r="AL246" s="123"/>
      <c r="AM246" s="235"/>
      <c r="AN246" s="235"/>
    </row>
    <row r="247" spans="1:40" x14ac:dyDescent="0.3">
      <c r="F247" s="184"/>
      <c r="H247" s="222"/>
      <c r="I247" s="222"/>
      <c r="J247" s="222"/>
      <c r="K247" s="222"/>
      <c r="R247" s="123"/>
      <c r="V247" s="123"/>
      <c r="Z247" s="222"/>
    </row>
    <row r="248" spans="1:40" x14ac:dyDescent="0.3">
      <c r="C248" s="42"/>
      <c r="F248" s="184"/>
      <c r="H248" s="184"/>
      <c r="I248" s="184"/>
      <c r="J248" s="227"/>
      <c r="K248" s="227"/>
      <c r="L248" s="123"/>
      <c r="M248" s="123"/>
      <c r="N248" s="160"/>
      <c r="O248" s="160"/>
      <c r="P248" s="184"/>
      <c r="Q248" s="184"/>
      <c r="R248" s="123"/>
      <c r="T248" s="42"/>
      <c r="V248" s="123"/>
      <c r="Y248" s="123"/>
      <c r="Z248" s="212"/>
      <c r="AA248" s="123"/>
      <c r="AB248" s="123"/>
      <c r="AC248" s="160"/>
      <c r="AD248" s="160"/>
      <c r="AE248" s="123"/>
      <c r="AF248" s="123"/>
      <c r="AH248" s="236"/>
      <c r="AI248" s="184"/>
      <c r="AJ248" s="184"/>
      <c r="AL248" s="123"/>
      <c r="AM248" s="160"/>
      <c r="AN248" s="160"/>
    </row>
    <row r="249" spans="1:40" x14ac:dyDescent="0.3">
      <c r="F249" s="210"/>
      <c r="H249" s="210"/>
      <c r="I249" s="210"/>
      <c r="J249" s="213"/>
      <c r="K249" s="213"/>
      <c r="L249" s="210"/>
      <c r="M249" s="210"/>
      <c r="N249" s="210"/>
      <c r="O249" s="210"/>
      <c r="P249" s="210"/>
      <c r="Q249" s="210"/>
      <c r="R249" s="210"/>
      <c r="V249" s="210"/>
      <c r="Y249" s="210"/>
      <c r="Z249" s="213"/>
      <c r="AA249" s="210"/>
      <c r="AB249" s="210"/>
      <c r="AC249" s="210"/>
      <c r="AD249" s="210"/>
      <c r="AE249" s="210"/>
      <c r="AF249" s="210"/>
      <c r="AI249" s="210"/>
      <c r="AJ249" s="210"/>
      <c r="AK249" s="214"/>
      <c r="AL249" s="210"/>
    </row>
    <row r="250" spans="1:40" x14ac:dyDescent="0.3">
      <c r="D250" s="42"/>
      <c r="E250" s="42"/>
      <c r="F250" s="123"/>
      <c r="H250" s="123"/>
      <c r="I250" s="123"/>
      <c r="J250" s="219"/>
      <c r="K250" s="219"/>
      <c r="L250" s="123"/>
      <c r="M250" s="123"/>
      <c r="N250" s="160"/>
      <c r="O250" s="160"/>
      <c r="P250" s="123"/>
      <c r="Q250" s="123"/>
      <c r="R250" s="123"/>
      <c r="U250" s="42"/>
      <c r="V250" s="123"/>
      <c r="Y250" s="123"/>
      <c r="Z250" s="219"/>
      <c r="AA250" s="123"/>
      <c r="AB250" s="123"/>
      <c r="AC250" s="160"/>
      <c r="AD250" s="160"/>
      <c r="AE250" s="123"/>
      <c r="AF250" s="123"/>
      <c r="AH250" s="236"/>
      <c r="AI250" s="123"/>
      <c r="AJ250" s="123"/>
      <c r="AL250" s="123"/>
      <c r="AM250" s="160"/>
      <c r="AN250" s="160"/>
    </row>
    <row r="251" spans="1:40" x14ac:dyDescent="0.3">
      <c r="F251" s="210"/>
      <c r="H251" s="210"/>
      <c r="I251" s="210"/>
      <c r="J251" s="213"/>
      <c r="K251" s="213"/>
      <c r="L251" s="210"/>
      <c r="M251" s="210"/>
      <c r="N251" s="210"/>
      <c r="O251" s="210"/>
      <c r="P251" s="210"/>
      <c r="Q251" s="210"/>
      <c r="R251" s="210"/>
      <c r="V251" s="210"/>
      <c r="Y251" s="210"/>
      <c r="Z251" s="213"/>
      <c r="AA251" s="210"/>
      <c r="AB251" s="210"/>
      <c r="AC251" s="210"/>
      <c r="AD251" s="210"/>
      <c r="AE251" s="210"/>
      <c r="AF251" s="210"/>
      <c r="AI251" s="210"/>
      <c r="AJ251" s="210"/>
      <c r="AK251" s="214"/>
      <c r="AL251" s="210"/>
    </row>
    <row r="252" spans="1:40" x14ac:dyDescent="0.3">
      <c r="R252" s="123"/>
    </row>
    <row r="253" spans="1:40" x14ac:dyDescent="0.3">
      <c r="R253" s="123"/>
    </row>
    <row r="254" spans="1:40" x14ac:dyDescent="0.3">
      <c r="R254" s="123"/>
    </row>
    <row r="255" spans="1:40" x14ac:dyDescent="0.3">
      <c r="C255" s="42"/>
      <c r="D255" s="42"/>
      <c r="E255" s="42"/>
      <c r="H255" s="123"/>
      <c r="I255" s="123"/>
      <c r="J255" s="219"/>
      <c r="K255" s="219"/>
      <c r="L255" s="123"/>
      <c r="M255" s="123"/>
      <c r="N255" s="160"/>
      <c r="O255" s="160"/>
      <c r="P255" s="123"/>
      <c r="Q255" s="123"/>
      <c r="R255" s="123"/>
      <c r="T255" s="42"/>
      <c r="U255" s="42"/>
      <c r="Y255" s="123"/>
      <c r="Z255" s="219"/>
      <c r="AA255" s="123"/>
      <c r="AB255" s="123"/>
      <c r="AC255" s="160"/>
      <c r="AD255" s="160"/>
    </row>
    <row r="256" spans="1:40" x14ac:dyDescent="0.3">
      <c r="H256" s="123"/>
      <c r="I256" s="123"/>
      <c r="J256" s="219"/>
      <c r="K256" s="219"/>
      <c r="L256" s="123"/>
      <c r="M256" s="123"/>
      <c r="N256" s="160"/>
      <c r="O256" s="160"/>
      <c r="P256" s="123"/>
      <c r="Q256" s="123"/>
      <c r="R256" s="123"/>
      <c r="Y256" s="123"/>
      <c r="Z256" s="219"/>
      <c r="AA256" s="123"/>
      <c r="AB256" s="123"/>
      <c r="AC256" s="160"/>
      <c r="AD256" s="160"/>
    </row>
    <row r="257" spans="1:40" x14ac:dyDescent="0.3">
      <c r="C257" s="42"/>
      <c r="F257" s="184"/>
      <c r="H257" s="184"/>
      <c r="I257" s="184"/>
      <c r="J257" s="240"/>
      <c r="K257" s="240"/>
      <c r="L257" s="184"/>
      <c r="M257" s="184"/>
      <c r="N257" s="160"/>
      <c r="O257" s="160"/>
      <c r="P257" s="123"/>
      <c r="Q257" s="123"/>
      <c r="R257" s="123"/>
      <c r="T257" s="42"/>
      <c r="V257" s="123"/>
      <c r="Y257" s="123"/>
      <c r="Z257" s="240"/>
      <c r="AA257" s="123"/>
      <c r="AB257" s="123"/>
      <c r="AC257" s="160"/>
      <c r="AD257" s="160"/>
      <c r="AE257" s="123"/>
      <c r="AF257" s="123"/>
      <c r="AH257" s="236"/>
      <c r="AI257" s="123"/>
      <c r="AJ257" s="123"/>
      <c r="AL257" s="123"/>
      <c r="AM257" s="160"/>
      <c r="AN257" s="160"/>
    </row>
    <row r="258" spans="1:40" x14ac:dyDescent="0.3">
      <c r="F258" s="184"/>
      <c r="H258" s="222"/>
      <c r="I258" s="222"/>
      <c r="J258" s="222"/>
      <c r="K258" s="222"/>
      <c r="R258" s="123"/>
      <c r="V258" s="123"/>
      <c r="Z258" s="222"/>
    </row>
    <row r="259" spans="1:40" x14ac:dyDescent="0.3">
      <c r="C259" s="42"/>
      <c r="F259" s="184"/>
      <c r="H259" s="184"/>
      <c r="I259" s="184"/>
      <c r="J259" s="193"/>
      <c r="K259" s="193"/>
      <c r="L259" s="123"/>
      <c r="M259" s="123"/>
      <c r="N259" s="160"/>
      <c r="O259" s="160"/>
      <c r="P259" s="123"/>
      <c r="Q259" s="123"/>
      <c r="R259" s="123"/>
      <c r="T259" s="42"/>
      <c r="V259" s="123"/>
      <c r="Y259" s="123"/>
      <c r="Z259" s="193"/>
      <c r="AA259" s="123"/>
      <c r="AB259" s="123"/>
      <c r="AC259" s="160"/>
      <c r="AD259" s="160"/>
      <c r="AE259" s="123"/>
      <c r="AF259" s="123"/>
      <c r="AH259" s="236"/>
      <c r="AI259" s="123"/>
      <c r="AJ259" s="123"/>
      <c r="AL259" s="123"/>
      <c r="AM259" s="160"/>
      <c r="AN259" s="160"/>
    </row>
    <row r="260" spans="1:40" x14ac:dyDescent="0.3">
      <c r="F260" s="184"/>
      <c r="H260" s="222"/>
      <c r="I260" s="222"/>
      <c r="J260" s="222"/>
      <c r="K260" s="222"/>
      <c r="R260" s="123"/>
      <c r="V260" s="123"/>
      <c r="Z260" s="222"/>
    </row>
    <row r="261" spans="1:40" x14ac:dyDescent="0.3">
      <c r="C261" s="42"/>
      <c r="F261" s="184"/>
      <c r="H261" s="184"/>
      <c r="I261" s="184"/>
      <c r="J261" s="227"/>
      <c r="K261" s="227"/>
      <c r="L261" s="123"/>
      <c r="M261" s="123"/>
      <c r="N261" s="160"/>
      <c r="O261" s="160"/>
      <c r="P261" s="123"/>
      <c r="Q261" s="123"/>
      <c r="R261" s="123"/>
      <c r="T261" s="42"/>
      <c r="V261" s="123"/>
      <c r="Y261" s="123"/>
      <c r="Z261" s="212"/>
      <c r="AA261" s="123"/>
      <c r="AB261" s="123"/>
      <c r="AC261" s="160"/>
      <c r="AD261" s="160"/>
      <c r="AE261" s="123"/>
      <c r="AF261" s="123"/>
      <c r="AH261" s="236"/>
      <c r="AI261" s="123"/>
      <c r="AJ261" s="123"/>
      <c r="AL261" s="123"/>
      <c r="AM261" s="160"/>
      <c r="AN261" s="160"/>
    </row>
    <row r="262" spans="1:40" x14ac:dyDescent="0.3">
      <c r="F262" s="210"/>
      <c r="H262" s="210"/>
      <c r="I262" s="210"/>
      <c r="J262" s="213"/>
      <c r="K262" s="213"/>
      <c r="L262" s="210"/>
      <c r="M262" s="210"/>
      <c r="N262" s="210"/>
      <c r="O262" s="210"/>
      <c r="P262" s="210"/>
      <c r="Q262" s="210"/>
      <c r="R262" s="210"/>
      <c r="S262" s="123"/>
      <c r="V262" s="210"/>
      <c r="Y262" s="210"/>
      <c r="Z262" s="213"/>
      <c r="AA262" s="210"/>
      <c r="AB262" s="210"/>
      <c r="AC262" s="210"/>
      <c r="AD262" s="210"/>
      <c r="AE262" s="210"/>
      <c r="AF262" s="210"/>
      <c r="AI262" s="210"/>
      <c r="AJ262" s="210"/>
      <c r="AK262" s="214"/>
      <c r="AL262" s="210"/>
    </row>
    <row r="263" spans="1:40" x14ac:dyDescent="0.3">
      <c r="D263" s="42"/>
      <c r="E263" s="42"/>
      <c r="F263" s="123"/>
      <c r="H263" s="123"/>
      <c r="I263" s="123"/>
      <c r="J263" s="219"/>
      <c r="K263" s="219"/>
      <c r="L263" s="123"/>
      <c r="M263" s="123"/>
      <c r="N263" s="160"/>
      <c r="O263" s="160"/>
      <c r="P263" s="184"/>
      <c r="Q263" s="184"/>
      <c r="R263" s="123"/>
      <c r="S263" s="123"/>
      <c r="U263" s="42"/>
      <c r="V263" s="123"/>
      <c r="Y263" s="123"/>
      <c r="Z263" s="219"/>
      <c r="AA263" s="123"/>
      <c r="AB263" s="123"/>
      <c r="AC263" s="160"/>
      <c r="AD263" s="160"/>
      <c r="AE263" s="123"/>
      <c r="AF263" s="123"/>
      <c r="AH263" s="236"/>
      <c r="AI263" s="184"/>
      <c r="AJ263" s="184"/>
      <c r="AL263" s="123"/>
      <c r="AM263" s="160"/>
      <c r="AN263" s="160"/>
    </row>
    <row r="264" spans="1:40" x14ac:dyDescent="0.3">
      <c r="F264" s="210"/>
      <c r="H264" s="210"/>
      <c r="I264" s="210"/>
      <c r="J264" s="213"/>
      <c r="K264" s="213"/>
      <c r="L264" s="210"/>
      <c r="M264" s="210"/>
      <c r="N264" s="210"/>
      <c r="O264" s="210"/>
      <c r="P264" s="210"/>
      <c r="Q264" s="210"/>
      <c r="R264" s="210"/>
      <c r="S264" s="123"/>
      <c r="V264" s="210"/>
      <c r="Y264" s="210"/>
      <c r="Z264" s="213"/>
      <c r="AA264" s="210"/>
      <c r="AB264" s="210"/>
      <c r="AC264" s="210"/>
      <c r="AD264" s="210"/>
      <c r="AE264" s="210"/>
      <c r="AF264" s="210"/>
      <c r="AI264" s="210"/>
      <c r="AJ264" s="210"/>
      <c r="AK264" s="214"/>
      <c r="AL264" s="210"/>
    </row>
    <row r="265" spans="1:40" x14ac:dyDescent="0.3">
      <c r="R265" s="123"/>
    </row>
    <row r="266" spans="1:40" x14ac:dyDescent="0.3">
      <c r="F266" s="123"/>
      <c r="H266" s="123"/>
      <c r="I266" s="123"/>
      <c r="J266" s="219"/>
      <c r="K266" s="219"/>
      <c r="L266" s="123"/>
      <c r="M266" s="123"/>
      <c r="N266" s="123"/>
      <c r="O266" s="123"/>
      <c r="P266" s="123"/>
      <c r="Q266" s="123"/>
      <c r="R266" s="123"/>
      <c r="V266" s="123"/>
      <c r="Y266" s="123"/>
      <c r="Z266" s="219"/>
      <c r="AA266" s="123"/>
      <c r="AB266" s="123"/>
      <c r="AC266" s="123"/>
      <c r="AD266" s="123"/>
    </row>
    <row r="267" spans="1:40" x14ac:dyDescent="0.3">
      <c r="C267" s="42"/>
      <c r="F267" s="123"/>
      <c r="H267" s="123"/>
      <c r="I267" s="123"/>
      <c r="J267" s="219"/>
      <c r="K267" s="219"/>
      <c r="L267" s="123"/>
      <c r="M267" s="123"/>
      <c r="N267" s="123"/>
      <c r="O267" s="123"/>
      <c r="P267" s="123"/>
      <c r="Q267" s="123"/>
      <c r="R267" s="123"/>
      <c r="T267" s="42"/>
      <c r="V267" s="123"/>
      <c r="Y267" s="123"/>
      <c r="Z267" s="219"/>
      <c r="AA267" s="123"/>
      <c r="AB267" s="123"/>
      <c r="AC267" s="123"/>
      <c r="AD267" s="123"/>
    </row>
    <row r="268" spans="1:40" x14ac:dyDescent="0.3">
      <c r="C268" s="42"/>
      <c r="T268" s="42"/>
    </row>
    <row r="269" spans="1:40" x14ac:dyDescent="0.3">
      <c r="A269" s="42"/>
    </row>
    <row r="272" spans="1:40" x14ac:dyDescent="0.3">
      <c r="H272" s="42"/>
      <c r="I272" s="42"/>
      <c r="Y272" s="42"/>
    </row>
    <row r="274" spans="1:40" x14ac:dyDescent="0.3">
      <c r="L274" s="42"/>
      <c r="M274" s="42"/>
      <c r="AA274" s="42"/>
      <c r="AB274" s="42"/>
    </row>
    <row r="275" spans="1:40" x14ac:dyDescent="0.3">
      <c r="R275" s="42"/>
      <c r="AK275" s="206"/>
      <c r="AL275" s="42"/>
    </row>
    <row r="276" spans="1:40" x14ac:dyDescent="0.3">
      <c r="R276" s="42"/>
      <c r="AK276" s="206"/>
      <c r="AL276" s="42"/>
    </row>
    <row r="277" spans="1:40" x14ac:dyDescent="0.3">
      <c r="A277" s="42"/>
      <c r="R277" s="42"/>
      <c r="AK277" s="206"/>
      <c r="AL277" s="42"/>
    </row>
    <row r="278" spans="1:40" x14ac:dyDescent="0.3">
      <c r="L278" s="42"/>
      <c r="M278" s="42"/>
      <c r="AA278" s="42"/>
      <c r="AB278" s="42"/>
    </row>
    <row r="279" spans="1:40" x14ac:dyDescent="0.3">
      <c r="A279" s="135"/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207"/>
      <c r="AH279" s="135"/>
      <c r="AI279" s="135"/>
      <c r="AJ279" s="135"/>
      <c r="AK279" s="207"/>
      <c r="AL279" s="135"/>
      <c r="AM279" s="135"/>
      <c r="AN279" s="135"/>
    </row>
    <row r="280" spans="1:40" x14ac:dyDescent="0.3">
      <c r="L280" s="44"/>
      <c r="M280" s="44"/>
      <c r="N280" s="44"/>
      <c r="O280" s="44"/>
      <c r="R280" s="44"/>
      <c r="AA280" s="44"/>
      <c r="AB280" s="44"/>
      <c r="AC280" s="44"/>
      <c r="AD280" s="44"/>
      <c r="AE280" s="44"/>
      <c r="AF280" s="44"/>
      <c r="AG280" s="168"/>
      <c r="AH280" s="44"/>
      <c r="AK280" s="168"/>
      <c r="AL280" s="44"/>
      <c r="AM280" s="44"/>
      <c r="AN280" s="44"/>
    </row>
    <row r="281" spans="1:40" x14ac:dyDescent="0.3">
      <c r="L281" s="44"/>
      <c r="M281" s="44"/>
      <c r="N281" s="44"/>
      <c r="O281" s="44"/>
      <c r="R281" s="44"/>
      <c r="Z281" s="44"/>
      <c r="AA281" s="44"/>
      <c r="AB281" s="44"/>
      <c r="AC281" s="44"/>
      <c r="AD281" s="44"/>
      <c r="AE281" s="44"/>
      <c r="AF281" s="44"/>
      <c r="AG281" s="168"/>
      <c r="AH281" s="44"/>
      <c r="AK281" s="168"/>
      <c r="AL281" s="44"/>
      <c r="AM281" s="44"/>
      <c r="AN281" s="44"/>
    </row>
    <row r="282" spans="1:40" x14ac:dyDescent="0.3">
      <c r="A282" s="44"/>
      <c r="C282" s="44"/>
      <c r="D282" s="44"/>
      <c r="E282" s="44"/>
      <c r="F282" s="44"/>
      <c r="J282" s="44"/>
      <c r="K282" s="44"/>
      <c r="L282" s="44"/>
      <c r="M282" s="44"/>
      <c r="N282" s="44"/>
      <c r="O282" s="44"/>
      <c r="P282" s="44"/>
      <c r="Q282" s="44"/>
      <c r="R282" s="44"/>
      <c r="T282" s="44"/>
      <c r="U282" s="44"/>
      <c r="V282" s="44"/>
      <c r="Z282" s="44"/>
      <c r="AA282" s="44"/>
      <c r="AB282" s="44"/>
      <c r="AC282" s="44"/>
      <c r="AD282" s="44"/>
      <c r="AE282" s="44"/>
      <c r="AF282" s="44"/>
      <c r="AG282" s="168"/>
      <c r="AH282" s="44"/>
      <c r="AI282" s="44"/>
      <c r="AJ282" s="44"/>
      <c r="AK282" s="168"/>
      <c r="AL282" s="44"/>
      <c r="AM282" s="44"/>
      <c r="AN282" s="44"/>
    </row>
    <row r="283" spans="1:40" x14ac:dyDescent="0.3">
      <c r="A283" s="44"/>
      <c r="C283" s="44"/>
      <c r="D283" s="44"/>
      <c r="E283" s="44"/>
      <c r="F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T283" s="44"/>
      <c r="U283" s="44"/>
      <c r="V283" s="44"/>
      <c r="Y283" s="44"/>
      <c r="Z283" s="44"/>
      <c r="AA283" s="44"/>
      <c r="AB283" s="44"/>
      <c r="AC283" s="44"/>
      <c r="AD283" s="44"/>
      <c r="AE283" s="44"/>
      <c r="AF283" s="44"/>
      <c r="AG283" s="168"/>
      <c r="AH283" s="44"/>
      <c r="AI283" s="44"/>
      <c r="AJ283" s="44"/>
      <c r="AK283" s="168"/>
      <c r="AL283" s="44"/>
      <c r="AM283" s="44"/>
      <c r="AN283" s="44"/>
    </row>
    <row r="284" spans="1:40" x14ac:dyDescent="0.3">
      <c r="C284" s="44"/>
      <c r="D284" s="44"/>
      <c r="E284" s="44"/>
      <c r="F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T284" s="44"/>
      <c r="U284" s="44"/>
      <c r="V284" s="44"/>
      <c r="Y284" s="44"/>
      <c r="Z284" s="44"/>
      <c r="AA284" s="44"/>
      <c r="AB284" s="44"/>
      <c r="AC284" s="44"/>
      <c r="AD284" s="44"/>
      <c r="AE284" s="44"/>
      <c r="AF284" s="44"/>
      <c r="AG284" s="168"/>
      <c r="AH284" s="44"/>
      <c r="AI284" s="44"/>
      <c r="AJ284" s="44"/>
      <c r="AK284" s="168"/>
      <c r="AL284" s="44"/>
      <c r="AM284" s="44"/>
      <c r="AN284" s="44"/>
    </row>
    <row r="285" spans="1:40" x14ac:dyDescent="0.3">
      <c r="A285" s="135"/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207"/>
      <c r="AH285" s="135"/>
      <c r="AI285" s="135"/>
      <c r="AJ285" s="135"/>
      <c r="AK285" s="207"/>
      <c r="AL285" s="135"/>
      <c r="AM285" s="135"/>
      <c r="AN285" s="135"/>
    </row>
    <row r="286" spans="1:40" x14ac:dyDescent="0.3"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Y286" s="44"/>
      <c r="Z286" s="44"/>
      <c r="AA286" s="44"/>
      <c r="AB286" s="44"/>
      <c r="AC286" s="44"/>
      <c r="AD286" s="44"/>
      <c r="AE286" s="44"/>
      <c r="AF286" s="44"/>
      <c r="AG286" s="168"/>
      <c r="AH286" s="44"/>
      <c r="AI286" s="44"/>
      <c r="AJ286" s="44"/>
      <c r="AK286" s="168"/>
      <c r="AL286" s="44"/>
      <c r="AM286" s="44"/>
      <c r="AN286" s="44"/>
    </row>
    <row r="287" spans="1:40" x14ac:dyDescent="0.3">
      <c r="C287" s="42"/>
      <c r="D287" s="42"/>
      <c r="E287" s="42"/>
      <c r="T287" s="42"/>
      <c r="U287" s="42"/>
    </row>
    <row r="288" spans="1:40" x14ac:dyDescent="0.3">
      <c r="D288" s="42"/>
      <c r="E288" s="42"/>
      <c r="U288" s="42"/>
    </row>
    <row r="290" spans="3:40" x14ac:dyDescent="0.3">
      <c r="C290" s="42"/>
      <c r="F290" s="123"/>
      <c r="J290" s="209"/>
      <c r="K290" s="209"/>
      <c r="L290" s="123"/>
      <c r="M290" s="123"/>
      <c r="R290" s="123"/>
      <c r="T290" s="42"/>
      <c r="V290" s="123"/>
      <c r="Z290" s="209"/>
      <c r="AA290" s="123"/>
      <c r="AB290" s="123"/>
      <c r="AL290" s="123"/>
    </row>
    <row r="291" spans="3:40" x14ac:dyDescent="0.3">
      <c r="F291" s="123"/>
      <c r="R291" s="123"/>
      <c r="V291" s="123"/>
      <c r="AL291" s="123"/>
    </row>
    <row r="292" spans="3:40" x14ac:dyDescent="0.3">
      <c r="C292" s="42"/>
      <c r="F292" s="184"/>
      <c r="H292" s="184"/>
      <c r="I292" s="184"/>
      <c r="J292" s="193"/>
      <c r="K292" s="193"/>
      <c r="L292" s="123"/>
      <c r="M292" s="123"/>
      <c r="N292" s="160"/>
      <c r="O292" s="160"/>
      <c r="P292" s="123"/>
      <c r="Q292" s="123"/>
      <c r="R292" s="123"/>
      <c r="T292" s="42"/>
      <c r="V292" s="123"/>
      <c r="Y292" s="123"/>
      <c r="Z292" s="193"/>
      <c r="AA292" s="123"/>
      <c r="AB292" s="123"/>
      <c r="AC292" s="160"/>
      <c r="AD292" s="160"/>
      <c r="AE292" s="123"/>
      <c r="AF292" s="123"/>
      <c r="AH292" s="236"/>
      <c r="AI292" s="123"/>
      <c r="AJ292" s="123"/>
      <c r="AL292" s="123"/>
      <c r="AM292" s="160"/>
      <c r="AN292" s="160"/>
    </row>
    <row r="293" spans="3:40" x14ac:dyDescent="0.3">
      <c r="C293" s="42"/>
      <c r="F293" s="184"/>
      <c r="H293" s="222"/>
      <c r="I293" s="222"/>
      <c r="J293" s="193"/>
      <c r="K293" s="193"/>
      <c r="L293" s="123"/>
      <c r="M293" s="123"/>
      <c r="N293" s="160"/>
      <c r="O293" s="160"/>
      <c r="P293" s="123"/>
      <c r="Q293" s="123"/>
      <c r="R293" s="123"/>
      <c r="T293" s="42"/>
      <c r="V293" s="123"/>
      <c r="Y293" s="123"/>
      <c r="Z293" s="193"/>
      <c r="AA293" s="123"/>
      <c r="AB293" s="123"/>
      <c r="AC293" s="160"/>
      <c r="AD293" s="160"/>
      <c r="AE293" s="123"/>
      <c r="AF293" s="123"/>
      <c r="AH293" s="236"/>
      <c r="AI293" s="123"/>
      <c r="AJ293" s="123"/>
      <c r="AL293" s="123"/>
      <c r="AM293" s="160"/>
      <c r="AN293" s="160"/>
    </row>
    <row r="294" spans="3:40" x14ac:dyDescent="0.3">
      <c r="F294" s="210"/>
      <c r="H294" s="123"/>
      <c r="I294" s="123"/>
      <c r="J294" s="213"/>
      <c r="K294" s="213"/>
      <c r="L294" s="210"/>
      <c r="M294" s="210"/>
      <c r="N294" s="210"/>
      <c r="O294" s="210"/>
      <c r="P294" s="210"/>
      <c r="Q294" s="210"/>
      <c r="R294" s="210"/>
      <c r="V294" s="210"/>
      <c r="Y294" s="123"/>
      <c r="Z294" s="213"/>
      <c r="AA294" s="210"/>
      <c r="AB294" s="210"/>
      <c r="AC294" s="210"/>
      <c r="AD294" s="210"/>
      <c r="AE294" s="210"/>
      <c r="AF294" s="210"/>
      <c r="AI294" s="210"/>
      <c r="AJ294" s="210"/>
      <c r="AK294" s="214"/>
      <c r="AL294" s="210"/>
    </row>
    <row r="295" spans="3:40" x14ac:dyDescent="0.3">
      <c r="C295" s="42"/>
      <c r="F295" s="123"/>
      <c r="H295" s="123"/>
      <c r="I295" s="123"/>
      <c r="J295" s="219"/>
      <c r="K295" s="219"/>
      <c r="L295" s="123"/>
      <c r="M295" s="123"/>
      <c r="N295" s="160"/>
      <c r="O295" s="160"/>
      <c r="P295" s="123"/>
      <c r="Q295" s="123"/>
      <c r="R295" s="123"/>
      <c r="T295" s="42"/>
      <c r="V295" s="123"/>
      <c r="Y295" s="123"/>
      <c r="Z295" s="219"/>
      <c r="AA295" s="123"/>
      <c r="AB295" s="123"/>
      <c r="AC295" s="160"/>
      <c r="AD295" s="160"/>
      <c r="AE295" s="123"/>
      <c r="AF295" s="123"/>
      <c r="AH295" s="236"/>
      <c r="AI295" s="123"/>
      <c r="AJ295" s="123"/>
      <c r="AL295" s="123"/>
      <c r="AM295" s="160"/>
      <c r="AN295" s="160"/>
    </row>
    <row r="296" spans="3:40" x14ac:dyDescent="0.3">
      <c r="F296" s="210"/>
      <c r="H296" s="123"/>
      <c r="I296" s="123"/>
      <c r="J296" s="213"/>
      <c r="K296" s="213"/>
      <c r="L296" s="210"/>
      <c r="M296" s="210"/>
      <c r="N296" s="210"/>
      <c r="O296" s="210"/>
      <c r="P296" s="210"/>
      <c r="Q296" s="210"/>
      <c r="R296" s="210"/>
      <c r="V296" s="210"/>
      <c r="Y296" s="123"/>
      <c r="Z296" s="213"/>
      <c r="AA296" s="210"/>
      <c r="AB296" s="210"/>
      <c r="AC296" s="210"/>
      <c r="AD296" s="210"/>
      <c r="AE296" s="210"/>
      <c r="AF296" s="210"/>
      <c r="AI296" s="210"/>
      <c r="AJ296" s="210"/>
      <c r="AK296" s="214"/>
      <c r="AL296" s="210"/>
    </row>
    <row r="297" spans="3:40" x14ac:dyDescent="0.3">
      <c r="F297" s="123"/>
      <c r="R297" s="123"/>
      <c r="V297" s="123"/>
      <c r="AL297" s="123"/>
    </row>
    <row r="298" spans="3:40" x14ac:dyDescent="0.3">
      <c r="C298" s="42"/>
      <c r="F298" s="123"/>
      <c r="R298" s="123"/>
      <c r="T298" s="42"/>
      <c r="V298" s="123"/>
      <c r="AL298" s="123"/>
    </row>
    <row r="299" spans="3:40" x14ac:dyDescent="0.3">
      <c r="F299" s="123"/>
      <c r="R299" s="123"/>
      <c r="V299" s="123"/>
      <c r="AL299" s="123"/>
    </row>
    <row r="300" spans="3:40" x14ac:dyDescent="0.3">
      <c r="C300" s="42"/>
      <c r="F300" s="123"/>
      <c r="H300" s="184"/>
      <c r="I300" s="184"/>
      <c r="J300" s="227"/>
      <c r="K300" s="227"/>
      <c r="L300" s="123"/>
      <c r="M300" s="123"/>
      <c r="N300" s="160"/>
      <c r="O300" s="160"/>
      <c r="P300" s="184"/>
      <c r="Q300" s="184"/>
      <c r="R300" s="123"/>
      <c r="T300" s="42"/>
      <c r="V300" s="123"/>
      <c r="Y300" s="123"/>
      <c r="Z300" s="212"/>
      <c r="AA300" s="123"/>
      <c r="AB300" s="123"/>
      <c r="AC300" s="160"/>
      <c r="AD300" s="160"/>
      <c r="AE300" s="123"/>
      <c r="AF300" s="123"/>
      <c r="AH300" s="236"/>
      <c r="AI300" s="184"/>
      <c r="AJ300" s="184"/>
      <c r="AL300" s="123"/>
      <c r="AM300" s="160"/>
      <c r="AN300" s="160"/>
    </row>
    <row r="301" spans="3:40" x14ac:dyDescent="0.3">
      <c r="F301" s="210"/>
      <c r="H301" s="210"/>
      <c r="I301" s="210"/>
      <c r="J301" s="213"/>
      <c r="K301" s="213"/>
      <c r="L301" s="210"/>
      <c r="M301" s="210"/>
      <c r="N301" s="210"/>
      <c r="O301" s="210"/>
      <c r="P301" s="210"/>
      <c r="Q301" s="210"/>
      <c r="R301" s="210"/>
      <c r="V301" s="210"/>
      <c r="Y301" s="210"/>
      <c r="Z301" s="213"/>
      <c r="AA301" s="210"/>
      <c r="AB301" s="210"/>
      <c r="AC301" s="210"/>
      <c r="AD301" s="210"/>
      <c r="AE301" s="210"/>
      <c r="AF301" s="210"/>
      <c r="AI301" s="210"/>
      <c r="AJ301" s="210"/>
      <c r="AK301" s="214"/>
      <c r="AL301" s="210"/>
    </row>
    <row r="303" spans="3:40" x14ac:dyDescent="0.3">
      <c r="C303" s="42"/>
      <c r="F303" s="123"/>
      <c r="H303" s="123"/>
      <c r="I303" s="123"/>
      <c r="J303" s="209"/>
      <c r="K303" s="209"/>
      <c r="L303" s="123"/>
      <c r="M303" s="123"/>
      <c r="N303" s="160"/>
      <c r="O303" s="160"/>
      <c r="P303" s="123"/>
      <c r="Q303" s="123"/>
      <c r="R303" s="123"/>
      <c r="T303" s="42"/>
      <c r="V303" s="123"/>
      <c r="Y303" s="123"/>
      <c r="Z303" s="209"/>
      <c r="AA303" s="123"/>
      <c r="AB303" s="123"/>
      <c r="AC303" s="160"/>
      <c r="AD303" s="160"/>
      <c r="AE303" s="123"/>
      <c r="AF303" s="123"/>
      <c r="AH303" s="236"/>
      <c r="AI303" s="123"/>
      <c r="AJ303" s="123"/>
      <c r="AL303" s="123"/>
      <c r="AM303" s="160"/>
      <c r="AN303" s="160"/>
    </row>
    <row r="304" spans="3:40" x14ac:dyDescent="0.3">
      <c r="F304" s="210"/>
      <c r="H304" s="210"/>
      <c r="I304" s="210"/>
      <c r="J304" s="213"/>
      <c r="K304" s="213"/>
      <c r="L304" s="210"/>
      <c r="M304" s="210"/>
      <c r="N304" s="210"/>
      <c r="O304" s="210"/>
      <c r="P304" s="210"/>
      <c r="Q304" s="210"/>
      <c r="R304" s="210"/>
      <c r="V304" s="210"/>
      <c r="Y304" s="210"/>
      <c r="Z304" s="213"/>
      <c r="AA304" s="210"/>
      <c r="AB304" s="210"/>
      <c r="AC304" s="210"/>
      <c r="AD304" s="210"/>
      <c r="AE304" s="210"/>
      <c r="AF304" s="210"/>
      <c r="AI304" s="210"/>
      <c r="AJ304" s="210"/>
      <c r="AK304" s="214"/>
      <c r="AL304" s="210"/>
    </row>
    <row r="305" spans="1:40" x14ac:dyDescent="0.3">
      <c r="R305" s="123"/>
      <c r="AH305" s="123"/>
    </row>
    <row r="306" spans="1:40" x14ac:dyDescent="0.3">
      <c r="F306" s="123"/>
      <c r="H306" s="123"/>
      <c r="I306" s="123"/>
      <c r="J306" s="219"/>
      <c r="K306" s="219"/>
      <c r="L306" s="123"/>
      <c r="M306" s="123"/>
      <c r="N306" s="123"/>
      <c r="O306" s="123"/>
      <c r="P306" s="123"/>
      <c r="Q306" s="123"/>
      <c r="R306" s="123"/>
      <c r="V306" s="123"/>
      <c r="Y306" s="123"/>
      <c r="Z306" s="219"/>
      <c r="AA306" s="123"/>
      <c r="AB306" s="123"/>
      <c r="AC306" s="123"/>
      <c r="AD306" s="123"/>
      <c r="AE306" s="123"/>
      <c r="AF306" s="123"/>
      <c r="AH306" s="123"/>
    </row>
    <row r="307" spans="1:40" x14ac:dyDescent="0.3">
      <c r="C307" s="42"/>
      <c r="F307" s="123"/>
      <c r="H307" s="123"/>
      <c r="I307" s="123"/>
      <c r="J307" s="219"/>
      <c r="K307" s="219"/>
      <c r="L307" s="123"/>
      <c r="M307" s="123"/>
      <c r="N307" s="123"/>
      <c r="O307" s="123"/>
      <c r="P307" s="123"/>
      <c r="Q307" s="123"/>
      <c r="R307" s="123"/>
      <c r="T307" s="42"/>
      <c r="V307" s="123"/>
      <c r="Y307" s="123"/>
      <c r="Z307" s="219"/>
      <c r="AA307" s="123"/>
      <c r="AB307" s="123"/>
      <c r="AC307" s="123"/>
      <c r="AD307" s="123"/>
      <c r="AE307" s="123"/>
      <c r="AF307" s="123"/>
      <c r="AH307" s="123"/>
    </row>
    <row r="308" spans="1:40" x14ac:dyDescent="0.3">
      <c r="A308" s="42"/>
    </row>
    <row r="311" spans="1:40" x14ac:dyDescent="0.3">
      <c r="H311" s="42"/>
      <c r="I311" s="42"/>
      <c r="Y311" s="42"/>
    </row>
    <row r="313" spans="1:40" x14ac:dyDescent="0.3">
      <c r="L313" s="42"/>
      <c r="M313" s="42"/>
      <c r="AA313" s="42"/>
      <c r="AB313" s="42"/>
    </row>
    <row r="314" spans="1:40" x14ac:dyDescent="0.3">
      <c r="R314" s="42"/>
      <c r="AK314" s="206"/>
      <c r="AL314" s="42"/>
    </row>
    <row r="315" spans="1:40" x14ac:dyDescent="0.3">
      <c r="R315" s="42"/>
      <c r="AK315" s="206"/>
      <c r="AL315" s="42"/>
    </row>
    <row r="316" spans="1:40" x14ac:dyDescent="0.3">
      <c r="A316" s="42"/>
      <c r="R316" s="42"/>
      <c r="AK316" s="206"/>
      <c r="AL316" s="42"/>
    </row>
    <row r="317" spans="1:40" x14ac:dyDescent="0.3">
      <c r="L317" s="42"/>
      <c r="M317" s="42"/>
      <c r="AA317" s="42"/>
      <c r="AB317" s="42"/>
    </row>
    <row r="318" spans="1:40" x14ac:dyDescent="0.3">
      <c r="A318" s="135"/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207"/>
      <c r="AH318" s="135"/>
      <c r="AI318" s="135"/>
      <c r="AJ318" s="135"/>
      <c r="AK318" s="207"/>
      <c r="AL318" s="135"/>
      <c r="AM318" s="135"/>
      <c r="AN318" s="135"/>
    </row>
    <row r="319" spans="1:40" x14ac:dyDescent="0.3">
      <c r="L319" s="44"/>
      <c r="M319" s="44"/>
      <c r="N319" s="44"/>
      <c r="O319" s="44"/>
      <c r="R319" s="44"/>
      <c r="AA319" s="44"/>
      <c r="AB319" s="44"/>
      <c r="AC319" s="44"/>
      <c r="AD319" s="44"/>
      <c r="AE319" s="44"/>
      <c r="AF319" s="44"/>
      <c r="AG319" s="168"/>
      <c r="AH319" s="44"/>
      <c r="AK319" s="168"/>
      <c r="AL319" s="44"/>
      <c r="AM319" s="44"/>
      <c r="AN319" s="44"/>
    </row>
    <row r="320" spans="1:40" x14ac:dyDescent="0.3">
      <c r="L320" s="44"/>
      <c r="M320" s="44"/>
      <c r="N320" s="44"/>
      <c r="O320" s="44"/>
      <c r="R320" s="44"/>
      <c r="Z320" s="44"/>
      <c r="AA320" s="44"/>
      <c r="AB320" s="44"/>
      <c r="AC320" s="44"/>
      <c r="AD320" s="44"/>
      <c r="AE320" s="44"/>
      <c r="AF320" s="44"/>
      <c r="AG320" s="168"/>
      <c r="AH320" s="44"/>
      <c r="AK320" s="168"/>
      <c r="AL320" s="44"/>
      <c r="AM320" s="44"/>
      <c r="AN320" s="44"/>
    </row>
    <row r="321" spans="1:40" x14ac:dyDescent="0.3">
      <c r="A321" s="44"/>
      <c r="C321" s="44"/>
      <c r="D321" s="44"/>
      <c r="E321" s="44"/>
      <c r="F321" s="44"/>
      <c r="J321" s="44"/>
      <c r="K321" s="44"/>
      <c r="L321" s="44"/>
      <c r="M321" s="44"/>
      <c r="N321" s="44"/>
      <c r="O321" s="44"/>
      <c r="P321" s="44"/>
      <c r="Q321" s="44"/>
      <c r="R321" s="44"/>
      <c r="T321" s="44"/>
      <c r="U321" s="44"/>
      <c r="V321" s="44"/>
      <c r="Z321" s="44"/>
      <c r="AA321" s="44"/>
      <c r="AB321" s="44"/>
      <c r="AC321" s="44"/>
      <c r="AD321" s="44"/>
      <c r="AE321" s="44"/>
      <c r="AF321" s="44"/>
      <c r="AG321" s="168"/>
      <c r="AH321" s="44"/>
      <c r="AI321" s="44"/>
      <c r="AJ321" s="44"/>
      <c r="AK321" s="168"/>
      <c r="AL321" s="44"/>
      <c r="AM321" s="44"/>
      <c r="AN321" s="44"/>
    </row>
    <row r="322" spans="1:40" x14ac:dyDescent="0.3">
      <c r="A322" s="44"/>
      <c r="C322" s="44"/>
      <c r="D322" s="44"/>
      <c r="E322" s="44"/>
      <c r="F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T322" s="44"/>
      <c r="U322" s="44"/>
      <c r="V322" s="44"/>
      <c r="Y322" s="44"/>
      <c r="Z322" s="44"/>
      <c r="AA322" s="44"/>
      <c r="AB322" s="44"/>
      <c r="AC322" s="44"/>
      <c r="AD322" s="44"/>
      <c r="AE322" s="44"/>
      <c r="AF322" s="44"/>
      <c r="AG322" s="168"/>
      <c r="AH322" s="44"/>
      <c r="AI322" s="44"/>
      <c r="AJ322" s="44"/>
      <c r="AK322" s="168"/>
      <c r="AL322" s="44"/>
      <c r="AM322" s="44"/>
      <c r="AN322" s="44"/>
    </row>
    <row r="323" spans="1:40" x14ac:dyDescent="0.3">
      <c r="C323" s="44"/>
      <c r="D323" s="44"/>
      <c r="E323" s="44"/>
      <c r="F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T323" s="44"/>
      <c r="U323" s="44"/>
      <c r="V323" s="44"/>
      <c r="Y323" s="44"/>
      <c r="Z323" s="44"/>
      <c r="AA323" s="44"/>
      <c r="AB323" s="44"/>
      <c r="AC323" s="44"/>
      <c r="AD323" s="44"/>
      <c r="AE323" s="44"/>
      <c r="AF323" s="44"/>
      <c r="AG323" s="168"/>
      <c r="AH323" s="44"/>
      <c r="AI323" s="44"/>
      <c r="AJ323" s="44"/>
      <c r="AK323" s="168"/>
      <c r="AL323" s="44"/>
      <c r="AM323" s="44"/>
      <c r="AN323" s="44"/>
    </row>
    <row r="324" spans="1:40" x14ac:dyDescent="0.3">
      <c r="A324" s="135"/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207"/>
      <c r="AH324" s="135"/>
      <c r="AI324" s="135"/>
      <c r="AJ324" s="135"/>
      <c r="AK324" s="207"/>
      <c r="AL324" s="135"/>
      <c r="AM324" s="135"/>
      <c r="AN324" s="135"/>
    </row>
    <row r="325" spans="1:40" x14ac:dyDescent="0.3"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Y325" s="44"/>
      <c r="Z325" s="44"/>
      <c r="AA325" s="44"/>
      <c r="AB325" s="44"/>
      <c r="AC325" s="44"/>
      <c r="AD325" s="44"/>
      <c r="AE325" s="44"/>
      <c r="AF325" s="44"/>
      <c r="AG325" s="168"/>
      <c r="AH325" s="44"/>
      <c r="AI325" s="44"/>
      <c r="AJ325" s="44"/>
      <c r="AK325" s="168"/>
      <c r="AL325" s="44"/>
      <c r="AM325" s="44"/>
      <c r="AN325" s="44"/>
    </row>
    <row r="326" spans="1:40" x14ac:dyDescent="0.3">
      <c r="C326" s="42"/>
      <c r="D326" s="42"/>
      <c r="E326" s="42"/>
      <c r="T326" s="42"/>
      <c r="U326" s="42"/>
    </row>
    <row r="327" spans="1:40" x14ac:dyDescent="0.3">
      <c r="C327" s="42"/>
      <c r="T327" s="42"/>
    </row>
    <row r="329" spans="1:40" x14ac:dyDescent="0.3">
      <c r="C329" s="42"/>
      <c r="F329" s="184"/>
      <c r="H329" s="184"/>
      <c r="I329" s="184"/>
      <c r="J329" s="193"/>
      <c r="K329" s="193"/>
      <c r="L329" s="123"/>
      <c r="M329" s="123"/>
      <c r="N329" s="160"/>
      <c r="O329" s="160"/>
      <c r="R329" s="123"/>
      <c r="T329" s="42"/>
      <c r="V329" s="123"/>
      <c r="Y329" s="184"/>
      <c r="Z329" s="193"/>
      <c r="AA329" s="123"/>
      <c r="AB329" s="123"/>
      <c r="AC329" s="160"/>
      <c r="AD329" s="160"/>
      <c r="AE329" s="123"/>
      <c r="AF329" s="123"/>
      <c r="AH329" s="236"/>
      <c r="AL329" s="123"/>
      <c r="AM329" s="160"/>
      <c r="AN329" s="160"/>
    </row>
    <row r="330" spans="1:40" x14ac:dyDescent="0.3">
      <c r="F330" s="210"/>
      <c r="H330" s="123"/>
      <c r="I330" s="123"/>
      <c r="J330" s="213"/>
      <c r="K330" s="213"/>
      <c r="L330" s="210"/>
      <c r="M330" s="210"/>
      <c r="N330" s="210"/>
      <c r="O330" s="210"/>
      <c r="P330" s="210"/>
      <c r="Q330" s="210"/>
      <c r="R330" s="210"/>
      <c r="V330" s="210"/>
      <c r="Y330" s="123"/>
      <c r="Z330" s="213"/>
      <c r="AA330" s="210"/>
      <c r="AB330" s="210"/>
      <c r="AC330" s="210"/>
      <c r="AD330" s="210"/>
      <c r="AE330" s="210"/>
      <c r="AF330" s="210"/>
      <c r="AI330" s="210"/>
      <c r="AJ330" s="210"/>
      <c r="AK330" s="214"/>
      <c r="AL330" s="210"/>
      <c r="AM330" s="160"/>
      <c r="AN330" s="160"/>
    </row>
    <row r="331" spans="1:40" x14ac:dyDescent="0.3">
      <c r="C331" s="42"/>
      <c r="F331" s="184"/>
      <c r="H331" s="184"/>
      <c r="I331" s="184"/>
      <c r="J331" s="237"/>
      <c r="K331" s="237"/>
      <c r="L331" s="123"/>
      <c r="M331" s="123"/>
      <c r="N331" s="160"/>
      <c r="O331" s="160"/>
      <c r="P331" s="123"/>
      <c r="Q331" s="123"/>
      <c r="R331" s="123"/>
      <c r="S331" s="123"/>
      <c r="T331" s="42"/>
      <c r="V331" s="184"/>
      <c r="Y331" s="184"/>
      <c r="Z331" s="237"/>
      <c r="AA331" s="123"/>
      <c r="AB331" s="123"/>
      <c r="AC331" s="160"/>
      <c r="AD331" s="160"/>
      <c r="AE331" s="123"/>
      <c r="AF331" s="123"/>
      <c r="AH331" s="160"/>
      <c r="AI331" s="123"/>
      <c r="AJ331" s="123"/>
      <c r="AL331" s="123"/>
      <c r="AM331" s="160"/>
      <c r="AN331" s="160"/>
    </row>
    <row r="332" spans="1:40" x14ac:dyDescent="0.3">
      <c r="C332" s="42"/>
      <c r="F332" s="184"/>
      <c r="H332" s="184"/>
      <c r="I332" s="184"/>
      <c r="J332" s="193"/>
      <c r="K332" s="193"/>
      <c r="L332" s="123"/>
      <c r="M332" s="123"/>
      <c r="N332" s="160"/>
      <c r="O332" s="160"/>
      <c r="P332" s="123"/>
      <c r="Q332" s="123"/>
      <c r="R332" s="123"/>
      <c r="T332" s="42"/>
      <c r="V332" s="184"/>
      <c r="Y332" s="123"/>
      <c r="Z332" s="193"/>
      <c r="AA332" s="123"/>
      <c r="AB332" s="123"/>
      <c r="AC332" s="160"/>
      <c r="AD332" s="160"/>
      <c r="AE332" s="123"/>
      <c r="AF332" s="123"/>
      <c r="AH332" s="236"/>
      <c r="AI332" s="123"/>
      <c r="AJ332" s="123"/>
      <c r="AL332" s="123"/>
      <c r="AM332" s="160"/>
      <c r="AN332" s="160"/>
    </row>
    <row r="333" spans="1:40" x14ac:dyDescent="0.3">
      <c r="C333" s="42"/>
      <c r="F333" s="184"/>
      <c r="H333" s="184"/>
      <c r="I333" s="184"/>
      <c r="J333" s="193"/>
      <c r="K333" s="193"/>
      <c r="L333" s="123"/>
      <c r="M333" s="123"/>
      <c r="N333" s="160"/>
      <c r="O333" s="160"/>
      <c r="P333" s="123"/>
      <c r="Q333" s="123"/>
      <c r="R333" s="123"/>
      <c r="T333" s="42"/>
      <c r="V333" s="184"/>
      <c r="Y333" s="123"/>
      <c r="Z333" s="193"/>
      <c r="AA333" s="123"/>
      <c r="AB333" s="123"/>
      <c r="AC333" s="160"/>
      <c r="AD333" s="160"/>
      <c r="AE333" s="123"/>
      <c r="AF333" s="123"/>
      <c r="AH333" s="236"/>
      <c r="AI333" s="123"/>
      <c r="AJ333" s="123"/>
      <c r="AL333" s="123"/>
      <c r="AM333" s="160"/>
      <c r="AN333" s="160"/>
    </row>
    <row r="334" spans="1:40" x14ac:dyDescent="0.3">
      <c r="F334" s="210"/>
      <c r="H334" s="210"/>
      <c r="I334" s="210"/>
      <c r="J334" s="213"/>
      <c r="K334" s="213"/>
      <c r="L334" s="210"/>
      <c r="M334" s="210"/>
      <c r="N334" s="210"/>
      <c r="O334" s="210"/>
      <c r="P334" s="210"/>
      <c r="Q334" s="210"/>
      <c r="R334" s="210"/>
      <c r="V334" s="210"/>
      <c r="Y334" s="210"/>
      <c r="Z334" s="213"/>
      <c r="AA334" s="210"/>
      <c r="AB334" s="210"/>
      <c r="AC334" s="210"/>
      <c r="AD334" s="210"/>
      <c r="AE334" s="210"/>
      <c r="AF334" s="210"/>
      <c r="AI334" s="210"/>
      <c r="AJ334" s="210"/>
      <c r="AK334" s="214"/>
      <c r="AL334" s="210"/>
      <c r="AM334" s="160"/>
      <c r="AN334" s="160"/>
    </row>
    <row r="335" spans="1:40" x14ac:dyDescent="0.3">
      <c r="C335" s="42"/>
      <c r="F335" s="123"/>
      <c r="H335" s="123"/>
      <c r="I335" s="123"/>
      <c r="J335" s="219"/>
      <c r="K335" s="219"/>
      <c r="L335" s="123"/>
      <c r="M335" s="123"/>
      <c r="N335" s="160"/>
      <c r="O335" s="160"/>
      <c r="P335" s="123"/>
      <c r="Q335" s="123"/>
      <c r="R335" s="123"/>
      <c r="T335" s="42"/>
      <c r="V335" s="123"/>
      <c r="Y335" s="123"/>
      <c r="Z335" s="219"/>
      <c r="AA335" s="123"/>
      <c r="AB335" s="123"/>
      <c r="AC335" s="160"/>
      <c r="AD335" s="160"/>
      <c r="AE335" s="123"/>
      <c r="AF335" s="123"/>
      <c r="AH335" s="236"/>
      <c r="AI335" s="123"/>
      <c r="AJ335" s="123"/>
      <c r="AL335" s="123"/>
      <c r="AM335" s="160"/>
      <c r="AN335" s="160"/>
    </row>
    <row r="336" spans="1:40" x14ac:dyDescent="0.3">
      <c r="F336" s="210"/>
      <c r="H336" s="210"/>
      <c r="I336" s="210"/>
      <c r="J336" s="213"/>
      <c r="K336" s="213"/>
      <c r="L336" s="210"/>
      <c r="M336" s="210"/>
      <c r="N336" s="210"/>
      <c r="O336" s="210"/>
      <c r="P336" s="210"/>
      <c r="Q336" s="210"/>
      <c r="R336" s="210"/>
      <c r="V336" s="210"/>
      <c r="Y336" s="210"/>
      <c r="Z336" s="213"/>
      <c r="AA336" s="210"/>
      <c r="AB336" s="210"/>
      <c r="AC336" s="210"/>
      <c r="AD336" s="210"/>
      <c r="AE336" s="210"/>
      <c r="AF336" s="210"/>
      <c r="AI336" s="210"/>
      <c r="AJ336" s="210"/>
      <c r="AK336" s="214"/>
      <c r="AL336" s="210"/>
      <c r="AM336" s="160"/>
      <c r="AN336" s="160"/>
    </row>
    <row r="337" spans="3:40" x14ac:dyDescent="0.3">
      <c r="C337" s="42"/>
      <c r="F337" s="123"/>
      <c r="H337" s="123"/>
      <c r="I337" s="123"/>
      <c r="J337" s="219"/>
      <c r="K337" s="219"/>
      <c r="L337" s="123"/>
      <c r="M337" s="123"/>
      <c r="N337" s="160"/>
      <c r="O337" s="160"/>
      <c r="P337" s="123"/>
      <c r="Q337" s="123"/>
      <c r="R337" s="123"/>
      <c r="T337" s="42"/>
      <c r="V337" s="123"/>
      <c r="Y337" s="123"/>
      <c r="Z337" s="219"/>
      <c r="AA337" s="123"/>
      <c r="AB337" s="123"/>
      <c r="AC337" s="160"/>
      <c r="AD337" s="160"/>
      <c r="AE337" s="123"/>
      <c r="AF337" s="123"/>
      <c r="AH337" s="236"/>
      <c r="AI337" s="123"/>
      <c r="AJ337" s="123"/>
      <c r="AL337" s="123"/>
      <c r="AM337" s="160"/>
      <c r="AN337" s="160"/>
    </row>
    <row r="338" spans="3:40" x14ac:dyDescent="0.3">
      <c r="C338" s="42"/>
      <c r="F338" s="123"/>
      <c r="H338" s="184"/>
      <c r="I338" s="184"/>
      <c r="J338" s="227"/>
      <c r="K338" s="227"/>
      <c r="L338" s="123"/>
      <c r="M338" s="123"/>
      <c r="N338" s="160"/>
      <c r="O338" s="160"/>
      <c r="P338" s="123"/>
      <c r="Q338" s="123"/>
      <c r="R338" s="123"/>
      <c r="T338" s="42"/>
      <c r="V338" s="123"/>
      <c r="Y338" s="123"/>
      <c r="Z338" s="212"/>
      <c r="AA338" s="123"/>
      <c r="AB338" s="123"/>
      <c r="AC338" s="160"/>
      <c r="AD338" s="160"/>
      <c r="AE338" s="123"/>
      <c r="AF338" s="123"/>
      <c r="AH338" s="236"/>
      <c r="AI338" s="123"/>
      <c r="AJ338" s="123"/>
      <c r="AL338" s="123"/>
      <c r="AM338" s="160"/>
      <c r="AN338" s="160"/>
    </row>
    <row r="339" spans="3:40" x14ac:dyDescent="0.3">
      <c r="F339" s="210"/>
      <c r="H339" s="210"/>
      <c r="I339" s="210"/>
      <c r="J339" s="213"/>
      <c r="K339" s="213"/>
      <c r="L339" s="210"/>
      <c r="M339" s="210"/>
      <c r="N339" s="210"/>
      <c r="O339" s="210"/>
      <c r="P339" s="210"/>
      <c r="Q339" s="210"/>
      <c r="R339" s="210"/>
      <c r="V339" s="210"/>
      <c r="Y339" s="210"/>
      <c r="Z339" s="213"/>
      <c r="AA339" s="210"/>
      <c r="AB339" s="210"/>
      <c r="AC339" s="210"/>
      <c r="AD339" s="210"/>
      <c r="AE339" s="210"/>
      <c r="AF339" s="210"/>
      <c r="AI339" s="210"/>
      <c r="AJ339" s="210"/>
      <c r="AK339" s="214"/>
      <c r="AL339" s="210"/>
      <c r="AM339" s="160"/>
      <c r="AN339" s="160"/>
    </row>
    <row r="341" spans="3:40" x14ac:dyDescent="0.3">
      <c r="C341" s="42"/>
      <c r="F341" s="123"/>
      <c r="H341" s="123"/>
      <c r="I341" s="123"/>
      <c r="J341" s="213"/>
      <c r="K341" s="213"/>
      <c r="L341" s="123"/>
      <c r="M341" s="123"/>
      <c r="N341" s="160"/>
      <c r="O341" s="160"/>
      <c r="P341" s="123"/>
      <c r="Q341" s="123"/>
      <c r="R341" s="123"/>
      <c r="S341" s="123"/>
      <c r="T341" s="42"/>
      <c r="V341" s="123"/>
      <c r="Y341" s="123"/>
      <c r="Z341" s="213"/>
      <c r="AA341" s="123"/>
      <c r="AB341" s="123"/>
      <c r="AC341" s="160"/>
      <c r="AD341" s="160"/>
      <c r="AE341" s="123"/>
      <c r="AF341" s="123"/>
      <c r="AH341" s="160"/>
      <c r="AI341" s="123"/>
      <c r="AJ341" s="123"/>
      <c r="AL341" s="123"/>
      <c r="AM341" s="160"/>
      <c r="AN341" s="160"/>
    </row>
    <row r="342" spans="3:40" x14ac:dyDescent="0.3">
      <c r="F342" s="210"/>
      <c r="H342" s="210"/>
      <c r="I342" s="210"/>
      <c r="J342" s="213"/>
      <c r="K342" s="213"/>
      <c r="L342" s="210"/>
      <c r="M342" s="210"/>
      <c r="N342" s="210"/>
      <c r="O342" s="210"/>
      <c r="P342" s="210"/>
      <c r="Q342" s="210"/>
      <c r="R342" s="210"/>
      <c r="S342" s="123"/>
      <c r="V342" s="210"/>
      <c r="Y342" s="210"/>
      <c r="Z342" s="213"/>
      <c r="AA342" s="210"/>
      <c r="AB342" s="210"/>
      <c r="AC342" s="210"/>
      <c r="AD342" s="210"/>
      <c r="AE342" s="210"/>
      <c r="AF342" s="210"/>
      <c r="AI342" s="210"/>
      <c r="AJ342" s="210"/>
      <c r="AK342" s="214"/>
      <c r="AL342" s="210"/>
      <c r="AM342" s="160"/>
      <c r="AN342" s="160"/>
    </row>
    <row r="343" spans="3:40" x14ac:dyDescent="0.3">
      <c r="C343" s="42"/>
      <c r="F343" s="184"/>
      <c r="H343" s="184"/>
      <c r="I343" s="184"/>
      <c r="J343" s="213"/>
      <c r="K343" s="213"/>
      <c r="L343" s="123"/>
      <c r="M343" s="123"/>
      <c r="N343" s="160"/>
      <c r="O343" s="160"/>
      <c r="P343" s="123"/>
      <c r="Q343" s="123"/>
      <c r="R343" s="123"/>
      <c r="S343" s="123"/>
      <c r="T343" s="42"/>
      <c r="V343" s="184"/>
      <c r="Y343" s="184"/>
      <c r="Z343" s="213"/>
      <c r="AA343" s="123"/>
      <c r="AB343" s="123"/>
      <c r="AC343" s="160"/>
      <c r="AD343" s="160"/>
      <c r="AE343" s="123"/>
      <c r="AF343" s="123"/>
      <c r="AI343" s="123"/>
      <c r="AJ343" s="123"/>
      <c r="AL343" s="123"/>
      <c r="AM343" s="160"/>
      <c r="AN343" s="160"/>
    </row>
    <row r="345" spans="3:40" x14ac:dyDescent="0.3">
      <c r="C345" s="42"/>
      <c r="F345" s="184"/>
      <c r="H345" s="184"/>
      <c r="I345" s="184"/>
      <c r="J345" s="193"/>
      <c r="K345" s="193"/>
      <c r="L345" s="123"/>
      <c r="M345" s="123"/>
      <c r="N345" s="160"/>
      <c r="O345" s="160"/>
      <c r="R345" s="123"/>
      <c r="T345" s="42"/>
      <c r="V345" s="123"/>
      <c r="Y345" s="184"/>
      <c r="Z345" s="193"/>
      <c r="AA345" s="123"/>
      <c r="AB345" s="123"/>
      <c r="AC345" s="160"/>
      <c r="AD345" s="160"/>
      <c r="AE345" s="123"/>
      <c r="AF345" s="123"/>
      <c r="AH345" s="236"/>
      <c r="AL345" s="123"/>
      <c r="AM345" s="160"/>
      <c r="AN345" s="160"/>
    </row>
    <row r="346" spans="3:40" x14ac:dyDescent="0.3">
      <c r="F346" s="210"/>
      <c r="H346" s="123"/>
      <c r="I346" s="123"/>
      <c r="J346" s="213"/>
      <c r="K346" s="213"/>
      <c r="L346" s="210"/>
      <c r="M346" s="210"/>
      <c r="N346" s="210"/>
      <c r="O346" s="210"/>
      <c r="P346" s="210"/>
      <c r="Q346" s="210"/>
      <c r="R346" s="210"/>
      <c r="V346" s="210"/>
      <c r="Y346" s="123"/>
      <c r="Z346" s="213"/>
      <c r="AA346" s="210"/>
      <c r="AB346" s="210"/>
      <c r="AC346" s="210"/>
      <c r="AD346" s="210"/>
      <c r="AE346" s="210"/>
      <c r="AF346" s="210"/>
      <c r="AI346" s="210"/>
      <c r="AJ346" s="210"/>
      <c r="AK346" s="214"/>
      <c r="AL346" s="210"/>
      <c r="AM346" s="160"/>
      <c r="AN346" s="160"/>
    </row>
    <row r="347" spans="3:40" x14ac:dyDescent="0.3">
      <c r="C347" s="42"/>
      <c r="F347" s="184"/>
      <c r="H347" s="184"/>
      <c r="I347" s="184"/>
      <c r="J347" s="237"/>
      <c r="K347" s="237"/>
      <c r="L347" s="123"/>
      <c r="M347" s="123"/>
      <c r="N347" s="160"/>
      <c r="O347" s="160"/>
      <c r="P347" s="123"/>
      <c r="Q347" s="123"/>
      <c r="R347" s="123"/>
      <c r="S347" s="123"/>
      <c r="T347" s="42"/>
      <c r="V347" s="184"/>
      <c r="Y347" s="184"/>
      <c r="Z347" s="237"/>
      <c r="AA347" s="123"/>
      <c r="AB347" s="123"/>
      <c r="AC347" s="160"/>
      <c r="AD347" s="160"/>
      <c r="AE347" s="123"/>
      <c r="AF347" s="123"/>
      <c r="AH347" s="160"/>
      <c r="AI347" s="123"/>
      <c r="AJ347" s="123"/>
      <c r="AL347" s="123"/>
      <c r="AM347" s="160"/>
      <c r="AN347" s="160"/>
    </row>
    <row r="348" spans="3:40" x14ac:dyDescent="0.3">
      <c r="C348" s="42"/>
      <c r="F348" s="184"/>
      <c r="H348" s="184"/>
      <c r="I348" s="184"/>
      <c r="J348" s="193"/>
      <c r="K348" s="193"/>
      <c r="L348" s="123"/>
      <c r="M348" s="123"/>
      <c r="N348" s="160"/>
      <c r="O348" s="160"/>
      <c r="P348" s="123"/>
      <c r="Q348" s="123"/>
      <c r="R348" s="123"/>
      <c r="T348" s="42"/>
      <c r="V348" s="184"/>
      <c r="Y348" s="123"/>
      <c r="Z348" s="193"/>
      <c r="AA348" s="123"/>
      <c r="AB348" s="123"/>
      <c r="AC348" s="160"/>
      <c r="AD348" s="160"/>
      <c r="AE348" s="123"/>
      <c r="AF348" s="123"/>
      <c r="AH348" s="236"/>
      <c r="AI348" s="123"/>
      <c r="AJ348" s="123"/>
      <c r="AL348" s="123"/>
      <c r="AM348" s="160"/>
      <c r="AN348" s="160"/>
    </row>
    <row r="349" spans="3:40" x14ac:dyDescent="0.3">
      <c r="C349" s="42"/>
      <c r="F349" s="184"/>
      <c r="H349" s="184"/>
      <c r="I349" s="184"/>
      <c r="J349" s="193"/>
      <c r="K349" s="193"/>
      <c r="L349" s="123"/>
      <c r="M349" s="123"/>
      <c r="N349" s="160"/>
      <c r="O349" s="160"/>
      <c r="P349" s="123"/>
      <c r="Q349" s="123"/>
      <c r="R349" s="123"/>
      <c r="T349" s="42"/>
      <c r="V349" s="184"/>
      <c r="Y349" s="123"/>
      <c r="Z349" s="193"/>
      <c r="AA349" s="123"/>
      <c r="AB349" s="123"/>
      <c r="AC349" s="160"/>
      <c r="AD349" s="160"/>
      <c r="AE349" s="123"/>
      <c r="AF349" s="123"/>
      <c r="AH349" s="236"/>
      <c r="AI349" s="123"/>
      <c r="AJ349" s="123"/>
      <c r="AL349" s="123"/>
      <c r="AM349" s="160"/>
      <c r="AN349" s="160"/>
    </row>
    <row r="350" spans="3:40" x14ac:dyDescent="0.3">
      <c r="F350" s="210"/>
      <c r="H350" s="210"/>
      <c r="I350" s="210"/>
      <c r="J350" s="213"/>
      <c r="K350" s="213"/>
      <c r="L350" s="210"/>
      <c r="M350" s="210"/>
      <c r="N350" s="210"/>
      <c r="O350" s="210"/>
      <c r="P350" s="210"/>
      <c r="Q350" s="210"/>
      <c r="R350" s="210"/>
      <c r="V350" s="210"/>
      <c r="Y350" s="210"/>
      <c r="Z350" s="213"/>
      <c r="AA350" s="210"/>
      <c r="AB350" s="210"/>
      <c r="AC350" s="210"/>
      <c r="AD350" s="210"/>
      <c r="AE350" s="210"/>
      <c r="AF350" s="210"/>
      <c r="AI350" s="210"/>
      <c r="AJ350" s="210"/>
      <c r="AK350" s="214"/>
      <c r="AL350" s="210"/>
      <c r="AM350" s="160"/>
      <c r="AN350" s="160"/>
    </row>
    <row r="351" spans="3:40" x14ac:dyDescent="0.3">
      <c r="C351" s="42"/>
      <c r="F351" s="123"/>
      <c r="H351" s="123"/>
      <c r="I351" s="123"/>
      <c r="J351" s="219"/>
      <c r="K351" s="219"/>
      <c r="L351" s="123"/>
      <c r="M351" s="123"/>
      <c r="N351" s="160"/>
      <c r="O351" s="160"/>
      <c r="P351" s="123"/>
      <c r="Q351" s="123"/>
      <c r="R351" s="123"/>
      <c r="T351" s="42"/>
      <c r="V351" s="123"/>
      <c r="Y351" s="123"/>
      <c r="Z351" s="219"/>
      <c r="AA351" s="123"/>
      <c r="AB351" s="123"/>
      <c r="AC351" s="160"/>
      <c r="AD351" s="160"/>
      <c r="AE351" s="123"/>
      <c r="AF351" s="123"/>
      <c r="AH351" s="236"/>
      <c r="AI351" s="123"/>
      <c r="AJ351" s="123"/>
      <c r="AL351" s="123"/>
      <c r="AM351" s="160"/>
      <c r="AN351" s="160"/>
    </row>
    <row r="352" spans="3:40" x14ac:dyDescent="0.3">
      <c r="F352" s="210"/>
      <c r="H352" s="210"/>
      <c r="I352" s="210"/>
      <c r="J352" s="213"/>
      <c r="K352" s="213"/>
      <c r="L352" s="210"/>
      <c r="M352" s="210"/>
      <c r="N352" s="210"/>
      <c r="O352" s="210"/>
      <c r="P352" s="210"/>
      <c r="Q352" s="210"/>
      <c r="R352" s="210"/>
      <c r="V352" s="210"/>
      <c r="Y352" s="210"/>
      <c r="Z352" s="213"/>
      <c r="AA352" s="210"/>
      <c r="AB352" s="210"/>
      <c r="AC352" s="210"/>
      <c r="AD352" s="210"/>
      <c r="AE352" s="210"/>
      <c r="AF352" s="210"/>
      <c r="AI352" s="210"/>
      <c r="AJ352" s="210"/>
      <c r="AK352" s="214"/>
      <c r="AL352" s="210"/>
      <c r="AM352" s="160"/>
      <c r="AN352" s="160"/>
    </row>
    <row r="353" spans="1:40" x14ac:dyDescent="0.3">
      <c r="C353" s="42"/>
      <c r="F353" s="123"/>
      <c r="H353" s="123"/>
      <c r="I353" s="123"/>
      <c r="J353" s="219"/>
      <c r="K353" s="219"/>
      <c r="L353" s="123"/>
      <c r="M353" s="123"/>
      <c r="N353" s="160"/>
      <c r="O353" s="160"/>
      <c r="P353" s="123"/>
      <c r="Q353" s="123"/>
      <c r="R353" s="123"/>
      <c r="T353" s="42"/>
      <c r="V353" s="123"/>
      <c r="Y353" s="123"/>
      <c r="Z353" s="219"/>
      <c r="AA353" s="123"/>
      <c r="AB353" s="123"/>
      <c r="AC353" s="160"/>
      <c r="AD353" s="160"/>
      <c r="AE353" s="123"/>
      <c r="AF353" s="123"/>
      <c r="AH353" s="236"/>
      <c r="AI353" s="123"/>
      <c r="AJ353" s="123"/>
      <c r="AL353" s="123"/>
      <c r="AM353" s="160"/>
      <c r="AN353" s="160"/>
    </row>
    <row r="354" spans="1:40" x14ac:dyDescent="0.3">
      <c r="C354" s="42"/>
      <c r="F354" s="123"/>
      <c r="H354" s="184"/>
      <c r="I354" s="184"/>
      <c r="J354" s="227"/>
      <c r="K354" s="227"/>
      <c r="L354" s="123"/>
      <c r="M354" s="123"/>
      <c r="N354" s="160"/>
      <c r="O354" s="160"/>
      <c r="P354" s="123"/>
      <c r="Q354" s="123"/>
      <c r="R354" s="123"/>
      <c r="T354" s="42"/>
      <c r="V354" s="123"/>
      <c r="Y354" s="123"/>
      <c r="Z354" s="212"/>
      <c r="AA354" s="123"/>
      <c r="AB354" s="123"/>
      <c r="AC354" s="160"/>
      <c r="AD354" s="160"/>
      <c r="AE354" s="123"/>
      <c r="AF354" s="123"/>
      <c r="AH354" s="236"/>
      <c r="AI354" s="123"/>
      <c r="AJ354" s="123"/>
      <c r="AL354" s="123"/>
      <c r="AM354" s="160"/>
      <c r="AN354" s="160"/>
    </row>
    <row r="355" spans="1:40" x14ac:dyDescent="0.3">
      <c r="F355" s="210"/>
      <c r="H355" s="210"/>
      <c r="I355" s="210"/>
      <c r="J355" s="213"/>
      <c r="K355" s="213"/>
      <c r="L355" s="210"/>
      <c r="M355" s="210"/>
      <c r="N355" s="210"/>
      <c r="O355" s="210"/>
      <c r="P355" s="210"/>
      <c r="Q355" s="210"/>
      <c r="R355" s="210"/>
      <c r="V355" s="210"/>
      <c r="Y355" s="210"/>
      <c r="Z355" s="213"/>
      <c r="AA355" s="210"/>
      <c r="AB355" s="210"/>
      <c r="AC355" s="210"/>
      <c r="AD355" s="210"/>
      <c r="AE355" s="210"/>
      <c r="AF355" s="210"/>
      <c r="AI355" s="210"/>
      <c r="AJ355" s="210"/>
      <c r="AK355" s="214"/>
      <c r="AL355" s="210"/>
      <c r="AM355" s="160"/>
      <c r="AN355" s="160"/>
    </row>
    <row r="357" spans="1:40" x14ac:dyDescent="0.3">
      <c r="C357" s="42"/>
      <c r="F357" s="123"/>
      <c r="H357" s="123"/>
      <c r="I357" s="123"/>
      <c r="J357" s="213"/>
      <c r="K357" s="213"/>
      <c r="L357" s="123"/>
      <c r="M357" s="123"/>
      <c r="N357" s="160"/>
      <c r="O357" s="160"/>
      <c r="P357" s="123"/>
      <c r="Q357" s="123"/>
      <c r="R357" s="123"/>
      <c r="S357" s="123"/>
      <c r="T357" s="42"/>
      <c r="V357" s="123"/>
      <c r="Y357" s="123"/>
      <c r="Z357" s="213"/>
      <c r="AA357" s="123"/>
      <c r="AB357" s="123"/>
      <c r="AC357" s="160"/>
      <c r="AD357" s="160"/>
      <c r="AE357" s="123"/>
      <c r="AF357" s="123"/>
      <c r="AH357" s="160"/>
      <c r="AI357" s="123"/>
      <c r="AJ357" s="123"/>
      <c r="AL357" s="123"/>
      <c r="AM357" s="160"/>
      <c r="AN357" s="160"/>
    </row>
    <row r="358" spans="1:40" x14ac:dyDescent="0.3">
      <c r="F358" s="210"/>
      <c r="H358" s="210"/>
      <c r="I358" s="210"/>
      <c r="J358" s="213"/>
      <c r="K358" s="213"/>
      <c r="L358" s="210"/>
      <c r="M358" s="210"/>
      <c r="N358" s="210"/>
      <c r="O358" s="210"/>
      <c r="P358" s="210"/>
      <c r="Q358" s="210"/>
      <c r="R358" s="210"/>
      <c r="S358" s="123"/>
      <c r="V358" s="210"/>
      <c r="Y358" s="210"/>
      <c r="Z358" s="213"/>
      <c r="AA358" s="210"/>
      <c r="AB358" s="210"/>
      <c r="AC358" s="210"/>
      <c r="AD358" s="210"/>
      <c r="AE358" s="210"/>
      <c r="AF358" s="210"/>
      <c r="AI358" s="210"/>
      <c r="AJ358" s="210"/>
      <c r="AK358" s="214"/>
      <c r="AL358" s="210"/>
      <c r="AM358" s="160"/>
      <c r="AN358" s="160"/>
    </row>
    <row r="359" spans="1:40" x14ac:dyDescent="0.3">
      <c r="C359" s="42"/>
      <c r="T359" s="42"/>
    </row>
    <row r="360" spans="1:40" x14ac:dyDescent="0.3">
      <c r="C360" s="42"/>
      <c r="F360" s="123"/>
      <c r="H360" s="123"/>
      <c r="I360" s="123"/>
      <c r="L360" s="123"/>
      <c r="M360" s="123"/>
      <c r="N360" s="160"/>
      <c r="O360" s="160"/>
      <c r="P360" s="184"/>
      <c r="Q360" s="184"/>
      <c r="R360" s="123"/>
      <c r="T360" s="42"/>
      <c r="V360" s="123"/>
      <c r="Y360" s="123"/>
      <c r="AA360" s="123"/>
      <c r="AB360" s="123"/>
      <c r="AC360" s="160"/>
      <c r="AD360" s="160"/>
      <c r="AE360" s="123"/>
      <c r="AF360" s="123"/>
      <c r="AH360" s="160"/>
      <c r="AI360" s="184"/>
      <c r="AJ360" s="184"/>
      <c r="AL360" s="123"/>
      <c r="AM360" s="160"/>
      <c r="AN360" s="160"/>
    </row>
    <row r="361" spans="1:40" x14ac:dyDescent="0.3">
      <c r="F361" s="210"/>
      <c r="H361" s="210"/>
      <c r="I361" s="210"/>
      <c r="J361" s="213"/>
      <c r="K361" s="213"/>
      <c r="L361" s="210"/>
      <c r="M361" s="210"/>
      <c r="N361" s="210"/>
      <c r="O361" s="210"/>
      <c r="P361" s="210"/>
      <c r="Q361" s="210"/>
      <c r="R361" s="210"/>
      <c r="V361" s="210"/>
      <c r="Y361" s="210"/>
      <c r="Z361" s="213"/>
      <c r="AA361" s="210"/>
      <c r="AB361" s="210"/>
      <c r="AC361" s="210"/>
      <c r="AD361" s="210"/>
      <c r="AE361" s="210"/>
      <c r="AF361" s="210"/>
      <c r="AI361" s="210"/>
      <c r="AJ361" s="210"/>
      <c r="AK361" s="214"/>
      <c r="AL361" s="210"/>
    </row>
    <row r="363" spans="1:40" x14ac:dyDescent="0.3">
      <c r="C363" s="42"/>
      <c r="L363" s="123"/>
      <c r="M363" s="123"/>
      <c r="N363" s="123"/>
      <c r="O363" s="123"/>
      <c r="P363" s="123"/>
      <c r="Q363" s="123"/>
      <c r="R363" s="123"/>
      <c r="S363" s="123"/>
      <c r="T363" s="42"/>
      <c r="AA363" s="123"/>
      <c r="AB363" s="123"/>
      <c r="AC363" s="123"/>
      <c r="AD363" s="123"/>
      <c r="AI363" s="123"/>
      <c r="AJ363" s="123"/>
      <c r="AL363" s="123"/>
    </row>
    <row r="364" spans="1:40" x14ac:dyDescent="0.3">
      <c r="A364" s="42"/>
    </row>
    <row r="366" spans="1:40" x14ac:dyDescent="0.3">
      <c r="H366" s="42"/>
      <c r="I366" s="42"/>
      <c r="Y366" s="42"/>
    </row>
    <row r="368" spans="1:40" x14ac:dyDescent="0.3">
      <c r="L368" s="42"/>
      <c r="M368" s="42"/>
      <c r="AA368" s="42"/>
      <c r="AB368" s="42"/>
    </row>
    <row r="369" spans="1:40" x14ac:dyDescent="0.3">
      <c r="R369" s="42"/>
      <c r="AK369" s="206"/>
      <c r="AL369" s="42"/>
    </row>
    <row r="370" spans="1:40" x14ac:dyDescent="0.3">
      <c r="R370" s="42"/>
      <c r="AK370" s="206"/>
      <c r="AL370" s="42"/>
    </row>
    <row r="371" spans="1:40" x14ac:dyDescent="0.3">
      <c r="A371" s="42"/>
      <c r="R371" s="42"/>
      <c r="AK371" s="206"/>
      <c r="AL371" s="42"/>
    </row>
    <row r="372" spans="1:40" x14ac:dyDescent="0.3">
      <c r="L372" s="42"/>
      <c r="M372" s="42"/>
      <c r="AA372" s="42"/>
      <c r="AB372" s="42"/>
    </row>
    <row r="373" spans="1:40" x14ac:dyDescent="0.3">
      <c r="A373" s="135"/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207"/>
      <c r="AH373" s="135"/>
      <c r="AI373" s="135"/>
      <c r="AJ373" s="135"/>
      <c r="AK373" s="207"/>
      <c r="AL373" s="135"/>
      <c r="AM373" s="135"/>
      <c r="AN373" s="135"/>
    </row>
    <row r="374" spans="1:40" x14ac:dyDescent="0.3">
      <c r="L374" s="44"/>
      <c r="M374" s="44"/>
      <c r="N374" s="44"/>
      <c r="O374" s="44"/>
      <c r="R374" s="44"/>
      <c r="AA374" s="44"/>
      <c r="AB374" s="44"/>
      <c r="AC374" s="44"/>
      <c r="AD374" s="44"/>
      <c r="AE374" s="44"/>
      <c r="AF374" s="44"/>
      <c r="AG374" s="168"/>
      <c r="AH374" s="44"/>
      <c r="AK374" s="168"/>
      <c r="AL374" s="44"/>
      <c r="AM374" s="44"/>
      <c r="AN374" s="44"/>
    </row>
    <row r="375" spans="1:40" x14ac:dyDescent="0.3">
      <c r="L375" s="44"/>
      <c r="M375" s="44"/>
      <c r="N375" s="44"/>
      <c r="O375" s="44"/>
      <c r="R375" s="44"/>
      <c r="Z375" s="44"/>
      <c r="AA375" s="44"/>
      <c r="AB375" s="44"/>
      <c r="AC375" s="44"/>
      <c r="AD375" s="44"/>
      <c r="AE375" s="44"/>
      <c r="AF375" s="44"/>
      <c r="AG375" s="168"/>
      <c r="AH375" s="44"/>
      <c r="AK375" s="168"/>
      <c r="AL375" s="44"/>
      <c r="AM375" s="44"/>
      <c r="AN375" s="44"/>
    </row>
    <row r="376" spans="1:40" x14ac:dyDescent="0.3">
      <c r="A376" s="44"/>
      <c r="C376" s="44"/>
      <c r="D376" s="44"/>
      <c r="E376" s="44"/>
      <c r="F376" s="44"/>
      <c r="J376" s="44"/>
      <c r="K376" s="44"/>
      <c r="L376" s="44"/>
      <c r="M376" s="44"/>
      <c r="N376" s="44"/>
      <c r="O376" s="44"/>
      <c r="P376" s="44"/>
      <c r="Q376" s="44"/>
      <c r="R376" s="44"/>
      <c r="T376" s="44"/>
      <c r="U376" s="44"/>
      <c r="V376" s="44"/>
      <c r="Z376" s="44"/>
      <c r="AA376" s="44"/>
      <c r="AB376" s="44"/>
      <c r="AC376" s="44"/>
      <c r="AD376" s="44"/>
      <c r="AE376" s="44"/>
      <c r="AF376" s="44"/>
      <c r="AG376" s="168"/>
      <c r="AH376" s="44"/>
      <c r="AI376" s="44"/>
      <c r="AJ376" s="44"/>
      <c r="AK376" s="168"/>
      <c r="AL376" s="44"/>
      <c r="AM376" s="44"/>
      <c r="AN376" s="44"/>
    </row>
    <row r="377" spans="1:40" x14ac:dyDescent="0.3">
      <c r="A377" s="44"/>
      <c r="C377" s="44"/>
      <c r="D377" s="44"/>
      <c r="E377" s="44"/>
      <c r="F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T377" s="44"/>
      <c r="U377" s="44"/>
      <c r="V377" s="44"/>
      <c r="Y377" s="44"/>
      <c r="Z377" s="44"/>
      <c r="AA377" s="44"/>
      <c r="AB377" s="44"/>
      <c r="AC377" s="44"/>
      <c r="AD377" s="44"/>
      <c r="AE377" s="44"/>
      <c r="AF377" s="44"/>
      <c r="AG377" s="168"/>
      <c r="AH377" s="44"/>
      <c r="AI377" s="44"/>
      <c r="AJ377" s="44"/>
      <c r="AK377" s="168"/>
      <c r="AL377" s="44"/>
      <c r="AM377" s="44"/>
      <c r="AN377" s="44"/>
    </row>
    <row r="378" spans="1:40" x14ac:dyDescent="0.3">
      <c r="C378" s="44"/>
      <c r="D378" s="44"/>
      <c r="E378" s="44"/>
      <c r="F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T378" s="44"/>
      <c r="U378" s="44"/>
      <c r="V378" s="44"/>
      <c r="Y378" s="44"/>
      <c r="Z378" s="44"/>
      <c r="AA378" s="44"/>
      <c r="AB378" s="44"/>
      <c r="AC378" s="44"/>
      <c r="AD378" s="44"/>
      <c r="AE378" s="44"/>
      <c r="AF378" s="44"/>
      <c r="AG378" s="168"/>
      <c r="AH378" s="44"/>
      <c r="AI378" s="44"/>
      <c r="AJ378" s="44"/>
      <c r="AK378" s="168"/>
      <c r="AL378" s="44"/>
      <c r="AM378" s="44"/>
      <c r="AN378" s="44"/>
    </row>
    <row r="379" spans="1:40" x14ac:dyDescent="0.3">
      <c r="A379" s="135"/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207"/>
      <c r="AH379" s="135"/>
      <c r="AI379" s="135"/>
      <c r="AJ379" s="135"/>
      <c r="AK379" s="207"/>
      <c r="AL379" s="135"/>
      <c r="AM379" s="135"/>
      <c r="AN379" s="135"/>
    </row>
    <row r="380" spans="1:40" x14ac:dyDescent="0.3"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Y380" s="44"/>
      <c r="Z380" s="44"/>
      <c r="AA380" s="44"/>
      <c r="AB380" s="44"/>
      <c r="AC380" s="44"/>
      <c r="AD380" s="44"/>
      <c r="AE380" s="44"/>
      <c r="AF380" s="44"/>
      <c r="AG380" s="168"/>
      <c r="AH380" s="44"/>
      <c r="AI380" s="44"/>
      <c r="AJ380" s="44"/>
      <c r="AK380" s="168"/>
      <c r="AL380" s="44"/>
      <c r="AM380" s="44"/>
      <c r="AN380" s="44"/>
    </row>
    <row r="381" spans="1:40" x14ac:dyDescent="0.3">
      <c r="C381" s="42"/>
      <c r="D381" s="42"/>
      <c r="E381" s="42"/>
      <c r="T381" s="42"/>
      <c r="U381" s="42"/>
    </row>
    <row r="382" spans="1:40" x14ac:dyDescent="0.3">
      <c r="D382" s="42"/>
      <c r="E382" s="42"/>
      <c r="U382" s="42"/>
    </row>
    <row r="384" spans="1:40" x14ac:dyDescent="0.3">
      <c r="C384" s="42"/>
      <c r="T384" s="42"/>
    </row>
    <row r="385" spans="3:40" x14ac:dyDescent="0.3">
      <c r="C385" s="42"/>
      <c r="F385" s="184"/>
      <c r="H385" s="184"/>
      <c r="I385" s="184"/>
      <c r="J385" s="238"/>
      <c r="K385" s="238"/>
      <c r="L385" s="123"/>
      <c r="M385" s="123"/>
      <c r="N385" s="160"/>
      <c r="O385" s="160"/>
      <c r="P385" s="123"/>
      <c r="Q385" s="123"/>
      <c r="R385" s="123"/>
      <c r="T385" s="42"/>
      <c r="V385" s="184"/>
      <c r="W385" s="123"/>
      <c r="X385" s="123"/>
      <c r="Y385" s="184"/>
      <c r="Z385" s="238"/>
      <c r="AA385" s="123"/>
      <c r="AB385" s="123"/>
      <c r="AC385" s="160"/>
      <c r="AD385" s="160"/>
      <c r="AE385" s="123"/>
      <c r="AF385" s="123"/>
      <c r="AH385" s="236"/>
      <c r="AI385" s="123"/>
      <c r="AJ385" s="123"/>
      <c r="AL385" s="123"/>
      <c r="AM385" s="160"/>
      <c r="AN385" s="160"/>
    </row>
    <row r="386" spans="3:40" x14ac:dyDescent="0.3">
      <c r="C386" s="42"/>
      <c r="F386" s="123"/>
      <c r="H386" s="123"/>
      <c r="I386" s="123"/>
      <c r="J386" s="213"/>
      <c r="K386" s="213"/>
      <c r="L386" s="123"/>
      <c r="M386" s="123"/>
      <c r="N386" s="160"/>
      <c r="O386" s="160"/>
      <c r="P386" s="123"/>
      <c r="Q386" s="123"/>
      <c r="R386" s="123"/>
      <c r="T386" s="42"/>
      <c r="V386" s="184"/>
      <c r="W386" s="123"/>
      <c r="X386" s="123"/>
      <c r="Y386" s="184"/>
      <c r="Z386" s="213"/>
      <c r="AA386" s="123"/>
      <c r="AB386" s="123"/>
      <c r="AC386" s="160"/>
      <c r="AD386" s="160"/>
      <c r="AE386" s="123"/>
      <c r="AF386" s="123"/>
      <c r="AH386" s="236"/>
      <c r="AI386" s="123"/>
      <c r="AJ386" s="123"/>
      <c r="AL386" s="123"/>
      <c r="AM386" s="160"/>
      <c r="AN386" s="160"/>
    </row>
    <row r="387" spans="3:40" x14ac:dyDescent="0.3">
      <c r="C387" s="42"/>
      <c r="F387" s="184"/>
      <c r="H387" s="184"/>
      <c r="I387" s="184"/>
      <c r="J387" s="238"/>
      <c r="K387" s="238"/>
      <c r="L387" s="123"/>
      <c r="M387" s="123"/>
      <c r="N387" s="160"/>
      <c r="O387" s="160"/>
      <c r="P387" s="123"/>
      <c r="Q387" s="123"/>
      <c r="R387" s="123"/>
      <c r="T387" s="42"/>
      <c r="V387" s="184"/>
      <c r="W387" s="123"/>
      <c r="X387" s="123"/>
      <c r="Y387" s="184"/>
      <c r="Z387" s="238"/>
      <c r="AA387" s="123"/>
      <c r="AB387" s="123"/>
      <c r="AC387" s="160"/>
      <c r="AD387" s="160"/>
      <c r="AE387" s="123"/>
      <c r="AF387" s="123"/>
      <c r="AH387" s="236"/>
      <c r="AI387" s="123"/>
      <c r="AJ387" s="123"/>
      <c r="AL387" s="123"/>
      <c r="AM387" s="160"/>
      <c r="AN387" s="160"/>
    </row>
    <row r="388" spans="3:40" x14ac:dyDescent="0.3">
      <c r="C388" s="42"/>
      <c r="F388" s="184"/>
      <c r="H388" s="184"/>
      <c r="I388" s="184"/>
      <c r="J388" s="238"/>
      <c r="K388" s="238"/>
      <c r="L388" s="123"/>
      <c r="M388" s="123"/>
      <c r="N388" s="160"/>
      <c r="O388" s="160"/>
      <c r="P388" s="123"/>
      <c r="Q388" s="123"/>
      <c r="R388" s="123"/>
      <c r="T388" s="42"/>
      <c r="V388" s="184"/>
      <c r="W388" s="123"/>
      <c r="X388" s="123"/>
      <c r="Y388" s="184"/>
      <c r="Z388" s="238"/>
      <c r="AA388" s="123"/>
      <c r="AB388" s="123"/>
      <c r="AC388" s="160"/>
      <c r="AD388" s="160"/>
      <c r="AE388" s="123"/>
      <c r="AF388" s="123"/>
      <c r="AH388" s="236"/>
      <c r="AI388" s="123"/>
      <c r="AJ388" s="123"/>
      <c r="AL388" s="123"/>
      <c r="AM388" s="160"/>
      <c r="AN388" s="160"/>
    </row>
    <row r="389" spans="3:40" x14ac:dyDescent="0.3">
      <c r="C389" s="42"/>
      <c r="F389" s="184"/>
      <c r="H389" s="184"/>
      <c r="I389" s="184"/>
      <c r="J389" s="238"/>
      <c r="K389" s="238"/>
      <c r="L389" s="123"/>
      <c r="M389" s="123"/>
      <c r="N389" s="160"/>
      <c r="O389" s="160"/>
      <c r="P389" s="123"/>
      <c r="Q389" s="123"/>
      <c r="R389" s="123"/>
      <c r="T389" s="42"/>
      <c r="V389" s="184"/>
      <c r="W389" s="123"/>
      <c r="X389" s="123"/>
      <c r="Y389" s="184"/>
      <c r="Z389" s="238"/>
      <c r="AA389" s="123"/>
      <c r="AB389" s="123"/>
      <c r="AC389" s="160"/>
      <c r="AD389" s="160"/>
      <c r="AE389" s="123"/>
      <c r="AF389" s="123"/>
      <c r="AH389" s="236"/>
      <c r="AI389" s="123"/>
      <c r="AJ389" s="123"/>
      <c r="AL389" s="123"/>
      <c r="AM389" s="160"/>
      <c r="AN389" s="160"/>
    </row>
    <row r="390" spans="3:40" x14ac:dyDescent="0.3">
      <c r="C390" s="42"/>
      <c r="F390" s="123"/>
      <c r="H390" s="123"/>
      <c r="I390" s="123"/>
      <c r="J390" s="238"/>
      <c r="K390" s="238"/>
      <c r="L390" s="123"/>
      <c r="M390" s="123"/>
      <c r="N390" s="160"/>
      <c r="O390" s="160"/>
      <c r="P390" s="123"/>
      <c r="Q390" s="123"/>
      <c r="R390" s="123"/>
      <c r="T390" s="42"/>
      <c r="V390" s="184"/>
      <c r="W390" s="123"/>
      <c r="X390" s="123"/>
      <c r="Y390" s="184"/>
      <c r="Z390" s="238"/>
      <c r="AA390" s="123"/>
      <c r="AB390" s="123"/>
      <c r="AC390" s="160"/>
      <c r="AD390" s="160"/>
      <c r="AE390" s="123"/>
      <c r="AF390" s="123"/>
      <c r="AH390" s="236"/>
      <c r="AI390" s="123"/>
      <c r="AJ390" s="123"/>
      <c r="AL390" s="123"/>
      <c r="AM390" s="160"/>
      <c r="AN390" s="160"/>
    </row>
    <row r="391" spans="3:40" x14ac:dyDescent="0.3">
      <c r="C391" s="42"/>
      <c r="F391" s="123"/>
      <c r="H391" s="123"/>
      <c r="I391" s="123"/>
      <c r="J391" s="238"/>
      <c r="K391" s="238"/>
      <c r="L391" s="123"/>
      <c r="M391" s="123"/>
      <c r="N391" s="160"/>
      <c r="O391" s="160"/>
      <c r="P391" s="123"/>
      <c r="Q391" s="123"/>
      <c r="R391" s="123"/>
      <c r="T391" s="42"/>
      <c r="V391" s="184"/>
      <c r="W391" s="123"/>
      <c r="X391" s="123"/>
      <c r="Y391" s="184"/>
      <c r="Z391" s="238"/>
      <c r="AA391" s="123"/>
      <c r="AB391" s="123"/>
      <c r="AC391" s="160"/>
      <c r="AD391" s="160"/>
      <c r="AE391" s="123"/>
      <c r="AF391" s="123"/>
      <c r="AH391" s="236"/>
      <c r="AI391" s="123"/>
      <c r="AJ391" s="123"/>
      <c r="AL391" s="123"/>
      <c r="AM391" s="160"/>
      <c r="AN391" s="160"/>
    </row>
    <row r="392" spans="3:40" x14ac:dyDescent="0.3">
      <c r="F392" s="241"/>
      <c r="H392" s="242"/>
      <c r="I392" s="242"/>
      <c r="J392" s="238"/>
      <c r="K392" s="238"/>
      <c r="L392" s="241"/>
      <c r="M392" s="241"/>
      <c r="N392" s="210"/>
      <c r="O392" s="210"/>
      <c r="P392" s="241"/>
      <c r="Q392" s="241"/>
      <c r="R392" s="241"/>
      <c r="V392" s="241"/>
      <c r="W392" s="123"/>
      <c r="X392" s="123"/>
      <c r="Y392" s="241"/>
      <c r="Z392" s="238"/>
      <c r="AA392" s="241"/>
      <c r="AB392" s="241"/>
      <c r="AC392" s="243"/>
      <c r="AD392" s="243"/>
      <c r="AE392" s="241"/>
      <c r="AF392" s="241"/>
      <c r="AH392" s="236"/>
      <c r="AI392" s="241"/>
      <c r="AJ392" s="241"/>
      <c r="AK392" s="207"/>
      <c r="AL392" s="241"/>
      <c r="AM392" s="160"/>
      <c r="AN392" s="160"/>
    </row>
    <row r="393" spans="3:40" x14ac:dyDescent="0.3">
      <c r="C393" s="42"/>
      <c r="F393" s="123"/>
      <c r="H393" s="123"/>
      <c r="I393" s="123"/>
      <c r="J393" s="238"/>
      <c r="K393" s="238"/>
      <c r="L393" s="123"/>
      <c r="M393" s="123"/>
      <c r="N393" s="236"/>
      <c r="O393" s="236"/>
      <c r="P393" s="123"/>
      <c r="Q393" s="123"/>
      <c r="R393" s="123"/>
      <c r="T393" s="44"/>
      <c r="V393" s="123"/>
      <c r="W393" s="123"/>
      <c r="X393" s="123"/>
      <c r="Y393" s="123"/>
      <c r="Z393" s="238"/>
      <c r="AA393" s="123"/>
      <c r="AB393" s="123"/>
      <c r="AC393" s="236"/>
      <c r="AD393" s="236"/>
      <c r="AE393" s="123"/>
      <c r="AF393" s="123"/>
      <c r="AH393" s="236"/>
      <c r="AI393" s="123"/>
      <c r="AJ393" s="123"/>
      <c r="AL393" s="123"/>
      <c r="AM393" s="160"/>
      <c r="AN393" s="160"/>
    </row>
    <row r="394" spans="3:40" x14ac:dyDescent="0.3">
      <c r="F394" s="135"/>
      <c r="H394" s="135"/>
      <c r="I394" s="135"/>
      <c r="L394" s="135"/>
      <c r="M394" s="135"/>
      <c r="N394" s="243"/>
      <c r="O394" s="243"/>
      <c r="P394" s="241"/>
      <c r="Q394" s="241"/>
      <c r="R394" s="241"/>
      <c r="V394" s="241"/>
      <c r="Y394" s="241"/>
      <c r="Z394" s="213"/>
      <c r="AA394" s="241"/>
      <c r="AB394" s="241"/>
      <c r="AC394" s="241"/>
      <c r="AD394" s="241"/>
      <c r="AE394" s="241"/>
      <c r="AF394" s="241"/>
      <c r="AI394" s="241"/>
      <c r="AJ394" s="241"/>
      <c r="AK394" s="207"/>
      <c r="AL394" s="241"/>
      <c r="AM394" s="243"/>
      <c r="AN394" s="243"/>
    </row>
    <row r="399" spans="3:40" x14ac:dyDescent="0.3">
      <c r="N399" s="123"/>
      <c r="O399" s="123"/>
      <c r="P399" s="123"/>
      <c r="Q399" s="123"/>
      <c r="R399" s="123"/>
      <c r="V399" s="123"/>
      <c r="Y399" s="123"/>
      <c r="Z399" s="219"/>
      <c r="AA399" s="123"/>
      <c r="AB399" s="123"/>
      <c r="AC399" s="160"/>
      <c r="AD399" s="160"/>
      <c r="AE399" s="123"/>
      <c r="AF399" s="123"/>
      <c r="AH399" s="236"/>
      <c r="AI399" s="123"/>
      <c r="AJ399" s="123"/>
      <c r="AL399" s="123"/>
      <c r="AM399" s="160"/>
      <c r="AN399" s="160"/>
    </row>
    <row r="400" spans="3:40" x14ac:dyDescent="0.3">
      <c r="C400" s="42"/>
      <c r="D400" s="42"/>
      <c r="E400" s="42"/>
      <c r="J400" s="188"/>
      <c r="K400" s="188"/>
      <c r="T400" s="42"/>
      <c r="U400" s="42"/>
      <c r="Z400" s="188"/>
      <c r="AE400" s="123"/>
      <c r="AF400" s="123"/>
      <c r="AI400" s="123"/>
      <c r="AJ400" s="123"/>
      <c r="AL400" s="123"/>
      <c r="AM400" s="160"/>
      <c r="AN400" s="160"/>
    </row>
    <row r="401" spans="1:40" x14ac:dyDescent="0.3">
      <c r="D401" s="42"/>
      <c r="E401" s="42"/>
      <c r="F401" s="123"/>
      <c r="H401" s="123"/>
      <c r="I401" s="123"/>
      <c r="J401" s="238"/>
      <c r="K401" s="238"/>
      <c r="L401" s="123"/>
      <c r="M401" s="123"/>
      <c r="N401" s="160"/>
      <c r="O401" s="160"/>
      <c r="P401" s="123"/>
      <c r="Q401" s="123"/>
      <c r="R401" s="123"/>
      <c r="U401" s="42"/>
      <c r="V401" s="123"/>
      <c r="Y401" s="123"/>
      <c r="Z401" s="238"/>
      <c r="AA401" s="123"/>
      <c r="AB401" s="123"/>
      <c r="AC401" s="160"/>
      <c r="AD401" s="160"/>
      <c r="AE401" s="123"/>
      <c r="AF401" s="123"/>
      <c r="AH401" s="236"/>
      <c r="AI401" s="123"/>
      <c r="AJ401" s="123"/>
      <c r="AL401" s="123"/>
      <c r="AM401" s="160"/>
      <c r="AN401" s="160"/>
    </row>
    <row r="402" spans="1:40" x14ac:dyDescent="0.3">
      <c r="F402" s="123"/>
      <c r="H402" s="123"/>
      <c r="I402" s="123"/>
      <c r="J402" s="213"/>
      <c r="K402" s="213"/>
      <c r="L402" s="123"/>
      <c r="M402" s="123"/>
      <c r="N402" s="123"/>
      <c r="O402" s="123"/>
      <c r="P402" s="123"/>
      <c r="Q402" s="123"/>
      <c r="R402" s="123"/>
      <c r="V402" s="123"/>
      <c r="Y402" s="123"/>
      <c r="Z402" s="213"/>
      <c r="AA402" s="123"/>
      <c r="AB402" s="123"/>
      <c r="AC402" s="123"/>
      <c r="AD402" s="123"/>
      <c r="AE402" s="123"/>
      <c r="AF402" s="123"/>
      <c r="AH402" s="236"/>
      <c r="AI402" s="184"/>
      <c r="AJ402" s="184"/>
      <c r="AL402" s="123"/>
      <c r="AM402" s="160"/>
      <c r="AN402" s="160"/>
    </row>
    <row r="403" spans="1:40" x14ac:dyDescent="0.3">
      <c r="C403" s="42"/>
      <c r="F403" s="184"/>
      <c r="H403" s="184"/>
      <c r="I403" s="184"/>
      <c r="J403" s="212"/>
      <c r="K403" s="212"/>
      <c r="L403" s="123"/>
      <c r="M403" s="123"/>
      <c r="N403" s="160"/>
      <c r="O403" s="160"/>
      <c r="P403" s="123"/>
      <c r="Q403" s="123"/>
      <c r="R403" s="123"/>
      <c r="T403" s="42"/>
      <c r="V403" s="184"/>
      <c r="Y403" s="184"/>
      <c r="Z403" s="212"/>
      <c r="AA403" s="123"/>
      <c r="AB403" s="123"/>
      <c r="AC403" s="160"/>
      <c r="AD403" s="160"/>
      <c r="AE403" s="123"/>
      <c r="AF403" s="123"/>
      <c r="AH403" s="236"/>
      <c r="AI403" s="123"/>
      <c r="AJ403" s="123"/>
      <c r="AL403" s="123"/>
      <c r="AM403" s="160"/>
      <c r="AN403" s="160"/>
    </row>
    <row r="404" spans="1:40" x14ac:dyDescent="0.3">
      <c r="F404" s="135"/>
      <c r="H404" s="135"/>
      <c r="I404" s="135"/>
      <c r="L404" s="135"/>
      <c r="M404" s="135"/>
      <c r="N404" s="135"/>
      <c r="O404" s="135"/>
      <c r="P404" s="135"/>
      <c r="Q404" s="135"/>
      <c r="R404" s="135"/>
      <c r="V404" s="135"/>
      <c r="Y404" s="135"/>
      <c r="AA404" s="135"/>
      <c r="AB404" s="135"/>
      <c r="AC404" s="135"/>
      <c r="AD404" s="135"/>
      <c r="AE404" s="135"/>
      <c r="AF404" s="135"/>
      <c r="AG404" s="207"/>
      <c r="AH404" s="135"/>
      <c r="AI404" s="135"/>
      <c r="AJ404" s="135"/>
      <c r="AK404" s="207"/>
      <c r="AL404" s="135"/>
      <c r="AM404" s="135"/>
      <c r="AN404" s="135"/>
    </row>
    <row r="405" spans="1:40" x14ac:dyDescent="0.3">
      <c r="C405" s="44"/>
      <c r="F405" s="184"/>
      <c r="H405" s="184"/>
      <c r="I405" s="184"/>
      <c r="J405" s="193"/>
      <c r="K405" s="193"/>
      <c r="L405" s="184"/>
      <c r="M405" s="184"/>
      <c r="N405" s="160"/>
      <c r="O405" s="160"/>
      <c r="P405" s="184"/>
      <c r="Q405" s="184"/>
      <c r="R405" s="184"/>
      <c r="T405" s="44"/>
      <c r="V405" s="123"/>
      <c r="Y405" s="123"/>
      <c r="Z405" s="219"/>
      <c r="AA405" s="123"/>
      <c r="AB405" s="123"/>
      <c r="AC405" s="160"/>
      <c r="AD405" s="160"/>
      <c r="AH405" s="236"/>
      <c r="AI405" s="123"/>
      <c r="AJ405" s="123"/>
      <c r="AL405" s="123"/>
      <c r="AM405" s="160"/>
      <c r="AN405" s="160"/>
    </row>
    <row r="406" spans="1:40" x14ac:dyDescent="0.3">
      <c r="F406" s="241"/>
      <c r="H406" s="241"/>
      <c r="I406" s="241"/>
      <c r="J406" s="213"/>
      <c r="K406" s="213"/>
      <c r="L406" s="241"/>
      <c r="M406" s="241"/>
      <c r="N406" s="241"/>
      <c r="O406" s="241"/>
      <c r="P406" s="241"/>
      <c r="Q406" s="241"/>
      <c r="R406" s="241"/>
      <c r="V406" s="135"/>
      <c r="Y406" s="135"/>
      <c r="AA406" s="135"/>
      <c r="AB406" s="135"/>
      <c r="AC406" s="135"/>
      <c r="AD406" s="135"/>
      <c r="AE406" s="135"/>
      <c r="AF406" s="135"/>
      <c r="AG406" s="207"/>
      <c r="AH406" s="135"/>
      <c r="AI406" s="135"/>
      <c r="AJ406" s="135"/>
      <c r="AK406" s="207"/>
      <c r="AL406" s="135"/>
      <c r="AM406" s="135"/>
      <c r="AN406" s="135"/>
    </row>
    <row r="407" spans="1:40" x14ac:dyDescent="0.3">
      <c r="F407" s="184"/>
      <c r="H407" s="184"/>
      <c r="I407" s="184"/>
      <c r="J407" s="237"/>
      <c r="K407" s="237"/>
      <c r="L407" s="123"/>
      <c r="M407" s="123"/>
      <c r="N407" s="160"/>
      <c r="O407" s="160"/>
      <c r="P407" s="123"/>
      <c r="Q407" s="123"/>
      <c r="R407" s="123"/>
    </row>
    <row r="408" spans="1:40" x14ac:dyDescent="0.3">
      <c r="A408" s="42"/>
      <c r="F408" s="184"/>
      <c r="H408" s="184"/>
      <c r="I408" s="184"/>
      <c r="J408" s="193"/>
      <c r="K408" s="193"/>
      <c r="L408" s="123"/>
      <c r="M408" s="123"/>
      <c r="N408" s="160"/>
      <c r="O408" s="160"/>
      <c r="P408" s="123"/>
      <c r="Q408" s="123"/>
      <c r="R408" s="123"/>
    </row>
    <row r="409" spans="1:40" x14ac:dyDescent="0.3">
      <c r="F409" s="184"/>
      <c r="H409" s="184"/>
      <c r="I409" s="184"/>
      <c r="J409" s="193"/>
      <c r="K409" s="193"/>
      <c r="L409" s="123"/>
      <c r="M409" s="123"/>
      <c r="N409" s="160"/>
      <c r="O409" s="160"/>
      <c r="P409" s="123"/>
      <c r="Q409" s="123"/>
      <c r="R409" s="123"/>
    </row>
    <row r="410" spans="1:40" x14ac:dyDescent="0.3">
      <c r="A410" s="42"/>
    </row>
    <row r="413" spans="1:40" x14ac:dyDescent="0.3">
      <c r="H413" s="42"/>
      <c r="I413" s="42"/>
      <c r="Y413" s="42"/>
    </row>
    <row r="415" spans="1:40" x14ac:dyDescent="0.3">
      <c r="L415" s="42"/>
      <c r="M415" s="42"/>
      <c r="AA415" s="42"/>
      <c r="AB415" s="42"/>
    </row>
    <row r="416" spans="1:40" x14ac:dyDescent="0.3">
      <c r="R416" s="42"/>
      <c r="AK416" s="206"/>
      <c r="AL416" s="42"/>
    </row>
    <row r="417" spans="1:40" x14ac:dyDescent="0.3">
      <c r="R417" s="42"/>
      <c r="AK417" s="206"/>
      <c r="AL417" s="42"/>
    </row>
    <row r="418" spans="1:40" x14ac:dyDescent="0.3">
      <c r="A418" s="42"/>
      <c r="R418" s="42"/>
      <c r="AK418" s="206"/>
      <c r="AL418" s="42"/>
    </row>
    <row r="419" spans="1:40" x14ac:dyDescent="0.3">
      <c r="L419" s="42"/>
      <c r="M419" s="42"/>
      <c r="AA419" s="42"/>
      <c r="AB419" s="42"/>
    </row>
    <row r="420" spans="1:40" x14ac:dyDescent="0.3">
      <c r="A420" s="135"/>
      <c r="B420" s="135"/>
      <c r="C420" s="135"/>
      <c r="D420" s="135"/>
      <c r="E420" s="135"/>
      <c r="F420" s="135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207"/>
      <c r="AH420" s="135"/>
      <c r="AI420" s="135"/>
      <c r="AJ420" s="135"/>
      <c r="AK420" s="207"/>
      <c r="AL420" s="135"/>
      <c r="AM420" s="135"/>
      <c r="AN420" s="135"/>
    </row>
    <row r="421" spans="1:40" x14ac:dyDescent="0.3">
      <c r="L421" s="44"/>
      <c r="M421" s="44"/>
      <c r="N421" s="44"/>
      <c r="O421" s="44"/>
      <c r="R421" s="44"/>
      <c r="AA421" s="44"/>
      <c r="AB421" s="44"/>
      <c r="AC421" s="44"/>
      <c r="AD421" s="44"/>
      <c r="AE421" s="44"/>
      <c r="AF421" s="44"/>
      <c r="AG421" s="168"/>
      <c r="AH421" s="44"/>
      <c r="AK421" s="168"/>
      <c r="AL421" s="44"/>
      <c r="AM421" s="44"/>
      <c r="AN421" s="44"/>
    </row>
    <row r="422" spans="1:40" x14ac:dyDescent="0.3">
      <c r="L422" s="44"/>
      <c r="M422" s="44"/>
      <c r="N422" s="44"/>
      <c r="O422" s="44"/>
      <c r="R422" s="44"/>
      <c r="Z422" s="44"/>
      <c r="AA422" s="44"/>
      <c r="AB422" s="44"/>
      <c r="AC422" s="44"/>
      <c r="AD422" s="44"/>
      <c r="AE422" s="44"/>
      <c r="AF422" s="44"/>
      <c r="AG422" s="168"/>
      <c r="AH422" s="44"/>
      <c r="AK422" s="168"/>
      <c r="AL422" s="44"/>
      <c r="AM422" s="44"/>
      <c r="AN422" s="44"/>
    </row>
    <row r="423" spans="1:40" x14ac:dyDescent="0.3">
      <c r="A423" s="44"/>
      <c r="C423" s="44"/>
      <c r="D423" s="44"/>
      <c r="E423" s="44"/>
      <c r="F423" s="44"/>
      <c r="J423" s="44"/>
      <c r="K423" s="44"/>
      <c r="L423" s="44"/>
      <c r="M423" s="44"/>
      <c r="N423" s="44"/>
      <c r="O423" s="44"/>
      <c r="P423" s="44"/>
      <c r="Q423" s="44"/>
      <c r="R423" s="44"/>
      <c r="T423" s="44"/>
      <c r="U423" s="44"/>
      <c r="V423" s="44"/>
      <c r="Z423" s="44"/>
      <c r="AA423" s="44"/>
      <c r="AB423" s="44"/>
      <c r="AC423" s="44"/>
      <c r="AD423" s="44"/>
      <c r="AE423" s="44"/>
      <c r="AF423" s="44"/>
      <c r="AG423" s="168"/>
      <c r="AH423" s="44"/>
      <c r="AI423" s="44"/>
      <c r="AJ423" s="44"/>
      <c r="AK423" s="168"/>
      <c r="AL423" s="44"/>
      <c r="AM423" s="44"/>
      <c r="AN423" s="44"/>
    </row>
    <row r="424" spans="1:40" x14ac:dyDescent="0.3">
      <c r="A424" s="44"/>
      <c r="C424" s="44"/>
      <c r="D424" s="44"/>
      <c r="E424" s="44"/>
      <c r="F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T424" s="44"/>
      <c r="U424" s="44"/>
      <c r="V424" s="44"/>
      <c r="Y424" s="44"/>
      <c r="Z424" s="44"/>
      <c r="AA424" s="44"/>
      <c r="AB424" s="44"/>
      <c r="AC424" s="44"/>
      <c r="AD424" s="44"/>
      <c r="AE424" s="44"/>
      <c r="AF424" s="44"/>
      <c r="AG424" s="168"/>
      <c r="AH424" s="44"/>
      <c r="AI424" s="44"/>
      <c r="AJ424" s="44"/>
      <c r="AK424" s="168"/>
      <c r="AL424" s="44"/>
      <c r="AM424" s="44"/>
      <c r="AN424" s="44"/>
    </row>
    <row r="425" spans="1:40" x14ac:dyDescent="0.3">
      <c r="C425" s="44"/>
      <c r="D425" s="44"/>
      <c r="E425" s="44"/>
      <c r="F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T425" s="44"/>
      <c r="U425" s="44"/>
      <c r="V425" s="44"/>
      <c r="Y425" s="44"/>
      <c r="Z425" s="44"/>
      <c r="AA425" s="44"/>
      <c r="AB425" s="44"/>
      <c r="AC425" s="44"/>
      <c r="AD425" s="44"/>
      <c r="AE425" s="44"/>
      <c r="AF425" s="44"/>
      <c r="AG425" s="168"/>
      <c r="AH425" s="44"/>
      <c r="AI425" s="44"/>
      <c r="AJ425" s="44"/>
      <c r="AK425" s="168"/>
      <c r="AL425" s="44"/>
      <c r="AM425" s="44"/>
      <c r="AN425" s="44"/>
    </row>
    <row r="426" spans="1:40" x14ac:dyDescent="0.3">
      <c r="A426" s="135"/>
      <c r="B426" s="135"/>
      <c r="C426" s="135"/>
      <c r="D426" s="135"/>
      <c r="E426" s="135"/>
      <c r="F426" s="135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207"/>
      <c r="AH426" s="135"/>
      <c r="AI426" s="135"/>
      <c r="AJ426" s="135"/>
      <c r="AK426" s="207"/>
      <c r="AL426" s="135"/>
      <c r="AM426" s="135"/>
      <c r="AN426" s="135"/>
    </row>
    <row r="427" spans="1:40" x14ac:dyDescent="0.3"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Y427" s="44"/>
      <c r="Z427" s="44"/>
      <c r="AA427" s="44"/>
      <c r="AB427" s="44"/>
      <c r="AC427" s="44"/>
      <c r="AD427" s="44"/>
      <c r="AE427" s="44"/>
      <c r="AF427" s="44"/>
      <c r="AG427" s="168"/>
      <c r="AH427" s="44"/>
      <c r="AI427" s="44"/>
      <c r="AJ427" s="44"/>
      <c r="AK427" s="168"/>
      <c r="AL427" s="44"/>
      <c r="AM427" s="44"/>
      <c r="AN427" s="44"/>
    </row>
    <row r="428" spans="1:40" x14ac:dyDescent="0.3">
      <c r="C428" s="42"/>
      <c r="D428" s="42"/>
      <c r="E428" s="42"/>
      <c r="T428" s="42"/>
      <c r="U428" s="42"/>
    </row>
    <row r="430" spans="1:40" x14ac:dyDescent="0.3">
      <c r="C430" s="42"/>
      <c r="T430" s="42"/>
    </row>
    <row r="431" spans="1:40" x14ac:dyDescent="0.3">
      <c r="C431" s="42"/>
      <c r="F431" s="184"/>
      <c r="H431" s="184"/>
      <c r="I431" s="184"/>
      <c r="J431" s="213"/>
      <c r="K431" s="213"/>
      <c r="L431" s="123"/>
      <c r="M431" s="123"/>
      <c r="N431" s="160"/>
      <c r="O431" s="160"/>
      <c r="P431" s="123"/>
      <c r="Q431" s="123"/>
      <c r="R431" s="123"/>
      <c r="T431" s="42"/>
      <c r="V431" s="184"/>
      <c r="Y431" s="184"/>
      <c r="Z431" s="213"/>
      <c r="AA431" s="123"/>
      <c r="AB431" s="123"/>
      <c r="AC431" s="160"/>
      <c r="AD431" s="160"/>
      <c r="AE431" s="123"/>
      <c r="AF431" s="123"/>
      <c r="AH431" s="236"/>
      <c r="AI431" s="123"/>
      <c r="AJ431" s="123"/>
      <c r="AL431" s="123"/>
      <c r="AM431" s="160"/>
      <c r="AN431" s="160"/>
    </row>
    <row r="432" spans="1:40" x14ac:dyDescent="0.3">
      <c r="C432" s="42"/>
      <c r="T432" s="42"/>
    </row>
    <row r="433" spans="3:40" x14ac:dyDescent="0.3">
      <c r="C433" s="42"/>
      <c r="F433" s="184"/>
      <c r="H433" s="184"/>
      <c r="I433" s="184"/>
      <c r="J433" s="238"/>
      <c r="K433" s="238"/>
      <c r="L433" s="123"/>
      <c r="M433" s="123"/>
      <c r="N433" s="160"/>
      <c r="O433" s="160"/>
      <c r="P433" s="123"/>
      <c r="Q433" s="123"/>
      <c r="R433" s="123"/>
      <c r="T433" s="42"/>
      <c r="V433" s="123"/>
      <c r="Y433" s="123"/>
      <c r="Z433" s="238"/>
      <c r="AA433" s="123"/>
      <c r="AB433" s="123"/>
      <c r="AC433" s="160"/>
      <c r="AD433" s="160"/>
      <c r="AE433" s="123"/>
      <c r="AF433" s="123"/>
      <c r="AH433" s="236"/>
      <c r="AI433" s="123"/>
      <c r="AJ433" s="123"/>
      <c r="AL433" s="123"/>
      <c r="AM433" s="160"/>
      <c r="AN433" s="160"/>
    </row>
    <row r="434" spans="3:40" x14ac:dyDescent="0.3">
      <c r="C434" s="42"/>
      <c r="F434" s="184"/>
      <c r="H434" s="184"/>
      <c r="I434" s="184"/>
      <c r="J434" s="238"/>
      <c r="K434" s="238"/>
      <c r="L434" s="123"/>
      <c r="M434" s="123"/>
      <c r="N434" s="160"/>
      <c r="O434" s="160"/>
      <c r="P434" s="123"/>
      <c r="Q434" s="123"/>
      <c r="R434" s="123"/>
      <c r="T434" s="42"/>
      <c r="V434" s="123"/>
      <c r="Y434" s="123"/>
      <c r="Z434" s="238"/>
      <c r="AA434" s="123"/>
      <c r="AB434" s="123"/>
      <c r="AC434" s="160"/>
      <c r="AD434" s="160"/>
      <c r="AE434" s="123"/>
      <c r="AF434" s="123"/>
      <c r="AH434" s="236"/>
      <c r="AI434" s="123"/>
      <c r="AJ434" s="123"/>
      <c r="AL434" s="123"/>
      <c r="AM434" s="160"/>
      <c r="AN434" s="160"/>
    </row>
    <row r="435" spans="3:40" x14ac:dyDescent="0.3">
      <c r="C435" s="42"/>
      <c r="F435" s="184"/>
      <c r="H435" s="184"/>
      <c r="I435" s="184"/>
      <c r="J435" s="238"/>
      <c r="K435" s="238"/>
      <c r="L435" s="123"/>
      <c r="M435" s="123"/>
      <c r="N435" s="160"/>
      <c r="O435" s="160"/>
      <c r="P435" s="123"/>
      <c r="Q435" s="123"/>
      <c r="R435" s="123"/>
      <c r="T435" s="42"/>
      <c r="V435" s="123"/>
      <c r="Y435" s="123"/>
      <c r="Z435" s="238"/>
      <c r="AA435" s="123"/>
      <c r="AB435" s="123"/>
      <c r="AC435" s="160"/>
      <c r="AD435" s="160"/>
      <c r="AE435" s="123"/>
      <c r="AF435" s="123"/>
      <c r="AH435" s="236"/>
      <c r="AI435" s="123"/>
      <c r="AJ435" s="123"/>
      <c r="AL435" s="123"/>
      <c r="AM435" s="160"/>
      <c r="AN435" s="160"/>
    </row>
    <row r="436" spans="3:40" x14ac:dyDescent="0.3">
      <c r="C436" s="42"/>
      <c r="F436" s="184"/>
      <c r="H436" s="184"/>
      <c r="I436" s="184"/>
      <c r="J436" s="238"/>
      <c r="K436" s="238"/>
      <c r="L436" s="123"/>
      <c r="M436" s="123"/>
      <c r="N436" s="160"/>
      <c r="O436" s="160"/>
      <c r="P436" s="123"/>
      <c r="Q436" s="123"/>
      <c r="R436" s="123"/>
      <c r="T436" s="42"/>
      <c r="V436" s="123"/>
      <c r="Y436" s="123"/>
      <c r="Z436" s="238"/>
      <c r="AA436" s="123"/>
      <c r="AB436" s="123"/>
      <c r="AC436" s="160"/>
      <c r="AD436" s="160"/>
      <c r="AE436" s="123"/>
      <c r="AF436" s="123"/>
      <c r="AH436" s="236"/>
      <c r="AI436" s="123"/>
      <c r="AJ436" s="123"/>
      <c r="AL436" s="123"/>
      <c r="AM436" s="160"/>
      <c r="AN436" s="160"/>
    </row>
    <row r="437" spans="3:40" x14ac:dyDescent="0.3">
      <c r="C437" s="42"/>
      <c r="J437" s="188"/>
      <c r="K437" s="188"/>
      <c r="T437" s="42"/>
      <c r="Z437" s="188"/>
    </row>
    <row r="438" spans="3:40" x14ac:dyDescent="0.3">
      <c r="C438" s="42"/>
      <c r="F438" s="184"/>
      <c r="H438" s="184"/>
      <c r="I438" s="184"/>
      <c r="J438" s="238"/>
      <c r="K438" s="238"/>
      <c r="L438" s="123"/>
      <c r="M438" s="123"/>
      <c r="N438" s="160"/>
      <c r="O438" s="160"/>
      <c r="P438" s="123"/>
      <c r="Q438" s="123"/>
      <c r="R438" s="123"/>
      <c r="T438" s="42"/>
      <c r="V438" s="123"/>
      <c r="Y438" s="123"/>
      <c r="Z438" s="238"/>
      <c r="AA438" s="123"/>
      <c r="AB438" s="123"/>
      <c r="AC438" s="160"/>
      <c r="AD438" s="160"/>
      <c r="AE438" s="123"/>
      <c r="AF438" s="123"/>
      <c r="AH438" s="236"/>
      <c r="AI438" s="123"/>
      <c r="AJ438" s="123"/>
      <c r="AL438" s="123"/>
      <c r="AM438" s="160"/>
      <c r="AN438" s="160"/>
    </row>
    <row r="439" spans="3:40" x14ac:dyDescent="0.3">
      <c r="C439" s="42"/>
      <c r="F439" s="184"/>
      <c r="H439" s="184"/>
      <c r="I439" s="184"/>
      <c r="J439" s="238"/>
      <c r="K439" s="238"/>
      <c r="L439" s="123"/>
      <c r="M439" s="123"/>
      <c r="N439" s="160"/>
      <c r="O439" s="160"/>
      <c r="P439" s="123"/>
      <c r="Q439" s="123"/>
      <c r="R439" s="123"/>
      <c r="T439" s="42"/>
      <c r="V439" s="123"/>
      <c r="Y439" s="123"/>
      <c r="Z439" s="238"/>
      <c r="AA439" s="123"/>
      <c r="AB439" s="123"/>
      <c r="AC439" s="160"/>
      <c r="AD439" s="160"/>
      <c r="AE439" s="123"/>
      <c r="AF439" s="123"/>
      <c r="AH439" s="236"/>
      <c r="AI439" s="123"/>
      <c r="AJ439" s="123"/>
      <c r="AL439" s="123"/>
      <c r="AM439" s="160"/>
      <c r="AN439" s="160"/>
    </row>
    <row r="440" spans="3:40" x14ac:dyDescent="0.3">
      <c r="C440" s="42"/>
      <c r="F440" s="184"/>
      <c r="H440" s="184"/>
      <c r="I440" s="184"/>
      <c r="J440" s="238"/>
      <c r="K440" s="238"/>
      <c r="L440" s="123"/>
      <c r="M440" s="123"/>
      <c r="N440" s="160"/>
      <c r="O440" s="160"/>
      <c r="P440" s="123"/>
      <c r="Q440" s="123"/>
      <c r="R440" s="123"/>
      <c r="T440" s="42"/>
      <c r="V440" s="123"/>
      <c r="Y440" s="123"/>
      <c r="Z440" s="238"/>
      <c r="AA440" s="123"/>
      <c r="AB440" s="123"/>
      <c r="AC440" s="160"/>
      <c r="AD440" s="160"/>
      <c r="AE440" s="123"/>
      <c r="AF440" s="123"/>
      <c r="AH440" s="236"/>
      <c r="AI440" s="123"/>
      <c r="AJ440" s="123"/>
      <c r="AL440" s="123"/>
      <c r="AM440" s="160"/>
      <c r="AN440" s="160"/>
    </row>
    <row r="441" spans="3:40" x14ac:dyDescent="0.3">
      <c r="C441" s="42"/>
      <c r="J441" s="188"/>
      <c r="K441" s="188"/>
      <c r="T441" s="42"/>
      <c r="Z441" s="188"/>
    </row>
    <row r="442" spans="3:40" x14ac:dyDescent="0.3">
      <c r="C442" s="42"/>
      <c r="F442" s="184"/>
      <c r="H442" s="184"/>
      <c r="I442" s="184"/>
      <c r="J442" s="238"/>
      <c r="K442" s="238"/>
      <c r="L442" s="123"/>
      <c r="M442" s="123"/>
      <c r="N442" s="160"/>
      <c r="O442" s="160"/>
      <c r="P442" s="123"/>
      <c r="Q442" s="123"/>
      <c r="R442" s="123"/>
      <c r="T442" s="42"/>
      <c r="V442" s="123"/>
      <c r="Y442" s="123"/>
      <c r="Z442" s="238"/>
      <c r="AA442" s="123"/>
      <c r="AB442" s="123"/>
      <c r="AC442" s="160"/>
      <c r="AD442" s="160"/>
      <c r="AE442" s="123"/>
      <c r="AF442" s="123"/>
      <c r="AH442" s="236"/>
      <c r="AI442" s="123"/>
      <c r="AJ442" s="123"/>
      <c r="AL442" s="123"/>
      <c r="AM442" s="160"/>
      <c r="AN442" s="160"/>
    </row>
    <row r="443" spans="3:40" x14ac:dyDescent="0.3">
      <c r="C443" s="42"/>
      <c r="F443" s="184"/>
      <c r="H443" s="184"/>
      <c r="I443" s="184"/>
      <c r="J443" s="238"/>
      <c r="K443" s="238"/>
      <c r="L443" s="123"/>
      <c r="M443" s="123"/>
      <c r="N443" s="160"/>
      <c r="O443" s="160"/>
      <c r="P443" s="123"/>
      <c r="Q443" s="123"/>
      <c r="R443" s="123"/>
      <c r="T443" s="42"/>
      <c r="V443" s="123"/>
      <c r="Y443" s="123"/>
      <c r="Z443" s="238"/>
      <c r="AA443" s="123"/>
      <c r="AB443" s="123"/>
      <c r="AC443" s="160"/>
      <c r="AD443" s="160"/>
      <c r="AE443" s="123"/>
      <c r="AF443" s="123"/>
      <c r="AH443" s="236"/>
      <c r="AI443" s="123"/>
      <c r="AJ443" s="123"/>
      <c r="AL443" s="123"/>
      <c r="AM443" s="160"/>
      <c r="AN443" s="160"/>
    </row>
    <row r="444" spans="3:40" x14ac:dyDescent="0.3">
      <c r="C444" s="42"/>
      <c r="J444" s="188"/>
      <c r="K444" s="188"/>
      <c r="T444" s="42"/>
      <c r="Z444" s="188"/>
    </row>
    <row r="445" spans="3:40" x14ac:dyDescent="0.3">
      <c r="C445" s="42"/>
      <c r="F445" s="184"/>
      <c r="H445" s="184"/>
      <c r="I445" s="184"/>
      <c r="J445" s="238"/>
      <c r="K445" s="238"/>
      <c r="L445" s="123"/>
      <c r="M445" s="123"/>
      <c r="N445" s="160"/>
      <c r="O445" s="160"/>
      <c r="P445" s="123"/>
      <c r="Q445" s="123"/>
      <c r="R445" s="123"/>
      <c r="T445" s="42"/>
      <c r="V445" s="123"/>
      <c r="Y445" s="123"/>
      <c r="Z445" s="238"/>
      <c r="AA445" s="123"/>
      <c r="AB445" s="123"/>
      <c r="AC445" s="160"/>
      <c r="AD445" s="160"/>
      <c r="AE445" s="123"/>
      <c r="AF445" s="123"/>
      <c r="AH445" s="236"/>
      <c r="AI445" s="123"/>
      <c r="AJ445" s="123"/>
      <c r="AL445" s="123"/>
      <c r="AM445" s="160"/>
      <c r="AN445" s="160"/>
    </row>
    <row r="446" spans="3:40" x14ac:dyDescent="0.3">
      <c r="C446" s="42"/>
      <c r="F446" s="184"/>
      <c r="H446" s="184"/>
      <c r="I446" s="184"/>
      <c r="J446" s="238"/>
      <c r="K446" s="238"/>
      <c r="L446" s="123"/>
      <c r="M446" s="123"/>
      <c r="N446" s="160"/>
      <c r="O446" s="160"/>
      <c r="P446" s="123"/>
      <c r="Q446" s="123"/>
      <c r="R446" s="123"/>
      <c r="T446" s="42"/>
      <c r="V446" s="123"/>
      <c r="Y446" s="123"/>
      <c r="Z446" s="238"/>
      <c r="AA446" s="123"/>
      <c r="AB446" s="123"/>
      <c r="AC446" s="160"/>
      <c r="AD446" s="160"/>
      <c r="AE446" s="123"/>
      <c r="AF446" s="123"/>
      <c r="AH446" s="236"/>
      <c r="AI446" s="123"/>
      <c r="AJ446" s="123"/>
      <c r="AL446" s="123"/>
      <c r="AM446" s="160"/>
      <c r="AN446" s="160"/>
    </row>
    <row r="447" spans="3:40" x14ac:dyDescent="0.3">
      <c r="C447" s="42"/>
      <c r="F447" s="184"/>
      <c r="H447" s="184"/>
      <c r="I447" s="184"/>
      <c r="J447" s="238"/>
      <c r="K447" s="238"/>
      <c r="L447" s="123"/>
      <c r="M447" s="123"/>
      <c r="N447" s="160"/>
      <c r="O447" s="160"/>
      <c r="P447" s="123"/>
      <c r="Q447" s="123"/>
      <c r="R447" s="123"/>
      <c r="T447" s="42"/>
      <c r="V447" s="123"/>
      <c r="Y447" s="123"/>
      <c r="Z447" s="238"/>
      <c r="AA447" s="123"/>
      <c r="AB447" s="123"/>
      <c r="AC447" s="160"/>
      <c r="AD447" s="160"/>
      <c r="AE447" s="123"/>
      <c r="AF447" s="123"/>
      <c r="AH447" s="236"/>
      <c r="AI447" s="123"/>
      <c r="AJ447" s="123"/>
      <c r="AL447" s="123"/>
      <c r="AM447" s="160"/>
      <c r="AN447" s="160"/>
    </row>
    <row r="448" spans="3:40" x14ac:dyDescent="0.3">
      <c r="F448" s="210"/>
      <c r="H448" s="210"/>
      <c r="I448" s="210"/>
      <c r="J448" s="238"/>
      <c r="K448" s="238"/>
      <c r="L448" s="210"/>
      <c r="M448" s="210"/>
      <c r="N448" s="210"/>
      <c r="O448" s="210"/>
      <c r="P448" s="210"/>
      <c r="Q448" s="210"/>
      <c r="R448" s="210"/>
      <c r="V448" s="210"/>
      <c r="Y448" s="210"/>
      <c r="Z448" s="238"/>
      <c r="AA448" s="210"/>
      <c r="AB448" s="210"/>
      <c r="AC448" s="210"/>
      <c r="AD448" s="210"/>
      <c r="AE448" s="210"/>
      <c r="AF448" s="210"/>
      <c r="AI448" s="210"/>
      <c r="AJ448" s="210"/>
      <c r="AK448" s="214"/>
      <c r="AL448" s="210"/>
    </row>
    <row r="449" spans="3:40" x14ac:dyDescent="0.3">
      <c r="C449" s="44"/>
      <c r="F449" s="123"/>
      <c r="H449" s="123"/>
      <c r="I449" s="123"/>
      <c r="J449" s="188"/>
      <c r="K449" s="188"/>
      <c r="L449" s="123"/>
      <c r="M449" s="123"/>
      <c r="N449" s="236"/>
      <c r="O449" s="236"/>
      <c r="P449" s="123"/>
      <c r="Q449" s="123"/>
      <c r="R449" s="123"/>
      <c r="T449" s="44"/>
      <c r="V449" s="123"/>
      <c r="Y449" s="123"/>
      <c r="Z449" s="188"/>
      <c r="AA449" s="123"/>
      <c r="AB449" s="123"/>
      <c r="AC449" s="123"/>
      <c r="AD449" s="123"/>
      <c r="AE449" s="123"/>
      <c r="AF449" s="123"/>
      <c r="AH449" s="236"/>
      <c r="AI449" s="123"/>
      <c r="AJ449" s="123"/>
      <c r="AL449" s="123"/>
      <c r="AM449" s="160"/>
      <c r="AN449" s="160"/>
    </row>
    <row r="450" spans="3:40" x14ac:dyDescent="0.3">
      <c r="F450" s="210"/>
      <c r="H450" s="210"/>
      <c r="I450" s="210"/>
      <c r="J450" s="238"/>
      <c r="K450" s="238"/>
      <c r="L450" s="210"/>
      <c r="M450" s="210"/>
      <c r="N450" s="210"/>
      <c r="O450" s="210"/>
      <c r="P450" s="210"/>
      <c r="Q450" s="210"/>
      <c r="R450" s="210"/>
      <c r="V450" s="210"/>
      <c r="Y450" s="210"/>
      <c r="Z450" s="238"/>
      <c r="AA450" s="210"/>
      <c r="AB450" s="210"/>
      <c r="AC450" s="210"/>
      <c r="AD450" s="210"/>
      <c r="AE450" s="210"/>
      <c r="AF450" s="210"/>
      <c r="AI450" s="210"/>
      <c r="AJ450" s="210"/>
      <c r="AK450" s="214"/>
      <c r="AL450" s="210"/>
    </row>
    <row r="451" spans="3:40" x14ac:dyDescent="0.3">
      <c r="C451" s="42"/>
      <c r="J451" s="188"/>
      <c r="K451" s="188"/>
      <c r="T451" s="42"/>
      <c r="Z451" s="188"/>
    </row>
    <row r="452" spans="3:40" x14ac:dyDescent="0.3">
      <c r="C452" s="42"/>
      <c r="J452" s="188"/>
      <c r="K452" s="188"/>
      <c r="T452" s="42"/>
      <c r="Z452" s="188"/>
    </row>
    <row r="453" spans="3:40" x14ac:dyDescent="0.3">
      <c r="C453" s="42"/>
      <c r="F453" s="184"/>
      <c r="H453" s="184"/>
      <c r="I453" s="184"/>
      <c r="J453" s="238"/>
      <c r="K453" s="238"/>
      <c r="L453" s="123"/>
      <c r="M453" s="123"/>
      <c r="N453" s="160"/>
      <c r="O453" s="160"/>
      <c r="P453" s="123"/>
      <c r="Q453" s="123"/>
      <c r="R453" s="123"/>
      <c r="T453" s="42"/>
      <c r="V453" s="123"/>
      <c r="Y453" s="123"/>
      <c r="Z453" s="238"/>
      <c r="AA453" s="123"/>
      <c r="AB453" s="123"/>
      <c r="AC453" s="160"/>
      <c r="AD453" s="160"/>
      <c r="AE453" s="123"/>
      <c r="AF453" s="123"/>
      <c r="AH453" s="236"/>
      <c r="AI453" s="123"/>
      <c r="AJ453" s="123"/>
      <c r="AL453" s="123"/>
      <c r="AM453" s="160"/>
      <c r="AN453" s="160"/>
    </row>
    <row r="454" spans="3:40" x14ac:dyDescent="0.3">
      <c r="C454" s="42"/>
      <c r="F454" s="184"/>
      <c r="H454" s="184"/>
      <c r="I454" s="184"/>
      <c r="J454" s="238"/>
      <c r="K454" s="238"/>
      <c r="L454" s="123"/>
      <c r="M454" s="123"/>
      <c r="N454" s="160"/>
      <c r="O454" s="160"/>
      <c r="P454" s="123"/>
      <c r="Q454" s="123"/>
      <c r="R454" s="123"/>
      <c r="T454" s="42"/>
      <c r="V454" s="123"/>
      <c r="Y454" s="123"/>
      <c r="Z454" s="238"/>
      <c r="AA454" s="123"/>
      <c r="AB454" s="123"/>
      <c r="AC454" s="160"/>
      <c r="AD454" s="160"/>
      <c r="AE454" s="123"/>
      <c r="AF454" s="123"/>
      <c r="AH454" s="236"/>
      <c r="AI454" s="123"/>
      <c r="AJ454" s="123"/>
      <c r="AL454" s="123"/>
      <c r="AM454" s="160"/>
      <c r="AN454" s="160"/>
    </row>
    <row r="455" spans="3:40" x14ac:dyDescent="0.3">
      <c r="C455" s="42"/>
      <c r="F455" s="184"/>
      <c r="H455" s="184"/>
      <c r="I455" s="184"/>
      <c r="J455" s="238"/>
      <c r="K455" s="238"/>
      <c r="L455" s="123"/>
      <c r="M455" s="123"/>
      <c r="N455" s="160"/>
      <c r="O455" s="160"/>
      <c r="P455" s="123"/>
      <c r="Q455" s="123"/>
      <c r="R455" s="123"/>
      <c r="T455" s="42"/>
      <c r="V455" s="123"/>
      <c r="Y455" s="123"/>
      <c r="Z455" s="238"/>
      <c r="AA455" s="123"/>
      <c r="AB455" s="123"/>
      <c r="AC455" s="160"/>
      <c r="AD455" s="160"/>
      <c r="AE455" s="123"/>
      <c r="AF455" s="123"/>
      <c r="AH455" s="236"/>
      <c r="AI455" s="123"/>
      <c r="AJ455" s="123"/>
      <c r="AL455" s="123"/>
      <c r="AM455" s="160"/>
      <c r="AN455" s="160"/>
    </row>
    <row r="456" spans="3:40" x14ac:dyDescent="0.3">
      <c r="C456" s="42"/>
      <c r="F456" s="184"/>
      <c r="H456" s="184"/>
      <c r="I456" s="184"/>
      <c r="J456" s="238"/>
      <c r="K456" s="238"/>
      <c r="L456" s="123"/>
      <c r="M456" s="123"/>
      <c r="N456" s="160"/>
      <c r="O456" s="160"/>
      <c r="P456" s="123"/>
      <c r="Q456" s="123"/>
      <c r="R456" s="123"/>
      <c r="T456" s="42"/>
      <c r="V456" s="123"/>
      <c r="Y456" s="123"/>
      <c r="Z456" s="238"/>
      <c r="AA456" s="123"/>
      <c r="AB456" s="123"/>
      <c r="AC456" s="160"/>
      <c r="AD456" s="160"/>
      <c r="AE456" s="123"/>
      <c r="AF456" s="123"/>
      <c r="AH456" s="236"/>
      <c r="AI456" s="123"/>
      <c r="AJ456" s="123"/>
      <c r="AL456" s="123"/>
      <c r="AM456" s="160"/>
      <c r="AN456" s="160"/>
    </row>
    <row r="457" spans="3:40" x14ac:dyDescent="0.3">
      <c r="C457" s="42"/>
      <c r="F457" s="184"/>
      <c r="H457" s="184"/>
      <c r="I457" s="184"/>
      <c r="J457" s="238"/>
      <c r="K457" s="238"/>
      <c r="L457" s="123"/>
      <c r="M457" s="123"/>
      <c r="N457" s="160"/>
      <c r="O457" s="160"/>
      <c r="P457" s="123"/>
      <c r="Q457" s="123"/>
      <c r="R457" s="123"/>
      <c r="T457" s="42"/>
      <c r="V457" s="123"/>
      <c r="Y457" s="123"/>
      <c r="Z457" s="238"/>
      <c r="AA457" s="123"/>
      <c r="AB457" s="123"/>
      <c r="AC457" s="160"/>
      <c r="AD457" s="160"/>
      <c r="AE457" s="123"/>
      <c r="AF457" s="123"/>
      <c r="AH457" s="236"/>
      <c r="AI457" s="123"/>
      <c r="AJ457" s="123"/>
      <c r="AL457" s="123"/>
      <c r="AM457" s="160"/>
      <c r="AN457" s="160"/>
    </row>
    <row r="458" spans="3:40" x14ac:dyDescent="0.3">
      <c r="C458" s="42"/>
      <c r="F458" s="184"/>
      <c r="H458" s="184"/>
      <c r="I458" s="184"/>
      <c r="J458" s="238"/>
      <c r="K458" s="238"/>
      <c r="L458" s="123"/>
      <c r="M458" s="123"/>
      <c r="N458" s="160"/>
      <c r="O458" s="160"/>
      <c r="P458" s="123"/>
      <c r="Q458" s="123"/>
      <c r="R458" s="123"/>
      <c r="T458" s="42"/>
      <c r="V458" s="123"/>
      <c r="Y458" s="123"/>
      <c r="Z458" s="238"/>
      <c r="AA458" s="123"/>
      <c r="AB458" s="123"/>
      <c r="AC458" s="160"/>
      <c r="AD458" s="160"/>
      <c r="AE458" s="123"/>
      <c r="AF458" s="123"/>
      <c r="AH458" s="236"/>
      <c r="AI458" s="123"/>
      <c r="AJ458" s="123"/>
      <c r="AL458" s="123"/>
      <c r="AM458" s="160"/>
      <c r="AN458" s="160"/>
    </row>
    <row r="459" spans="3:40" x14ac:dyDescent="0.3">
      <c r="C459" s="42"/>
      <c r="F459" s="184"/>
      <c r="H459" s="184"/>
      <c r="I459" s="184"/>
      <c r="J459" s="238"/>
      <c r="K459" s="238"/>
      <c r="L459" s="123"/>
      <c r="M459" s="123"/>
      <c r="N459" s="160"/>
      <c r="O459" s="160"/>
      <c r="P459" s="123"/>
      <c r="Q459" s="123"/>
      <c r="R459" s="123"/>
      <c r="T459" s="42"/>
      <c r="V459" s="123"/>
      <c r="Y459" s="123"/>
      <c r="Z459" s="238"/>
      <c r="AA459" s="123"/>
      <c r="AB459" s="123"/>
      <c r="AC459" s="160"/>
      <c r="AD459" s="160"/>
      <c r="AE459" s="123"/>
      <c r="AF459" s="123"/>
      <c r="AH459" s="236"/>
      <c r="AI459" s="123"/>
      <c r="AJ459" s="123"/>
      <c r="AL459" s="123"/>
      <c r="AM459" s="160"/>
      <c r="AN459" s="160"/>
    </row>
    <row r="460" spans="3:40" x14ac:dyDescent="0.3">
      <c r="C460" s="42"/>
      <c r="J460" s="188"/>
      <c r="K460" s="188"/>
      <c r="T460" s="42"/>
      <c r="Z460" s="188"/>
    </row>
    <row r="461" spans="3:40" x14ac:dyDescent="0.3">
      <c r="C461" s="42"/>
      <c r="F461" s="184"/>
      <c r="H461" s="184"/>
      <c r="I461" s="184"/>
      <c r="J461" s="238"/>
      <c r="K461" s="238"/>
      <c r="L461" s="123"/>
      <c r="M461" s="123"/>
      <c r="N461" s="160"/>
      <c r="O461" s="160"/>
      <c r="P461" s="123"/>
      <c r="Q461" s="123"/>
      <c r="R461" s="123"/>
      <c r="T461" s="42"/>
      <c r="V461" s="123"/>
      <c r="Y461" s="123"/>
      <c r="Z461" s="238"/>
      <c r="AA461" s="123"/>
      <c r="AB461" s="123"/>
      <c r="AC461" s="160"/>
      <c r="AD461" s="160"/>
      <c r="AE461" s="123"/>
      <c r="AF461" s="123"/>
      <c r="AH461" s="236"/>
      <c r="AI461" s="123"/>
      <c r="AJ461" s="123"/>
      <c r="AL461" s="123"/>
      <c r="AM461" s="160"/>
      <c r="AN461" s="160"/>
    </row>
    <row r="462" spans="3:40" x14ac:dyDescent="0.3">
      <c r="C462" s="42"/>
      <c r="F462" s="184"/>
      <c r="H462" s="184"/>
      <c r="I462" s="184"/>
      <c r="J462" s="238"/>
      <c r="K462" s="238"/>
      <c r="L462" s="123"/>
      <c r="M462" s="123"/>
      <c r="N462" s="160"/>
      <c r="O462" s="160"/>
      <c r="P462" s="123"/>
      <c r="Q462" s="123"/>
      <c r="R462" s="123"/>
      <c r="T462" s="42"/>
      <c r="V462" s="123"/>
      <c r="Y462" s="123"/>
      <c r="Z462" s="238"/>
      <c r="AA462" s="123"/>
      <c r="AB462" s="123"/>
      <c r="AC462" s="160"/>
      <c r="AD462" s="160"/>
      <c r="AE462" s="123"/>
      <c r="AF462" s="123"/>
      <c r="AH462" s="236"/>
      <c r="AI462" s="123"/>
      <c r="AJ462" s="123"/>
      <c r="AL462" s="123"/>
      <c r="AM462" s="160"/>
      <c r="AN462" s="160"/>
    </row>
    <row r="463" spans="3:40" x14ac:dyDescent="0.3">
      <c r="C463" s="42"/>
      <c r="F463" s="184"/>
      <c r="H463" s="184"/>
      <c r="I463" s="184"/>
      <c r="J463" s="238"/>
      <c r="K463" s="238"/>
      <c r="L463" s="123"/>
      <c r="M463" s="123"/>
      <c r="N463" s="160"/>
      <c r="O463" s="160"/>
      <c r="P463" s="123"/>
      <c r="Q463" s="123"/>
      <c r="R463" s="123"/>
      <c r="T463" s="42"/>
      <c r="V463" s="123"/>
      <c r="Y463" s="123"/>
      <c r="Z463" s="238"/>
      <c r="AA463" s="123"/>
      <c r="AB463" s="123"/>
      <c r="AC463" s="160"/>
      <c r="AD463" s="160"/>
      <c r="AE463" s="123"/>
      <c r="AF463" s="123"/>
      <c r="AH463" s="236"/>
      <c r="AI463" s="123"/>
      <c r="AJ463" s="123"/>
      <c r="AL463" s="123"/>
      <c r="AM463" s="160"/>
      <c r="AN463" s="160"/>
    </row>
    <row r="464" spans="3:40" x14ac:dyDescent="0.3">
      <c r="C464" s="42"/>
      <c r="F464" s="184"/>
      <c r="H464" s="184"/>
      <c r="I464" s="184"/>
      <c r="J464" s="238"/>
      <c r="K464" s="238"/>
      <c r="L464" s="123"/>
      <c r="M464" s="123"/>
      <c r="N464" s="160"/>
      <c r="O464" s="160"/>
      <c r="P464" s="123"/>
      <c r="Q464" s="123"/>
      <c r="R464" s="123"/>
      <c r="T464" s="42"/>
      <c r="V464" s="123"/>
      <c r="Y464" s="123"/>
      <c r="Z464" s="238"/>
      <c r="AA464" s="123"/>
      <c r="AB464" s="123"/>
      <c r="AC464" s="160"/>
      <c r="AD464" s="160"/>
      <c r="AE464" s="123"/>
      <c r="AF464" s="123"/>
      <c r="AH464" s="236"/>
      <c r="AI464" s="123"/>
      <c r="AJ464" s="123"/>
      <c r="AL464" s="123"/>
      <c r="AM464" s="160"/>
      <c r="AN464" s="160"/>
    </row>
    <row r="465" spans="3:40" x14ac:dyDescent="0.3">
      <c r="C465" s="42"/>
      <c r="J465" s="188"/>
      <c r="K465" s="188"/>
      <c r="T465" s="42"/>
      <c r="Z465" s="188"/>
    </row>
    <row r="466" spans="3:40" x14ac:dyDescent="0.3">
      <c r="C466" s="42"/>
      <c r="F466" s="184"/>
      <c r="H466" s="184"/>
      <c r="I466" s="184"/>
      <c r="J466" s="238"/>
      <c r="K466" s="238"/>
      <c r="L466" s="123"/>
      <c r="M466" s="123"/>
      <c r="N466" s="160"/>
      <c r="O466" s="160"/>
      <c r="P466" s="123"/>
      <c r="Q466" s="123"/>
      <c r="R466" s="123"/>
      <c r="T466" s="42"/>
      <c r="V466" s="123"/>
      <c r="Y466" s="123"/>
      <c r="Z466" s="238"/>
      <c r="AA466" s="123"/>
      <c r="AB466" s="123"/>
      <c r="AC466" s="160"/>
      <c r="AD466" s="160"/>
      <c r="AE466" s="123"/>
      <c r="AF466" s="123"/>
      <c r="AH466" s="236"/>
      <c r="AI466" s="123"/>
      <c r="AJ466" s="123"/>
      <c r="AL466" s="123"/>
      <c r="AM466" s="160"/>
      <c r="AN466" s="160"/>
    </row>
    <row r="467" spans="3:40" x14ac:dyDescent="0.3">
      <c r="C467" s="42"/>
      <c r="F467" s="184"/>
      <c r="H467" s="184"/>
      <c r="I467" s="184"/>
      <c r="J467" s="238"/>
      <c r="K467" s="238"/>
      <c r="L467" s="123"/>
      <c r="M467" s="123"/>
      <c r="N467" s="160"/>
      <c r="O467" s="160"/>
      <c r="P467" s="123"/>
      <c r="Q467" s="123"/>
      <c r="R467" s="123"/>
      <c r="T467" s="42"/>
      <c r="V467" s="123"/>
      <c r="Y467" s="123"/>
      <c r="Z467" s="238"/>
      <c r="AA467" s="123"/>
      <c r="AB467" s="123"/>
      <c r="AC467" s="160"/>
      <c r="AD467" s="160"/>
      <c r="AE467" s="123"/>
      <c r="AF467" s="123"/>
      <c r="AH467" s="236"/>
      <c r="AI467" s="123"/>
      <c r="AJ467" s="123"/>
      <c r="AL467" s="123"/>
      <c r="AM467" s="160"/>
      <c r="AN467" s="160"/>
    </row>
    <row r="468" spans="3:40" x14ac:dyDescent="0.3">
      <c r="C468" s="42"/>
      <c r="F468" s="184"/>
      <c r="H468" s="184"/>
      <c r="I468" s="184"/>
      <c r="J468" s="238"/>
      <c r="K468" s="238"/>
      <c r="L468" s="123"/>
      <c r="M468" s="123"/>
      <c r="N468" s="160"/>
      <c r="O468" s="160"/>
      <c r="P468" s="123"/>
      <c r="Q468" s="123"/>
      <c r="R468" s="123"/>
      <c r="T468" s="42"/>
      <c r="V468" s="123"/>
      <c r="Y468" s="123"/>
      <c r="Z468" s="238"/>
      <c r="AA468" s="123"/>
      <c r="AB468" s="123"/>
      <c r="AC468" s="160"/>
      <c r="AD468" s="160"/>
      <c r="AE468" s="123"/>
      <c r="AF468" s="123"/>
      <c r="AH468" s="236"/>
      <c r="AI468" s="123"/>
      <c r="AJ468" s="123"/>
      <c r="AL468" s="123"/>
      <c r="AM468" s="160"/>
      <c r="AN468" s="160"/>
    </row>
    <row r="469" spans="3:40" x14ac:dyDescent="0.3">
      <c r="C469" s="42"/>
      <c r="F469" s="184"/>
      <c r="H469" s="184"/>
      <c r="I469" s="184"/>
      <c r="J469" s="238"/>
      <c r="K469" s="238"/>
      <c r="L469" s="123"/>
      <c r="M469" s="123"/>
      <c r="N469" s="160"/>
      <c r="O469" s="160"/>
      <c r="P469" s="123"/>
      <c r="Q469" s="123"/>
      <c r="R469" s="123"/>
      <c r="T469" s="42"/>
      <c r="V469" s="123"/>
      <c r="Y469" s="123"/>
      <c r="Z469" s="238"/>
      <c r="AA469" s="123"/>
      <c r="AB469" s="123"/>
      <c r="AC469" s="160"/>
      <c r="AD469" s="160"/>
      <c r="AE469" s="123"/>
      <c r="AF469" s="123"/>
      <c r="AH469" s="236"/>
      <c r="AI469" s="123"/>
      <c r="AJ469" s="123"/>
      <c r="AL469" s="123"/>
      <c r="AM469" s="160"/>
      <c r="AN469" s="160"/>
    </row>
    <row r="470" spans="3:40" x14ac:dyDescent="0.3">
      <c r="C470" s="42"/>
      <c r="F470" s="184"/>
      <c r="H470" s="184"/>
      <c r="I470" s="184"/>
      <c r="J470" s="238"/>
      <c r="K470" s="238"/>
      <c r="L470" s="123"/>
      <c r="M470" s="123"/>
      <c r="N470" s="160"/>
      <c r="O470" s="160"/>
      <c r="P470" s="123"/>
      <c r="Q470" s="123"/>
      <c r="R470" s="123"/>
      <c r="T470" s="42"/>
      <c r="V470" s="123"/>
      <c r="Y470" s="123"/>
      <c r="Z470" s="238"/>
      <c r="AA470" s="123"/>
      <c r="AB470" s="123"/>
      <c r="AC470" s="160"/>
      <c r="AD470" s="160"/>
      <c r="AE470" s="123"/>
      <c r="AF470" s="123"/>
      <c r="AH470" s="236"/>
      <c r="AI470" s="123"/>
      <c r="AJ470" s="123"/>
      <c r="AL470" s="123"/>
      <c r="AM470" s="160"/>
      <c r="AN470" s="160"/>
    </row>
    <row r="471" spans="3:40" x14ac:dyDescent="0.3">
      <c r="F471" s="210"/>
      <c r="H471" s="210"/>
      <c r="I471" s="210"/>
      <c r="J471" s="213"/>
      <c r="K471" s="213"/>
      <c r="L471" s="210"/>
      <c r="M471" s="210"/>
      <c r="N471" s="210"/>
      <c r="O471" s="210"/>
      <c r="P471" s="210"/>
      <c r="Q471" s="210"/>
      <c r="R471" s="210"/>
      <c r="V471" s="210"/>
      <c r="Y471" s="210"/>
      <c r="Z471" s="238"/>
      <c r="AA471" s="210"/>
      <c r="AB471" s="210"/>
      <c r="AC471" s="210"/>
      <c r="AD471" s="210"/>
      <c r="AE471" s="210"/>
      <c r="AF471" s="210"/>
      <c r="AI471" s="210"/>
      <c r="AJ471" s="210"/>
      <c r="AK471" s="214"/>
      <c r="AL471" s="210"/>
    </row>
    <row r="472" spans="3:40" x14ac:dyDescent="0.3">
      <c r="C472" s="42"/>
      <c r="F472" s="123"/>
      <c r="H472" s="123"/>
      <c r="I472" s="123"/>
      <c r="L472" s="123"/>
      <c r="M472" s="123"/>
      <c r="N472" s="236"/>
      <c r="O472" s="236"/>
      <c r="P472" s="123"/>
      <c r="Q472" s="123"/>
      <c r="R472" s="123"/>
      <c r="T472" s="42"/>
      <c r="V472" s="123"/>
      <c r="Y472" s="123"/>
      <c r="AA472" s="123"/>
      <c r="AB472" s="123"/>
      <c r="AC472" s="160"/>
      <c r="AD472" s="160"/>
      <c r="AE472" s="123"/>
      <c r="AF472" s="123"/>
      <c r="AH472" s="236"/>
      <c r="AI472" s="123"/>
      <c r="AJ472" s="123"/>
      <c r="AL472" s="123"/>
      <c r="AM472" s="160"/>
      <c r="AN472" s="160"/>
    </row>
    <row r="473" spans="3:40" x14ac:dyDescent="0.3">
      <c r="F473" s="210"/>
      <c r="H473" s="210"/>
      <c r="I473" s="210"/>
      <c r="J473" s="213"/>
      <c r="K473" s="213"/>
      <c r="L473" s="210"/>
      <c r="M473" s="210"/>
      <c r="N473" s="210"/>
      <c r="O473" s="210"/>
      <c r="P473" s="210"/>
      <c r="Q473" s="210"/>
      <c r="R473" s="210"/>
      <c r="V473" s="210"/>
      <c r="Y473" s="210"/>
      <c r="Z473" s="213"/>
      <c r="AA473" s="210"/>
      <c r="AB473" s="210"/>
      <c r="AC473" s="210"/>
      <c r="AD473" s="210"/>
      <c r="AE473" s="210"/>
      <c r="AF473" s="210"/>
      <c r="AI473" s="210"/>
      <c r="AJ473" s="210"/>
      <c r="AK473" s="214"/>
      <c r="AL473" s="210"/>
    </row>
    <row r="474" spans="3:40" x14ac:dyDescent="0.3">
      <c r="C474" s="42"/>
      <c r="T474" s="42"/>
    </row>
    <row r="475" spans="3:40" x14ac:dyDescent="0.3">
      <c r="C475" s="42"/>
      <c r="F475" s="184"/>
      <c r="H475" s="184"/>
      <c r="I475" s="184"/>
      <c r="J475" s="193"/>
      <c r="K475" s="193"/>
      <c r="L475" s="123"/>
      <c r="M475" s="123"/>
      <c r="N475" s="160"/>
      <c r="O475" s="160"/>
      <c r="P475" s="123"/>
      <c r="Q475" s="123"/>
      <c r="R475" s="123"/>
      <c r="T475" s="42"/>
      <c r="V475" s="123"/>
      <c r="Y475" s="123"/>
      <c r="Z475" s="193"/>
      <c r="AA475" s="123"/>
      <c r="AB475" s="123"/>
      <c r="AC475" s="160"/>
      <c r="AD475" s="160"/>
      <c r="AE475" s="123"/>
      <c r="AF475" s="123"/>
      <c r="AH475" s="236"/>
      <c r="AI475" s="123"/>
      <c r="AJ475" s="123"/>
      <c r="AL475" s="123"/>
      <c r="AM475" s="160"/>
      <c r="AN475" s="160"/>
    </row>
    <row r="476" spans="3:40" x14ac:dyDescent="0.3">
      <c r="C476" s="42"/>
      <c r="F476" s="184"/>
      <c r="H476" s="184"/>
      <c r="I476" s="184"/>
      <c r="J476" s="193"/>
      <c r="K476" s="193"/>
      <c r="L476" s="123"/>
      <c r="M476" s="123"/>
      <c r="N476" s="160"/>
      <c r="O476" s="160"/>
      <c r="P476" s="123"/>
      <c r="Q476" s="123"/>
      <c r="R476" s="123"/>
      <c r="T476" s="42"/>
      <c r="V476" s="123"/>
      <c r="Y476" s="123"/>
      <c r="Z476" s="193"/>
      <c r="AA476" s="123"/>
      <c r="AB476" s="123"/>
      <c r="AC476" s="160"/>
      <c r="AD476" s="160"/>
      <c r="AE476" s="123"/>
      <c r="AF476" s="123"/>
      <c r="AH476" s="236"/>
      <c r="AI476" s="123"/>
      <c r="AJ476" s="123"/>
      <c r="AL476" s="123"/>
      <c r="AM476" s="160"/>
      <c r="AN476" s="160"/>
    </row>
    <row r="477" spans="3:40" x14ac:dyDescent="0.3">
      <c r="F477" s="210"/>
      <c r="H477" s="123"/>
      <c r="I477" s="123"/>
      <c r="J477" s="213"/>
      <c r="K477" s="213"/>
      <c r="L477" s="210"/>
      <c r="M477" s="210"/>
      <c r="N477" s="210"/>
      <c r="O477" s="210"/>
      <c r="P477" s="210"/>
      <c r="Q477" s="210"/>
      <c r="R477" s="210"/>
      <c r="V477" s="210"/>
      <c r="Y477" s="123"/>
      <c r="Z477" s="213"/>
      <c r="AA477" s="210"/>
      <c r="AB477" s="210"/>
      <c r="AC477" s="210"/>
      <c r="AD477" s="210"/>
      <c r="AE477" s="210"/>
      <c r="AF477" s="210"/>
      <c r="AI477" s="210"/>
      <c r="AJ477" s="210"/>
      <c r="AK477" s="214"/>
      <c r="AL477" s="210"/>
    </row>
    <row r="478" spans="3:40" x14ac:dyDescent="0.3">
      <c r="F478" s="123"/>
      <c r="H478" s="123"/>
      <c r="I478" s="123"/>
      <c r="J478" s="213"/>
      <c r="K478" s="213"/>
      <c r="L478" s="123"/>
      <c r="M478" s="123"/>
      <c r="N478" s="123"/>
      <c r="O478" s="123"/>
      <c r="P478" s="123"/>
      <c r="Q478" s="123"/>
      <c r="R478" s="123"/>
      <c r="V478" s="123"/>
      <c r="Y478" s="123"/>
      <c r="Z478" s="213"/>
      <c r="AA478" s="123"/>
      <c r="AB478" s="123"/>
      <c r="AC478" s="123"/>
      <c r="AD478" s="123"/>
      <c r="AE478" s="123"/>
      <c r="AF478" s="123"/>
      <c r="AI478" s="123"/>
      <c r="AJ478" s="123"/>
      <c r="AL478" s="123"/>
    </row>
    <row r="479" spans="3:40" x14ac:dyDescent="0.3">
      <c r="C479" s="42"/>
      <c r="F479" s="123"/>
      <c r="H479" s="123"/>
      <c r="I479" s="123"/>
      <c r="L479" s="123"/>
      <c r="M479" s="123"/>
      <c r="N479" s="160"/>
      <c r="O479" s="160"/>
      <c r="P479" s="123"/>
      <c r="Q479" s="123"/>
      <c r="R479" s="123"/>
      <c r="T479" s="42"/>
      <c r="V479" s="123"/>
      <c r="Y479" s="123"/>
      <c r="AA479" s="123"/>
      <c r="AB479" s="123"/>
      <c r="AC479" s="160"/>
      <c r="AD479" s="160"/>
      <c r="AE479" s="123"/>
      <c r="AF479" s="123"/>
      <c r="AH479" s="236"/>
      <c r="AI479" s="184"/>
      <c r="AJ479" s="184"/>
      <c r="AL479" s="123"/>
      <c r="AM479" s="160"/>
      <c r="AN479" s="160"/>
    </row>
    <row r="480" spans="3:40" x14ac:dyDescent="0.3">
      <c r="F480" s="210"/>
      <c r="H480" s="210"/>
      <c r="I480" s="210"/>
      <c r="J480" s="213"/>
      <c r="K480" s="213"/>
      <c r="L480" s="210"/>
      <c r="M480" s="210"/>
      <c r="N480" s="210"/>
      <c r="O480" s="210"/>
      <c r="P480" s="210"/>
      <c r="Q480" s="210"/>
      <c r="R480" s="210"/>
      <c r="V480" s="210"/>
      <c r="Y480" s="210"/>
      <c r="Z480" s="213"/>
      <c r="AA480" s="210"/>
      <c r="AB480" s="210"/>
      <c r="AC480" s="210"/>
      <c r="AD480" s="210"/>
      <c r="AE480" s="210"/>
      <c r="AF480" s="210"/>
      <c r="AI480" s="210"/>
      <c r="AJ480" s="210"/>
      <c r="AK480" s="214"/>
      <c r="AL480" s="210"/>
    </row>
    <row r="482" spans="1:28" x14ac:dyDescent="0.3">
      <c r="A482" s="42"/>
      <c r="T482" s="42"/>
    </row>
    <row r="483" spans="1:28" x14ac:dyDescent="0.3">
      <c r="A483" s="42"/>
      <c r="T483" s="42"/>
    </row>
    <row r="484" spans="1:28" x14ac:dyDescent="0.3">
      <c r="A484" s="42"/>
      <c r="T484" s="42"/>
    </row>
    <row r="485" spans="1:28" x14ac:dyDescent="0.3">
      <c r="A485" s="42"/>
      <c r="T485" s="42"/>
    </row>
    <row r="486" spans="1:28" x14ac:dyDescent="0.3">
      <c r="A486" s="42"/>
      <c r="T486" s="42"/>
    </row>
    <row r="487" spans="1:28" x14ac:dyDescent="0.3">
      <c r="A487" s="42"/>
      <c r="T487" s="42"/>
    </row>
    <row r="488" spans="1:28" x14ac:dyDescent="0.3">
      <c r="A488" s="42"/>
      <c r="T488" s="42"/>
    </row>
    <row r="489" spans="1:28" x14ac:dyDescent="0.3">
      <c r="A489" s="42"/>
      <c r="T489" s="42"/>
    </row>
    <row r="490" spans="1:28" x14ac:dyDescent="0.3">
      <c r="A490" s="42"/>
      <c r="T490" s="42"/>
    </row>
    <row r="492" spans="1:28" x14ac:dyDescent="0.3">
      <c r="A492" s="42"/>
    </row>
    <row r="494" spans="1:28" x14ac:dyDescent="0.3">
      <c r="H494" s="42"/>
      <c r="I494" s="42"/>
      <c r="Y494" s="42"/>
    </row>
    <row r="496" spans="1:28" x14ac:dyDescent="0.3">
      <c r="L496" s="42"/>
      <c r="M496" s="42"/>
      <c r="AA496" s="42"/>
      <c r="AB496" s="42"/>
    </row>
    <row r="497" spans="1:40" x14ac:dyDescent="0.3">
      <c r="R497" s="42"/>
      <c r="AK497" s="206"/>
      <c r="AL497" s="42"/>
    </row>
    <row r="498" spans="1:40" x14ac:dyDescent="0.3">
      <c r="R498" s="42"/>
      <c r="AK498" s="206"/>
      <c r="AL498" s="42"/>
    </row>
    <row r="499" spans="1:40" x14ac:dyDescent="0.3">
      <c r="A499" s="42"/>
      <c r="R499" s="42"/>
      <c r="AK499" s="206"/>
      <c r="AL499" s="42"/>
    </row>
    <row r="500" spans="1:40" x14ac:dyDescent="0.3">
      <c r="L500" s="42"/>
      <c r="M500" s="42"/>
      <c r="AA500" s="42"/>
      <c r="AB500" s="42"/>
    </row>
    <row r="501" spans="1:40" x14ac:dyDescent="0.3">
      <c r="A501" s="135"/>
      <c r="B501" s="135"/>
      <c r="C501" s="135"/>
      <c r="D501" s="135"/>
      <c r="E501" s="135"/>
      <c r="F501" s="135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207"/>
      <c r="AH501" s="135"/>
      <c r="AI501" s="135"/>
      <c r="AJ501" s="135"/>
      <c r="AK501" s="207"/>
      <c r="AL501" s="135"/>
      <c r="AM501" s="135"/>
      <c r="AN501" s="135"/>
    </row>
    <row r="502" spans="1:40" x14ac:dyDescent="0.3">
      <c r="L502" s="44"/>
      <c r="M502" s="44"/>
      <c r="N502" s="44"/>
      <c r="O502" s="44"/>
      <c r="R502" s="44"/>
      <c r="AA502" s="44"/>
      <c r="AB502" s="44"/>
      <c r="AC502" s="44"/>
      <c r="AD502" s="44"/>
      <c r="AE502" s="44"/>
      <c r="AF502" s="44"/>
      <c r="AG502" s="168"/>
      <c r="AH502" s="44"/>
      <c r="AK502" s="168"/>
      <c r="AL502" s="44"/>
      <c r="AM502" s="44"/>
      <c r="AN502" s="44"/>
    </row>
    <row r="503" spans="1:40" x14ac:dyDescent="0.3">
      <c r="L503" s="44"/>
      <c r="M503" s="44"/>
      <c r="N503" s="44"/>
      <c r="O503" s="44"/>
      <c r="R503" s="44"/>
      <c r="Z503" s="44"/>
      <c r="AA503" s="44"/>
      <c r="AB503" s="44"/>
      <c r="AC503" s="44"/>
      <c r="AD503" s="44"/>
      <c r="AE503" s="44"/>
      <c r="AF503" s="44"/>
      <c r="AG503" s="168"/>
      <c r="AH503" s="44"/>
      <c r="AK503" s="168"/>
      <c r="AL503" s="44"/>
      <c r="AM503" s="44"/>
      <c r="AN503" s="44"/>
    </row>
    <row r="504" spans="1:40" x14ac:dyDescent="0.3">
      <c r="A504" s="44"/>
      <c r="C504" s="44"/>
      <c r="D504" s="44"/>
      <c r="E504" s="44"/>
      <c r="F504" s="44"/>
      <c r="J504" s="44"/>
      <c r="K504" s="44"/>
      <c r="L504" s="44"/>
      <c r="M504" s="44"/>
      <c r="N504" s="44"/>
      <c r="O504" s="44"/>
      <c r="P504" s="44"/>
      <c r="Q504" s="44"/>
      <c r="R504" s="44"/>
      <c r="T504" s="44"/>
      <c r="U504" s="44"/>
      <c r="V504" s="44"/>
      <c r="Z504" s="44"/>
      <c r="AA504" s="44"/>
      <c r="AB504" s="44"/>
      <c r="AC504" s="44"/>
      <c r="AD504" s="44"/>
      <c r="AE504" s="44"/>
      <c r="AF504" s="44"/>
      <c r="AG504" s="168"/>
      <c r="AH504" s="44"/>
      <c r="AI504" s="44"/>
      <c r="AJ504" s="44"/>
      <c r="AK504" s="168"/>
      <c r="AL504" s="44"/>
      <c r="AM504" s="44"/>
      <c r="AN504" s="44"/>
    </row>
    <row r="505" spans="1:40" x14ac:dyDescent="0.3">
      <c r="A505" s="44"/>
      <c r="C505" s="44"/>
      <c r="D505" s="44"/>
      <c r="E505" s="44"/>
      <c r="F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T505" s="44"/>
      <c r="U505" s="44"/>
      <c r="V505" s="44"/>
      <c r="Y505" s="44"/>
      <c r="Z505" s="44"/>
      <c r="AA505" s="44"/>
      <c r="AB505" s="44"/>
      <c r="AC505" s="44"/>
      <c r="AD505" s="44"/>
      <c r="AE505" s="44"/>
      <c r="AF505" s="44"/>
      <c r="AG505" s="168"/>
      <c r="AH505" s="44"/>
      <c r="AI505" s="44"/>
      <c r="AJ505" s="44"/>
      <c r="AK505" s="168"/>
      <c r="AL505" s="44"/>
      <c r="AM505" s="44"/>
      <c r="AN505" s="44"/>
    </row>
    <row r="506" spans="1:40" x14ac:dyDescent="0.3">
      <c r="C506" s="44"/>
      <c r="D506" s="44"/>
      <c r="E506" s="44"/>
      <c r="F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T506" s="44"/>
      <c r="U506" s="44"/>
      <c r="V506" s="44"/>
      <c r="Y506" s="44"/>
      <c r="Z506" s="44"/>
      <c r="AA506" s="44"/>
      <c r="AB506" s="44"/>
      <c r="AC506" s="44"/>
      <c r="AD506" s="44"/>
      <c r="AE506" s="44"/>
      <c r="AF506" s="44"/>
      <c r="AG506" s="168"/>
      <c r="AH506" s="44"/>
      <c r="AI506" s="44"/>
      <c r="AJ506" s="44"/>
      <c r="AK506" s="168"/>
      <c r="AL506" s="44"/>
      <c r="AM506" s="44"/>
      <c r="AN506" s="44"/>
    </row>
    <row r="507" spans="1:40" x14ac:dyDescent="0.3">
      <c r="A507" s="135"/>
      <c r="B507" s="135"/>
      <c r="C507" s="135"/>
      <c r="D507" s="135"/>
      <c r="E507" s="135"/>
      <c r="F507" s="135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207"/>
      <c r="AH507" s="135"/>
      <c r="AI507" s="135"/>
      <c r="AJ507" s="135"/>
      <c r="AK507" s="207"/>
      <c r="AL507" s="135"/>
      <c r="AM507" s="135"/>
      <c r="AN507" s="135"/>
    </row>
    <row r="508" spans="1:40" x14ac:dyDescent="0.3"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Y508" s="44"/>
      <c r="Z508" s="44"/>
      <c r="AA508" s="44"/>
      <c r="AB508" s="44"/>
      <c r="AC508" s="44"/>
      <c r="AD508" s="44"/>
      <c r="AE508" s="44"/>
      <c r="AF508" s="44"/>
      <c r="AG508" s="168"/>
      <c r="AH508" s="44"/>
      <c r="AI508" s="44"/>
      <c r="AJ508" s="44"/>
      <c r="AK508" s="168"/>
      <c r="AL508" s="44"/>
      <c r="AM508" s="44"/>
      <c r="AN508" s="44"/>
    </row>
    <row r="509" spans="1:40" x14ac:dyDescent="0.3">
      <c r="C509" s="42"/>
      <c r="D509" s="42"/>
      <c r="E509" s="42"/>
      <c r="T509" s="42"/>
      <c r="U509" s="42"/>
    </row>
    <row r="510" spans="1:40" x14ac:dyDescent="0.3">
      <c r="D510" s="42"/>
      <c r="E510" s="42"/>
      <c r="U510" s="42"/>
    </row>
    <row r="512" spans="1:40" x14ac:dyDescent="0.3">
      <c r="C512" s="42"/>
      <c r="F512" s="123"/>
      <c r="J512" s="209"/>
      <c r="K512" s="209"/>
      <c r="L512" s="123"/>
      <c r="M512" s="123"/>
      <c r="R512" s="123"/>
      <c r="T512" s="42"/>
      <c r="V512" s="123"/>
      <c r="Z512" s="209"/>
      <c r="AA512" s="123"/>
      <c r="AB512" s="123"/>
      <c r="AH512" s="123"/>
      <c r="AL512" s="123"/>
    </row>
    <row r="513" spans="3:40" x14ac:dyDescent="0.3">
      <c r="C513" s="42"/>
      <c r="F513" s="123"/>
      <c r="R513" s="123"/>
      <c r="T513" s="42"/>
      <c r="V513" s="123"/>
      <c r="AH513" s="123"/>
      <c r="AL513" s="123"/>
    </row>
    <row r="514" spans="3:40" x14ac:dyDescent="0.3">
      <c r="AI514" s="123"/>
      <c r="AJ514" s="123"/>
      <c r="AL514" s="123"/>
      <c r="AM514" s="160"/>
      <c r="AN514" s="160"/>
    </row>
    <row r="515" spans="3:40" x14ac:dyDescent="0.3">
      <c r="C515" s="42"/>
      <c r="F515" s="184"/>
      <c r="H515" s="184"/>
      <c r="I515" s="184"/>
      <c r="J515" s="237"/>
      <c r="K515" s="237"/>
      <c r="L515" s="123"/>
      <c r="M515" s="123"/>
      <c r="N515" s="160"/>
      <c r="O515" s="160"/>
      <c r="P515" s="123"/>
      <c r="Q515" s="123"/>
      <c r="R515" s="123"/>
      <c r="T515" s="42"/>
      <c r="V515" s="123"/>
      <c r="Y515" s="123"/>
      <c r="Z515" s="237"/>
      <c r="AA515" s="123"/>
      <c r="AB515" s="123"/>
      <c r="AC515" s="160"/>
      <c r="AD515" s="160"/>
      <c r="AE515" s="123"/>
      <c r="AF515" s="123"/>
      <c r="AH515" s="236"/>
      <c r="AI515" s="123"/>
      <c r="AJ515" s="123"/>
      <c r="AL515" s="123"/>
      <c r="AM515" s="160"/>
      <c r="AN515" s="160"/>
    </row>
    <row r="516" spans="3:40" x14ac:dyDescent="0.3">
      <c r="F516" s="123"/>
      <c r="H516" s="123"/>
      <c r="I516" s="123"/>
      <c r="J516" s="219"/>
      <c r="K516" s="219"/>
      <c r="L516" s="123"/>
      <c r="M516" s="123"/>
      <c r="P516" s="123"/>
      <c r="Q516" s="123"/>
      <c r="R516" s="123"/>
      <c r="V516" s="123"/>
      <c r="Y516" s="123"/>
      <c r="Z516" s="219"/>
      <c r="AA516" s="123"/>
      <c r="AB516" s="123"/>
      <c r="AI516" s="123"/>
      <c r="AJ516" s="123"/>
      <c r="AL516" s="123"/>
      <c r="AM516" s="160"/>
      <c r="AN516" s="160"/>
    </row>
    <row r="517" spans="3:40" x14ac:dyDescent="0.3">
      <c r="F517" s="123"/>
      <c r="R517" s="123"/>
      <c r="V517" s="123"/>
      <c r="AL517" s="123"/>
      <c r="AM517" s="160"/>
      <c r="AN517" s="160"/>
    </row>
    <row r="518" spans="3:40" x14ac:dyDescent="0.3">
      <c r="C518" s="42"/>
      <c r="F518" s="123"/>
      <c r="J518" s="209"/>
      <c r="K518" s="209"/>
      <c r="L518" s="123"/>
      <c r="M518" s="123"/>
      <c r="N518" s="160"/>
      <c r="O518" s="160"/>
      <c r="R518" s="123"/>
      <c r="T518" s="42"/>
      <c r="V518" s="123"/>
      <c r="Z518" s="209"/>
      <c r="AA518" s="123"/>
      <c r="AB518" s="123"/>
      <c r="AC518" s="160"/>
      <c r="AD518" s="160"/>
      <c r="AL518" s="123"/>
      <c r="AM518" s="160"/>
      <c r="AN518" s="160"/>
    </row>
    <row r="519" spans="3:40" x14ac:dyDescent="0.3">
      <c r="C519" s="42"/>
      <c r="F519" s="123"/>
      <c r="H519" s="123"/>
      <c r="I519" s="123"/>
      <c r="J519" s="209"/>
      <c r="K519" s="209"/>
      <c r="L519" s="123"/>
      <c r="M519" s="123"/>
      <c r="N519" s="160"/>
      <c r="O519" s="160"/>
      <c r="P519" s="123"/>
      <c r="Q519" s="123"/>
      <c r="R519" s="123"/>
      <c r="T519" s="42"/>
      <c r="V519" s="123"/>
      <c r="Y519" s="123"/>
      <c r="Z519" s="209"/>
      <c r="AA519" s="123"/>
      <c r="AB519" s="123"/>
      <c r="AC519" s="160"/>
      <c r="AD519" s="160"/>
      <c r="AI519" s="123"/>
      <c r="AJ519" s="123"/>
      <c r="AL519" s="123"/>
      <c r="AM519" s="160"/>
      <c r="AN519" s="160"/>
    </row>
    <row r="520" spans="3:40" x14ac:dyDescent="0.3">
      <c r="C520" s="42"/>
      <c r="T520" s="42"/>
      <c r="AM520" s="160"/>
      <c r="AN520" s="160"/>
    </row>
    <row r="521" spans="3:40" x14ac:dyDescent="0.3">
      <c r="C521" s="42"/>
      <c r="T521" s="42"/>
      <c r="AM521" s="160"/>
      <c r="AN521" s="160"/>
    </row>
    <row r="522" spans="3:40" x14ac:dyDescent="0.3">
      <c r="AM522" s="160"/>
      <c r="AN522" s="160"/>
    </row>
    <row r="523" spans="3:40" x14ac:dyDescent="0.3">
      <c r="C523" s="42"/>
      <c r="F523" s="184"/>
      <c r="H523" s="184"/>
      <c r="I523" s="184"/>
      <c r="J523" s="237"/>
      <c r="K523" s="237"/>
      <c r="L523" s="123"/>
      <c r="M523" s="123"/>
      <c r="N523" s="160"/>
      <c r="O523" s="160"/>
      <c r="P523" s="123"/>
      <c r="Q523" s="123"/>
      <c r="R523" s="123"/>
      <c r="T523" s="42"/>
      <c r="V523" s="123"/>
      <c r="Y523" s="123"/>
      <c r="Z523" s="237"/>
      <c r="AA523" s="123"/>
      <c r="AB523" s="123"/>
      <c r="AC523" s="160"/>
      <c r="AD523" s="160"/>
      <c r="AE523" s="123"/>
      <c r="AF523" s="123"/>
      <c r="AH523" s="236"/>
      <c r="AI523" s="123"/>
      <c r="AJ523" s="123"/>
      <c r="AL523" s="123"/>
      <c r="AM523" s="160"/>
      <c r="AN523" s="160"/>
    </row>
    <row r="524" spans="3:40" x14ac:dyDescent="0.3">
      <c r="F524" s="210"/>
      <c r="H524" s="210"/>
      <c r="I524" s="210"/>
      <c r="J524" s="213"/>
      <c r="K524" s="213"/>
      <c r="L524" s="210"/>
      <c r="M524" s="210"/>
      <c r="N524" s="210"/>
      <c r="O524" s="210"/>
      <c r="P524" s="210"/>
      <c r="Q524" s="210"/>
      <c r="R524" s="210"/>
      <c r="V524" s="210"/>
      <c r="Y524" s="210"/>
      <c r="Z524" s="213"/>
      <c r="AA524" s="210"/>
      <c r="AB524" s="210"/>
      <c r="AC524" s="210"/>
      <c r="AD524" s="210"/>
      <c r="AE524" s="210"/>
      <c r="AF524" s="210"/>
      <c r="AI524" s="210"/>
      <c r="AJ524" s="210"/>
      <c r="AK524" s="214"/>
      <c r="AL524" s="210"/>
      <c r="AM524" s="160"/>
      <c r="AN524" s="160"/>
    </row>
    <row r="525" spans="3:40" x14ac:dyDescent="0.3">
      <c r="H525" s="123"/>
      <c r="I525" s="123"/>
      <c r="Y525" s="123"/>
      <c r="AM525" s="160"/>
      <c r="AN525" s="160"/>
    </row>
    <row r="526" spans="3:40" x14ac:dyDescent="0.3">
      <c r="C526" s="42"/>
      <c r="F526" s="123"/>
      <c r="H526" s="123"/>
      <c r="I526" s="123"/>
      <c r="L526" s="123"/>
      <c r="M526" s="123"/>
      <c r="N526" s="160"/>
      <c r="O526" s="160"/>
      <c r="P526" s="184"/>
      <c r="Q526" s="184"/>
      <c r="R526" s="123"/>
      <c r="T526" s="42"/>
      <c r="V526" s="123"/>
      <c r="Y526" s="123"/>
      <c r="AA526" s="123"/>
      <c r="AB526" s="123"/>
      <c r="AC526" s="160"/>
      <c r="AD526" s="160"/>
      <c r="AE526" s="123"/>
      <c r="AF526" s="123"/>
      <c r="AH526" s="236"/>
      <c r="AI526" s="184"/>
      <c r="AJ526" s="184"/>
      <c r="AL526" s="123"/>
      <c r="AM526" s="160"/>
      <c r="AN526" s="160"/>
    </row>
    <row r="527" spans="3:40" x14ac:dyDescent="0.3">
      <c r="F527" s="210"/>
      <c r="H527" s="210"/>
      <c r="I527" s="210"/>
      <c r="J527" s="213"/>
      <c r="K527" s="213"/>
      <c r="L527" s="210"/>
      <c r="M527" s="210"/>
      <c r="N527" s="210"/>
      <c r="O527" s="210"/>
      <c r="P527" s="210"/>
      <c r="Q527" s="210"/>
      <c r="R527" s="210"/>
      <c r="V527" s="210"/>
      <c r="Y527" s="210"/>
      <c r="Z527" s="213"/>
      <c r="AA527" s="210"/>
      <c r="AB527" s="210"/>
      <c r="AC527" s="210"/>
      <c r="AD527" s="210"/>
      <c r="AE527" s="210"/>
      <c r="AF527" s="210"/>
      <c r="AI527" s="210"/>
      <c r="AJ527" s="210"/>
      <c r="AK527" s="214"/>
      <c r="AL527" s="210"/>
      <c r="AM527" s="160"/>
      <c r="AN527" s="160"/>
    </row>
    <row r="529" spans="1:40" x14ac:dyDescent="0.3">
      <c r="F529" s="123"/>
      <c r="H529" s="123"/>
      <c r="I529" s="123"/>
      <c r="J529" s="219"/>
      <c r="K529" s="219"/>
      <c r="L529" s="123"/>
      <c r="M529" s="123"/>
      <c r="N529" s="123"/>
      <c r="O529" s="123"/>
      <c r="P529" s="123"/>
      <c r="Q529" s="123"/>
      <c r="R529" s="123"/>
      <c r="V529" s="123"/>
      <c r="Y529" s="123"/>
      <c r="Z529" s="219"/>
      <c r="AA529" s="123"/>
      <c r="AB529" s="123"/>
      <c r="AC529" s="123"/>
      <c r="AD529" s="123"/>
      <c r="AE529" s="123"/>
      <c r="AF529" s="123"/>
      <c r="AH529" s="123"/>
      <c r="AI529" s="123"/>
      <c r="AJ529" s="123"/>
      <c r="AL529" s="123"/>
    </row>
    <row r="530" spans="1:40" x14ac:dyDescent="0.3">
      <c r="A530" s="42"/>
    </row>
    <row r="532" spans="1:40" x14ac:dyDescent="0.3">
      <c r="H532" s="42"/>
      <c r="I532" s="42"/>
      <c r="Y532" s="42"/>
    </row>
    <row r="534" spans="1:40" x14ac:dyDescent="0.3">
      <c r="L534" s="42"/>
      <c r="M534" s="42"/>
      <c r="AA534" s="42"/>
      <c r="AB534" s="42"/>
    </row>
    <row r="535" spans="1:40" x14ac:dyDescent="0.3">
      <c r="R535" s="42"/>
      <c r="AK535" s="206"/>
      <c r="AL535" s="42"/>
    </row>
    <row r="536" spans="1:40" x14ac:dyDescent="0.3">
      <c r="R536" s="42"/>
      <c r="AK536" s="206"/>
      <c r="AL536" s="42"/>
    </row>
    <row r="537" spans="1:40" x14ac:dyDescent="0.3">
      <c r="A537" s="42"/>
      <c r="R537" s="42"/>
      <c r="AK537" s="206"/>
      <c r="AL537" s="42"/>
    </row>
    <row r="538" spans="1:40" x14ac:dyDescent="0.3">
      <c r="L538" s="42"/>
      <c r="M538" s="42"/>
      <c r="AA538" s="42"/>
      <c r="AB538" s="42"/>
    </row>
    <row r="539" spans="1:40" x14ac:dyDescent="0.3">
      <c r="A539" s="135"/>
      <c r="B539" s="135"/>
      <c r="C539" s="135"/>
      <c r="D539" s="135"/>
      <c r="E539" s="135"/>
      <c r="F539" s="135"/>
      <c r="G539" s="135"/>
      <c r="H539" s="135"/>
      <c r="I539" s="135"/>
      <c r="J539" s="135"/>
      <c r="K539" s="135"/>
      <c r="L539" s="135"/>
      <c r="M539" s="135"/>
      <c r="N539" s="135"/>
      <c r="O539" s="135"/>
      <c r="P539" s="135"/>
      <c r="Q539" s="135"/>
      <c r="R539" s="135"/>
      <c r="T539" s="135"/>
      <c r="U539" s="135"/>
      <c r="V539" s="135"/>
      <c r="W539" s="135"/>
      <c r="X539" s="135"/>
      <c r="Y539" s="135"/>
      <c r="Z539" s="135"/>
      <c r="AA539" s="135"/>
      <c r="AB539" s="135"/>
      <c r="AC539" s="135"/>
      <c r="AD539" s="135"/>
      <c r="AE539" s="135"/>
      <c r="AF539" s="135"/>
      <c r="AG539" s="207"/>
      <c r="AH539" s="135"/>
      <c r="AI539" s="135"/>
      <c r="AJ539" s="135"/>
      <c r="AK539" s="207"/>
      <c r="AL539" s="135"/>
      <c r="AM539" s="135"/>
      <c r="AN539" s="135"/>
    </row>
    <row r="540" spans="1:40" x14ac:dyDescent="0.3">
      <c r="L540" s="44"/>
      <c r="M540" s="44"/>
      <c r="N540" s="44"/>
      <c r="O540" s="44"/>
      <c r="R540" s="44"/>
      <c r="AA540" s="44"/>
      <c r="AB540" s="44"/>
      <c r="AC540" s="44"/>
      <c r="AD540" s="44"/>
      <c r="AE540" s="44"/>
      <c r="AF540" s="44"/>
      <c r="AG540" s="168"/>
      <c r="AH540" s="44"/>
      <c r="AK540" s="168"/>
      <c r="AL540" s="44"/>
      <c r="AM540" s="44"/>
      <c r="AN540" s="44"/>
    </row>
    <row r="541" spans="1:40" x14ac:dyDescent="0.3">
      <c r="L541" s="44"/>
      <c r="M541" s="44"/>
      <c r="N541" s="44"/>
      <c r="O541" s="44"/>
      <c r="R541" s="44"/>
      <c r="Z541" s="44"/>
      <c r="AA541" s="44"/>
      <c r="AB541" s="44"/>
      <c r="AC541" s="44"/>
      <c r="AD541" s="44"/>
      <c r="AE541" s="44"/>
      <c r="AF541" s="44"/>
      <c r="AG541" s="168"/>
      <c r="AH541" s="44"/>
      <c r="AK541" s="168"/>
      <c r="AL541" s="44"/>
      <c r="AM541" s="44"/>
      <c r="AN541" s="44"/>
    </row>
    <row r="542" spans="1:40" x14ac:dyDescent="0.3">
      <c r="A542" s="44"/>
      <c r="C542" s="44"/>
      <c r="D542" s="44"/>
      <c r="E542" s="44"/>
      <c r="F542" s="44"/>
      <c r="J542" s="44"/>
      <c r="K542" s="44"/>
      <c r="L542" s="44"/>
      <c r="M542" s="44"/>
      <c r="N542" s="44"/>
      <c r="O542" s="44"/>
      <c r="P542" s="44"/>
      <c r="Q542" s="44"/>
      <c r="R542" s="44"/>
      <c r="T542" s="44"/>
      <c r="U542" s="44"/>
      <c r="V542" s="44"/>
      <c r="Z542" s="44"/>
      <c r="AA542" s="44"/>
      <c r="AB542" s="44"/>
      <c r="AC542" s="44"/>
      <c r="AD542" s="44"/>
      <c r="AE542" s="44"/>
      <c r="AF542" s="44"/>
      <c r="AG542" s="168"/>
      <c r="AH542" s="44"/>
      <c r="AI542" s="44"/>
      <c r="AJ542" s="44"/>
      <c r="AK542" s="168"/>
      <c r="AL542" s="44"/>
      <c r="AM542" s="44"/>
      <c r="AN542" s="44"/>
    </row>
    <row r="543" spans="1:40" x14ac:dyDescent="0.3">
      <c r="A543" s="44"/>
      <c r="C543" s="44"/>
      <c r="D543" s="44"/>
      <c r="E543" s="44"/>
      <c r="F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T543" s="44"/>
      <c r="U543" s="44"/>
      <c r="V543" s="44"/>
      <c r="Y543" s="44"/>
      <c r="Z543" s="44"/>
      <c r="AA543" s="44"/>
      <c r="AB543" s="44"/>
      <c r="AC543" s="44"/>
      <c r="AD543" s="44"/>
      <c r="AE543" s="44"/>
      <c r="AF543" s="44"/>
      <c r="AG543" s="168"/>
      <c r="AH543" s="44"/>
      <c r="AI543" s="44"/>
      <c r="AJ543" s="44"/>
      <c r="AK543" s="168"/>
      <c r="AL543" s="44"/>
      <c r="AM543" s="44"/>
      <c r="AN543" s="44"/>
    </row>
    <row r="544" spans="1:40" x14ac:dyDescent="0.3">
      <c r="C544" s="44"/>
      <c r="D544" s="44"/>
      <c r="E544" s="44"/>
      <c r="F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T544" s="44"/>
      <c r="U544" s="44"/>
      <c r="V544" s="44"/>
      <c r="Y544" s="44"/>
      <c r="Z544" s="44"/>
      <c r="AA544" s="44"/>
      <c r="AB544" s="44"/>
      <c r="AC544" s="44"/>
      <c r="AD544" s="44"/>
      <c r="AE544" s="44"/>
      <c r="AF544" s="44"/>
      <c r="AG544" s="168"/>
      <c r="AH544" s="44"/>
      <c r="AI544" s="44"/>
      <c r="AJ544" s="44"/>
      <c r="AK544" s="168"/>
      <c r="AL544" s="44"/>
      <c r="AM544" s="44"/>
      <c r="AN544" s="44"/>
    </row>
    <row r="545" spans="1:40" x14ac:dyDescent="0.3">
      <c r="A545" s="135"/>
      <c r="B545" s="135"/>
      <c r="C545" s="135"/>
      <c r="D545" s="135"/>
      <c r="E545" s="135"/>
      <c r="F545" s="135"/>
      <c r="G545" s="135"/>
      <c r="H545" s="135"/>
      <c r="I545" s="135"/>
      <c r="J545" s="135"/>
      <c r="K545" s="135"/>
      <c r="L545" s="135"/>
      <c r="M545" s="135"/>
      <c r="N545" s="135"/>
      <c r="O545" s="135"/>
      <c r="P545" s="135"/>
      <c r="Q545" s="135"/>
      <c r="R545" s="135"/>
      <c r="T545" s="135"/>
      <c r="U545" s="135"/>
      <c r="V545" s="135"/>
      <c r="W545" s="135"/>
      <c r="X545" s="135"/>
      <c r="Y545" s="135"/>
      <c r="Z545" s="135"/>
      <c r="AA545" s="135"/>
      <c r="AB545" s="135"/>
      <c r="AC545" s="135"/>
      <c r="AD545" s="135"/>
      <c r="AE545" s="135"/>
      <c r="AF545" s="135"/>
      <c r="AG545" s="207"/>
      <c r="AH545" s="135"/>
      <c r="AI545" s="135"/>
      <c r="AJ545" s="135"/>
      <c r="AK545" s="207"/>
      <c r="AL545" s="135"/>
      <c r="AM545" s="135"/>
      <c r="AN545" s="135"/>
    </row>
    <row r="546" spans="1:40" x14ac:dyDescent="0.3"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Y546" s="44"/>
      <c r="Z546" s="44"/>
      <c r="AA546" s="44"/>
      <c r="AB546" s="44"/>
      <c r="AC546" s="44"/>
      <c r="AD546" s="44"/>
      <c r="AE546" s="44"/>
      <c r="AF546" s="44"/>
      <c r="AG546" s="168"/>
      <c r="AH546" s="44"/>
      <c r="AI546" s="44"/>
      <c r="AJ546" s="44"/>
      <c r="AK546" s="168"/>
      <c r="AL546" s="44"/>
      <c r="AM546" s="44"/>
      <c r="AN546" s="44"/>
    </row>
    <row r="547" spans="1:40" x14ac:dyDescent="0.3">
      <c r="C547" s="42"/>
      <c r="D547" s="42"/>
      <c r="E547" s="42"/>
      <c r="T547" s="42"/>
      <c r="U547" s="42"/>
      <c r="V547" s="123"/>
      <c r="W547" s="123"/>
      <c r="X547" s="123"/>
      <c r="Y547" s="123"/>
      <c r="Z547" s="237"/>
    </row>
    <row r="549" spans="1:40" x14ac:dyDescent="0.3">
      <c r="C549" s="42"/>
      <c r="T549" s="42"/>
      <c r="V549" s="123"/>
      <c r="W549" s="123"/>
      <c r="X549" s="123"/>
      <c r="Y549" s="123"/>
      <c r="Z549" s="237"/>
    </row>
    <row r="550" spans="1:40" x14ac:dyDescent="0.3">
      <c r="C550" s="42"/>
      <c r="F550" s="184"/>
      <c r="H550" s="184"/>
      <c r="I550" s="184"/>
      <c r="J550" s="238"/>
      <c r="K550" s="238"/>
      <c r="L550" s="123"/>
      <c r="M550" s="123"/>
      <c r="N550" s="160"/>
      <c r="O550" s="160"/>
      <c r="P550" s="123"/>
      <c r="Q550" s="123"/>
      <c r="R550" s="123"/>
      <c r="T550" s="42"/>
      <c r="V550" s="123"/>
      <c r="W550" s="123"/>
      <c r="X550" s="123"/>
      <c r="Y550" s="123"/>
      <c r="Z550" s="238"/>
      <c r="AA550" s="123"/>
      <c r="AB550" s="123"/>
      <c r="AC550" s="160"/>
      <c r="AD550" s="160"/>
      <c r="AE550" s="123"/>
      <c r="AF550" s="123"/>
      <c r="AH550" s="236"/>
      <c r="AI550" s="123"/>
      <c r="AJ550" s="123"/>
      <c r="AL550" s="123"/>
      <c r="AM550" s="160"/>
      <c r="AN550" s="160"/>
    </row>
    <row r="551" spans="1:40" x14ac:dyDescent="0.3">
      <c r="C551" s="42"/>
      <c r="F551" s="184"/>
      <c r="H551" s="184"/>
      <c r="I551" s="184"/>
      <c r="J551" s="238"/>
      <c r="K551" s="238"/>
      <c r="L551" s="123"/>
      <c r="M551" s="123"/>
      <c r="N551" s="160"/>
      <c r="O551" s="160"/>
      <c r="P551" s="123"/>
      <c r="Q551" s="123"/>
      <c r="R551" s="123"/>
      <c r="T551" s="42"/>
      <c r="V551" s="123"/>
      <c r="W551" s="123"/>
      <c r="X551" s="123"/>
      <c r="Y551" s="123"/>
      <c r="Z551" s="238"/>
      <c r="AA551" s="123"/>
      <c r="AB551" s="123"/>
      <c r="AC551" s="160"/>
      <c r="AD551" s="160"/>
      <c r="AE551" s="123"/>
      <c r="AF551" s="123"/>
      <c r="AH551" s="236"/>
      <c r="AI551" s="123"/>
      <c r="AJ551" s="123"/>
      <c r="AL551" s="123"/>
      <c r="AM551" s="160"/>
      <c r="AN551" s="160"/>
    </row>
    <row r="552" spans="1:40" x14ac:dyDescent="0.3">
      <c r="C552" s="42"/>
      <c r="F552" s="184"/>
      <c r="H552" s="184"/>
      <c r="I552" s="184"/>
      <c r="J552" s="238"/>
      <c r="K552" s="238"/>
      <c r="L552" s="123"/>
      <c r="M552" s="123"/>
      <c r="N552" s="160"/>
      <c r="O552" s="160"/>
      <c r="P552" s="123"/>
      <c r="Q552" s="123"/>
      <c r="R552" s="123"/>
      <c r="T552" s="42"/>
      <c r="V552" s="123"/>
      <c r="W552" s="123"/>
      <c r="X552" s="123"/>
      <c r="Y552" s="123"/>
      <c r="Z552" s="238"/>
      <c r="AA552" s="123"/>
      <c r="AB552" s="123"/>
      <c r="AC552" s="160"/>
      <c r="AD552" s="160"/>
      <c r="AE552" s="123"/>
      <c r="AF552" s="123"/>
      <c r="AH552" s="236"/>
      <c r="AI552" s="123"/>
      <c r="AJ552" s="123"/>
      <c r="AL552" s="123"/>
      <c r="AM552" s="160"/>
      <c r="AN552" s="160"/>
    </row>
    <row r="553" spans="1:40" x14ac:dyDescent="0.3">
      <c r="C553" s="42"/>
      <c r="F553" s="184"/>
      <c r="H553" s="184"/>
      <c r="I553" s="184"/>
      <c r="J553" s="238"/>
      <c r="K553" s="238"/>
      <c r="L553" s="123"/>
      <c r="M553" s="123"/>
      <c r="N553" s="160"/>
      <c r="O553" s="160"/>
      <c r="P553" s="123"/>
      <c r="Q553" s="123"/>
      <c r="R553" s="123"/>
      <c r="T553" s="42"/>
      <c r="V553" s="123"/>
      <c r="W553" s="123"/>
      <c r="X553" s="123"/>
      <c r="Y553" s="123"/>
      <c r="Z553" s="238"/>
      <c r="AA553" s="123"/>
      <c r="AB553" s="123"/>
      <c r="AC553" s="160"/>
      <c r="AD553" s="160"/>
      <c r="AE553" s="123"/>
      <c r="AF553" s="123"/>
      <c r="AH553" s="236"/>
      <c r="AI553" s="123"/>
      <c r="AJ553" s="123"/>
      <c r="AL553" s="123"/>
      <c r="AM553" s="160"/>
      <c r="AN553" s="160"/>
    </row>
    <row r="554" spans="1:40" x14ac:dyDescent="0.3">
      <c r="J554" s="188"/>
      <c r="K554" s="188"/>
      <c r="V554" s="123"/>
      <c r="W554" s="123"/>
      <c r="X554" s="123"/>
      <c r="Y554" s="123"/>
      <c r="Z554" s="238"/>
    </row>
    <row r="555" spans="1:40" x14ac:dyDescent="0.3">
      <c r="C555" s="42"/>
      <c r="F555" s="184"/>
      <c r="H555" s="184"/>
      <c r="I555" s="184"/>
      <c r="J555" s="238"/>
      <c r="K555" s="238"/>
      <c r="L555" s="123"/>
      <c r="M555" s="123"/>
      <c r="N555" s="160"/>
      <c r="O555" s="160"/>
      <c r="P555" s="123"/>
      <c r="Q555" s="123"/>
      <c r="R555" s="123"/>
      <c r="T555" s="42"/>
      <c r="V555" s="123"/>
      <c r="W555" s="123"/>
      <c r="X555" s="123"/>
      <c r="Y555" s="123"/>
      <c r="Z555" s="238"/>
      <c r="AA555" s="123"/>
      <c r="AB555" s="123"/>
      <c r="AC555" s="160"/>
      <c r="AD555" s="160"/>
      <c r="AE555" s="123"/>
      <c r="AF555" s="123"/>
      <c r="AH555" s="236"/>
      <c r="AI555" s="123"/>
      <c r="AJ555" s="123"/>
      <c r="AL555" s="123"/>
      <c r="AM555" s="236"/>
      <c r="AN555" s="236"/>
    </row>
    <row r="556" spans="1:40" x14ac:dyDescent="0.3">
      <c r="C556" s="42"/>
      <c r="J556" s="188"/>
      <c r="K556" s="188"/>
      <c r="T556" s="42"/>
      <c r="V556" s="123"/>
      <c r="W556" s="123"/>
      <c r="X556" s="123"/>
      <c r="Y556" s="123"/>
      <c r="Z556" s="238"/>
    </row>
    <row r="557" spans="1:40" x14ac:dyDescent="0.3">
      <c r="C557" s="42"/>
      <c r="F557" s="184"/>
      <c r="H557" s="184"/>
      <c r="I557" s="184"/>
      <c r="J557" s="238"/>
      <c r="K557" s="238"/>
      <c r="L557" s="123"/>
      <c r="M557" s="123"/>
      <c r="N557" s="160"/>
      <c r="O557" s="160"/>
      <c r="P557" s="123"/>
      <c r="Q557" s="123"/>
      <c r="R557" s="123"/>
      <c r="T557" s="42"/>
      <c r="V557" s="123"/>
      <c r="W557" s="123"/>
      <c r="X557" s="123"/>
      <c r="Y557" s="123"/>
      <c r="Z557" s="238"/>
      <c r="AA557" s="123"/>
      <c r="AB557" s="123"/>
      <c r="AC557" s="160"/>
      <c r="AD557" s="160"/>
      <c r="AE557" s="123"/>
      <c r="AF557" s="123"/>
      <c r="AH557" s="236"/>
      <c r="AI557" s="123"/>
      <c r="AJ557" s="123"/>
      <c r="AL557" s="123"/>
      <c r="AM557" s="236"/>
      <c r="AN557" s="236"/>
    </row>
    <row r="558" spans="1:40" x14ac:dyDescent="0.3">
      <c r="J558" s="188"/>
      <c r="K558" s="188"/>
      <c r="Z558" s="188"/>
    </row>
    <row r="559" spans="1:40" x14ac:dyDescent="0.3">
      <c r="C559" s="42"/>
      <c r="J559" s="188"/>
      <c r="K559" s="188"/>
      <c r="T559" s="42"/>
      <c r="V559" s="123"/>
      <c r="W559" s="123"/>
      <c r="X559" s="123"/>
      <c r="Y559" s="123"/>
      <c r="Z559" s="238"/>
    </row>
    <row r="560" spans="1:40" x14ac:dyDescent="0.3">
      <c r="C560" s="42"/>
      <c r="F560" s="184"/>
      <c r="H560" s="184"/>
      <c r="I560" s="184"/>
      <c r="J560" s="238"/>
      <c r="K560" s="238"/>
      <c r="L560" s="123"/>
      <c r="M560" s="123"/>
      <c r="N560" s="160"/>
      <c r="O560" s="160"/>
      <c r="P560" s="123"/>
      <c r="Q560" s="123"/>
      <c r="R560" s="123"/>
      <c r="T560" s="42"/>
      <c r="V560" s="123"/>
      <c r="W560" s="123"/>
      <c r="X560" s="123"/>
      <c r="Y560" s="123"/>
      <c r="Z560" s="238"/>
      <c r="AA560" s="123"/>
      <c r="AB560" s="123"/>
      <c r="AC560" s="160"/>
      <c r="AD560" s="160"/>
      <c r="AE560" s="123"/>
      <c r="AF560" s="123"/>
      <c r="AH560" s="236"/>
      <c r="AI560" s="123"/>
      <c r="AJ560" s="123"/>
      <c r="AL560" s="123"/>
      <c r="AM560" s="236"/>
      <c r="AN560" s="236"/>
    </row>
    <row r="561" spans="1:40" x14ac:dyDescent="0.3">
      <c r="C561" s="42"/>
      <c r="F561" s="184"/>
      <c r="H561" s="184"/>
      <c r="I561" s="184"/>
      <c r="J561" s="238"/>
      <c r="K561" s="238"/>
      <c r="L561" s="123"/>
      <c r="M561" s="123"/>
      <c r="N561" s="160"/>
      <c r="O561" s="160"/>
      <c r="P561" s="123"/>
      <c r="Q561" s="123"/>
      <c r="R561" s="123"/>
      <c r="T561" s="42"/>
      <c r="V561" s="123"/>
      <c r="W561" s="123"/>
      <c r="X561" s="123"/>
      <c r="Y561" s="123"/>
      <c r="Z561" s="238"/>
      <c r="AA561" s="123"/>
      <c r="AB561" s="123"/>
      <c r="AC561" s="160"/>
      <c r="AD561" s="160"/>
      <c r="AE561" s="123"/>
      <c r="AF561" s="123"/>
      <c r="AH561" s="236"/>
      <c r="AI561" s="123"/>
      <c r="AJ561" s="123"/>
      <c r="AL561" s="123"/>
      <c r="AM561" s="236"/>
      <c r="AN561" s="236"/>
    </row>
    <row r="562" spans="1:40" x14ac:dyDescent="0.3">
      <c r="F562" s="210"/>
      <c r="H562" s="210"/>
      <c r="I562" s="210"/>
      <c r="J562" s="238"/>
      <c r="K562" s="238"/>
      <c r="L562" s="210"/>
      <c r="M562" s="210"/>
      <c r="N562" s="210"/>
      <c r="O562" s="210"/>
      <c r="P562" s="210"/>
      <c r="Q562" s="210"/>
      <c r="R562" s="210"/>
      <c r="V562" s="210"/>
      <c r="Y562" s="210"/>
      <c r="Z562" s="213"/>
      <c r="AA562" s="210"/>
      <c r="AB562" s="210"/>
      <c r="AC562" s="210"/>
      <c r="AD562" s="210"/>
      <c r="AE562" s="210"/>
      <c r="AF562" s="210"/>
      <c r="AI562" s="210"/>
      <c r="AJ562" s="210"/>
      <c r="AK562" s="214"/>
      <c r="AL562" s="210"/>
    </row>
    <row r="563" spans="1:40" x14ac:dyDescent="0.3">
      <c r="C563" s="42"/>
      <c r="F563" s="123"/>
      <c r="H563" s="123"/>
      <c r="I563" s="123"/>
      <c r="L563" s="123"/>
      <c r="M563" s="123"/>
      <c r="N563" s="160"/>
      <c r="O563" s="160"/>
      <c r="P563" s="184"/>
      <c r="Q563" s="184"/>
      <c r="R563" s="123"/>
      <c r="T563" s="42"/>
      <c r="V563" s="123"/>
      <c r="W563" s="123"/>
      <c r="X563" s="123"/>
      <c r="Y563" s="123"/>
      <c r="Z563" s="237"/>
      <c r="AA563" s="123"/>
      <c r="AB563" s="123"/>
      <c r="AC563" s="160"/>
      <c r="AD563" s="160"/>
      <c r="AE563" s="123"/>
      <c r="AF563" s="123"/>
      <c r="AH563" s="236"/>
      <c r="AI563" s="184"/>
      <c r="AJ563" s="184"/>
      <c r="AL563" s="123"/>
      <c r="AM563" s="236"/>
      <c r="AN563" s="236"/>
    </row>
    <row r="564" spans="1:40" x14ac:dyDescent="0.3">
      <c r="F564" s="210"/>
      <c r="H564" s="210"/>
      <c r="I564" s="210"/>
      <c r="J564" s="213"/>
      <c r="K564" s="213"/>
      <c r="L564" s="210"/>
      <c r="M564" s="210"/>
      <c r="N564" s="210"/>
      <c r="O564" s="210"/>
      <c r="P564" s="210"/>
      <c r="Q564" s="210"/>
      <c r="R564" s="210"/>
      <c r="V564" s="210"/>
      <c r="Y564" s="210"/>
      <c r="Z564" s="213"/>
      <c r="AA564" s="210"/>
      <c r="AB564" s="210"/>
      <c r="AC564" s="210"/>
      <c r="AD564" s="210"/>
      <c r="AE564" s="210"/>
      <c r="AF564" s="210"/>
      <c r="AI564" s="210"/>
      <c r="AJ564" s="210"/>
      <c r="AK564" s="214"/>
      <c r="AL564" s="210"/>
    </row>
    <row r="567" spans="1:40" x14ac:dyDescent="0.3">
      <c r="A567" s="42"/>
    </row>
    <row r="569" spans="1:40" x14ac:dyDescent="0.3">
      <c r="H569" s="42"/>
      <c r="I569" s="42"/>
      <c r="Y569" s="42"/>
    </row>
    <row r="571" spans="1:40" x14ac:dyDescent="0.3">
      <c r="L571" s="42"/>
      <c r="M571" s="42"/>
      <c r="AA571" s="42"/>
      <c r="AB571" s="42"/>
    </row>
    <row r="572" spans="1:40" x14ac:dyDescent="0.3">
      <c r="R572" s="42"/>
      <c r="AK572" s="206"/>
      <c r="AL572" s="42"/>
    </row>
    <row r="573" spans="1:40" x14ac:dyDescent="0.3">
      <c r="R573" s="42"/>
      <c r="AK573" s="206"/>
      <c r="AL573" s="42"/>
    </row>
    <row r="574" spans="1:40" x14ac:dyDescent="0.3">
      <c r="A574" s="42"/>
      <c r="R574" s="42"/>
      <c r="AK574" s="206"/>
      <c r="AL574" s="42"/>
    </row>
    <row r="575" spans="1:40" x14ac:dyDescent="0.3">
      <c r="L575" s="42"/>
      <c r="M575" s="42"/>
      <c r="AA575" s="42"/>
      <c r="AB575" s="42"/>
    </row>
    <row r="576" spans="1:40" x14ac:dyDescent="0.3">
      <c r="A576" s="135"/>
      <c r="B576" s="135"/>
      <c r="C576" s="135"/>
      <c r="D576" s="135"/>
      <c r="E576" s="135"/>
      <c r="F576" s="135"/>
      <c r="G576" s="135"/>
      <c r="H576" s="135"/>
      <c r="I576" s="135"/>
      <c r="J576" s="135"/>
      <c r="K576" s="135"/>
      <c r="L576" s="135"/>
      <c r="M576" s="135"/>
      <c r="N576" s="135"/>
      <c r="O576" s="135"/>
      <c r="P576" s="135"/>
      <c r="Q576" s="135"/>
      <c r="R576" s="135"/>
      <c r="T576" s="135"/>
      <c r="U576" s="135"/>
      <c r="V576" s="135"/>
      <c r="W576" s="135"/>
      <c r="X576" s="135"/>
      <c r="Y576" s="135"/>
      <c r="Z576" s="135"/>
      <c r="AA576" s="135"/>
      <c r="AB576" s="135"/>
      <c r="AC576" s="135"/>
      <c r="AD576" s="135"/>
      <c r="AE576" s="135"/>
      <c r="AF576" s="135"/>
      <c r="AG576" s="207"/>
      <c r="AH576" s="135"/>
      <c r="AI576" s="135"/>
      <c r="AJ576" s="135"/>
      <c r="AK576" s="207"/>
      <c r="AL576" s="135"/>
      <c r="AM576" s="135"/>
      <c r="AN576" s="135"/>
    </row>
    <row r="577" spans="1:40" x14ac:dyDescent="0.3">
      <c r="L577" s="44"/>
      <c r="M577" s="44"/>
      <c r="N577" s="44"/>
      <c r="O577" s="44"/>
      <c r="R577" s="44"/>
      <c r="AA577" s="44"/>
      <c r="AB577" s="44"/>
      <c r="AC577" s="44"/>
      <c r="AD577" s="44"/>
      <c r="AE577" s="44"/>
      <c r="AF577" s="44"/>
      <c r="AG577" s="168"/>
      <c r="AH577" s="44"/>
      <c r="AK577" s="168"/>
      <c r="AL577" s="44"/>
      <c r="AM577" s="44"/>
      <c r="AN577" s="44"/>
    </row>
    <row r="578" spans="1:40" x14ac:dyDescent="0.3">
      <c r="L578" s="44"/>
      <c r="M578" s="44"/>
      <c r="N578" s="44"/>
      <c r="O578" s="44"/>
      <c r="R578" s="44"/>
      <c r="Z578" s="44"/>
      <c r="AA578" s="44"/>
      <c r="AB578" s="44"/>
      <c r="AC578" s="44"/>
      <c r="AD578" s="44"/>
      <c r="AE578" s="44"/>
      <c r="AF578" s="44"/>
      <c r="AG578" s="168"/>
      <c r="AH578" s="44"/>
      <c r="AK578" s="168"/>
      <c r="AL578" s="44"/>
      <c r="AM578" s="44"/>
      <c r="AN578" s="44"/>
    </row>
    <row r="579" spans="1:40" x14ac:dyDescent="0.3">
      <c r="A579" s="44"/>
      <c r="C579" s="44"/>
      <c r="D579" s="44"/>
      <c r="E579" s="44"/>
      <c r="F579" s="44"/>
      <c r="J579" s="44"/>
      <c r="K579" s="44"/>
      <c r="L579" s="44"/>
      <c r="M579" s="44"/>
      <c r="N579" s="44"/>
      <c r="O579" s="44"/>
      <c r="P579" s="44"/>
      <c r="Q579" s="44"/>
      <c r="R579" s="44"/>
      <c r="T579" s="44"/>
      <c r="U579" s="44"/>
      <c r="V579" s="44"/>
      <c r="Z579" s="44"/>
      <c r="AA579" s="44"/>
      <c r="AB579" s="44"/>
      <c r="AC579" s="44"/>
      <c r="AD579" s="44"/>
      <c r="AE579" s="44"/>
      <c r="AF579" s="44"/>
      <c r="AG579" s="168"/>
      <c r="AH579" s="44"/>
      <c r="AI579" s="44"/>
      <c r="AJ579" s="44"/>
      <c r="AK579" s="168"/>
      <c r="AL579" s="44"/>
      <c r="AM579" s="44"/>
      <c r="AN579" s="44"/>
    </row>
    <row r="580" spans="1:40" x14ac:dyDescent="0.3">
      <c r="A580" s="44"/>
      <c r="C580" s="44"/>
      <c r="D580" s="44"/>
      <c r="E580" s="44"/>
      <c r="F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T580" s="44"/>
      <c r="U580" s="44"/>
      <c r="V580" s="44"/>
      <c r="Y580" s="44"/>
      <c r="Z580" s="44"/>
      <c r="AA580" s="44"/>
      <c r="AB580" s="44"/>
      <c r="AC580" s="44"/>
      <c r="AD580" s="44"/>
      <c r="AE580" s="44"/>
      <c r="AF580" s="44"/>
      <c r="AG580" s="168"/>
      <c r="AH580" s="44"/>
      <c r="AI580" s="44"/>
      <c r="AJ580" s="44"/>
      <c r="AK580" s="168"/>
      <c r="AL580" s="44"/>
      <c r="AM580" s="44"/>
      <c r="AN580" s="44"/>
    </row>
    <row r="581" spans="1:40" x14ac:dyDescent="0.3">
      <c r="C581" s="44"/>
      <c r="D581" s="44"/>
      <c r="E581" s="44"/>
      <c r="F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T581" s="44"/>
      <c r="U581" s="44"/>
      <c r="V581" s="44"/>
      <c r="Y581" s="44"/>
      <c r="Z581" s="44"/>
      <c r="AA581" s="44"/>
      <c r="AB581" s="44"/>
      <c r="AC581" s="44"/>
      <c r="AD581" s="44"/>
      <c r="AE581" s="44"/>
      <c r="AF581" s="44"/>
      <c r="AG581" s="168"/>
      <c r="AH581" s="44"/>
      <c r="AI581" s="44"/>
      <c r="AJ581" s="44"/>
      <c r="AK581" s="168"/>
      <c r="AL581" s="44"/>
      <c r="AM581" s="44"/>
      <c r="AN581" s="44"/>
    </row>
    <row r="582" spans="1:40" x14ac:dyDescent="0.3">
      <c r="A582" s="135"/>
      <c r="B582" s="135"/>
      <c r="C582" s="135"/>
      <c r="D582" s="135"/>
      <c r="E582" s="135"/>
      <c r="F582" s="135"/>
      <c r="G582" s="135"/>
      <c r="H582" s="135"/>
      <c r="I582" s="135"/>
      <c r="J582" s="135"/>
      <c r="K582" s="135"/>
      <c r="L582" s="135"/>
      <c r="M582" s="135"/>
      <c r="N582" s="135"/>
      <c r="O582" s="135"/>
      <c r="P582" s="135"/>
      <c r="Q582" s="135"/>
      <c r="R582" s="135"/>
      <c r="T582" s="135"/>
      <c r="U582" s="135"/>
      <c r="V582" s="135"/>
      <c r="W582" s="135"/>
      <c r="X582" s="135"/>
      <c r="Y582" s="135"/>
      <c r="Z582" s="135"/>
      <c r="AA582" s="135"/>
      <c r="AB582" s="135"/>
      <c r="AC582" s="135"/>
      <c r="AD582" s="135"/>
      <c r="AE582" s="135"/>
      <c r="AF582" s="135"/>
      <c r="AG582" s="207"/>
      <c r="AH582" s="135"/>
      <c r="AI582" s="135"/>
      <c r="AJ582" s="135"/>
      <c r="AK582" s="207"/>
      <c r="AL582" s="135"/>
      <c r="AM582" s="135"/>
      <c r="AN582" s="135"/>
    </row>
    <row r="583" spans="1:40" x14ac:dyDescent="0.3"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Y583" s="44"/>
      <c r="Z583" s="44"/>
      <c r="AA583" s="44"/>
      <c r="AB583" s="44"/>
      <c r="AC583" s="44"/>
      <c r="AD583" s="44"/>
      <c r="AE583" s="44"/>
      <c r="AF583" s="44"/>
      <c r="AG583" s="168"/>
      <c r="AH583" s="44"/>
      <c r="AI583" s="44"/>
      <c r="AJ583" s="44"/>
      <c r="AK583" s="168"/>
      <c r="AL583" s="44"/>
      <c r="AM583" s="44"/>
      <c r="AN583" s="44"/>
    </row>
    <row r="584" spans="1:40" x14ac:dyDescent="0.3">
      <c r="C584" s="42"/>
      <c r="D584" s="42"/>
      <c r="E584" s="42"/>
      <c r="T584" s="42"/>
      <c r="U584" s="42"/>
    </row>
    <row r="586" spans="1:40" x14ac:dyDescent="0.3">
      <c r="C586" s="42"/>
      <c r="T586" s="42"/>
    </row>
    <row r="587" spans="1:40" x14ac:dyDescent="0.3">
      <c r="C587" s="42"/>
      <c r="T587" s="42"/>
    </row>
    <row r="588" spans="1:40" x14ac:dyDescent="0.3">
      <c r="C588" s="42"/>
      <c r="F588" s="184"/>
      <c r="H588" s="184"/>
      <c r="I588" s="184"/>
      <c r="J588" s="238"/>
      <c r="K588" s="238"/>
      <c r="L588" s="123"/>
      <c r="M588" s="123"/>
      <c r="N588" s="160"/>
      <c r="O588" s="160"/>
      <c r="P588" s="123"/>
      <c r="Q588" s="123"/>
      <c r="R588" s="123"/>
      <c r="T588" s="42"/>
      <c r="V588" s="123"/>
      <c r="W588" s="123"/>
      <c r="X588" s="123"/>
      <c r="Y588" s="123"/>
      <c r="Z588" s="238"/>
      <c r="AA588" s="123"/>
      <c r="AB588" s="123"/>
      <c r="AC588" s="160"/>
      <c r="AD588" s="160"/>
      <c r="AE588" s="123"/>
      <c r="AF588" s="123"/>
      <c r="AH588" s="236"/>
      <c r="AI588" s="123"/>
      <c r="AJ588" s="123"/>
      <c r="AL588" s="123"/>
      <c r="AM588" s="236"/>
      <c r="AN588" s="236"/>
    </row>
    <row r="589" spans="1:40" x14ac:dyDescent="0.3">
      <c r="C589" s="42"/>
      <c r="F589" s="123"/>
      <c r="H589" s="123"/>
      <c r="I589" s="123"/>
      <c r="J589" s="188"/>
      <c r="K589" s="188"/>
      <c r="L589" s="123"/>
      <c r="M589" s="123"/>
      <c r="N589" s="160"/>
      <c r="O589" s="160"/>
      <c r="P589" s="123"/>
      <c r="Q589" s="123"/>
      <c r="R589" s="123"/>
      <c r="T589" s="42"/>
      <c r="V589" s="123"/>
      <c r="W589" s="123"/>
      <c r="X589" s="123"/>
      <c r="Y589" s="123"/>
      <c r="Z589" s="188"/>
      <c r="AA589" s="123"/>
      <c r="AB589" s="123"/>
      <c r="AC589" s="160"/>
      <c r="AD589" s="160"/>
      <c r="AE589" s="123"/>
      <c r="AF589" s="123"/>
      <c r="AH589" s="236"/>
      <c r="AI589" s="123"/>
      <c r="AJ589" s="123"/>
      <c r="AL589" s="123"/>
      <c r="AM589" s="236"/>
      <c r="AN589" s="236"/>
    </row>
    <row r="590" spans="1:40" x14ac:dyDescent="0.3">
      <c r="C590" s="42"/>
      <c r="F590" s="123"/>
      <c r="H590" s="123"/>
      <c r="I590" s="123"/>
      <c r="J590" s="188"/>
      <c r="K590" s="188"/>
      <c r="L590" s="123"/>
      <c r="M590" s="123"/>
      <c r="N590" s="160"/>
      <c r="O590" s="160"/>
      <c r="P590" s="123"/>
      <c r="Q590" s="123"/>
      <c r="R590" s="123"/>
      <c r="T590" s="42"/>
      <c r="V590" s="123"/>
      <c r="W590" s="123"/>
      <c r="X590" s="123"/>
      <c r="Y590" s="123"/>
      <c r="Z590" s="188"/>
      <c r="AA590" s="123"/>
      <c r="AB590" s="123"/>
      <c r="AC590" s="160"/>
      <c r="AD590" s="160"/>
      <c r="AE590" s="123"/>
      <c r="AF590" s="123"/>
      <c r="AH590" s="236"/>
      <c r="AI590" s="123"/>
      <c r="AJ590" s="123"/>
      <c r="AL590" s="123"/>
      <c r="AM590" s="236"/>
      <c r="AN590" s="236"/>
    </row>
    <row r="591" spans="1:40" x14ac:dyDescent="0.3">
      <c r="C591" s="42"/>
      <c r="F591" s="123"/>
      <c r="H591" s="123"/>
      <c r="I591" s="123"/>
      <c r="J591" s="188"/>
      <c r="K591" s="188"/>
      <c r="T591" s="42"/>
      <c r="V591" s="123"/>
      <c r="Z591" s="188"/>
    </row>
    <row r="592" spans="1:40" x14ac:dyDescent="0.3">
      <c r="C592" s="42"/>
      <c r="F592" s="184"/>
      <c r="H592" s="184"/>
      <c r="I592" s="184"/>
      <c r="J592" s="238"/>
      <c r="K592" s="238"/>
      <c r="L592" s="123"/>
      <c r="M592" s="123"/>
      <c r="N592" s="160"/>
      <c r="O592" s="160"/>
      <c r="P592" s="123"/>
      <c r="Q592" s="123"/>
      <c r="R592" s="123"/>
      <c r="T592" s="42"/>
      <c r="V592" s="123"/>
      <c r="W592" s="123"/>
      <c r="X592" s="123"/>
      <c r="Y592" s="123"/>
      <c r="Z592" s="238"/>
      <c r="AA592" s="123"/>
      <c r="AB592" s="123"/>
      <c r="AC592" s="160"/>
      <c r="AD592" s="160"/>
      <c r="AE592" s="123"/>
      <c r="AF592" s="123"/>
      <c r="AH592" s="236"/>
      <c r="AI592" s="123"/>
      <c r="AJ592" s="123"/>
      <c r="AL592" s="123"/>
      <c r="AM592" s="236"/>
      <c r="AN592" s="236"/>
    </row>
    <row r="593" spans="3:40" x14ac:dyDescent="0.3">
      <c r="C593" s="42"/>
      <c r="F593" s="123"/>
      <c r="H593" s="123"/>
      <c r="I593" s="123"/>
      <c r="J593" s="188"/>
      <c r="K593" s="188"/>
      <c r="T593" s="42"/>
      <c r="V593" s="123"/>
      <c r="W593" s="123"/>
      <c r="X593" s="123"/>
      <c r="Y593" s="123"/>
      <c r="Z593" s="188"/>
      <c r="AC593" s="160"/>
      <c r="AD593" s="160"/>
      <c r="AE593" s="123"/>
      <c r="AF593" s="123"/>
      <c r="AH593" s="236"/>
      <c r="AI593" s="123"/>
      <c r="AJ593" s="123"/>
      <c r="AL593" s="123"/>
      <c r="AM593" s="236"/>
      <c r="AN593" s="236"/>
    </row>
    <row r="594" spans="3:40" x14ac:dyDescent="0.3">
      <c r="C594" s="42"/>
      <c r="F594" s="184"/>
      <c r="H594" s="184"/>
      <c r="I594" s="184"/>
      <c r="J594" s="238"/>
      <c r="K594" s="238"/>
      <c r="L594" s="123"/>
      <c r="M594" s="123"/>
      <c r="N594" s="160"/>
      <c r="O594" s="160"/>
      <c r="P594" s="123"/>
      <c r="Q594" s="123"/>
      <c r="R594" s="123"/>
      <c r="T594" s="42"/>
      <c r="V594" s="123"/>
      <c r="W594" s="123"/>
      <c r="X594" s="123"/>
      <c r="Y594" s="123"/>
      <c r="Z594" s="238"/>
      <c r="AA594" s="123"/>
      <c r="AB594" s="123"/>
      <c r="AC594" s="160"/>
      <c r="AD594" s="160"/>
      <c r="AE594" s="123"/>
      <c r="AF594" s="123"/>
      <c r="AH594" s="236"/>
      <c r="AI594" s="123"/>
      <c r="AJ594" s="123"/>
      <c r="AL594" s="123"/>
      <c r="AM594" s="236"/>
      <c r="AN594" s="236"/>
    </row>
    <row r="595" spans="3:40" x14ac:dyDescent="0.3">
      <c r="C595" s="42"/>
      <c r="F595" s="123"/>
      <c r="H595" s="123"/>
      <c r="I595" s="123"/>
      <c r="J595" s="188"/>
      <c r="K595" s="188"/>
      <c r="L595" s="123"/>
      <c r="M595" s="123"/>
      <c r="N595" s="160"/>
      <c r="O595" s="160"/>
      <c r="P595" s="123"/>
      <c r="Q595" s="123"/>
      <c r="R595" s="123"/>
      <c r="T595" s="42"/>
      <c r="V595" s="123"/>
      <c r="W595" s="123"/>
      <c r="X595" s="123"/>
      <c r="Y595" s="123"/>
      <c r="Z595" s="188"/>
      <c r="AA595" s="123"/>
      <c r="AB595" s="123"/>
      <c r="AC595" s="160"/>
      <c r="AD595" s="160"/>
      <c r="AE595" s="123"/>
      <c r="AF595" s="123"/>
      <c r="AH595" s="236"/>
      <c r="AI595" s="123"/>
      <c r="AJ595" s="123"/>
      <c r="AL595" s="123"/>
      <c r="AM595" s="236"/>
      <c r="AN595" s="236"/>
    </row>
    <row r="596" spans="3:40" x14ac:dyDescent="0.3">
      <c r="F596" s="123"/>
      <c r="H596" s="123"/>
      <c r="I596" s="123"/>
      <c r="J596" s="188"/>
      <c r="K596" s="188"/>
      <c r="Z596" s="188"/>
    </row>
    <row r="597" spans="3:40" x14ac:dyDescent="0.3">
      <c r="C597" s="42"/>
      <c r="F597" s="123"/>
      <c r="H597" s="184"/>
      <c r="I597" s="184"/>
      <c r="J597" s="238"/>
      <c r="K597" s="238"/>
      <c r="L597" s="123"/>
      <c r="M597" s="123"/>
      <c r="N597" s="160"/>
      <c r="O597" s="160"/>
      <c r="P597" s="123"/>
      <c r="Q597" s="123"/>
      <c r="R597" s="123"/>
      <c r="T597" s="42"/>
      <c r="V597" s="123"/>
      <c r="W597" s="123"/>
      <c r="X597" s="123"/>
      <c r="Y597" s="123"/>
      <c r="Z597" s="238"/>
      <c r="AA597" s="123"/>
      <c r="AB597" s="123"/>
      <c r="AC597" s="160"/>
      <c r="AD597" s="160"/>
      <c r="AE597" s="123"/>
      <c r="AF597" s="123"/>
      <c r="AH597" s="236"/>
      <c r="AI597" s="123"/>
      <c r="AJ597" s="123"/>
      <c r="AL597" s="123"/>
      <c r="AM597" s="236"/>
      <c r="AN597" s="236"/>
    </row>
    <row r="598" spans="3:40" x14ac:dyDescent="0.3">
      <c r="F598" s="210"/>
      <c r="H598" s="210"/>
      <c r="I598" s="210"/>
      <c r="J598" s="238"/>
      <c r="K598" s="238"/>
      <c r="L598" s="210"/>
      <c r="M598" s="210"/>
      <c r="N598" s="210"/>
      <c r="O598" s="210"/>
      <c r="P598" s="210"/>
      <c r="Q598" s="210"/>
      <c r="R598" s="210"/>
      <c r="V598" s="210"/>
      <c r="Y598" s="210"/>
      <c r="Z598" s="238"/>
      <c r="AA598" s="210"/>
      <c r="AB598" s="210"/>
      <c r="AC598" s="210"/>
      <c r="AD598" s="210"/>
      <c r="AE598" s="210"/>
      <c r="AF598" s="210"/>
      <c r="AI598" s="210"/>
      <c r="AJ598" s="210"/>
      <c r="AK598" s="214"/>
      <c r="AL598" s="210"/>
    </row>
    <row r="599" spans="3:40" x14ac:dyDescent="0.3">
      <c r="C599" s="42"/>
      <c r="F599" s="123"/>
      <c r="H599" s="123"/>
      <c r="I599" s="123"/>
      <c r="J599" s="188"/>
      <c r="K599" s="188"/>
      <c r="L599" s="123"/>
      <c r="M599" s="123"/>
      <c r="P599" s="123"/>
      <c r="Q599" s="123"/>
      <c r="R599" s="123"/>
      <c r="T599" s="42"/>
      <c r="V599" s="123"/>
      <c r="Y599" s="123"/>
      <c r="Z599" s="188"/>
      <c r="AA599" s="123"/>
      <c r="AB599" s="123"/>
      <c r="AC599" s="236"/>
      <c r="AD599" s="236"/>
      <c r="AE599" s="123"/>
      <c r="AF599" s="123"/>
      <c r="AH599" s="236"/>
      <c r="AI599" s="123"/>
      <c r="AJ599" s="123"/>
      <c r="AL599" s="123"/>
      <c r="AM599" s="236"/>
      <c r="AN599" s="236"/>
    </row>
    <row r="600" spans="3:40" x14ac:dyDescent="0.3">
      <c r="F600" s="210"/>
      <c r="H600" s="210"/>
      <c r="I600" s="210"/>
      <c r="J600" s="238"/>
      <c r="K600" s="238"/>
      <c r="L600" s="210"/>
      <c r="M600" s="210"/>
      <c r="N600" s="210"/>
      <c r="O600" s="210"/>
      <c r="P600" s="210"/>
      <c r="Q600" s="210"/>
      <c r="R600" s="210"/>
      <c r="V600" s="210"/>
      <c r="Y600" s="210"/>
      <c r="Z600" s="238"/>
      <c r="AA600" s="210"/>
      <c r="AB600" s="210"/>
      <c r="AC600" s="210"/>
      <c r="AD600" s="210"/>
      <c r="AE600" s="210"/>
      <c r="AF600" s="210"/>
      <c r="AI600" s="210"/>
      <c r="AJ600" s="210"/>
      <c r="AK600" s="214"/>
      <c r="AL600" s="210"/>
    </row>
    <row r="601" spans="3:40" x14ac:dyDescent="0.3">
      <c r="J601" s="188"/>
      <c r="K601" s="188"/>
      <c r="Z601" s="188"/>
    </row>
    <row r="602" spans="3:40" x14ac:dyDescent="0.3">
      <c r="C602" s="42"/>
      <c r="J602" s="188"/>
      <c r="K602" s="188"/>
      <c r="T602" s="42"/>
      <c r="Z602" s="188"/>
    </row>
    <row r="603" spans="3:40" x14ac:dyDescent="0.3">
      <c r="C603" s="42"/>
      <c r="J603" s="188"/>
      <c r="K603" s="188"/>
      <c r="T603" s="42"/>
      <c r="Z603" s="188"/>
    </row>
    <row r="604" spans="3:40" x14ac:dyDescent="0.3">
      <c r="C604" s="42"/>
      <c r="F604" s="184"/>
      <c r="H604" s="184"/>
      <c r="I604" s="184"/>
      <c r="J604" s="238"/>
      <c r="K604" s="238"/>
      <c r="L604" s="123"/>
      <c r="M604" s="123"/>
      <c r="N604" s="160"/>
      <c r="O604" s="160"/>
      <c r="P604" s="123"/>
      <c r="Q604" s="123"/>
      <c r="R604" s="123"/>
      <c r="T604" s="42"/>
      <c r="V604" s="123"/>
      <c r="W604" s="123"/>
      <c r="X604" s="123"/>
      <c r="Y604" s="123"/>
      <c r="Z604" s="238"/>
      <c r="AA604" s="123"/>
      <c r="AB604" s="123"/>
      <c r="AC604" s="160"/>
      <c r="AD604" s="160"/>
      <c r="AE604" s="123"/>
      <c r="AF604" s="123"/>
      <c r="AH604" s="236"/>
      <c r="AI604" s="123"/>
      <c r="AJ604" s="123"/>
      <c r="AL604" s="123"/>
      <c r="AM604" s="236"/>
      <c r="AN604" s="236"/>
    </row>
    <row r="605" spans="3:40" x14ac:dyDescent="0.3">
      <c r="C605" s="42"/>
      <c r="J605" s="188"/>
      <c r="K605" s="188"/>
      <c r="T605" s="42"/>
      <c r="Z605" s="188"/>
    </row>
    <row r="606" spans="3:40" x14ac:dyDescent="0.3">
      <c r="C606" s="42"/>
      <c r="F606" s="184"/>
      <c r="H606" s="184"/>
      <c r="I606" s="184"/>
      <c r="J606" s="238"/>
      <c r="K606" s="238"/>
      <c r="L606" s="123"/>
      <c r="M606" s="123"/>
      <c r="N606" s="160"/>
      <c r="O606" s="160"/>
      <c r="P606" s="123"/>
      <c r="Q606" s="123"/>
      <c r="R606" s="123"/>
      <c r="T606" s="42"/>
      <c r="V606" s="123"/>
      <c r="W606" s="123"/>
      <c r="X606" s="123"/>
      <c r="Y606" s="123"/>
      <c r="Z606" s="238"/>
      <c r="AA606" s="123"/>
      <c r="AB606" s="123"/>
      <c r="AC606" s="160"/>
      <c r="AD606" s="160"/>
      <c r="AE606" s="123"/>
      <c r="AF606" s="123"/>
      <c r="AH606" s="236"/>
      <c r="AI606" s="123"/>
      <c r="AJ606" s="123"/>
      <c r="AL606" s="123"/>
      <c r="AM606" s="236"/>
      <c r="AN606" s="236"/>
    </row>
    <row r="607" spans="3:40" x14ac:dyDescent="0.3">
      <c r="F607" s="210"/>
      <c r="H607" s="210"/>
      <c r="I607" s="210"/>
      <c r="J607" s="238"/>
      <c r="K607" s="238"/>
      <c r="L607" s="210"/>
      <c r="M607" s="210"/>
      <c r="N607" s="210"/>
      <c r="O607" s="210"/>
      <c r="P607" s="210"/>
      <c r="Q607" s="210"/>
      <c r="R607" s="210"/>
      <c r="V607" s="210"/>
      <c r="Y607" s="210"/>
      <c r="Z607" s="238"/>
      <c r="AA607" s="210"/>
      <c r="AB607" s="210"/>
      <c r="AC607" s="210"/>
      <c r="AD607" s="210"/>
      <c r="AE607" s="210"/>
      <c r="AF607" s="210"/>
      <c r="AI607" s="210"/>
      <c r="AJ607" s="210"/>
      <c r="AK607" s="214"/>
      <c r="AL607" s="210"/>
    </row>
    <row r="608" spans="3:40" x14ac:dyDescent="0.3">
      <c r="C608" s="42"/>
      <c r="F608" s="123"/>
      <c r="H608" s="123"/>
      <c r="I608" s="123"/>
      <c r="J608" s="188"/>
      <c r="K608" s="188"/>
      <c r="L608" s="123"/>
      <c r="M608" s="123"/>
      <c r="N608" s="236"/>
      <c r="O608" s="236"/>
      <c r="P608" s="123"/>
      <c r="Q608" s="123"/>
      <c r="R608" s="123"/>
      <c r="T608" s="42"/>
      <c r="V608" s="123"/>
      <c r="Y608" s="123"/>
      <c r="Z608" s="188"/>
      <c r="AA608" s="123"/>
      <c r="AB608" s="123"/>
      <c r="AC608" s="236"/>
      <c r="AD608" s="236"/>
      <c r="AE608" s="123"/>
      <c r="AF608" s="123"/>
      <c r="AH608" s="236"/>
      <c r="AI608" s="123"/>
      <c r="AJ608" s="123"/>
      <c r="AL608" s="123"/>
      <c r="AM608" s="236"/>
      <c r="AN608" s="236"/>
    </row>
    <row r="609" spans="1:40" x14ac:dyDescent="0.3">
      <c r="F609" s="210"/>
      <c r="H609" s="210"/>
      <c r="I609" s="210"/>
      <c r="J609" s="238"/>
      <c r="K609" s="238"/>
      <c r="L609" s="210"/>
      <c r="M609" s="210"/>
      <c r="N609" s="210"/>
      <c r="O609" s="210"/>
      <c r="P609" s="210"/>
      <c r="Q609" s="210"/>
      <c r="R609" s="210"/>
      <c r="V609" s="210"/>
      <c r="Y609" s="210"/>
      <c r="Z609" s="213"/>
      <c r="AA609" s="210"/>
      <c r="AB609" s="210"/>
      <c r="AC609" s="210"/>
      <c r="AD609" s="210"/>
      <c r="AE609" s="210"/>
      <c r="AF609" s="210"/>
      <c r="AI609" s="210"/>
      <c r="AJ609" s="210"/>
      <c r="AK609" s="214"/>
      <c r="AL609" s="210"/>
    </row>
    <row r="610" spans="1:40" x14ac:dyDescent="0.3">
      <c r="J610" s="188"/>
      <c r="K610" s="188"/>
    </row>
    <row r="611" spans="1:40" x14ac:dyDescent="0.3">
      <c r="C611" s="42"/>
      <c r="F611" s="123"/>
      <c r="H611" s="123"/>
      <c r="I611" s="123"/>
      <c r="J611" s="188"/>
      <c r="K611" s="188"/>
      <c r="L611" s="123"/>
      <c r="M611" s="123"/>
      <c r="N611" s="160"/>
      <c r="O611" s="160"/>
      <c r="P611" s="184"/>
      <c r="Q611" s="184"/>
      <c r="R611" s="123"/>
      <c r="T611" s="42"/>
      <c r="V611" s="123"/>
      <c r="Y611" s="123"/>
      <c r="AA611" s="123"/>
      <c r="AB611" s="123"/>
      <c r="AC611" s="236"/>
      <c r="AD611" s="236"/>
      <c r="AE611" s="123"/>
      <c r="AF611" s="123"/>
      <c r="AH611" s="236"/>
      <c r="AI611" s="184"/>
      <c r="AJ611" s="184"/>
      <c r="AL611" s="123"/>
      <c r="AM611" s="236"/>
      <c r="AN611" s="236"/>
    </row>
    <row r="612" spans="1:40" x14ac:dyDescent="0.3">
      <c r="F612" s="210"/>
      <c r="H612" s="210"/>
      <c r="I612" s="210"/>
      <c r="J612" s="238"/>
      <c r="K612" s="238"/>
      <c r="L612" s="210"/>
      <c r="M612" s="210"/>
      <c r="N612" s="210"/>
      <c r="O612" s="210"/>
      <c r="P612" s="210"/>
      <c r="Q612" s="210"/>
      <c r="R612" s="210"/>
      <c r="V612" s="210"/>
      <c r="Y612" s="210"/>
      <c r="Z612" s="213"/>
      <c r="AA612" s="210"/>
      <c r="AB612" s="210"/>
      <c r="AC612" s="210"/>
      <c r="AD612" s="210"/>
      <c r="AE612" s="210"/>
      <c r="AF612" s="210"/>
      <c r="AI612" s="210"/>
      <c r="AJ612" s="210"/>
      <c r="AK612" s="214"/>
      <c r="AL612" s="210"/>
    </row>
    <row r="615" spans="1:40" x14ac:dyDescent="0.3">
      <c r="A615" s="42"/>
    </row>
    <row r="617" spans="1:40" x14ac:dyDescent="0.3">
      <c r="H617" s="42"/>
      <c r="I617" s="42"/>
      <c r="Y617" s="42"/>
    </row>
    <row r="619" spans="1:40" x14ac:dyDescent="0.3">
      <c r="L619" s="42"/>
      <c r="M619" s="42"/>
      <c r="AA619" s="42"/>
      <c r="AB619" s="42"/>
    </row>
    <row r="620" spans="1:40" x14ac:dyDescent="0.3">
      <c r="R620" s="42"/>
      <c r="AK620" s="206"/>
      <c r="AL620" s="42"/>
    </row>
    <row r="621" spans="1:40" x14ac:dyDescent="0.3">
      <c r="R621" s="42"/>
      <c r="AK621" s="206"/>
      <c r="AL621" s="42"/>
    </row>
    <row r="622" spans="1:40" x14ac:dyDescent="0.3">
      <c r="A622" s="42"/>
      <c r="R622" s="42"/>
      <c r="AK622" s="206"/>
      <c r="AL622" s="42"/>
    </row>
    <row r="623" spans="1:40" x14ac:dyDescent="0.3">
      <c r="L623" s="42"/>
      <c r="M623" s="42"/>
      <c r="AA623" s="42"/>
      <c r="AB623" s="42"/>
    </row>
    <row r="624" spans="1:40" x14ac:dyDescent="0.3">
      <c r="A624" s="135"/>
      <c r="B624" s="135"/>
      <c r="C624" s="135"/>
      <c r="D624" s="135"/>
      <c r="E624" s="135"/>
      <c r="F624" s="135"/>
      <c r="G624" s="135"/>
      <c r="H624" s="135"/>
      <c r="I624" s="135"/>
      <c r="J624" s="135"/>
      <c r="K624" s="135"/>
      <c r="L624" s="135"/>
      <c r="M624" s="135"/>
      <c r="N624" s="135"/>
      <c r="O624" s="135"/>
      <c r="P624" s="135"/>
      <c r="Q624" s="135"/>
      <c r="R624" s="135"/>
      <c r="T624" s="135"/>
      <c r="U624" s="135"/>
      <c r="V624" s="135"/>
      <c r="W624" s="135"/>
      <c r="X624" s="135"/>
      <c r="Y624" s="135"/>
      <c r="Z624" s="135"/>
      <c r="AA624" s="135"/>
      <c r="AB624" s="135"/>
      <c r="AC624" s="135"/>
      <c r="AD624" s="135"/>
      <c r="AE624" s="135"/>
      <c r="AF624" s="135"/>
      <c r="AG624" s="207"/>
      <c r="AH624" s="135"/>
      <c r="AI624" s="135"/>
      <c r="AJ624" s="135"/>
      <c r="AK624" s="207"/>
      <c r="AL624" s="135"/>
      <c r="AM624" s="135"/>
      <c r="AN624" s="135"/>
    </row>
    <row r="625" spans="1:40" x14ac:dyDescent="0.3">
      <c r="L625" s="44"/>
      <c r="M625" s="44"/>
      <c r="N625" s="44"/>
      <c r="O625" s="44"/>
      <c r="R625" s="44"/>
      <c r="AA625" s="44"/>
      <c r="AB625" s="44"/>
      <c r="AC625" s="44"/>
      <c r="AD625" s="44"/>
      <c r="AE625" s="44"/>
      <c r="AF625" s="44"/>
      <c r="AG625" s="168"/>
      <c r="AH625" s="44"/>
      <c r="AK625" s="168"/>
      <c r="AL625" s="44"/>
      <c r="AM625" s="44"/>
      <c r="AN625" s="44"/>
    </row>
    <row r="626" spans="1:40" x14ac:dyDescent="0.3">
      <c r="L626" s="44"/>
      <c r="M626" s="44"/>
      <c r="N626" s="44"/>
      <c r="O626" s="44"/>
      <c r="R626" s="44"/>
      <c r="Z626" s="44"/>
      <c r="AA626" s="44"/>
      <c r="AB626" s="44"/>
      <c r="AC626" s="44"/>
      <c r="AD626" s="44"/>
      <c r="AE626" s="44"/>
      <c r="AF626" s="44"/>
      <c r="AG626" s="168"/>
      <c r="AH626" s="44"/>
      <c r="AK626" s="168"/>
      <c r="AL626" s="44"/>
      <c r="AM626" s="44"/>
      <c r="AN626" s="44"/>
    </row>
    <row r="627" spans="1:40" x14ac:dyDescent="0.3">
      <c r="A627" s="44"/>
      <c r="C627" s="44"/>
      <c r="D627" s="44"/>
      <c r="E627" s="44"/>
      <c r="F627" s="44"/>
      <c r="J627" s="44"/>
      <c r="K627" s="44"/>
      <c r="L627" s="44"/>
      <c r="M627" s="44"/>
      <c r="N627" s="44"/>
      <c r="O627" s="44"/>
      <c r="P627" s="44"/>
      <c r="Q627" s="44"/>
      <c r="R627" s="44"/>
      <c r="T627" s="44"/>
      <c r="U627" s="44"/>
      <c r="V627" s="44"/>
      <c r="Z627" s="44"/>
      <c r="AA627" s="44"/>
      <c r="AB627" s="44"/>
      <c r="AC627" s="44"/>
      <c r="AD627" s="44"/>
      <c r="AE627" s="44"/>
      <c r="AF627" s="44"/>
      <c r="AG627" s="168"/>
      <c r="AH627" s="44"/>
      <c r="AI627" s="44"/>
      <c r="AJ627" s="44"/>
      <c r="AK627" s="168"/>
      <c r="AL627" s="44"/>
      <c r="AM627" s="44"/>
      <c r="AN627" s="44"/>
    </row>
    <row r="628" spans="1:40" x14ac:dyDescent="0.3">
      <c r="A628" s="44"/>
      <c r="C628" s="44"/>
      <c r="D628" s="44"/>
      <c r="E628" s="44"/>
      <c r="F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T628" s="44"/>
      <c r="U628" s="44"/>
      <c r="V628" s="44"/>
      <c r="Y628" s="44"/>
      <c r="Z628" s="44"/>
      <c r="AA628" s="44"/>
      <c r="AB628" s="44"/>
      <c r="AC628" s="44"/>
      <c r="AD628" s="44"/>
      <c r="AE628" s="44"/>
      <c r="AF628" s="44"/>
      <c r="AG628" s="168"/>
      <c r="AH628" s="44"/>
      <c r="AI628" s="44"/>
      <c r="AJ628" s="44"/>
      <c r="AK628" s="168"/>
      <c r="AL628" s="44"/>
      <c r="AM628" s="44"/>
      <c r="AN628" s="44"/>
    </row>
    <row r="629" spans="1:40" x14ac:dyDescent="0.3">
      <c r="C629" s="44"/>
      <c r="D629" s="44"/>
      <c r="E629" s="44"/>
      <c r="F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T629" s="44"/>
      <c r="U629" s="44"/>
      <c r="V629" s="44"/>
      <c r="Y629" s="44"/>
      <c r="Z629" s="44"/>
      <c r="AA629" s="44"/>
      <c r="AB629" s="44"/>
      <c r="AC629" s="44"/>
      <c r="AD629" s="44"/>
      <c r="AE629" s="44"/>
      <c r="AF629" s="44"/>
      <c r="AG629" s="168"/>
      <c r="AH629" s="44"/>
      <c r="AI629" s="44"/>
      <c r="AJ629" s="44"/>
      <c r="AK629" s="168"/>
      <c r="AL629" s="44"/>
      <c r="AM629" s="44"/>
      <c r="AN629" s="44"/>
    </row>
    <row r="630" spans="1:40" x14ac:dyDescent="0.3">
      <c r="A630" s="135"/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  <c r="T630" s="135"/>
      <c r="U630" s="135"/>
      <c r="V630" s="135"/>
      <c r="W630" s="135"/>
      <c r="X630" s="135"/>
      <c r="Y630" s="135"/>
      <c r="Z630" s="135"/>
      <c r="AA630" s="135"/>
      <c r="AB630" s="135"/>
      <c r="AC630" s="135"/>
      <c r="AD630" s="135"/>
      <c r="AE630" s="135"/>
      <c r="AF630" s="135"/>
      <c r="AG630" s="207"/>
      <c r="AH630" s="135"/>
      <c r="AI630" s="135"/>
      <c r="AJ630" s="135"/>
      <c r="AK630" s="207"/>
      <c r="AL630" s="135"/>
      <c r="AM630" s="135"/>
      <c r="AN630" s="135"/>
    </row>
    <row r="631" spans="1:40" x14ac:dyDescent="0.3"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Y631" s="44"/>
      <c r="Z631" s="44"/>
      <c r="AA631" s="44"/>
      <c r="AB631" s="44"/>
      <c r="AC631" s="44"/>
      <c r="AD631" s="44"/>
      <c r="AE631" s="44"/>
      <c r="AF631" s="44"/>
      <c r="AG631" s="168"/>
      <c r="AH631" s="44"/>
      <c r="AI631" s="44"/>
      <c r="AJ631" s="44"/>
      <c r="AK631" s="168"/>
      <c r="AL631" s="44"/>
      <c r="AM631" s="44"/>
      <c r="AN631" s="44"/>
    </row>
    <row r="632" spans="1:40" x14ac:dyDescent="0.3">
      <c r="C632" s="42"/>
      <c r="D632" s="42"/>
      <c r="E632" s="42"/>
      <c r="T632" s="42"/>
      <c r="U632" s="42"/>
    </row>
    <row r="634" spans="1:40" x14ac:dyDescent="0.3">
      <c r="C634" s="42"/>
      <c r="D634" s="42"/>
      <c r="E634" s="42"/>
      <c r="T634" s="42"/>
      <c r="U634" s="42"/>
    </row>
    <row r="635" spans="1:40" x14ac:dyDescent="0.3">
      <c r="C635" s="42"/>
      <c r="T635" s="42"/>
    </row>
    <row r="636" spans="1:40" x14ac:dyDescent="0.3">
      <c r="C636" s="42"/>
      <c r="T636" s="42"/>
    </row>
    <row r="637" spans="1:40" x14ac:dyDescent="0.3">
      <c r="C637" s="42"/>
      <c r="F637" s="184"/>
      <c r="H637" s="184"/>
      <c r="I637" s="184"/>
      <c r="J637" s="238"/>
      <c r="K637" s="238"/>
      <c r="L637" s="123"/>
      <c r="M637" s="123"/>
      <c r="N637" s="160"/>
      <c r="O637" s="160"/>
      <c r="P637" s="123"/>
      <c r="Q637" s="123"/>
      <c r="R637" s="123"/>
      <c r="T637" s="42"/>
      <c r="V637" s="123"/>
      <c r="W637" s="123"/>
      <c r="X637" s="123"/>
      <c r="Y637" s="123"/>
      <c r="Z637" s="238"/>
      <c r="AA637" s="123"/>
      <c r="AB637" s="123"/>
      <c r="AC637" s="160"/>
      <c r="AD637" s="160"/>
      <c r="AE637" s="123"/>
      <c r="AF637" s="123"/>
      <c r="AH637" s="236"/>
      <c r="AI637" s="123"/>
      <c r="AJ637" s="123"/>
      <c r="AL637" s="123"/>
      <c r="AM637" s="160"/>
      <c r="AN637" s="160"/>
    </row>
    <row r="638" spans="1:40" x14ac:dyDescent="0.3">
      <c r="C638" s="42"/>
      <c r="J638" s="188"/>
      <c r="K638" s="188"/>
      <c r="T638" s="42"/>
      <c r="V638" s="123"/>
      <c r="W638" s="123"/>
      <c r="X638" s="123"/>
      <c r="Y638" s="123"/>
      <c r="Z638" s="238"/>
    </row>
    <row r="639" spans="1:40" x14ac:dyDescent="0.3">
      <c r="C639" s="42"/>
      <c r="F639" s="184"/>
      <c r="H639" s="184"/>
      <c r="I639" s="184"/>
      <c r="J639" s="238"/>
      <c r="K639" s="238"/>
      <c r="L639" s="123"/>
      <c r="M639" s="123"/>
      <c r="N639" s="160"/>
      <c r="O639" s="160"/>
      <c r="P639" s="123"/>
      <c r="Q639" s="123"/>
      <c r="R639" s="123"/>
      <c r="T639" s="42"/>
      <c r="V639" s="123"/>
      <c r="W639" s="123"/>
      <c r="X639" s="123"/>
      <c r="Y639" s="123"/>
      <c r="Z639" s="238"/>
      <c r="AA639" s="123"/>
      <c r="AB639" s="123"/>
      <c r="AC639" s="160"/>
      <c r="AD639" s="160"/>
      <c r="AE639" s="123"/>
      <c r="AF639" s="123"/>
      <c r="AH639" s="236"/>
      <c r="AI639" s="123"/>
      <c r="AJ639" s="123"/>
      <c r="AL639" s="123"/>
      <c r="AM639" s="160"/>
      <c r="AN639" s="160"/>
    </row>
    <row r="640" spans="1:40" x14ac:dyDescent="0.3">
      <c r="C640" s="42"/>
      <c r="J640" s="188"/>
      <c r="K640" s="188"/>
      <c r="T640" s="42"/>
      <c r="V640" s="123"/>
      <c r="W640" s="123"/>
      <c r="X640" s="123"/>
      <c r="Y640" s="123"/>
      <c r="Z640" s="238"/>
    </row>
    <row r="641" spans="3:40" x14ac:dyDescent="0.3">
      <c r="C641" s="42"/>
      <c r="F641" s="184"/>
      <c r="H641" s="184"/>
      <c r="I641" s="184"/>
      <c r="J641" s="238"/>
      <c r="K641" s="238"/>
      <c r="L641" s="123"/>
      <c r="M641" s="123"/>
      <c r="N641" s="160"/>
      <c r="O641" s="160"/>
      <c r="P641" s="123"/>
      <c r="Q641" s="123"/>
      <c r="R641" s="123"/>
      <c r="T641" s="42"/>
      <c r="V641" s="123"/>
      <c r="W641" s="123"/>
      <c r="X641" s="123"/>
      <c r="Y641" s="123"/>
      <c r="Z641" s="238"/>
      <c r="AA641" s="123"/>
      <c r="AB641" s="123"/>
      <c r="AC641" s="160"/>
      <c r="AD641" s="160"/>
      <c r="AE641" s="123"/>
      <c r="AF641" s="123"/>
      <c r="AH641" s="236"/>
      <c r="AI641" s="123"/>
      <c r="AJ641" s="123"/>
      <c r="AL641" s="123"/>
      <c r="AM641" s="160"/>
      <c r="AN641" s="160"/>
    </row>
    <row r="642" spans="3:40" x14ac:dyDescent="0.3">
      <c r="C642" s="42"/>
      <c r="J642" s="188"/>
      <c r="K642" s="188"/>
      <c r="T642" s="42"/>
      <c r="V642" s="123"/>
      <c r="W642" s="123"/>
      <c r="X642" s="123"/>
      <c r="Y642" s="123"/>
      <c r="Z642" s="238"/>
    </row>
    <row r="643" spans="3:40" x14ac:dyDescent="0.3">
      <c r="C643" s="42"/>
      <c r="F643" s="184"/>
      <c r="H643" s="184"/>
      <c r="I643" s="184"/>
      <c r="J643" s="238"/>
      <c r="K643" s="238"/>
      <c r="L643" s="123"/>
      <c r="M643" s="123"/>
      <c r="N643" s="160"/>
      <c r="O643" s="160"/>
      <c r="P643" s="123"/>
      <c r="Q643" s="123"/>
      <c r="R643" s="123"/>
      <c r="T643" s="42"/>
      <c r="V643" s="123"/>
      <c r="W643" s="123"/>
      <c r="X643" s="123"/>
      <c r="Y643" s="123"/>
      <c r="Z643" s="238"/>
      <c r="AA643" s="123"/>
      <c r="AB643" s="123"/>
      <c r="AC643" s="160"/>
      <c r="AD643" s="160"/>
      <c r="AE643" s="123"/>
      <c r="AF643" s="123"/>
      <c r="AH643" s="236"/>
      <c r="AI643" s="123"/>
      <c r="AJ643" s="123"/>
      <c r="AL643" s="123"/>
      <c r="AM643" s="160"/>
      <c r="AN643" s="160"/>
    </row>
    <row r="644" spans="3:40" x14ac:dyDescent="0.3">
      <c r="C644" s="42"/>
      <c r="J644" s="188"/>
      <c r="K644" s="188"/>
      <c r="T644" s="42"/>
      <c r="V644" s="123"/>
      <c r="W644" s="123"/>
      <c r="X644" s="123"/>
      <c r="Y644" s="123"/>
      <c r="Z644" s="238"/>
    </row>
    <row r="645" spans="3:40" x14ac:dyDescent="0.3">
      <c r="C645" s="42"/>
      <c r="F645" s="184"/>
      <c r="H645" s="184"/>
      <c r="I645" s="184"/>
      <c r="J645" s="238"/>
      <c r="K645" s="238"/>
      <c r="L645" s="123"/>
      <c r="M645" s="123"/>
      <c r="N645" s="160"/>
      <c r="O645" s="160"/>
      <c r="P645" s="123"/>
      <c r="Q645" s="123"/>
      <c r="R645" s="123"/>
      <c r="T645" s="42"/>
      <c r="V645" s="123"/>
      <c r="W645" s="123"/>
      <c r="X645" s="123"/>
      <c r="Y645" s="123"/>
      <c r="Z645" s="238"/>
      <c r="AA645" s="123"/>
      <c r="AB645" s="123"/>
      <c r="AC645" s="160"/>
      <c r="AD645" s="160"/>
      <c r="AE645" s="123"/>
      <c r="AF645" s="123"/>
      <c r="AH645" s="236"/>
      <c r="AI645" s="123"/>
      <c r="AJ645" s="123"/>
      <c r="AL645" s="123"/>
      <c r="AM645" s="160"/>
      <c r="AN645" s="160"/>
    </row>
    <row r="646" spans="3:40" x14ac:dyDescent="0.3">
      <c r="C646" s="42"/>
      <c r="J646" s="188"/>
      <c r="K646" s="188"/>
      <c r="T646" s="42"/>
      <c r="V646" s="123"/>
      <c r="W646" s="123"/>
      <c r="X646" s="123"/>
      <c r="Y646" s="123"/>
      <c r="Z646" s="238"/>
    </row>
    <row r="647" spans="3:40" x14ac:dyDescent="0.3">
      <c r="C647" s="42"/>
      <c r="F647" s="184"/>
      <c r="H647" s="184"/>
      <c r="I647" s="184"/>
      <c r="J647" s="238"/>
      <c r="K647" s="238"/>
      <c r="L647" s="123"/>
      <c r="M647" s="123"/>
      <c r="N647" s="160"/>
      <c r="O647" s="160"/>
      <c r="P647" s="123"/>
      <c r="Q647" s="123"/>
      <c r="R647" s="123"/>
      <c r="T647" s="42"/>
      <c r="V647" s="123"/>
      <c r="W647" s="123"/>
      <c r="X647" s="123"/>
      <c r="Y647" s="123"/>
      <c r="Z647" s="238"/>
      <c r="AA647" s="123"/>
      <c r="AB647" s="123"/>
      <c r="AC647" s="160"/>
      <c r="AD647" s="160"/>
      <c r="AE647" s="123"/>
      <c r="AF647" s="123"/>
      <c r="AH647" s="236"/>
      <c r="AI647" s="123"/>
      <c r="AJ647" s="123"/>
      <c r="AL647" s="123"/>
      <c r="AM647" s="160"/>
      <c r="AN647" s="160"/>
    </row>
    <row r="648" spans="3:40" x14ac:dyDescent="0.3">
      <c r="F648" s="210"/>
      <c r="H648" s="210"/>
      <c r="I648" s="210"/>
      <c r="J648" s="238"/>
      <c r="K648" s="238"/>
      <c r="L648" s="210"/>
      <c r="M648" s="210"/>
      <c r="N648" s="210"/>
      <c r="O648" s="210"/>
      <c r="P648" s="210"/>
      <c r="Q648" s="210"/>
      <c r="R648" s="210"/>
      <c r="V648" s="210"/>
      <c r="Y648" s="210"/>
      <c r="Z648" s="238"/>
      <c r="AA648" s="210"/>
      <c r="AB648" s="210"/>
      <c r="AC648" s="210"/>
      <c r="AD648" s="210"/>
      <c r="AE648" s="210"/>
      <c r="AF648" s="210"/>
      <c r="AI648" s="210"/>
      <c r="AJ648" s="210"/>
      <c r="AK648" s="214"/>
      <c r="AL648" s="210"/>
      <c r="AM648" s="160"/>
      <c r="AN648" s="160"/>
    </row>
    <row r="649" spans="3:40" x14ac:dyDescent="0.3">
      <c r="C649" s="42"/>
      <c r="F649" s="123"/>
      <c r="H649" s="123"/>
      <c r="I649" s="123"/>
      <c r="J649" s="188"/>
      <c r="K649" s="188"/>
      <c r="L649" s="123"/>
      <c r="M649" s="123"/>
      <c r="N649" s="160"/>
      <c r="O649" s="160"/>
      <c r="P649" s="184"/>
      <c r="Q649" s="184"/>
      <c r="R649" s="123"/>
      <c r="T649" s="42"/>
      <c r="V649" s="123"/>
      <c r="W649" s="123"/>
      <c r="X649" s="123"/>
      <c r="Y649" s="123"/>
      <c r="Z649" s="238"/>
      <c r="AA649" s="123"/>
      <c r="AB649" s="123"/>
      <c r="AC649" s="160"/>
      <c r="AD649" s="160"/>
      <c r="AE649" s="123"/>
      <c r="AF649" s="123"/>
      <c r="AH649" s="236"/>
      <c r="AI649" s="184"/>
      <c r="AJ649" s="184"/>
      <c r="AL649" s="123"/>
      <c r="AM649" s="160"/>
      <c r="AN649" s="160"/>
    </row>
    <row r="650" spans="3:40" x14ac:dyDescent="0.3">
      <c r="F650" s="210"/>
      <c r="H650" s="210"/>
      <c r="I650" s="210"/>
      <c r="J650" s="238"/>
      <c r="K650" s="238"/>
      <c r="L650" s="210"/>
      <c r="M650" s="210"/>
      <c r="N650" s="210"/>
      <c r="O650" s="210"/>
      <c r="P650" s="210"/>
      <c r="Q650" s="210"/>
      <c r="R650" s="210"/>
      <c r="V650" s="210"/>
      <c r="Y650" s="210"/>
      <c r="Z650" s="238"/>
      <c r="AA650" s="210"/>
      <c r="AB650" s="210"/>
      <c r="AC650" s="210"/>
      <c r="AD650" s="210"/>
      <c r="AE650" s="210"/>
      <c r="AF650" s="210"/>
      <c r="AI650" s="210"/>
      <c r="AJ650" s="210"/>
      <c r="AK650" s="214"/>
      <c r="AL650" s="210"/>
    </row>
    <row r="651" spans="3:40" x14ac:dyDescent="0.3">
      <c r="C651" s="42"/>
      <c r="D651" s="42"/>
      <c r="E651" s="42"/>
      <c r="J651" s="188"/>
      <c r="K651" s="188"/>
      <c r="T651" s="42"/>
      <c r="U651" s="42"/>
      <c r="V651" s="123"/>
      <c r="W651" s="123"/>
      <c r="X651" s="123"/>
      <c r="Y651" s="123"/>
      <c r="Z651" s="238"/>
    </row>
    <row r="652" spans="3:40" x14ac:dyDescent="0.3">
      <c r="C652" s="42"/>
      <c r="J652" s="188"/>
      <c r="K652" s="188"/>
      <c r="T652" s="42"/>
      <c r="V652" s="123"/>
      <c r="W652" s="123"/>
      <c r="X652" s="123"/>
      <c r="Y652" s="123"/>
      <c r="Z652" s="238"/>
    </row>
    <row r="653" spans="3:40" x14ac:dyDescent="0.3">
      <c r="C653" s="42"/>
      <c r="J653" s="188"/>
      <c r="K653" s="188"/>
      <c r="T653" s="42"/>
      <c r="V653" s="123"/>
      <c r="W653" s="123"/>
      <c r="X653" s="123"/>
      <c r="Y653" s="123"/>
      <c r="Z653" s="238"/>
    </row>
    <row r="654" spans="3:40" x14ac:dyDescent="0.3">
      <c r="C654" s="42"/>
      <c r="F654" s="184"/>
      <c r="H654" s="184"/>
      <c r="I654" s="184"/>
      <c r="J654" s="238"/>
      <c r="K654" s="238"/>
      <c r="L654" s="123"/>
      <c r="M654" s="123"/>
      <c r="N654" s="160"/>
      <c r="O654" s="160"/>
      <c r="P654" s="123"/>
      <c r="Q654" s="123"/>
      <c r="R654" s="123"/>
      <c r="T654" s="42"/>
      <c r="V654" s="123"/>
      <c r="W654" s="123"/>
      <c r="X654" s="123"/>
      <c r="Y654" s="123"/>
      <c r="Z654" s="238"/>
      <c r="AA654" s="123"/>
      <c r="AB654" s="123"/>
      <c r="AC654" s="160"/>
      <c r="AD654" s="160"/>
      <c r="AE654" s="123"/>
      <c r="AF654" s="123"/>
      <c r="AH654" s="236"/>
      <c r="AI654" s="123"/>
      <c r="AJ654" s="123"/>
      <c r="AL654" s="123"/>
      <c r="AM654" s="160"/>
      <c r="AN654" s="160"/>
    </row>
    <row r="655" spans="3:40" x14ac:dyDescent="0.3">
      <c r="C655" s="42"/>
      <c r="J655" s="188"/>
      <c r="K655" s="188"/>
      <c r="T655" s="42"/>
      <c r="V655" s="123"/>
      <c r="W655" s="123"/>
      <c r="X655" s="123"/>
      <c r="Y655" s="123"/>
      <c r="Z655" s="238"/>
    </row>
    <row r="656" spans="3:40" x14ac:dyDescent="0.3">
      <c r="C656" s="42"/>
      <c r="F656" s="184"/>
      <c r="H656" s="184"/>
      <c r="I656" s="184"/>
      <c r="J656" s="238"/>
      <c r="K656" s="238"/>
      <c r="L656" s="123"/>
      <c r="M656" s="123"/>
      <c r="N656" s="160"/>
      <c r="O656" s="160"/>
      <c r="P656" s="123"/>
      <c r="Q656" s="123"/>
      <c r="R656" s="123"/>
      <c r="T656" s="42"/>
      <c r="V656" s="123"/>
      <c r="W656" s="123"/>
      <c r="X656" s="123"/>
      <c r="Y656" s="123"/>
      <c r="Z656" s="238"/>
      <c r="AA656" s="123"/>
      <c r="AB656" s="123"/>
      <c r="AC656" s="160"/>
      <c r="AD656" s="160"/>
      <c r="AE656" s="123"/>
      <c r="AF656" s="123"/>
      <c r="AH656" s="236"/>
      <c r="AI656" s="123"/>
      <c r="AJ656" s="123"/>
      <c r="AL656" s="123"/>
      <c r="AM656" s="160"/>
      <c r="AN656" s="160"/>
    </row>
    <row r="657" spans="3:40" x14ac:dyDescent="0.3">
      <c r="F657" s="210"/>
      <c r="H657" s="210"/>
      <c r="I657" s="210"/>
      <c r="J657" s="238"/>
      <c r="K657" s="238"/>
      <c r="L657" s="210"/>
      <c r="M657" s="210"/>
      <c r="N657" s="210"/>
      <c r="O657" s="210"/>
      <c r="P657" s="210"/>
      <c r="Q657" s="210"/>
      <c r="R657" s="210"/>
      <c r="V657" s="210"/>
      <c r="Y657" s="210"/>
      <c r="Z657" s="213"/>
      <c r="AA657" s="210"/>
      <c r="AB657" s="210"/>
      <c r="AC657" s="210"/>
      <c r="AD657" s="210"/>
      <c r="AE657" s="210"/>
      <c r="AF657" s="210"/>
      <c r="AI657" s="210"/>
      <c r="AJ657" s="210"/>
      <c r="AK657" s="214"/>
      <c r="AL657" s="210"/>
    </row>
    <row r="658" spans="3:40" x14ac:dyDescent="0.3">
      <c r="C658" s="42"/>
      <c r="F658" s="123"/>
      <c r="H658" s="123"/>
      <c r="I658" s="123"/>
      <c r="L658" s="123"/>
      <c r="M658" s="123"/>
      <c r="N658" s="160"/>
      <c r="O658" s="160"/>
      <c r="P658" s="184"/>
      <c r="Q658" s="184"/>
      <c r="R658" s="123"/>
      <c r="T658" s="42"/>
      <c r="V658" s="123"/>
      <c r="W658" s="123"/>
      <c r="X658" s="123"/>
      <c r="Y658" s="123"/>
      <c r="Z658" s="237"/>
      <c r="AA658" s="123"/>
      <c r="AB658" s="123"/>
      <c r="AC658" s="160"/>
      <c r="AD658" s="160"/>
      <c r="AE658" s="123"/>
      <c r="AF658" s="123"/>
      <c r="AH658" s="236"/>
      <c r="AI658" s="184"/>
      <c r="AJ658" s="184"/>
      <c r="AL658" s="123"/>
      <c r="AM658" s="160"/>
      <c r="AN658" s="160"/>
    </row>
    <row r="659" spans="3:40" x14ac:dyDescent="0.3">
      <c r="F659" s="210"/>
      <c r="H659" s="210"/>
      <c r="I659" s="210"/>
      <c r="J659" s="213"/>
      <c r="K659" s="213"/>
      <c r="L659" s="210"/>
      <c r="M659" s="210"/>
      <c r="N659" s="210"/>
      <c r="O659" s="210"/>
      <c r="P659" s="210"/>
      <c r="Q659" s="210"/>
      <c r="R659" s="210"/>
      <c r="V659" s="210"/>
      <c r="Y659" s="210"/>
      <c r="Z659" s="213"/>
      <c r="AA659" s="210"/>
      <c r="AB659" s="210"/>
      <c r="AC659" s="210"/>
      <c r="AD659" s="210"/>
      <c r="AE659" s="210"/>
      <c r="AF659" s="210"/>
      <c r="AI659" s="210"/>
      <c r="AJ659" s="210"/>
      <c r="AK659" s="214"/>
      <c r="AL659" s="210"/>
    </row>
    <row r="660" spans="3:40" x14ac:dyDescent="0.3">
      <c r="C660" s="42"/>
      <c r="D660" s="42"/>
      <c r="E660" s="42"/>
      <c r="T660" s="42"/>
      <c r="U660" s="42"/>
      <c r="V660" s="123"/>
      <c r="W660" s="123"/>
      <c r="X660" s="123"/>
      <c r="Y660" s="123"/>
      <c r="Z660" s="237"/>
    </row>
    <row r="661" spans="3:40" x14ac:dyDescent="0.3">
      <c r="C661" s="42"/>
      <c r="T661" s="42"/>
      <c r="V661" s="123"/>
      <c r="W661" s="123"/>
      <c r="X661" s="123"/>
      <c r="Y661" s="123"/>
      <c r="Z661" s="237"/>
    </row>
    <row r="662" spans="3:40" x14ac:dyDescent="0.3">
      <c r="C662" s="42"/>
      <c r="F662" s="184"/>
      <c r="H662" s="184"/>
      <c r="I662" s="184"/>
      <c r="J662" s="237"/>
      <c r="K662" s="237"/>
      <c r="L662" s="123"/>
      <c r="M662" s="123"/>
      <c r="N662" s="160"/>
      <c r="O662" s="160"/>
      <c r="P662" s="123"/>
      <c r="Q662" s="123"/>
      <c r="R662" s="123"/>
      <c r="T662" s="42"/>
      <c r="V662" s="123"/>
      <c r="W662" s="123"/>
      <c r="X662" s="123"/>
      <c r="Y662" s="123"/>
      <c r="Z662" s="237"/>
      <c r="AA662" s="123"/>
      <c r="AB662" s="123"/>
      <c r="AC662" s="160"/>
      <c r="AD662" s="160"/>
      <c r="AE662" s="123"/>
      <c r="AF662" s="123"/>
      <c r="AH662" s="236"/>
      <c r="AI662" s="123"/>
      <c r="AJ662" s="123"/>
      <c r="AL662" s="123"/>
      <c r="AM662" s="160"/>
      <c r="AN662" s="160"/>
    </row>
    <row r="663" spans="3:40" x14ac:dyDescent="0.3">
      <c r="C663" s="42"/>
      <c r="T663" s="42"/>
      <c r="V663" s="123"/>
      <c r="W663" s="123"/>
      <c r="X663" s="123"/>
      <c r="Y663" s="123"/>
      <c r="Z663" s="237"/>
    </row>
    <row r="664" spans="3:40" x14ac:dyDescent="0.3">
      <c r="C664" s="42"/>
      <c r="F664" s="184"/>
      <c r="H664" s="184"/>
      <c r="I664" s="184"/>
      <c r="J664" s="237"/>
      <c r="K664" s="237"/>
      <c r="L664" s="123"/>
      <c r="M664" s="123"/>
      <c r="N664" s="160"/>
      <c r="O664" s="160"/>
      <c r="P664" s="123"/>
      <c r="Q664" s="123"/>
      <c r="R664" s="123"/>
      <c r="T664" s="42"/>
      <c r="V664" s="123"/>
      <c r="W664" s="123"/>
      <c r="X664" s="123"/>
      <c r="Y664" s="123"/>
      <c r="Z664" s="237"/>
      <c r="AA664" s="123"/>
      <c r="AB664" s="123"/>
      <c r="AC664" s="160"/>
      <c r="AD664" s="160"/>
      <c r="AE664" s="123"/>
      <c r="AF664" s="123"/>
      <c r="AH664" s="236"/>
      <c r="AI664" s="123"/>
      <c r="AJ664" s="123"/>
      <c r="AL664" s="123"/>
      <c r="AM664" s="160"/>
      <c r="AN664" s="160"/>
    </row>
    <row r="665" spans="3:40" x14ac:dyDescent="0.3">
      <c r="C665" s="42"/>
      <c r="T665" s="42"/>
      <c r="V665" s="123"/>
      <c r="W665" s="123"/>
      <c r="X665" s="123"/>
      <c r="Y665" s="123"/>
      <c r="Z665" s="237"/>
    </row>
    <row r="666" spans="3:40" x14ac:dyDescent="0.3">
      <c r="C666" s="42"/>
      <c r="F666" s="184"/>
      <c r="H666" s="184"/>
      <c r="I666" s="184"/>
      <c r="J666" s="237"/>
      <c r="K666" s="237"/>
      <c r="L666" s="123"/>
      <c r="M666" s="123"/>
      <c r="N666" s="160"/>
      <c r="O666" s="160"/>
      <c r="P666" s="123"/>
      <c r="Q666" s="123"/>
      <c r="R666" s="123"/>
      <c r="T666" s="42"/>
      <c r="V666" s="123"/>
      <c r="W666" s="123"/>
      <c r="X666" s="123"/>
      <c r="Y666" s="123"/>
      <c r="Z666" s="237"/>
      <c r="AA666" s="123"/>
      <c r="AB666" s="123"/>
      <c r="AC666" s="160"/>
      <c r="AD666" s="160"/>
      <c r="AE666" s="123"/>
      <c r="AF666" s="123"/>
      <c r="AH666" s="236"/>
      <c r="AI666" s="123"/>
      <c r="AJ666" s="123"/>
      <c r="AL666" s="123"/>
      <c r="AM666" s="160"/>
      <c r="AN666" s="160"/>
    </row>
    <row r="667" spans="3:40" x14ac:dyDescent="0.3">
      <c r="C667" s="42"/>
      <c r="T667" s="42"/>
      <c r="V667" s="123"/>
      <c r="W667" s="123"/>
      <c r="X667" s="123"/>
      <c r="Y667" s="123"/>
      <c r="Z667" s="237"/>
    </row>
    <row r="668" spans="3:40" x14ac:dyDescent="0.3">
      <c r="C668" s="42"/>
      <c r="F668" s="184"/>
      <c r="H668" s="184"/>
      <c r="I668" s="184"/>
      <c r="J668" s="237"/>
      <c r="K668" s="237"/>
      <c r="L668" s="123"/>
      <c r="M668" s="123"/>
      <c r="N668" s="160"/>
      <c r="O668" s="160"/>
      <c r="P668" s="123"/>
      <c r="Q668" s="123"/>
      <c r="R668" s="123"/>
      <c r="T668" s="42"/>
      <c r="V668" s="123"/>
      <c r="W668" s="123"/>
      <c r="X668" s="123"/>
      <c r="Y668" s="123"/>
      <c r="Z668" s="237"/>
      <c r="AA668" s="123"/>
      <c r="AB668" s="123"/>
      <c r="AC668" s="160"/>
      <c r="AD668" s="160"/>
      <c r="AE668" s="123"/>
      <c r="AF668" s="123"/>
      <c r="AH668" s="236"/>
      <c r="AI668" s="123"/>
      <c r="AJ668" s="123"/>
      <c r="AL668" s="123"/>
      <c r="AM668" s="160"/>
      <c r="AN668" s="160"/>
    </row>
    <row r="669" spans="3:40" x14ac:dyDescent="0.3">
      <c r="F669" s="210"/>
      <c r="H669" s="210"/>
      <c r="I669" s="210"/>
      <c r="J669" s="213"/>
      <c r="K669" s="213"/>
      <c r="L669" s="210"/>
      <c r="M669" s="210"/>
      <c r="N669" s="210"/>
      <c r="O669" s="210"/>
      <c r="P669" s="210"/>
      <c r="Q669" s="210"/>
      <c r="R669" s="210"/>
      <c r="V669" s="210"/>
      <c r="Y669" s="210"/>
      <c r="Z669" s="213"/>
      <c r="AA669" s="210"/>
      <c r="AB669" s="210"/>
      <c r="AC669" s="210"/>
      <c r="AD669" s="210"/>
      <c r="AE669" s="210"/>
      <c r="AF669" s="210"/>
      <c r="AI669" s="210"/>
      <c r="AJ669" s="210"/>
      <c r="AK669" s="214"/>
      <c r="AL669" s="210"/>
    </row>
    <row r="670" spans="3:40" x14ac:dyDescent="0.3">
      <c r="C670" s="42"/>
      <c r="F670" s="123"/>
      <c r="H670" s="123"/>
      <c r="I670" s="123"/>
      <c r="L670" s="123"/>
      <c r="M670" s="123"/>
      <c r="N670" s="160"/>
      <c r="O670" s="160"/>
      <c r="P670" s="184"/>
      <c r="Q670" s="184"/>
      <c r="R670" s="123"/>
      <c r="T670" s="42"/>
      <c r="V670" s="123"/>
      <c r="W670" s="123"/>
      <c r="X670" s="123"/>
      <c r="Y670" s="123"/>
      <c r="Z670" s="237"/>
      <c r="AA670" s="123"/>
      <c r="AB670" s="123"/>
      <c r="AC670" s="160"/>
      <c r="AD670" s="160"/>
      <c r="AE670" s="123"/>
      <c r="AF670" s="123"/>
      <c r="AH670" s="236"/>
      <c r="AI670" s="184"/>
      <c r="AJ670" s="184"/>
      <c r="AL670" s="123"/>
      <c r="AM670" s="160"/>
      <c r="AN670" s="160"/>
    </row>
    <row r="671" spans="3:40" x14ac:dyDescent="0.3">
      <c r="F671" s="210"/>
      <c r="H671" s="210"/>
      <c r="I671" s="210"/>
      <c r="J671" s="213"/>
      <c r="K671" s="213"/>
      <c r="L671" s="210"/>
      <c r="M671" s="210"/>
      <c r="N671" s="210"/>
      <c r="O671" s="210"/>
      <c r="P671" s="210"/>
      <c r="Q671" s="210"/>
      <c r="R671" s="210"/>
      <c r="V671" s="210"/>
      <c r="Y671" s="210"/>
      <c r="Z671" s="213"/>
      <c r="AA671" s="210"/>
      <c r="AB671" s="210"/>
      <c r="AC671" s="210"/>
      <c r="AD671" s="210"/>
      <c r="AE671" s="210"/>
      <c r="AF671" s="210"/>
      <c r="AI671" s="210"/>
      <c r="AJ671" s="210"/>
      <c r="AK671" s="214"/>
      <c r="AL671" s="210"/>
    </row>
    <row r="672" spans="3:40" x14ac:dyDescent="0.3">
      <c r="C672" s="42"/>
      <c r="F672" s="123"/>
      <c r="H672" s="123"/>
      <c r="I672" s="123"/>
      <c r="L672" s="123"/>
      <c r="M672" s="123"/>
      <c r="N672" s="160"/>
      <c r="O672" s="160"/>
      <c r="P672" s="123"/>
      <c r="Q672" s="123"/>
      <c r="R672" s="123"/>
      <c r="T672" s="42"/>
      <c r="V672" s="123"/>
      <c r="W672" s="123"/>
      <c r="X672" s="123"/>
      <c r="Y672" s="123"/>
      <c r="AA672" s="123"/>
      <c r="AB672" s="123"/>
      <c r="AC672" s="160"/>
      <c r="AD672" s="160"/>
      <c r="AE672" s="123"/>
      <c r="AF672" s="123"/>
      <c r="AH672" s="236"/>
      <c r="AI672" s="123"/>
      <c r="AJ672" s="123"/>
      <c r="AL672" s="123"/>
      <c r="AM672" s="236"/>
      <c r="AN672" s="236"/>
    </row>
    <row r="673" spans="1:40" x14ac:dyDescent="0.3">
      <c r="F673" s="210"/>
      <c r="H673" s="210"/>
      <c r="I673" s="210"/>
      <c r="J673" s="213"/>
      <c r="K673" s="213"/>
      <c r="L673" s="210"/>
      <c r="M673" s="210"/>
      <c r="N673" s="210"/>
      <c r="O673" s="210"/>
      <c r="P673" s="210"/>
      <c r="Q673" s="210"/>
      <c r="R673" s="210"/>
      <c r="V673" s="210"/>
      <c r="Y673" s="210"/>
      <c r="Z673" s="213"/>
      <c r="AA673" s="210"/>
      <c r="AB673" s="210"/>
      <c r="AC673" s="210"/>
      <c r="AD673" s="210"/>
      <c r="AE673" s="210"/>
      <c r="AF673" s="210"/>
      <c r="AI673" s="210"/>
      <c r="AJ673" s="210"/>
      <c r="AK673" s="214"/>
      <c r="AL673" s="210"/>
    </row>
    <row r="676" spans="1:40" x14ac:dyDescent="0.3">
      <c r="A676" s="42"/>
    </row>
    <row r="678" spans="1:40" x14ac:dyDescent="0.3">
      <c r="H678" s="42"/>
      <c r="I678" s="42"/>
      <c r="Y678" s="42"/>
    </row>
    <row r="680" spans="1:40" x14ac:dyDescent="0.3">
      <c r="L680" s="42"/>
      <c r="M680" s="42"/>
      <c r="AA680" s="42"/>
      <c r="AB680" s="42"/>
    </row>
    <row r="681" spans="1:40" x14ac:dyDescent="0.3">
      <c r="R681" s="42"/>
      <c r="AK681" s="206"/>
      <c r="AL681" s="42"/>
    </row>
    <row r="682" spans="1:40" x14ac:dyDescent="0.3">
      <c r="R682" s="42"/>
      <c r="AK682" s="206"/>
      <c r="AL682" s="42"/>
    </row>
    <row r="683" spans="1:40" x14ac:dyDescent="0.3">
      <c r="A683" s="42"/>
      <c r="R683" s="42"/>
      <c r="AK683" s="206"/>
      <c r="AL683" s="42"/>
    </row>
    <row r="684" spans="1:40" x14ac:dyDescent="0.3">
      <c r="L684" s="42"/>
      <c r="M684" s="42"/>
      <c r="AA684" s="42"/>
      <c r="AB684" s="42"/>
    </row>
    <row r="685" spans="1:40" x14ac:dyDescent="0.3">
      <c r="A685" s="135"/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207"/>
      <c r="AH685" s="135"/>
      <c r="AI685" s="135"/>
      <c r="AJ685" s="135"/>
      <c r="AK685" s="207"/>
      <c r="AL685" s="135"/>
      <c r="AM685" s="135"/>
      <c r="AN685" s="135"/>
    </row>
    <row r="686" spans="1:40" x14ac:dyDescent="0.3">
      <c r="L686" s="44"/>
      <c r="M686" s="44"/>
      <c r="N686" s="44"/>
      <c r="O686" s="44"/>
      <c r="R686" s="44"/>
      <c r="AA686" s="44"/>
      <c r="AB686" s="44"/>
      <c r="AC686" s="44"/>
      <c r="AD686" s="44"/>
      <c r="AE686" s="44"/>
      <c r="AF686" s="44"/>
      <c r="AG686" s="168"/>
      <c r="AH686" s="44"/>
      <c r="AK686" s="168"/>
      <c r="AL686" s="44"/>
      <c r="AM686" s="44"/>
      <c r="AN686" s="44"/>
    </row>
    <row r="687" spans="1:40" x14ac:dyDescent="0.3">
      <c r="L687" s="44"/>
      <c r="M687" s="44"/>
      <c r="N687" s="44"/>
      <c r="O687" s="44"/>
      <c r="R687" s="44"/>
      <c r="Z687" s="44"/>
      <c r="AA687" s="44"/>
      <c r="AB687" s="44"/>
      <c r="AC687" s="44"/>
      <c r="AD687" s="44"/>
      <c r="AE687" s="44"/>
      <c r="AF687" s="44"/>
      <c r="AG687" s="168"/>
      <c r="AH687" s="44"/>
      <c r="AK687" s="168"/>
      <c r="AL687" s="44"/>
      <c r="AM687" s="44"/>
      <c r="AN687" s="44"/>
    </row>
    <row r="688" spans="1:40" x14ac:dyDescent="0.3">
      <c r="A688" s="44"/>
      <c r="C688" s="44"/>
      <c r="D688" s="44"/>
      <c r="E688" s="44"/>
      <c r="F688" s="44"/>
      <c r="J688" s="44"/>
      <c r="K688" s="44"/>
      <c r="L688" s="44"/>
      <c r="M688" s="44"/>
      <c r="N688" s="44"/>
      <c r="O688" s="44"/>
      <c r="P688" s="44"/>
      <c r="Q688" s="44"/>
      <c r="R688" s="44"/>
      <c r="T688" s="44"/>
      <c r="U688" s="44"/>
      <c r="V688" s="44"/>
      <c r="Z688" s="44"/>
      <c r="AA688" s="44"/>
      <c r="AB688" s="44"/>
      <c r="AC688" s="44"/>
      <c r="AD688" s="44"/>
      <c r="AE688" s="44"/>
      <c r="AF688" s="44"/>
      <c r="AG688" s="168"/>
      <c r="AH688" s="44"/>
      <c r="AI688" s="44"/>
      <c r="AJ688" s="44"/>
      <c r="AK688" s="168"/>
      <c r="AL688" s="44"/>
      <c r="AM688" s="44"/>
      <c r="AN688" s="44"/>
    </row>
    <row r="689" spans="1:40" x14ac:dyDescent="0.3">
      <c r="A689" s="44"/>
      <c r="C689" s="44"/>
      <c r="D689" s="44"/>
      <c r="E689" s="44"/>
      <c r="F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T689" s="44"/>
      <c r="U689" s="44"/>
      <c r="V689" s="44"/>
      <c r="Y689" s="44"/>
      <c r="Z689" s="44"/>
      <c r="AA689" s="44"/>
      <c r="AB689" s="44"/>
      <c r="AC689" s="44"/>
      <c r="AD689" s="44"/>
      <c r="AE689" s="44"/>
      <c r="AF689" s="44"/>
      <c r="AG689" s="168"/>
      <c r="AH689" s="44"/>
      <c r="AI689" s="44"/>
      <c r="AJ689" s="44"/>
      <c r="AK689" s="168"/>
      <c r="AL689" s="44"/>
      <c r="AM689" s="44"/>
      <c r="AN689" s="44"/>
    </row>
    <row r="690" spans="1:40" x14ac:dyDescent="0.3">
      <c r="C690" s="44"/>
      <c r="D690" s="44"/>
      <c r="E690" s="44"/>
      <c r="F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T690" s="44"/>
      <c r="U690" s="44"/>
      <c r="V690" s="44"/>
      <c r="Y690" s="44"/>
      <c r="Z690" s="44"/>
      <c r="AA690" s="44"/>
      <c r="AB690" s="44"/>
      <c r="AC690" s="44"/>
      <c r="AD690" s="44"/>
      <c r="AE690" s="44"/>
      <c r="AF690" s="44"/>
      <c r="AG690" s="168"/>
      <c r="AH690" s="44"/>
      <c r="AI690" s="44"/>
      <c r="AJ690" s="44"/>
      <c r="AK690" s="168"/>
      <c r="AL690" s="44"/>
      <c r="AM690" s="44"/>
      <c r="AN690" s="44"/>
    </row>
    <row r="691" spans="1:40" x14ac:dyDescent="0.3">
      <c r="A691" s="135"/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207"/>
      <c r="AH691" s="135"/>
      <c r="AI691" s="135"/>
      <c r="AJ691" s="135"/>
      <c r="AK691" s="207"/>
      <c r="AL691" s="135"/>
      <c r="AM691" s="135"/>
      <c r="AN691" s="135"/>
    </row>
    <row r="692" spans="1:40" x14ac:dyDescent="0.3"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Y692" s="44"/>
      <c r="Z692" s="44"/>
      <c r="AA692" s="44"/>
      <c r="AB692" s="44"/>
      <c r="AC692" s="44"/>
      <c r="AD692" s="44"/>
      <c r="AE692" s="44"/>
      <c r="AF692" s="44"/>
      <c r="AG692" s="168"/>
      <c r="AH692" s="44"/>
      <c r="AI692" s="44"/>
      <c r="AJ692" s="44"/>
      <c r="AK692" s="168"/>
      <c r="AL692" s="44"/>
      <c r="AM692" s="44"/>
      <c r="AN692" s="44"/>
    </row>
    <row r="693" spans="1:40" x14ac:dyDescent="0.3">
      <c r="C693" s="42"/>
      <c r="D693" s="42"/>
      <c r="E693" s="42"/>
      <c r="F693" s="123"/>
      <c r="H693" s="123"/>
      <c r="I693" s="123"/>
      <c r="J693" s="219"/>
      <c r="K693" s="219"/>
      <c r="L693" s="123"/>
      <c r="M693" s="123"/>
      <c r="N693" s="219"/>
      <c r="O693" s="219"/>
      <c r="P693" s="123"/>
      <c r="Q693" s="123"/>
      <c r="R693" s="123"/>
      <c r="T693" s="42"/>
      <c r="U693" s="42"/>
      <c r="V693" s="123"/>
      <c r="Y693" s="123"/>
      <c r="Z693" s="219"/>
      <c r="AA693" s="123"/>
      <c r="AB693" s="123"/>
      <c r="AC693" s="219"/>
      <c r="AD693" s="219"/>
      <c r="AE693" s="123"/>
      <c r="AF693" s="123"/>
      <c r="AH693" s="236"/>
      <c r="AI693" s="123"/>
      <c r="AJ693" s="123"/>
      <c r="AL693" s="123"/>
      <c r="AM693" s="160"/>
      <c r="AN693" s="160"/>
    </row>
    <row r="694" spans="1:40" x14ac:dyDescent="0.3">
      <c r="F694" s="210"/>
      <c r="H694" s="210"/>
      <c r="I694" s="210"/>
      <c r="J694" s="213"/>
      <c r="K694" s="213"/>
      <c r="L694" s="210"/>
      <c r="M694" s="210"/>
      <c r="N694" s="210"/>
      <c r="O694" s="210"/>
      <c r="P694" s="210"/>
      <c r="Q694" s="210"/>
      <c r="R694" s="210"/>
      <c r="V694" s="210"/>
      <c r="Y694" s="210"/>
      <c r="Z694" s="213"/>
      <c r="AA694" s="210"/>
      <c r="AB694" s="210"/>
      <c r="AC694" s="210"/>
      <c r="AD694" s="210"/>
      <c r="AE694" s="210"/>
      <c r="AF694" s="210"/>
      <c r="AI694" s="210"/>
      <c r="AJ694" s="210"/>
      <c r="AK694" s="214"/>
      <c r="AL694" s="210"/>
      <c r="AM694" s="160"/>
      <c r="AN694" s="160"/>
    </row>
    <row r="695" spans="1:40" x14ac:dyDescent="0.3">
      <c r="C695" s="42"/>
      <c r="F695" s="123"/>
      <c r="H695" s="123"/>
      <c r="I695" s="123"/>
      <c r="J695" s="219"/>
      <c r="K695" s="219"/>
      <c r="L695" s="123"/>
      <c r="M695" s="123"/>
      <c r="N695" s="219"/>
      <c r="O695" s="219"/>
      <c r="P695" s="123"/>
      <c r="Q695" s="123"/>
      <c r="R695" s="123"/>
      <c r="T695" s="42"/>
      <c r="V695" s="123"/>
      <c r="Y695" s="123"/>
      <c r="Z695" s="219"/>
      <c r="AA695" s="123"/>
      <c r="AB695" s="123"/>
      <c r="AC695" s="219"/>
      <c r="AD695" s="219"/>
      <c r="AE695" s="123"/>
      <c r="AF695" s="123"/>
      <c r="AH695" s="236"/>
      <c r="AI695" s="123"/>
      <c r="AJ695" s="123"/>
      <c r="AL695" s="123"/>
      <c r="AM695" s="160"/>
      <c r="AN695" s="160"/>
    </row>
    <row r="696" spans="1:40" x14ac:dyDescent="0.3">
      <c r="F696" s="123"/>
      <c r="H696" s="123"/>
      <c r="I696" s="123"/>
      <c r="J696" s="219"/>
      <c r="K696" s="219"/>
      <c r="L696" s="123"/>
      <c r="M696" s="123"/>
      <c r="N696" s="219"/>
      <c r="O696" s="219"/>
      <c r="P696" s="123"/>
      <c r="Q696" s="123"/>
      <c r="R696" s="123"/>
      <c r="V696" s="123"/>
      <c r="Y696" s="123"/>
      <c r="Z696" s="219"/>
      <c r="AA696" s="123"/>
      <c r="AB696" s="123"/>
      <c r="AC696" s="219"/>
      <c r="AD696" s="219"/>
      <c r="AH696" s="236"/>
      <c r="AI696" s="123"/>
      <c r="AJ696" s="123"/>
      <c r="AL696" s="123"/>
      <c r="AM696" s="160"/>
      <c r="AN696" s="160"/>
    </row>
    <row r="697" spans="1:40" x14ac:dyDescent="0.3">
      <c r="C697" s="42"/>
      <c r="D697" s="42"/>
      <c r="E697" s="42"/>
      <c r="F697" s="123"/>
      <c r="H697" s="123"/>
      <c r="I697" s="123"/>
      <c r="J697" s="219"/>
      <c r="K697" s="219"/>
      <c r="L697" s="123"/>
      <c r="M697" s="123"/>
      <c r="N697" s="219"/>
      <c r="O697" s="219"/>
      <c r="P697" s="123"/>
      <c r="Q697" s="123"/>
      <c r="R697" s="123"/>
      <c r="T697" s="42"/>
      <c r="U697" s="42"/>
      <c r="V697" s="123"/>
      <c r="Y697" s="123"/>
      <c r="Z697" s="219"/>
      <c r="AA697" s="123"/>
      <c r="AB697" s="123"/>
      <c r="AC697" s="219"/>
      <c r="AD697" s="219"/>
      <c r="AE697" s="123"/>
      <c r="AF697" s="123"/>
      <c r="AH697" s="236"/>
      <c r="AI697" s="123"/>
      <c r="AJ697" s="123"/>
      <c r="AL697" s="123"/>
      <c r="AM697" s="160"/>
      <c r="AN697" s="160"/>
    </row>
    <row r="698" spans="1:40" x14ac:dyDescent="0.3">
      <c r="C698" s="42"/>
      <c r="D698" s="42"/>
      <c r="E698" s="42"/>
      <c r="F698" s="123"/>
      <c r="H698" s="123"/>
      <c r="I698" s="123"/>
      <c r="J698" s="219"/>
      <c r="K698" s="219"/>
      <c r="L698" s="123"/>
      <c r="M698" s="123"/>
      <c r="N698" s="219"/>
      <c r="O698" s="219"/>
      <c r="P698" s="123"/>
      <c r="Q698" s="123"/>
      <c r="R698" s="123"/>
      <c r="T698" s="42"/>
      <c r="U698" s="42"/>
      <c r="V698" s="123"/>
      <c r="Y698" s="123"/>
      <c r="Z698" s="219"/>
      <c r="AA698" s="123"/>
      <c r="AB698" s="123"/>
      <c r="AC698" s="219"/>
      <c r="AD698" s="219"/>
      <c r="AE698" s="123"/>
      <c r="AF698" s="123"/>
      <c r="AH698" s="236"/>
      <c r="AI698" s="123"/>
      <c r="AJ698" s="123"/>
      <c r="AL698" s="123"/>
      <c r="AM698" s="160"/>
      <c r="AN698" s="160"/>
    </row>
    <row r="699" spans="1:40" x14ac:dyDescent="0.3">
      <c r="C699" s="42"/>
      <c r="D699" s="42"/>
      <c r="E699" s="42"/>
      <c r="F699" s="123"/>
      <c r="H699" s="123"/>
      <c r="I699" s="123"/>
      <c r="J699" s="219"/>
      <c r="K699" s="219"/>
      <c r="L699" s="123"/>
      <c r="M699" s="123"/>
      <c r="N699" s="219"/>
      <c r="O699" s="219"/>
      <c r="P699" s="123"/>
      <c r="Q699" s="123"/>
      <c r="R699" s="123"/>
      <c r="T699" s="42"/>
      <c r="U699" s="42"/>
      <c r="V699" s="123"/>
      <c r="Y699" s="123"/>
      <c r="Z699" s="219"/>
      <c r="AA699" s="123"/>
      <c r="AB699" s="123"/>
      <c r="AC699" s="219"/>
      <c r="AD699" s="219"/>
      <c r="AE699" s="123"/>
      <c r="AF699" s="123"/>
      <c r="AH699" s="236"/>
      <c r="AI699" s="123"/>
      <c r="AJ699" s="123"/>
      <c r="AL699" s="123"/>
      <c r="AM699" s="160"/>
      <c r="AN699" s="160"/>
    </row>
    <row r="700" spans="1:40" x14ac:dyDescent="0.3">
      <c r="C700" s="42"/>
      <c r="D700" s="42"/>
      <c r="E700" s="42"/>
      <c r="F700" s="123"/>
      <c r="H700" s="123"/>
      <c r="I700" s="123"/>
      <c r="J700" s="219"/>
      <c r="K700" s="219"/>
      <c r="L700" s="123"/>
      <c r="M700" s="123"/>
      <c r="N700" s="219"/>
      <c r="O700" s="219"/>
      <c r="P700" s="123"/>
      <c r="Q700" s="123"/>
      <c r="R700" s="123"/>
      <c r="T700" s="42"/>
      <c r="U700" s="42"/>
      <c r="V700" s="123"/>
      <c r="Y700" s="123"/>
      <c r="Z700" s="219"/>
      <c r="AA700" s="123"/>
      <c r="AB700" s="123"/>
      <c r="AC700" s="219"/>
      <c r="AD700" s="219"/>
      <c r="AE700" s="123"/>
      <c r="AF700" s="123"/>
      <c r="AH700" s="236"/>
      <c r="AI700" s="123"/>
      <c r="AJ700" s="123"/>
      <c r="AL700" s="123"/>
      <c r="AM700" s="160"/>
      <c r="AN700" s="160"/>
    </row>
    <row r="701" spans="1:40" x14ac:dyDescent="0.3">
      <c r="C701" s="42"/>
      <c r="D701" s="42"/>
      <c r="E701" s="42"/>
      <c r="F701" s="123"/>
      <c r="H701" s="123"/>
      <c r="I701" s="123"/>
      <c r="J701" s="219"/>
      <c r="K701" s="219"/>
      <c r="L701" s="123"/>
      <c r="M701" s="123"/>
      <c r="N701" s="219"/>
      <c r="O701" s="219"/>
      <c r="P701" s="123"/>
      <c r="Q701" s="123"/>
      <c r="R701" s="123"/>
      <c r="T701" s="42"/>
      <c r="U701" s="42"/>
      <c r="V701" s="123"/>
      <c r="Y701" s="123"/>
      <c r="Z701" s="219"/>
      <c r="AA701" s="123"/>
      <c r="AB701" s="123"/>
      <c r="AC701" s="219"/>
      <c r="AD701" s="219"/>
      <c r="AE701" s="123"/>
      <c r="AF701" s="123"/>
      <c r="AH701" s="236"/>
      <c r="AI701" s="123"/>
      <c r="AJ701" s="123"/>
      <c r="AL701" s="123"/>
      <c r="AM701" s="160"/>
      <c r="AN701" s="160"/>
    </row>
    <row r="702" spans="1:40" x14ac:dyDescent="0.3">
      <c r="C702" s="42"/>
      <c r="D702" s="42"/>
      <c r="E702" s="42"/>
      <c r="F702" s="123"/>
      <c r="H702" s="123"/>
      <c r="I702" s="123"/>
      <c r="J702" s="219"/>
      <c r="K702" s="219"/>
      <c r="L702" s="123"/>
      <c r="M702" s="123"/>
      <c r="N702" s="219"/>
      <c r="O702" s="219"/>
      <c r="P702" s="123"/>
      <c r="Q702" s="123"/>
      <c r="R702" s="123"/>
      <c r="T702" s="42"/>
      <c r="U702" s="42"/>
      <c r="V702" s="123"/>
      <c r="Y702" s="123"/>
      <c r="Z702" s="219"/>
      <c r="AA702" s="123"/>
      <c r="AB702" s="123"/>
      <c r="AC702" s="219"/>
      <c r="AD702" s="219"/>
      <c r="AE702" s="123"/>
      <c r="AF702" s="123"/>
      <c r="AH702" s="236"/>
      <c r="AI702" s="123"/>
      <c r="AJ702" s="123"/>
      <c r="AL702" s="123"/>
      <c r="AM702" s="160"/>
      <c r="AN702" s="160"/>
    </row>
    <row r="703" spans="1:40" x14ac:dyDescent="0.3">
      <c r="F703" s="210"/>
      <c r="H703" s="210"/>
      <c r="I703" s="210"/>
      <c r="J703" s="213"/>
      <c r="K703" s="213"/>
      <c r="L703" s="210"/>
      <c r="M703" s="210"/>
      <c r="N703" s="210"/>
      <c r="O703" s="210"/>
      <c r="P703" s="210"/>
      <c r="Q703" s="210"/>
      <c r="R703" s="210"/>
      <c r="V703" s="210"/>
      <c r="Y703" s="210"/>
      <c r="Z703" s="213"/>
      <c r="AA703" s="210"/>
      <c r="AB703" s="210"/>
      <c r="AC703" s="210"/>
      <c r="AD703" s="210"/>
      <c r="AE703" s="210"/>
      <c r="AF703" s="210"/>
      <c r="AI703" s="210"/>
      <c r="AJ703" s="210"/>
      <c r="AK703" s="214"/>
      <c r="AL703" s="210"/>
      <c r="AM703" s="160"/>
      <c r="AN703" s="160"/>
    </row>
    <row r="704" spans="1:40" x14ac:dyDescent="0.3">
      <c r="C704" s="42"/>
      <c r="F704" s="123"/>
      <c r="H704" s="123"/>
      <c r="I704" s="123"/>
      <c r="J704" s="219"/>
      <c r="K704" s="219"/>
      <c r="L704" s="123"/>
      <c r="M704" s="123"/>
      <c r="N704" s="219"/>
      <c r="O704" s="219"/>
      <c r="P704" s="123"/>
      <c r="Q704" s="123"/>
      <c r="R704" s="123"/>
      <c r="T704" s="42"/>
      <c r="V704" s="123"/>
      <c r="Y704" s="123"/>
      <c r="Z704" s="219"/>
      <c r="AA704" s="123"/>
      <c r="AB704" s="123"/>
      <c r="AC704" s="219"/>
      <c r="AD704" s="219"/>
      <c r="AE704" s="123"/>
      <c r="AF704" s="123"/>
      <c r="AH704" s="236"/>
      <c r="AI704" s="123"/>
      <c r="AJ704" s="123"/>
      <c r="AL704" s="123"/>
      <c r="AM704" s="160"/>
      <c r="AN704" s="160"/>
    </row>
    <row r="705" spans="3:40" x14ac:dyDescent="0.3">
      <c r="F705" s="123"/>
      <c r="H705" s="123"/>
      <c r="I705" s="123"/>
      <c r="J705" s="219"/>
      <c r="K705" s="219"/>
      <c r="L705" s="123"/>
      <c r="M705" s="123"/>
      <c r="N705" s="219"/>
      <c r="O705" s="219"/>
      <c r="P705" s="123"/>
      <c r="Q705" s="123"/>
      <c r="R705" s="123"/>
      <c r="V705" s="123"/>
      <c r="Y705" s="123"/>
      <c r="Z705" s="219"/>
      <c r="AA705" s="123"/>
      <c r="AB705" s="123"/>
      <c r="AC705" s="219"/>
      <c r="AD705" s="219"/>
      <c r="AH705" s="236"/>
      <c r="AI705" s="123"/>
      <c r="AJ705" s="123"/>
      <c r="AL705" s="123"/>
      <c r="AM705" s="160"/>
      <c r="AN705" s="160"/>
    </row>
    <row r="706" spans="3:40" x14ac:dyDescent="0.3">
      <c r="C706" s="42"/>
      <c r="D706" s="42"/>
      <c r="E706" s="42"/>
      <c r="F706" s="123"/>
      <c r="H706" s="123"/>
      <c r="I706" s="123"/>
      <c r="J706" s="219"/>
      <c r="K706" s="219"/>
      <c r="L706" s="123"/>
      <c r="M706" s="123"/>
      <c r="N706" s="219"/>
      <c r="O706" s="219"/>
      <c r="P706" s="123"/>
      <c r="Q706" s="123"/>
      <c r="R706" s="123"/>
      <c r="T706" s="42"/>
      <c r="U706" s="42"/>
      <c r="V706" s="123"/>
      <c r="Y706" s="123"/>
      <c r="Z706" s="219"/>
      <c r="AA706" s="123"/>
      <c r="AB706" s="123"/>
      <c r="AC706" s="219"/>
      <c r="AD706" s="219"/>
      <c r="AE706" s="123"/>
      <c r="AF706" s="123"/>
      <c r="AH706" s="236"/>
      <c r="AI706" s="123"/>
      <c r="AJ706" s="123"/>
      <c r="AL706" s="123"/>
      <c r="AM706" s="160"/>
      <c r="AN706" s="160"/>
    </row>
    <row r="707" spans="3:40" x14ac:dyDescent="0.3">
      <c r="F707" s="210"/>
      <c r="H707" s="210"/>
      <c r="I707" s="210"/>
      <c r="J707" s="213"/>
      <c r="K707" s="213"/>
      <c r="L707" s="210"/>
      <c r="M707" s="210"/>
      <c r="N707" s="210"/>
      <c r="O707" s="210"/>
      <c r="P707" s="210"/>
      <c r="Q707" s="210"/>
      <c r="R707" s="210"/>
      <c r="V707" s="210"/>
      <c r="Y707" s="210"/>
      <c r="Z707" s="213"/>
      <c r="AA707" s="210"/>
      <c r="AB707" s="210"/>
      <c r="AC707" s="210"/>
      <c r="AD707" s="210"/>
      <c r="AE707" s="210"/>
      <c r="AF707" s="210"/>
      <c r="AI707" s="210"/>
      <c r="AJ707" s="210"/>
      <c r="AK707" s="214"/>
      <c r="AL707" s="210"/>
      <c r="AM707" s="160"/>
      <c r="AN707" s="160"/>
    </row>
    <row r="708" spans="3:40" x14ac:dyDescent="0.3">
      <c r="C708" s="42"/>
      <c r="F708" s="123"/>
      <c r="H708" s="123"/>
      <c r="I708" s="123"/>
      <c r="J708" s="219"/>
      <c r="K708" s="219"/>
      <c r="L708" s="123"/>
      <c r="M708" s="123"/>
      <c r="N708" s="219"/>
      <c r="O708" s="219"/>
      <c r="P708" s="123"/>
      <c r="Q708" s="123"/>
      <c r="R708" s="123"/>
      <c r="T708" s="42"/>
      <c r="V708" s="123"/>
      <c r="Y708" s="123"/>
      <c r="Z708" s="219"/>
      <c r="AA708" s="123"/>
      <c r="AB708" s="123"/>
      <c r="AC708" s="219"/>
      <c r="AD708" s="219"/>
      <c r="AE708" s="123"/>
      <c r="AF708" s="123"/>
      <c r="AH708" s="236"/>
      <c r="AI708" s="123"/>
      <c r="AJ708" s="123"/>
      <c r="AL708" s="123"/>
      <c r="AM708" s="160"/>
      <c r="AN708" s="160"/>
    </row>
    <row r="709" spans="3:40" x14ac:dyDescent="0.3">
      <c r="F709" s="123"/>
      <c r="H709" s="123"/>
      <c r="I709" s="123"/>
      <c r="J709" s="219"/>
      <c r="K709" s="219"/>
      <c r="L709" s="123"/>
      <c r="M709" s="123"/>
      <c r="N709" s="219"/>
      <c r="O709" s="219"/>
      <c r="P709" s="123"/>
      <c r="Q709" s="123"/>
      <c r="R709" s="123"/>
      <c r="V709" s="123"/>
      <c r="Y709" s="123"/>
      <c r="Z709" s="219"/>
      <c r="AA709" s="123"/>
      <c r="AB709" s="123"/>
      <c r="AC709" s="219"/>
      <c r="AD709" s="219"/>
      <c r="AH709" s="236"/>
      <c r="AI709" s="123"/>
      <c r="AJ709" s="123"/>
      <c r="AL709" s="123"/>
      <c r="AM709" s="160"/>
      <c r="AN709" s="160"/>
    </row>
    <row r="710" spans="3:40" x14ac:dyDescent="0.3">
      <c r="C710" s="42"/>
      <c r="D710" s="42"/>
      <c r="E710" s="42"/>
      <c r="F710" s="123"/>
      <c r="H710" s="123"/>
      <c r="I710" s="123"/>
      <c r="J710" s="219"/>
      <c r="K710" s="219"/>
      <c r="L710" s="123"/>
      <c r="M710" s="123"/>
      <c r="N710" s="219"/>
      <c r="O710" s="219"/>
      <c r="P710" s="123"/>
      <c r="Q710" s="123"/>
      <c r="R710" s="123"/>
      <c r="T710" s="42"/>
      <c r="U710" s="42"/>
      <c r="V710" s="123"/>
      <c r="Y710" s="123"/>
      <c r="Z710" s="219"/>
      <c r="AA710" s="123"/>
      <c r="AB710" s="123"/>
      <c r="AC710" s="219"/>
      <c r="AD710" s="219"/>
      <c r="AE710" s="123"/>
      <c r="AF710" s="123"/>
      <c r="AH710" s="236"/>
      <c r="AI710" s="123"/>
      <c r="AJ710" s="123"/>
      <c r="AL710" s="123"/>
      <c r="AM710" s="160"/>
      <c r="AN710" s="160"/>
    </row>
    <row r="711" spans="3:40" x14ac:dyDescent="0.3">
      <c r="C711" s="42"/>
      <c r="D711" s="42"/>
      <c r="E711" s="42"/>
      <c r="F711" s="123"/>
      <c r="G711" s="123"/>
      <c r="H711" s="123"/>
      <c r="I711" s="123"/>
      <c r="J711" s="219"/>
      <c r="K711" s="219"/>
      <c r="L711" s="123"/>
      <c r="M711" s="123"/>
      <c r="N711" s="219"/>
      <c r="O711" s="219"/>
      <c r="P711" s="123"/>
      <c r="Q711" s="123"/>
      <c r="R711" s="123"/>
      <c r="T711" s="42"/>
      <c r="U711" s="42"/>
      <c r="V711" s="123"/>
      <c r="W711" s="123"/>
      <c r="X711" s="123"/>
      <c r="Y711" s="123"/>
      <c r="Z711" s="219"/>
      <c r="AA711" s="123"/>
      <c r="AB711" s="123"/>
      <c r="AC711" s="219"/>
      <c r="AD711" s="219"/>
      <c r="AE711" s="123"/>
      <c r="AF711" s="123"/>
      <c r="AH711" s="236"/>
      <c r="AI711" s="123"/>
      <c r="AJ711" s="123"/>
      <c r="AL711" s="123"/>
      <c r="AM711" s="160"/>
      <c r="AN711" s="160"/>
    </row>
    <row r="712" spans="3:40" x14ac:dyDescent="0.3">
      <c r="C712" s="42"/>
      <c r="D712" s="42"/>
      <c r="E712" s="42"/>
      <c r="F712" s="123"/>
      <c r="G712" s="123"/>
      <c r="H712" s="123"/>
      <c r="I712" s="123"/>
      <c r="J712" s="219"/>
      <c r="K712" s="219"/>
      <c r="L712" s="123"/>
      <c r="M712" s="123"/>
      <c r="N712" s="219"/>
      <c r="O712" s="219"/>
      <c r="P712" s="123"/>
      <c r="Q712" s="123"/>
      <c r="R712" s="123"/>
      <c r="T712" s="42"/>
      <c r="U712" s="42"/>
      <c r="V712" s="123"/>
      <c r="W712" s="123"/>
      <c r="X712" s="123"/>
      <c r="Y712" s="123"/>
      <c r="Z712" s="219"/>
      <c r="AA712" s="123"/>
      <c r="AB712" s="123"/>
      <c r="AC712" s="219"/>
      <c r="AD712" s="219"/>
      <c r="AE712" s="123"/>
      <c r="AF712" s="123"/>
      <c r="AH712" s="236"/>
      <c r="AI712" s="123"/>
      <c r="AJ712" s="123"/>
      <c r="AL712" s="123"/>
      <c r="AM712" s="160"/>
      <c r="AN712" s="160"/>
    </row>
    <row r="713" spans="3:40" x14ac:dyDescent="0.3">
      <c r="C713" s="42"/>
      <c r="D713" s="42"/>
      <c r="E713" s="42"/>
      <c r="F713" s="123"/>
      <c r="H713" s="123"/>
      <c r="I713" s="123"/>
      <c r="J713" s="219"/>
      <c r="K713" s="219"/>
      <c r="L713" s="123"/>
      <c r="M713" s="123"/>
      <c r="N713" s="219"/>
      <c r="O713" s="219"/>
      <c r="P713" s="123"/>
      <c r="Q713" s="123"/>
      <c r="R713" s="123"/>
      <c r="T713" s="42"/>
      <c r="U713" s="42"/>
      <c r="V713" s="123"/>
      <c r="Y713" s="123"/>
      <c r="Z713" s="219"/>
      <c r="AA713" s="123"/>
      <c r="AB713" s="123"/>
      <c r="AC713" s="219"/>
      <c r="AD713" s="219"/>
      <c r="AE713" s="123"/>
      <c r="AF713" s="123"/>
      <c r="AH713" s="236"/>
      <c r="AI713" s="123"/>
      <c r="AJ713" s="123"/>
      <c r="AL713" s="123"/>
      <c r="AM713" s="160"/>
      <c r="AN713" s="160"/>
    </row>
    <row r="714" spans="3:40" x14ac:dyDescent="0.3">
      <c r="C714" s="42"/>
      <c r="D714" s="42"/>
      <c r="E714" s="42"/>
      <c r="F714" s="123"/>
      <c r="H714" s="123"/>
      <c r="I714" s="123"/>
      <c r="J714" s="219"/>
      <c r="K714" s="219"/>
      <c r="L714" s="123"/>
      <c r="M714" s="123"/>
      <c r="N714" s="219"/>
      <c r="O714" s="219"/>
      <c r="P714" s="123"/>
      <c r="Q714" s="123"/>
      <c r="R714" s="123"/>
      <c r="T714" s="42"/>
      <c r="U714" s="42"/>
      <c r="V714" s="123"/>
      <c r="Y714" s="123"/>
      <c r="Z714" s="219"/>
      <c r="AA714" s="123"/>
      <c r="AB714" s="123"/>
      <c r="AC714" s="219"/>
      <c r="AD714" s="219"/>
      <c r="AE714" s="123"/>
      <c r="AF714" s="123"/>
      <c r="AH714" s="236"/>
      <c r="AI714" s="123"/>
      <c r="AJ714" s="123"/>
      <c r="AL714" s="123"/>
      <c r="AM714" s="160"/>
      <c r="AN714" s="160"/>
    </row>
    <row r="715" spans="3:40" x14ac:dyDescent="0.3">
      <c r="C715" s="42"/>
      <c r="D715" s="42"/>
      <c r="E715" s="42"/>
      <c r="F715" s="123"/>
      <c r="H715" s="123"/>
      <c r="I715" s="123"/>
      <c r="J715" s="219"/>
      <c r="K715" s="219"/>
      <c r="L715" s="123"/>
      <c r="M715" s="123"/>
      <c r="N715" s="219"/>
      <c r="O715" s="219"/>
      <c r="P715" s="123"/>
      <c r="Q715" s="123"/>
      <c r="R715" s="123"/>
      <c r="T715" s="42"/>
      <c r="U715" s="42"/>
      <c r="V715" s="123"/>
      <c r="Y715" s="123"/>
      <c r="Z715" s="219"/>
      <c r="AA715" s="123"/>
      <c r="AB715" s="123"/>
      <c r="AC715" s="219"/>
      <c r="AD715" s="219"/>
      <c r="AE715" s="123"/>
      <c r="AF715" s="123"/>
      <c r="AH715" s="236"/>
      <c r="AI715" s="123"/>
      <c r="AJ715" s="123"/>
      <c r="AL715" s="123"/>
      <c r="AM715" s="160"/>
      <c r="AN715" s="160"/>
    </row>
    <row r="716" spans="3:40" x14ac:dyDescent="0.3">
      <c r="C716" s="42"/>
      <c r="D716" s="42"/>
      <c r="E716" s="42"/>
      <c r="F716" s="123"/>
      <c r="H716" s="123"/>
      <c r="I716" s="123"/>
      <c r="J716" s="219"/>
      <c r="K716" s="219"/>
      <c r="L716" s="123"/>
      <c r="M716" s="123"/>
      <c r="N716" s="219"/>
      <c r="O716" s="219"/>
      <c r="P716" s="123"/>
      <c r="Q716" s="123"/>
      <c r="R716" s="123"/>
      <c r="T716" s="42"/>
      <c r="U716" s="42"/>
      <c r="V716" s="123"/>
      <c r="Y716" s="123"/>
      <c r="Z716" s="219"/>
      <c r="AA716" s="123"/>
      <c r="AB716" s="123"/>
      <c r="AC716" s="219"/>
      <c r="AD716" s="219"/>
      <c r="AE716" s="123"/>
      <c r="AF716" s="123"/>
      <c r="AH716" s="236"/>
      <c r="AI716" s="123"/>
      <c r="AJ716" s="123"/>
      <c r="AL716" s="123"/>
      <c r="AM716" s="160"/>
      <c r="AN716" s="160"/>
    </row>
    <row r="717" spans="3:40" x14ac:dyDescent="0.3">
      <c r="F717" s="210"/>
      <c r="H717" s="210"/>
      <c r="I717" s="210"/>
      <c r="J717" s="213"/>
      <c r="K717" s="213"/>
      <c r="L717" s="210"/>
      <c r="M717" s="210"/>
      <c r="N717" s="210"/>
      <c r="O717" s="210"/>
      <c r="P717" s="210"/>
      <c r="Q717" s="210"/>
      <c r="R717" s="210"/>
      <c r="V717" s="210"/>
      <c r="Y717" s="210"/>
      <c r="Z717" s="213"/>
      <c r="AA717" s="210"/>
      <c r="AB717" s="210"/>
      <c r="AC717" s="210"/>
      <c r="AD717" s="210"/>
      <c r="AE717" s="210"/>
      <c r="AF717" s="210"/>
      <c r="AI717" s="210"/>
      <c r="AJ717" s="210"/>
      <c r="AK717" s="214"/>
      <c r="AL717" s="210"/>
      <c r="AM717" s="160"/>
      <c r="AN717" s="160"/>
    </row>
    <row r="718" spans="3:40" x14ac:dyDescent="0.3">
      <c r="C718" s="42"/>
      <c r="F718" s="123"/>
      <c r="H718" s="123"/>
      <c r="I718" s="123"/>
      <c r="J718" s="219"/>
      <c r="K718" s="219"/>
      <c r="L718" s="123"/>
      <c r="M718" s="123"/>
      <c r="N718" s="219"/>
      <c r="O718" s="219"/>
      <c r="P718" s="123"/>
      <c r="Q718" s="123"/>
      <c r="R718" s="123"/>
      <c r="T718" s="42"/>
      <c r="V718" s="123"/>
      <c r="Y718" s="123"/>
      <c r="Z718" s="219"/>
      <c r="AA718" s="123"/>
      <c r="AB718" s="123"/>
      <c r="AC718" s="219"/>
      <c r="AD718" s="219"/>
      <c r="AE718" s="123"/>
      <c r="AF718" s="123"/>
      <c r="AH718" s="236"/>
      <c r="AI718" s="123"/>
      <c r="AJ718" s="123"/>
      <c r="AL718" s="123"/>
      <c r="AM718" s="160"/>
      <c r="AN718" s="160"/>
    </row>
    <row r="719" spans="3:40" x14ac:dyDescent="0.3">
      <c r="V719" s="123"/>
      <c r="Y719" s="123"/>
      <c r="Z719" s="213"/>
      <c r="AA719" s="123"/>
      <c r="AB719" s="123"/>
      <c r="AC719" s="123"/>
      <c r="AD719" s="123"/>
      <c r="AE719" s="123"/>
      <c r="AF719" s="123"/>
      <c r="AI719" s="123"/>
      <c r="AJ719" s="123"/>
      <c r="AL719" s="123"/>
      <c r="AM719" s="160"/>
      <c r="AN719" s="160"/>
    </row>
    <row r="720" spans="3:40" x14ac:dyDescent="0.3">
      <c r="C720" s="42"/>
      <c r="D720" s="42"/>
      <c r="E720" s="42"/>
      <c r="L720" s="123"/>
      <c r="M720" s="123"/>
      <c r="N720" s="219"/>
      <c r="O720" s="219"/>
      <c r="R720" s="123"/>
      <c r="T720" s="42"/>
      <c r="U720" s="42"/>
      <c r="AA720" s="123"/>
      <c r="AB720" s="123"/>
      <c r="AC720" s="219"/>
      <c r="AD720" s="219"/>
      <c r="AE720" s="123"/>
      <c r="AF720" s="123"/>
      <c r="AH720" s="236"/>
      <c r="AL720" s="123"/>
      <c r="AM720" s="160"/>
      <c r="AN720" s="160"/>
    </row>
    <row r="721" spans="1:40" x14ac:dyDescent="0.3">
      <c r="D721" s="42"/>
      <c r="E721" s="42"/>
      <c r="F721" s="184"/>
      <c r="H721" s="184"/>
      <c r="I721" s="184"/>
      <c r="J721" s="219"/>
      <c r="K721" s="219"/>
      <c r="L721" s="123"/>
      <c r="M721" s="123"/>
      <c r="N721" s="219"/>
      <c r="O721" s="219"/>
      <c r="P721" s="184"/>
      <c r="Q721" s="184"/>
      <c r="R721" s="123"/>
      <c r="U721" s="42"/>
      <c r="V721" s="123"/>
      <c r="Y721" s="123"/>
      <c r="Z721" s="219"/>
      <c r="AA721" s="123"/>
      <c r="AB721" s="123"/>
      <c r="AC721" s="219"/>
      <c r="AD721" s="219"/>
      <c r="AE721" s="123"/>
      <c r="AF721" s="123"/>
      <c r="AH721" s="236"/>
      <c r="AI721" s="123"/>
      <c r="AJ721" s="123"/>
      <c r="AL721" s="123"/>
      <c r="AM721" s="160"/>
      <c r="AN721" s="160"/>
    </row>
    <row r="722" spans="1:40" x14ac:dyDescent="0.3">
      <c r="F722" s="210"/>
      <c r="H722" s="210"/>
      <c r="I722" s="210"/>
      <c r="J722" s="213"/>
      <c r="K722" s="213"/>
      <c r="L722" s="210"/>
      <c r="M722" s="210"/>
      <c r="N722" s="210"/>
      <c r="O722" s="210"/>
      <c r="P722" s="210"/>
      <c r="Q722" s="210"/>
      <c r="R722" s="210"/>
      <c r="V722" s="210"/>
      <c r="Y722" s="210"/>
      <c r="Z722" s="213"/>
      <c r="AA722" s="210"/>
      <c r="AB722" s="210"/>
      <c r="AC722" s="210"/>
      <c r="AD722" s="210"/>
      <c r="AE722" s="210"/>
      <c r="AF722" s="210"/>
      <c r="AI722" s="210"/>
      <c r="AJ722" s="210"/>
      <c r="AK722" s="214"/>
      <c r="AL722" s="210"/>
      <c r="AM722" s="160"/>
      <c r="AN722" s="160"/>
    </row>
    <row r="723" spans="1:40" x14ac:dyDescent="0.3">
      <c r="C723" s="42"/>
      <c r="F723" s="123"/>
      <c r="H723" s="123"/>
      <c r="I723" s="123"/>
      <c r="J723" s="219"/>
      <c r="K723" s="219"/>
      <c r="L723" s="123"/>
      <c r="M723" s="123"/>
      <c r="N723" s="219"/>
      <c r="O723" s="219"/>
      <c r="P723" s="123"/>
      <c r="Q723" s="123"/>
      <c r="R723" s="123"/>
      <c r="T723" s="42"/>
      <c r="V723" s="123"/>
      <c r="Y723" s="123"/>
      <c r="Z723" s="219"/>
      <c r="AA723" s="123"/>
      <c r="AB723" s="123"/>
      <c r="AC723" s="219"/>
      <c r="AD723" s="219"/>
      <c r="AE723" s="123"/>
      <c r="AF723" s="123"/>
      <c r="AH723" s="236"/>
      <c r="AI723" s="123"/>
      <c r="AJ723" s="123"/>
      <c r="AL723" s="123"/>
      <c r="AM723" s="160"/>
      <c r="AN723" s="160"/>
    </row>
    <row r="724" spans="1:40" x14ac:dyDescent="0.3">
      <c r="F724" s="123"/>
      <c r="H724" s="123"/>
      <c r="I724" s="123"/>
      <c r="J724" s="219"/>
      <c r="K724" s="219"/>
      <c r="L724" s="123"/>
      <c r="M724" s="123"/>
      <c r="N724" s="219"/>
      <c r="O724" s="219"/>
      <c r="P724" s="123"/>
      <c r="Q724" s="123"/>
      <c r="R724" s="123"/>
      <c r="V724" s="123"/>
      <c r="Y724" s="123"/>
      <c r="Z724" s="219"/>
      <c r="AA724" s="123"/>
      <c r="AB724" s="123"/>
      <c r="AC724" s="219"/>
      <c r="AD724" s="219"/>
      <c r="AH724" s="236"/>
      <c r="AI724" s="123"/>
      <c r="AJ724" s="123"/>
      <c r="AL724" s="123"/>
      <c r="AM724" s="160"/>
      <c r="AN724" s="160"/>
    </row>
    <row r="725" spans="1:40" x14ac:dyDescent="0.3">
      <c r="D725" s="42"/>
      <c r="E725" s="42"/>
      <c r="F725" s="123"/>
      <c r="H725" s="123"/>
      <c r="I725" s="123"/>
      <c r="J725" s="219"/>
      <c r="K725" s="219"/>
      <c r="L725" s="184"/>
      <c r="M725" s="184"/>
      <c r="N725" s="219"/>
      <c r="O725" s="219"/>
      <c r="P725" s="123"/>
      <c r="Q725" s="123"/>
      <c r="R725" s="123"/>
      <c r="U725" s="42"/>
      <c r="V725" s="123"/>
      <c r="Y725" s="123"/>
      <c r="Z725" s="219"/>
      <c r="AA725" s="184"/>
      <c r="AB725" s="184"/>
      <c r="AC725" s="219"/>
      <c r="AD725" s="219"/>
      <c r="AE725" s="123"/>
      <c r="AF725" s="123"/>
      <c r="AH725" s="236"/>
      <c r="AI725" s="123"/>
      <c r="AJ725" s="123"/>
      <c r="AL725" s="123"/>
      <c r="AM725" s="160"/>
      <c r="AN725" s="160"/>
    </row>
    <row r="726" spans="1:40" x14ac:dyDescent="0.3">
      <c r="D726" s="42"/>
      <c r="E726" s="42"/>
      <c r="F726" s="123"/>
      <c r="H726" s="123"/>
      <c r="I726" s="123"/>
      <c r="J726" s="219"/>
      <c r="K726" s="219"/>
      <c r="L726" s="184"/>
      <c r="M726" s="184"/>
      <c r="N726" s="219"/>
      <c r="O726" s="219"/>
      <c r="P726" s="123"/>
      <c r="Q726" s="123"/>
      <c r="R726" s="123"/>
      <c r="U726" s="42"/>
      <c r="V726" s="123"/>
      <c r="Y726" s="123"/>
      <c r="Z726" s="219"/>
      <c r="AA726" s="184"/>
      <c r="AB726" s="184"/>
      <c r="AC726" s="219"/>
      <c r="AD726" s="219"/>
      <c r="AE726" s="123"/>
      <c r="AF726" s="123"/>
      <c r="AH726" s="236"/>
      <c r="AI726" s="123"/>
      <c r="AJ726" s="123"/>
      <c r="AL726" s="123"/>
      <c r="AM726" s="160"/>
      <c r="AN726" s="160"/>
    </row>
    <row r="727" spans="1:40" x14ac:dyDescent="0.3">
      <c r="D727" s="42"/>
      <c r="E727" s="42"/>
      <c r="F727" s="123"/>
      <c r="H727" s="123"/>
      <c r="I727" s="123"/>
      <c r="J727" s="219"/>
      <c r="K727" s="219"/>
      <c r="L727" s="184"/>
      <c r="M727" s="184"/>
      <c r="N727" s="219"/>
      <c r="O727" s="219"/>
      <c r="P727" s="123"/>
      <c r="Q727" s="123"/>
      <c r="R727" s="123"/>
      <c r="U727" s="42"/>
      <c r="V727" s="123"/>
      <c r="Y727" s="123"/>
      <c r="Z727" s="219"/>
      <c r="AA727" s="184"/>
      <c r="AB727" s="184"/>
      <c r="AC727" s="219"/>
      <c r="AD727" s="219"/>
      <c r="AE727" s="123"/>
      <c r="AF727" s="123"/>
      <c r="AH727" s="236"/>
      <c r="AI727" s="123"/>
      <c r="AJ727" s="123"/>
      <c r="AL727" s="123"/>
      <c r="AM727" s="160"/>
      <c r="AN727" s="160"/>
    </row>
    <row r="728" spans="1:40" x14ac:dyDescent="0.3">
      <c r="F728" s="210"/>
      <c r="H728" s="210"/>
      <c r="I728" s="210"/>
      <c r="J728" s="213"/>
      <c r="K728" s="213"/>
      <c r="L728" s="210"/>
      <c r="M728" s="210"/>
      <c r="N728" s="210"/>
      <c r="O728" s="210"/>
      <c r="P728" s="210"/>
      <c r="Q728" s="210"/>
      <c r="R728" s="210"/>
      <c r="V728" s="210"/>
      <c r="Y728" s="210"/>
      <c r="Z728" s="213"/>
      <c r="AA728" s="210"/>
      <c r="AB728" s="210"/>
      <c r="AC728" s="210"/>
      <c r="AD728" s="210"/>
      <c r="AE728" s="210"/>
      <c r="AF728" s="210"/>
      <c r="AI728" s="210"/>
      <c r="AJ728" s="210"/>
      <c r="AK728" s="214"/>
      <c r="AL728" s="210"/>
      <c r="AM728" s="160"/>
      <c r="AN728" s="160"/>
    </row>
    <row r="729" spans="1:40" x14ac:dyDescent="0.3">
      <c r="C729" s="42"/>
      <c r="F729" s="123"/>
      <c r="H729" s="123"/>
      <c r="I729" s="123"/>
      <c r="J729" s="219"/>
      <c r="K729" s="219"/>
      <c r="L729" s="123"/>
      <c r="M729" s="123"/>
      <c r="N729" s="219"/>
      <c r="O729" s="219"/>
      <c r="P729" s="123"/>
      <c r="Q729" s="123"/>
      <c r="R729" s="123"/>
      <c r="T729" s="42"/>
      <c r="V729" s="123"/>
      <c r="Y729" s="123"/>
      <c r="Z729" s="219"/>
      <c r="AA729" s="123"/>
      <c r="AB729" s="123"/>
      <c r="AC729" s="219"/>
      <c r="AD729" s="219"/>
      <c r="AE729" s="123"/>
      <c r="AF729" s="123"/>
      <c r="AH729" s="236"/>
      <c r="AI729" s="123"/>
      <c r="AJ729" s="123"/>
      <c r="AL729" s="123"/>
      <c r="AM729" s="160"/>
      <c r="AN729" s="160"/>
    </row>
    <row r="730" spans="1:40" x14ac:dyDescent="0.3">
      <c r="F730" s="123"/>
      <c r="H730" s="123"/>
      <c r="I730" s="123"/>
      <c r="J730" s="219"/>
      <c r="K730" s="219"/>
      <c r="L730" s="123"/>
      <c r="M730" s="123"/>
      <c r="N730" s="219"/>
      <c r="O730" s="219"/>
      <c r="P730" s="123"/>
      <c r="Q730" s="123"/>
      <c r="R730" s="123"/>
      <c r="V730" s="123"/>
      <c r="Y730" s="123"/>
      <c r="Z730" s="219"/>
      <c r="AA730" s="123"/>
      <c r="AB730" s="123"/>
      <c r="AC730" s="219"/>
      <c r="AD730" s="219"/>
      <c r="AH730" s="236"/>
      <c r="AI730" s="123"/>
      <c r="AJ730" s="123"/>
      <c r="AL730" s="123"/>
      <c r="AM730" s="160"/>
      <c r="AN730" s="160"/>
    </row>
    <row r="731" spans="1:40" x14ac:dyDescent="0.3">
      <c r="C731" s="42"/>
      <c r="F731" s="123"/>
      <c r="H731" s="123"/>
      <c r="I731" s="123"/>
      <c r="J731" s="219"/>
      <c r="K731" s="219"/>
      <c r="L731" s="123"/>
      <c r="M731" s="123"/>
      <c r="N731" s="219"/>
      <c r="O731" s="219"/>
      <c r="P731" s="123"/>
      <c r="Q731" s="123"/>
      <c r="R731" s="123"/>
      <c r="T731" s="42"/>
      <c r="V731" s="123"/>
      <c r="Y731" s="123"/>
      <c r="Z731" s="219"/>
      <c r="AA731" s="123"/>
      <c r="AB731" s="123"/>
      <c r="AC731" s="219"/>
      <c r="AD731" s="219"/>
      <c r="AE731" s="123"/>
      <c r="AF731" s="123"/>
      <c r="AH731" s="236"/>
      <c r="AI731" s="123"/>
      <c r="AJ731" s="123"/>
      <c r="AL731" s="123"/>
      <c r="AM731" s="160"/>
      <c r="AN731" s="160"/>
    </row>
    <row r="732" spans="1:40" x14ac:dyDescent="0.3">
      <c r="F732" s="210"/>
      <c r="H732" s="210"/>
      <c r="I732" s="210"/>
      <c r="J732" s="213"/>
      <c r="K732" s="213"/>
      <c r="L732" s="210"/>
      <c r="M732" s="210"/>
      <c r="N732" s="210"/>
      <c r="O732" s="210"/>
      <c r="P732" s="210"/>
      <c r="Q732" s="210"/>
      <c r="R732" s="210"/>
      <c r="V732" s="210"/>
      <c r="Y732" s="210"/>
      <c r="Z732" s="213"/>
      <c r="AA732" s="210"/>
      <c r="AB732" s="210"/>
      <c r="AC732" s="210"/>
      <c r="AD732" s="210"/>
      <c r="AE732" s="210"/>
      <c r="AF732" s="210"/>
      <c r="AI732" s="210"/>
      <c r="AJ732" s="210"/>
      <c r="AK732" s="214"/>
      <c r="AL732" s="210"/>
    </row>
    <row r="734" spans="1:40" x14ac:dyDescent="0.3">
      <c r="C734" s="42"/>
      <c r="L734" s="123"/>
      <c r="M734" s="123"/>
      <c r="P734" s="123"/>
      <c r="Q734" s="123"/>
      <c r="R734" s="123"/>
      <c r="T734" s="42"/>
    </row>
    <row r="735" spans="1:40" x14ac:dyDescent="0.3">
      <c r="A735" s="42"/>
      <c r="L735" s="123"/>
      <c r="M735" s="123"/>
      <c r="P735" s="123"/>
      <c r="Q735" s="123"/>
      <c r="R735" s="123"/>
    </row>
    <row r="736" spans="1:40" x14ac:dyDescent="0.3">
      <c r="L736" s="123"/>
      <c r="M736" s="123"/>
      <c r="P736" s="123"/>
      <c r="Q736" s="123"/>
      <c r="R736" s="123"/>
    </row>
    <row r="737" spans="12:18" x14ac:dyDescent="0.3">
      <c r="L737" s="123"/>
      <c r="M737" s="123"/>
      <c r="P737" s="123"/>
      <c r="Q737" s="123"/>
      <c r="R737" s="123"/>
    </row>
    <row r="738" spans="12:18" x14ac:dyDescent="0.3">
      <c r="L738" s="123"/>
      <c r="M738" s="123"/>
      <c r="P738" s="123"/>
      <c r="Q738" s="123"/>
      <c r="R738" s="123"/>
    </row>
    <row r="739" spans="12:18" x14ac:dyDescent="0.3">
      <c r="L739" s="123"/>
      <c r="M739" s="123"/>
      <c r="P739" s="123"/>
      <c r="Q739" s="123"/>
      <c r="R739" s="123"/>
    </row>
    <row r="740" spans="12:18" x14ac:dyDescent="0.3">
      <c r="L740" s="123"/>
      <c r="M740" s="123"/>
      <c r="P740" s="123"/>
      <c r="Q740" s="123"/>
      <c r="R740" s="123"/>
    </row>
    <row r="773" spans="49:49" x14ac:dyDescent="0.3">
      <c r="AW773" s="123"/>
    </row>
    <row r="774" spans="49:49" x14ac:dyDescent="0.3">
      <c r="AW774" s="123"/>
    </row>
    <row r="775" spans="49:49" x14ac:dyDescent="0.3">
      <c r="AW775" s="123"/>
    </row>
    <row r="776" spans="49:49" x14ac:dyDescent="0.3">
      <c r="AW776" s="123"/>
    </row>
    <row r="777" spans="49:49" x14ac:dyDescent="0.3">
      <c r="AW777" s="123"/>
    </row>
    <row r="778" spans="49:49" x14ac:dyDescent="0.3">
      <c r="AW778" s="123"/>
    </row>
    <row r="781" spans="49:49" x14ac:dyDescent="0.3">
      <c r="AW781" s="123"/>
    </row>
    <row r="782" spans="49:49" x14ac:dyDescent="0.3">
      <c r="AW782" s="123"/>
    </row>
    <row r="783" spans="49:49" x14ac:dyDescent="0.3">
      <c r="AW783" s="123"/>
    </row>
    <row r="784" spans="49:49" x14ac:dyDescent="0.3">
      <c r="AW784" s="123"/>
    </row>
    <row r="785" spans="49:49" x14ac:dyDescent="0.3">
      <c r="AW785" s="123"/>
    </row>
    <row r="786" spans="49:49" x14ac:dyDescent="0.3">
      <c r="AW786" s="123"/>
    </row>
    <row r="787" spans="49:49" x14ac:dyDescent="0.3">
      <c r="AW787" s="123"/>
    </row>
    <row r="788" spans="49:49" x14ac:dyDescent="0.3">
      <c r="AW788" s="123"/>
    </row>
    <row r="791" spans="49:49" x14ac:dyDescent="0.3">
      <c r="AW791" s="123"/>
    </row>
    <row r="792" spans="49:49" x14ac:dyDescent="0.3">
      <c r="AW792" s="123"/>
    </row>
    <row r="795" spans="49:49" x14ac:dyDescent="0.3">
      <c r="AW795" s="123"/>
    </row>
    <row r="796" spans="49:49" x14ac:dyDescent="0.3">
      <c r="AW796" s="123"/>
    </row>
    <row r="797" spans="49:49" x14ac:dyDescent="0.3">
      <c r="AW797" s="123"/>
    </row>
    <row r="798" spans="49:49" x14ac:dyDescent="0.3">
      <c r="AW798" s="123"/>
    </row>
    <row r="806" spans="45:69" x14ac:dyDescent="0.3">
      <c r="AY806" s="42"/>
    </row>
    <row r="807" spans="45:69" x14ac:dyDescent="0.3">
      <c r="AY807" s="42"/>
    </row>
    <row r="808" spans="45:69" x14ac:dyDescent="0.3">
      <c r="BD808" s="42"/>
    </row>
    <row r="809" spans="45:69" x14ac:dyDescent="0.3">
      <c r="BD809" s="42"/>
    </row>
    <row r="810" spans="45:69" x14ac:dyDescent="0.3">
      <c r="AS810" s="42"/>
      <c r="BD810" s="42"/>
    </row>
    <row r="812" spans="45:69" x14ac:dyDescent="0.3">
      <c r="AS812" s="135"/>
      <c r="AT812" s="135"/>
      <c r="AU812" s="135"/>
      <c r="AV812" s="135"/>
      <c r="AW812" s="135"/>
      <c r="AX812" s="135"/>
      <c r="AY812" s="135"/>
      <c r="AZ812" s="135"/>
      <c r="BA812" s="135"/>
      <c r="BB812" s="135"/>
      <c r="BC812" s="135"/>
      <c r="BD812" s="135"/>
      <c r="BE812" s="135"/>
    </row>
    <row r="813" spans="45:69" x14ac:dyDescent="0.3">
      <c r="AX813" s="42"/>
    </row>
    <row r="814" spans="45:69" x14ac:dyDescent="0.3">
      <c r="AX814" s="135"/>
      <c r="AY814" s="135"/>
      <c r="AZ814" s="135"/>
      <c r="BA814" s="135"/>
      <c r="BC814" s="44"/>
      <c r="BD814" s="44"/>
    </row>
    <row r="815" spans="45:69" x14ac:dyDescent="0.3">
      <c r="AV815" s="44"/>
      <c r="AW815" s="44"/>
      <c r="AZ815" s="44"/>
      <c r="BA815" s="44"/>
      <c r="BC815" s="44"/>
      <c r="BD815" s="44"/>
      <c r="BE815" s="44"/>
      <c r="BG815" s="135"/>
      <c r="BH815" s="42"/>
      <c r="BK815" s="135"/>
      <c r="BM815" s="135"/>
      <c r="BN815" s="42"/>
      <c r="BQ815" s="135"/>
    </row>
    <row r="816" spans="45:69" x14ac:dyDescent="0.3"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H816" s="44"/>
      <c r="BI816" s="44"/>
      <c r="BJ816" s="44"/>
      <c r="BN816" s="44"/>
      <c r="BO816" s="44"/>
      <c r="BP816" s="44"/>
    </row>
    <row r="817" spans="45:69" x14ac:dyDescent="0.3">
      <c r="AS817" s="44"/>
      <c r="AU817" s="42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G817" s="44"/>
      <c r="BH817" s="44"/>
      <c r="BI817" s="44"/>
      <c r="BJ817" s="44"/>
      <c r="BK817" s="44"/>
      <c r="BM817" s="44"/>
      <c r="BN817" s="44"/>
      <c r="BO817" s="44"/>
      <c r="BP817" s="44"/>
      <c r="BQ817" s="44"/>
    </row>
    <row r="818" spans="45:69" x14ac:dyDescent="0.3">
      <c r="AS818" s="44"/>
      <c r="AU818" s="42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G818" s="44"/>
      <c r="BH818" s="44"/>
      <c r="BI818" s="44"/>
      <c r="BJ818" s="44"/>
      <c r="BK818" s="44"/>
      <c r="BM818" s="44"/>
      <c r="BN818" s="44"/>
      <c r="BO818" s="44"/>
      <c r="BP818" s="44"/>
      <c r="BQ818" s="44"/>
    </row>
    <row r="819" spans="45:69" x14ac:dyDescent="0.3">
      <c r="AS819" s="135"/>
      <c r="AT819" s="135"/>
      <c r="AU819" s="135"/>
      <c r="AV819" s="135"/>
      <c r="AW819" s="135"/>
      <c r="AX819" s="135"/>
      <c r="AY819" s="135"/>
      <c r="AZ819" s="135"/>
      <c r="BA819" s="135"/>
      <c r="BB819" s="135"/>
      <c r="BC819" s="135"/>
      <c r="BD819" s="135"/>
      <c r="BE819" s="135"/>
      <c r="BG819" s="135"/>
      <c r="BH819" s="135"/>
      <c r="BI819" s="135"/>
      <c r="BJ819" s="135"/>
      <c r="BK819" s="135"/>
      <c r="BM819" s="135"/>
      <c r="BN819" s="135"/>
      <c r="BO819" s="135"/>
      <c r="BP819" s="135"/>
      <c r="BQ819" s="135"/>
    </row>
    <row r="820" spans="45:69" x14ac:dyDescent="0.3"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</row>
    <row r="821" spans="45:69" x14ac:dyDescent="0.3">
      <c r="AU821" s="42"/>
      <c r="AV821" s="44"/>
      <c r="AY821" s="219"/>
    </row>
    <row r="822" spans="45:69" x14ac:dyDescent="0.3">
      <c r="AV822" s="44"/>
      <c r="AW822" s="123"/>
      <c r="AX822" s="188"/>
      <c r="AY822" s="188"/>
      <c r="AZ822" s="188"/>
      <c r="BA822" s="160"/>
      <c r="BB822" s="188"/>
      <c r="BC822" s="219"/>
      <c r="BD822" s="219"/>
      <c r="BE822" s="160"/>
      <c r="BG822" s="188"/>
      <c r="BH822" s="188"/>
      <c r="BI822" s="188"/>
      <c r="BJ822" s="188"/>
      <c r="BK822" s="188"/>
      <c r="BM822" s="188"/>
      <c r="BN822" s="188"/>
      <c r="BO822" s="188"/>
      <c r="BP822" s="188"/>
      <c r="BQ822" s="188"/>
    </row>
    <row r="823" spans="45:69" x14ac:dyDescent="0.3">
      <c r="AV823" s="44"/>
      <c r="AW823" s="123"/>
      <c r="AX823" s="188"/>
      <c r="AY823" s="188"/>
      <c r="AZ823" s="188"/>
      <c r="BA823" s="160"/>
      <c r="BB823" s="188"/>
      <c r="BC823" s="219"/>
      <c r="BD823" s="219"/>
      <c r="BE823" s="160"/>
      <c r="BG823" s="188"/>
      <c r="BH823" s="188"/>
      <c r="BI823" s="188"/>
      <c r="BJ823" s="188"/>
      <c r="BK823" s="188"/>
      <c r="BM823" s="188"/>
      <c r="BN823" s="188"/>
      <c r="BO823" s="188"/>
      <c r="BP823" s="188"/>
      <c r="BQ823" s="188"/>
    </row>
    <row r="824" spans="45:69" x14ac:dyDescent="0.3">
      <c r="AV824" s="44"/>
      <c r="AW824" s="123"/>
      <c r="AX824" s="188"/>
      <c r="AY824" s="188"/>
      <c r="AZ824" s="188"/>
      <c r="BA824" s="160"/>
      <c r="BB824" s="188"/>
      <c r="BC824" s="219"/>
      <c r="BD824" s="219"/>
      <c r="BE824" s="160"/>
      <c r="BG824" s="188"/>
      <c r="BH824" s="188"/>
      <c r="BI824" s="188"/>
      <c r="BJ824" s="188"/>
      <c r="BK824" s="188"/>
      <c r="BM824" s="188"/>
      <c r="BN824" s="188"/>
      <c r="BO824" s="188"/>
      <c r="BP824" s="188"/>
      <c r="BQ824" s="188"/>
    </row>
    <row r="825" spans="45:69" x14ac:dyDescent="0.3">
      <c r="AV825" s="44"/>
      <c r="AW825" s="123"/>
      <c r="AX825" s="188"/>
      <c r="AY825" s="188"/>
      <c r="AZ825" s="188"/>
      <c r="BA825" s="160"/>
      <c r="BB825" s="188"/>
      <c r="BC825" s="219"/>
      <c r="BD825" s="219"/>
      <c r="BE825" s="160"/>
      <c r="BG825" s="188"/>
      <c r="BH825" s="188"/>
      <c r="BI825" s="188"/>
      <c r="BJ825" s="188"/>
      <c r="BK825" s="188"/>
      <c r="BM825" s="188"/>
      <c r="BN825" s="188"/>
      <c r="BO825" s="188"/>
      <c r="BP825" s="188"/>
      <c r="BQ825" s="188"/>
    </row>
    <row r="826" spans="45:69" x14ac:dyDescent="0.3">
      <c r="AV826" s="44"/>
      <c r="AW826" s="123"/>
      <c r="AX826" s="188"/>
      <c r="AY826" s="188"/>
      <c r="AZ826" s="188"/>
      <c r="BA826" s="160"/>
      <c r="BB826" s="188"/>
      <c r="BC826" s="219"/>
      <c r="BD826" s="219"/>
      <c r="BE826" s="160"/>
      <c r="BG826" s="188"/>
      <c r="BH826" s="188"/>
      <c r="BI826" s="188"/>
      <c r="BJ826" s="188"/>
      <c r="BK826" s="188"/>
      <c r="BM826" s="188"/>
      <c r="BN826" s="188"/>
      <c r="BO826" s="188"/>
      <c r="BP826" s="188"/>
      <c r="BQ826" s="188"/>
    </row>
    <row r="827" spans="45:69" x14ac:dyDescent="0.3">
      <c r="AV827" s="44"/>
      <c r="AW827" s="123"/>
      <c r="AX827" s="188"/>
      <c r="AY827" s="188"/>
      <c r="AZ827" s="188"/>
      <c r="BA827" s="160"/>
      <c r="BB827" s="188"/>
      <c r="BC827" s="219"/>
      <c r="BD827" s="219"/>
      <c r="BE827" s="160"/>
      <c r="BG827" s="188"/>
      <c r="BH827" s="188"/>
      <c r="BI827" s="188"/>
      <c r="BJ827" s="188"/>
      <c r="BK827" s="188"/>
      <c r="BM827" s="188"/>
      <c r="BN827" s="188"/>
      <c r="BO827" s="188"/>
      <c r="BP827" s="188"/>
      <c r="BQ827" s="188"/>
    </row>
    <row r="828" spans="45:69" x14ac:dyDescent="0.3">
      <c r="AV828" s="44"/>
      <c r="AW828" s="123"/>
      <c r="AX828" s="188"/>
      <c r="AY828" s="188"/>
      <c r="AZ828" s="188"/>
      <c r="BA828" s="160"/>
      <c r="BB828" s="188"/>
      <c r="BC828" s="219"/>
      <c r="BD828" s="219"/>
      <c r="BE828" s="160"/>
      <c r="BG828" s="188"/>
      <c r="BH828" s="188"/>
      <c r="BI828" s="188"/>
      <c r="BJ828" s="188"/>
      <c r="BK828" s="188"/>
      <c r="BM828" s="188"/>
      <c r="BN828" s="188"/>
      <c r="BO828" s="188"/>
      <c r="BP828" s="188"/>
      <c r="BQ828" s="188"/>
    </row>
    <row r="829" spans="45:69" x14ac:dyDescent="0.3">
      <c r="AY829" s="219"/>
      <c r="AZ829" s="188"/>
      <c r="BA829" s="160"/>
      <c r="BB829" s="188"/>
      <c r="BC829" s="219"/>
      <c r="BD829" s="219"/>
      <c r="BE829" s="160"/>
      <c r="BK829" s="188"/>
      <c r="BQ829" s="188"/>
    </row>
    <row r="830" spans="45:69" x14ac:dyDescent="0.3">
      <c r="AV830" s="44"/>
      <c r="AY830" s="219"/>
      <c r="AZ830" s="188"/>
      <c r="BA830" s="160"/>
      <c r="BB830" s="188"/>
      <c r="BC830" s="219"/>
      <c r="BD830" s="219"/>
      <c r="BE830" s="160"/>
      <c r="BK830" s="188"/>
      <c r="BQ830" s="188"/>
    </row>
    <row r="831" spans="45:69" x14ac:dyDescent="0.3">
      <c r="AV831" s="44"/>
      <c r="AW831" s="123"/>
      <c r="AX831" s="188"/>
      <c r="AY831" s="188"/>
      <c r="AZ831" s="188"/>
      <c r="BA831" s="160"/>
      <c r="BB831" s="188"/>
      <c r="BC831" s="219"/>
      <c r="BD831" s="219"/>
      <c r="BE831" s="160"/>
      <c r="BG831" s="188"/>
      <c r="BH831" s="188"/>
      <c r="BI831" s="188"/>
      <c r="BJ831" s="188"/>
      <c r="BK831" s="188"/>
      <c r="BM831" s="188"/>
      <c r="BN831" s="188"/>
      <c r="BO831" s="188"/>
      <c r="BP831" s="188"/>
      <c r="BQ831" s="188"/>
    </row>
    <row r="832" spans="45:69" x14ac:dyDescent="0.3">
      <c r="AV832" s="44"/>
      <c r="AW832" s="123"/>
      <c r="AX832" s="188"/>
      <c r="AY832" s="188"/>
      <c r="AZ832" s="188"/>
      <c r="BA832" s="160"/>
      <c r="BB832" s="188"/>
      <c r="BC832" s="219"/>
      <c r="BD832" s="219"/>
      <c r="BE832" s="160"/>
      <c r="BG832" s="188"/>
      <c r="BH832" s="188"/>
      <c r="BI832" s="188"/>
      <c r="BJ832" s="188"/>
      <c r="BK832" s="188"/>
      <c r="BM832" s="188"/>
      <c r="BN832" s="188"/>
      <c r="BO832" s="188"/>
      <c r="BP832" s="188"/>
      <c r="BQ832" s="188"/>
    </row>
    <row r="833" spans="45:69" x14ac:dyDescent="0.3">
      <c r="AV833" s="44"/>
      <c r="AW833" s="123"/>
      <c r="AX833" s="188"/>
      <c r="AY833" s="188"/>
      <c r="AZ833" s="188"/>
      <c r="BA833" s="160"/>
      <c r="BB833" s="188"/>
      <c r="BC833" s="219"/>
      <c r="BD833" s="219"/>
      <c r="BE833" s="160"/>
      <c r="BG833" s="188"/>
      <c r="BH833" s="188"/>
      <c r="BI833" s="188"/>
      <c r="BJ833" s="188"/>
      <c r="BK833" s="188"/>
      <c r="BM833" s="188"/>
      <c r="BN833" s="188"/>
      <c r="BO833" s="188"/>
      <c r="BP833" s="188"/>
      <c r="BQ833" s="188"/>
    </row>
    <row r="834" spans="45:69" x14ac:dyDescent="0.3">
      <c r="AV834" s="44"/>
      <c r="AW834" s="123"/>
      <c r="AX834" s="188"/>
      <c r="AY834" s="188"/>
      <c r="AZ834" s="188"/>
      <c r="BA834" s="160"/>
      <c r="BB834" s="188"/>
      <c r="BC834" s="219"/>
      <c r="BD834" s="219"/>
      <c r="BE834" s="160"/>
      <c r="BG834" s="188"/>
      <c r="BH834" s="188"/>
      <c r="BI834" s="188"/>
      <c r="BJ834" s="188"/>
      <c r="BK834" s="188"/>
      <c r="BM834" s="188"/>
      <c r="BN834" s="188"/>
      <c r="BO834" s="188"/>
      <c r="BP834" s="188"/>
      <c r="BQ834" s="188"/>
    </row>
    <row r="835" spans="45:69" x14ac:dyDescent="0.3">
      <c r="AV835" s="44"/>
      <c r="AW835" s="123"/>
      <c r="AX835" s="188"/>
      <c r="AY835" s="188"/>
      <c r="AZ835" s="188"/>
      <c r="BA835" s="160"/>
      <c r="BB835" s="188"/>
      <c r="BC835" s="219"/>
      <c r="BD835" s="219"/>
      <c r="BE835" s="160"/>
      <c r="BG835" s="188"/>
      <c r="BH835" s="188"/>
      <c r="BI835" s="188"/>
      <c r="BJ835" s="188"/>
      <c r="BK835" s="188"/>
      <c r="BM835" s="188"/>
      <c r="BN835" s="188"/>
      <c r="BO835" s="188"/>
      <c r="BP835" s="188"/>
      <c r="BQ835" s="188"/>
    </row>
    <row r="836" spans="45:69" x14ac:dyDescent="0.3">
      <c r="AV836" s="44"/>
      <c r="AW836" s="123"/>
      <c r="AX836" s="188"/>
      <c r="AY836" s="188"/>
      <c r="AZ836" s="188"/>
      <c r="BA836" s="160"/>
      <c r="BB836" s="188"/>
      <c r="BC836" s="219"/>
      <c r="BD836" s="219"/>
      <c r="BE836" s="160"/>
      <c r="BG836" s="188"/>
      <c r="BH836" s="188"/>
      <c r="BI836" s="188"/>
      <c r="BJ836" s="188"/>
      <c r="BK836" s="188"/>
      <c r="BM836" s="188"/>
      <c r="BN836" s="188"/>
      <c r="BO836" s="188"/>
      <c r="BP836" s="188"/>
      <c r="BQ836" s="188"/>
    </row>
    <row r="837" spans="45:69" x14ac:dyDescent="0.3">
      <c r="AV837" s="44"/>
      <c r="AW837" s="123"/>
      <c r="AX837" s="188"/>
      <c r="AY837" s="188"/>
      <c r="AZ837" s="188"/>
      <c r="BA837" s="160"/>
      <c r="BB837" s="188"/>
      <c r="BC837" s="219"/>
      <c r="BD837" s="219"/>
      <c r="BE837" s="160"/>
      <c r="BG837" s="188"/>
      <c r="BH837" s="188"/>
      <c r="BI837" s="188"/>
      <c r="BJ837" s="188"/>
      <c r="BK837" s="188"/>
      <c r="BM837" s="188"/>
      <c r="BN837" s="188"/>
      <c r="BO837" s="188"/>
      <c r="BP837" s="188"/>
      <c r="BQ837" s="188"/>
    </row>
    <row r="838" spans="45:69" x14ac:dyDescent="0.3">
      <c r="AV838" s="44"/>
      <c r="AW838" s="123"/>
      <c r="AX838" s="188"/>
      <c r="AY838" s="188"/>
      <c r="AZ838" s="188"/>
      <c r="BA838" s="160"/>
      <c r="BB838" s="188"/>
      <c r="BC838" s="219"/>
      <c r="BD838" s="219"/>
      <c r="BE838" s="160"/>
      <c r="BG838" s="188"/>
      <c r="BH838" s="188"/>
      <c r="BI838" s="188"/>
      <c r="BJ838" s="188"/>
      <c r="BK838" s="188"/>
      <c r="BM838" s="188"/>
      <c r="BN838" s="188"/>
      <c r="BO838" s="188"/>
      <c r="BP838" s="188"/>
      <c r="BQ838" s="188"/>
    </row>
    <row r="839" spans="45:69" x14ac:dyDescent="0.3">
      <c r="AY839" s="219"/>
      <c r="AZ839" s="188"/>
      <c r="BA839" s="160"/>
      <c r="BB839" s="188"/>
      <c r="BC839" s="219"/>
      <c r="BD839" s="219"/>
      <c r="BE839" s="160"/>
      <c r="BK839" s="188"/>
      <c r="BQ839" s="188"/>
    </row>
    <row r="840" spans="45:69" x14ac:dyDescent="0.3">
      <c r="AU840" s="42"/>
      <c r="AZ840" s="188"/>
      <c r="BB840" s="188"/>
      <c r="BG840" s="188"/>
      <c r="BH840" s="188"/>
      <c r="BJ840" s="188"/>
      <c r="BK840" s="188"/>
    </row>
    <row r="841" spans="45:69" x14ac:dyDescent="0.3">
      <c r="AZ841" s="188"/>
      <c r="BB841" s="188"/>
    </row>
    <row r="842" spans="45:69" x14ac:dyDescent="0.3">
      <c r="AS842" s="42"/>
      <c r="AZ842" s="188"/>
      <c r="BB842" s="188"/>
      <c r="BI842" s="188"/>
    </row>
    <row r="843" spans="45:69" x14ac:dyDescent="0.3">
      <c r="AZ843" s="188"/>
      <c r="BB843" s="188"/>
    </row>
    <row r="844" spans="45:69" x14ac:dyDescent="0.3">
      <c r="AY844" s="188"/>
      <c r="BB844" s="188"/>
    </row>
    <row r="845" spans="45:69" x14ac:dyDescent="0.3">
      <c r="AY845" s="42"/>
      <c r="AZ845" s="188"/>
      <c r="BB845" s="188"/>
    </row>
    <row r="846" spans="45:69" x14ac:dyDescent="0.3">
      <c r="AY846" s="42"/>
      <c r="AZ846" s="188"/>
      <c r="BB846" s="188"/>
    </row>
    <row r="847" spans="45:69" x14ac:dyDescent="0.3">
      <c r="AZ847" s="188"/>
      <c r="BB847" s="188"/>
      <c r="BD847" s="42"/>
    </row>
    <row r="848" spans="45:69" x14ac:dyDescent="0.3">
      <c r="AZ848" s="188"/>
      <c r="BB848" s="188"/>
      <c r="BD848" s="42"/>
    </row>
    <row r="849" spans="45:75" x14ac:dyDescent="0.3">
      <c r="AS849" s="42"/>
      <c r="AZ849" s="188"/>
      <c r="BB849" s="188"/>
      <c r="BD849" s="42"/>
    </row>
    <row r="850" spans="45:75" x14ac:dyDescent="0.3">
      <c r="AZ850" s="188"/>
      <c r="BB850" s="188"/>
    </row>
    <row r="851" spans="45:75" x14ac:dyDescent="0.3">
      <c r="AS851" s="135"/>
      <c r="AT851" s="135"/>
      <c r="AU851" s="135"/>
      <c r="AV851" s="135"/>
      <c r="AW851" s="135"/>
      <c r="AX851" s="135"/>
      <c r="AY851" s="135"/>
      <c r="AZ851" s="244"/>
      <c r="BA851" s="135"/>
      <c r="BB851" s="244"/>
      <c r="BC851" s="135"/>
      <c r="BD851" s="135"/>
      <c r="BE851" s="135"/>
    </row>
    <row r="852" spans="45:75" x14ac:dyDescent="0.3">
      <c r="AX852" s="42"/>
      <c r="AZ852" s="188"/>
      <c r="BB852" s="188"/>
    </row>
    <row r="853" spans="45:75" x14ac:dyDescent="0.3">
      <c r="AX853" s="135"/>
      <c r="AY853" s="135"/>
      <c r="AZ853" s="244"/>
      <c r="BA853" s="135"/>
      <c r="BB853" s="188"/>
      <c r="BC853" s="44"/>
      <c r="BD853" s="44"/>
    </row>
    <row r="854" spans="45:75" x14ac:dyDescent="0.3">
      <c r="AV854" s="44"/>
      <c r="AW854" s="44"/>
      <c r="AZ854" s="245"/>
      <c r="BA854" s="44"/>
      <c r="BB854" s="188"/>
      <c r="BC854" s="44"/>
      <c r="BD854" s="44"/>
      <c r="BE854" s="44"/>
      <c r="BG854" s="135"/>
      <c r="BH854" s="135"/>
      <c r="BI854" s="42"/>
      <c r="BM854" s="135"/>
      <c r="BN854" s="135"/>
      <c r="BP854" s="135"/>
      <c r="BQ854" s="135"/>
      <c r="BR854" s="42"/>
      <c r="BV854" s="135"/>
      <c r="BW854" s="135"/>
    </row>
    <row r="855" spans="45:75" x14ac:dyDescent="0.3">
      <c r="AV855" s="44"/>
      <c r="AW855" s="44"/>
      <c r="AX855" s="44"/>
      <c r="AY855" s="44"/>
      <c r="AZ855" s="245"/>
      <c r="BA855" s="44"/>
      <c r="BB855" s="245"/>
      <c r="BC855" s="44"/>
      <c r="BD855" s="44"/>
      <c r="BE855" s="44"/>
      <c r="BH855" s="44"/>
      <c r="BI855" s="44"/>
      <c r="BJ855" s="44"/>
      <c r="BK855" s="44"/>
      <c r="BL855" s="44"/>
      <c r="BM855" s="44"/>
      <c r="BQ855" s="44"/>
      <c r="BR855" s="44"/>
      <c r="BS855" s="44"/>
      <c r="BT855" s="44"/>
      <c r="BU855" s="44"/>
      <c r="BV855" s="44"/>
    </row>
    <row r="856" spans="45:75" x14ac:dyDescent="0.3">
      <c r="AS856" s="44"/>
      <c r="AU856" s="42"/>
      <c r="AV856" s="44"/>
      <c r="AW856" s="44"/>
      <c r="AX856" s="44"/>
      <c r="AY856" s="44"/>
      <c r="AZ856" s="245"/>
      <c r="BA856" s="44"/>
      <c r="BB856" s="245"/>
      <c r="BC856" s="44"/>
      <c r="BD856" s="44"/>
      <c r="BE856" s="44"/>
      <c r="BG856" s="44"/>
      <c r="BH856" s="44"/>
      <c r="BI856" s="44"/>
      <c r="BJ856" s="44"/>
      <c r="BK856" s="44"/>
      <c r="BL856" s="44"/>
      <c r="BM856" s="44"/>
      <c r="BN856" s="44"/>
      <c r="BP856" s="44"/>
      <c r="BQ856" s="44"/>
      <c r="BR856" s="44"/>
      <c r="BS856" s="44"/>
      <c r="BT856" s="44"/>
      <c r="BU856" s="44"/>
      <c r="BV856" s="44"/>
      <c r="BW856" s="44"/>
    </row>
    <row r="857" spans="45:75" x14ac:dyDescent="0.3">
      <c r="AS857" s="44"/>
      <c r="AU857" s="42"/>
      <c r="AV857" s="44"/>
      <c r="AW857" s="44"/>
      <c r="AX857" s="44"/>
      <c r="AY857" s="44"/>
      <c r="AZ857" s="245"/>
      <c r="BA857" s="44"/>
      <c r="BB857" s="245"/>
      <c r="BC857" s="44"/>
      <c r="BD857" s="44"/>
      <c r="BE857" s="44"/>
      <c r="BG857" s="44"/>
      <c r="BH857" s="44"/>
      <c r="BI857" s="44"/>
      <c r="BJ857" s="44"/>
      <c r="BK857" s="44"/>
      <c r="BL857" s="44"/>
      <c r="BM857" s="44"/>
      <c r="BN857" s="44"/>
      <c r="BP857" s="44"/>
      <c r="BQ857" s="44"/>
      <c r="BR857" s="44"/>
      <c r="BS857" s="44"/>
      <c r="BT857" s="44"/>
      <c r="BU857" s="44"/>
      <c r="BV857" s="44"/>
      <c r="BW857" s="44"/>
    </row>
    <row r="858" spans="45:75" x14ac:dyDescent="0.3">
      <c r="AS858" s="135"/>
      <c r="AT858" s="135"/>
      <c r="AU858" s="135"/>
      <c r="AV858" s="135"/>
      <c r="AW858" s="135"/>
      <c r="AX858" s="135"/>
      <c r="AY858" s="135"/>
      <c r="AZ858" s="244"/>
      <c r="BA858" s="135"/>
      <c r="BB858" s="244"/>
      <c r="BC858" s="135"/>
      <c r="BD858" s="135"/>
      <c r="BE858" s="135"/>
      <c r="BG858" s="135"/>
      <c r="BH858" s="135"/>
      <c r="BI858" s="135"/>
      <c r="BJ858" s="135"/>
      <c r="BK858" s="135"/>
      <c r="BL858" s="135"/>
      <c r="BM858" s="135"/>
      <c r="BN858" s="135"/>
      <c r="BP858" s="135"/>
      <c r="BQ858" s="135"/>
      <c r="BR858" s="135"/>
      <c r="BS858" s="135"/>
      <c r="BT858" s="135"/>
      <c r="BU858" s="135"/>
      <c r="BV858" s="135"/>
      <c r="BW858" s="135"/>
    </row>
    <row r="859" spans="45:75" x14ac:dyDescent="0.3">
      <c r="AV859" s="44"/>
      <c r="AW859" s="44"/>
      <c r="AX859" s="44"/>
      <c r="AY859" s="44"/>
      <c r="AZ859" s="245"/>
      <c r="BA859" s="44"/>
      <c r="BB859" s="245"/>
      <c r="BC859" s="44"/>
      <c r="BD859" s="44"/>
      <c r="BE859" s="44"/>
      <c r="BG859" s="188"/>
      <c r="BH859" s="188"/>
      <c r="BI859" s="188"/>
      <c r="BJ859" s="188"/>
      <c r="BK859" s="188"/>
      <c r="BL859" s="188"/>
      <c r="BM859" s="188"/>
      <c r="BN859" s="188"/>
      <c r="BO859" s="188"/>
      <c r="BP859" s="188"/>
      <c r="BQ859" s="188"/>
      <c r="BR859" s="188"/>
      <c r="BS859" s="188"/>
      <c r="BT859" s="188"/>
      <c r="BU859" s="188"/>
      <c r="BV859" s="188"/>
      <c r="BW859" s="188"/>
    </row>
    <row r="860" spans="45:75" x14ac:dyDescent="0.3">
      <c r="AU860" s="42"/>
      <c r="AW860" s="123"/>
      <c r="AX860" s="188"/>
      <c r="AY860" s="188"/>
      <c r="AZ860" s="188"/>
      <c r="BA860" s="236"/>
      <c r="BB860" s="188"/>
      <c r="BC860" s="188"/>
      <c r="BD860" s="188"/>
      <c r="BE860" s="236"/>
      <c r="BG860" s="188"/>
      <c r="BH860" s="188"/>
      <c r="BI860" s="188"/>
      <c r="BJ860" s="188"/>
      <c r="BK860" s="188"/>
      <c r="BL860" s="188"/>
      <c r="BM860" s="188"/>
      <c r="BN860" s="188"/>
      <c r="BO860" s="188"/>
      <c r="BP860" s="188"/>
      <c r="BQ860" s="188"/>
      <c r="BR860" s="188"/>
      <c r="BS860" s="188"/>
      <c r="BT860" s="188"/>
      <c r="BU860" s="188"/>
      <c r="BV860" s="188"/>
      <c r="BW860" s="188"/>
    </row>
    <row r="861" spans="45:75" x14ac:dyDescent="0.3">
      <c r="AW861" s="123"/>
      <c r="AX861" s="188"/>
      <c r="AY861" s="188"/>
      <c r="AZ861" s="188"/>
      <c r="BA861" s="236"/>
      <c r="BB861" s="188"/>
      <c r="BC861" s="188"/>
      <c r="BD861" s="188"/>
      <c r="BE861" s="236"/>
      <c r="BG861" s="188"/>
      <c r="BH861" s="188"/>
      <c r="BI861" s="188"/>
      <c r="BJ861" s="188"/>
      <c r="BK861" s="188"/>
      <c r="BL861" s="188"/>
      <c r="BM861" s="188"/>
      <c r="BN861" s="188"/>
      <c r="BO861" s="188"/>
      <c r="BP861" s="188"/>
      <c r="BQ861" s="188"/>
      <c r="BR861" s="188"/>
      <c r="BS861" s="188"/>
      <c r="BT861" s="188"/>
      <c r="BU861" s="188"/>
      <c r="BV861" s="188"/>
      <c r="BW861" s="188"/>
    </row>
    <row r="862" spans="45:75" x14ac:dyDescent="0.3">
      <c r="AW862" s="123"/>
      <c r="AX862" s="188"/>
      <c r="AY862" s="188"/>
      <c r="AZ862" s="188"/>
      <c r="BA862" s="236"/>
      <c r="BB862" s="188"/>
      <c r="BC862" s="188"/>
      <c r="BD862" s="188"/>
      <c r="BE862" s="236"/>
      <c r="BG862" s="188"/>
      <c r="BH862" s="188"/>
      <c r="BI862" s="188"/>
      <c r="BJ862" s="188"/>
      <c r="BK862" s="188"/>
      <c r="BL862" s="188"/>
      <c r="BM862" s="188"/>
      <c r="BN862" s="188"/>
      <c r="BO862" s="188"/>
      <c r="BP862" s="188"/>
      <c r="BQ862" s="188"/>
      <c r="BR862" s="188"/>
      <c r="BS862" s="188"/>
      <c r="BT862" s="188"/>
      <c r="BU862" s="188"/>
      <c r="BV862" s="188"/>
      <c r="BW862" s="188"/>
    </row>
    <row r="863" spans="45:75" x14ac:dyDescent="0.3">
      <c r="AW863" s="123"/>
      <c r="AX863" s="188"/>
      <c r="AY863" s="188"/>
      <c r="AZ863" s="188"/>
      <c r="BA863" s="236"/>
      <c r="BB863" s="188"/>
      <c r="BC863" s="188"/>
      <c r="BD863" s="188"/>
      <c r="BE863" s="236"/>
      <c r="BG863" s="188"/>
      <c r="BH863" s="188"/>
      <c r="BI863" s="188"/>
      <c r="BJ863" s="188"/>
      <c r="BK863" s="188"/>
      <c r="BL863" s="188"/>
      <c r="BM863" s="188"/>
      <c r="BN863" s="188"/>
      <c r="BO863" s="188"/>
      <c r="BP863" s="188"/>
      <c r="BQ863" s="188"/>
      <c r="BR863" s="188"/>
      <c r="BS863" s="188"/>
      <c r="BT863" s="188"/>
      <c r="BU863" s="188"/>
      <c r="BV863" s="188"/>
      <c r="BW863" s="188"/>
    </row>
    <row r="864" spans="45:75" x14ac:dyDescent="0.3">
      <c r="AW864" s="123"/>
      <c r="AX864" s="188"/>
      <c r="AY864" s="188"/>
      <c r="AZ864" s="188"/>
      <c r="BA864" s="236"/>
      <c r="BB864" s="188"/>
      <c r="BC864" s="188"/>
      <c r="BD864" s="188"/>
      <c r="BE864" s="236"/>
      <c r="BG864" s="188"/>
      <c r="BH864" s="188"/>
      <c r="BI864" s="188"/>
      <c r="BJ864" s="188"/>
      <c r="BK864" s="188"/>
      <c r="BL864" s="188"/>
      <c r="BM864" s="188"/>
      <c r="BN864" s="188"/>
      <c r="BO864" s="188"/>
      <c r="BP864" s="188"/>
      <c r="BQ864" s="188"/>
      <c r="BR864" s="188"/>
      <c r="BS864" s="188"/>
      <c r="BT864" s="188"/>
      <c r="BU864" s="188"/>
      <c r="BV864" s="188"/>
      <c r="BW864" s="188"/>
    </row>
    <row r="865" spans="49:75" x14ac:dyDescent="0.3">
      <c r="AW865" s="123"/>
      <c r="AX865" s="188"/>
      <c r="AY865" s="188"/>
      <c r="AZ865" s="188"/>
      <c r="BA865" s="236"/>
      <c r="BB865" s="188"/>
      <c r="BC865" s="188"/>
      <c r="BD865" s="188"/>
      <c r="BE865" s="236"/>
      <c r="BG865" s="188"/>
      <c r="BH865" s="188"/>
      <c r="BI865" s="188"/>
      <c r="BJ865" s="188"/>
      <c r="BK865" s="188"/>
      <c r="BL865" s="188"/>
      <c r="BM865" s="188"/>
      <c r="BN865" s="188"/>
      <c r="BO865" s="188"/>
      <c r="BP865" s="188"/>
      <c r="BQ865" s="188"/>
      <c r="BR865" s="188"/>
      <c r="BS865" s="188"/>
      <c r="BT865" s="188"/>
      <c r="BU865" s="188"/>
      <c r="BV865" s="188"/>
      <c r="BW865" s="188"/>
    </row>
    <row r="866" spans="49:75" x14ac:dyDescent="0.3">
      <c r="AW866" s="123"/>
      <c r="AX866" s="188"/>
      <c r="AY866" s="188"/>
      <c r="AZ866" s="188"/>
      <c r="BA866" s="236"/>
      <c r="BB866" s="188"/>
      <c r="BC866" s="188"/>
      <c r="BD866" s="188"/>
      <c r="BE866" s="236"/>
      <c r="BG866" s="188"/>
      <c r="BH866" s="188"/>
      <c r="BI866" s="188"/>
      <c r="BJ866" s="188"/>
      <c r="BK866" s="188"/>
      <c r="BL866" s="188"/>
      <c r="BM866" s="188"/>
      <c r="BN866" s="188"/>
      <c r="BO866" s="188"/>
      <c r="BP866" s="188"/>
      <c r="BQ866" s="188"/>
      <c r="BR866" s="188"/>
      <c r="BS866" s="188"/>
      <c r="BT866" s="188"/>
      <c r="BU866" s="188"/>
      <c r="BV866" s="188"/>
      <c r="BW866" s="188"/>
    </row>
    <row r="867" spans="49:75" x14ac:dyDescent="0.3">
      <c r="AW867" s="123"/>
      <c r="AX867" s="188"/>
      <c r="AY867" s="188"/>
      <c r="AZ867" s="188"/>
      <c r="BA867" s="236"/>
      <c r="BB867" s="188"/>
      <c r="BC867" s="188"/>
      <c r="BD867" s="188"/>
      <c r="BE867" s="236"/>
      <c r="BG867" s="188"/>
      <c r="BH867" s="188"/>
      <c r="BI867" s="188"/>
      <c r="BJ867" s="188"/>
      <c r="BK867" s="188"/>
      <c r="BL867" s="188"/>
      <c r="BM867" s="188"/>
      <c r="BN867" s="188"/>
      <c r="BO867" s="188"/>
      <c r="BP867" s="188"/>
      <c r="BQ867" s="188"/>
      <c r="BR867" s="188"/>
      <c r="BS867" s="188"/>
      <c r="BT867" s="188"/>
      <c r="BU867" s="188"/>
      <c r="BV867" s="188"/>
      <c r="BW867" s="188"/>
    </row>
    <row r="868" spans="49:75" x14ac:dyDescent="0.3">
      <c r="AW868" s="123"/>
      <c r="AX868" s="188"/>
      <c r="AY868" s="188"/>
      <c r="AZ868" s="188"/>
      <c r="BA868" s="236"/>
      <c r="BB868" s="188"/>
      <c r="BC868" s="188"/>
      <c r="BD868" s="188"/>
      <c r="BE868" s="236"/>
      <c r="BG868" s="188"/>
      <c r="BH868" s="188"/>
      <c r="BI868" s="188"/>
      <c r="BJ868" s="188"/>
      <c r="BK868" s="188"/>
      <c r="BL868" s="188"/>
      <c r="BM868" s="188"/>
      <c r="BN868" s="188"/>
      <c r="BO868" s="188"/>
      <c r="BP868" s="188"/>
      <c r="BQ868" s="188"/>
      <c r="BR868" s="188"/>
      <c r="BS868" s="188"/>
      <c r="BT868" s="188"/>
      <c r="BU868" s="188"/>
      <c r="BV868" s="188"/>
      <c r="BW868" s="188"/>
    </row>
    <row r="869" spans="49:75" x14ac:dyDescent="0.3">
      <c r="AW869" s="123"/>
      <c r="AX869" s="188"/>
      <c r="AY869" s="188"/>
      <c r="AZ869" s="188"/>
      <c r="BA869" s="236"/>
      <c r="BB869" s="188"/>
      <c r="BC869" s="188"/>
      <c r="BD869" s="188"/>
      <c r="BE869" s="236"/>
      <c r="BG869" s="188"/>
      <c r="BH869" s="188"/>
      <c r="BI869" s="188"/>
      <c r="BJ869" s="188"/>
      <c r="BK869" s="188"/>
      <c r="BL869" s="188"/>
      <c r="BM869" s="188"/>
      <c r="BN869" s="188"/>
      <c r="BO869" s="188"/>
      <c r="BP869" s="188"/>
      <c r="BQ869" s="188"/>
      <c r="BR869" s="188"/>
      <c r="BS869" s="188"/>
      <c r="BT869" s="188"/>
      <c r="BU869" s="188"/>
      <c r="BV869" s="188"/>
      <c r="BW869" s="188"/>
    </row>
    <row r="870" spans="49:75" x14ac:dyDescent="0.3">
      <c r="AW870" s="123"/>
      <c r="AX870" s="188"/>
      <c r="AY870" s="188"/>
      <c r="AZ870" s="188"/>
      <c r="BA870" s="236"/>
      <c r="BB870" s="188"/>
      <c r="BC870" s="188"/>
      <c r="BD870" s="188"/>
      <c r="BE870" s="236"/>
      <c r="BG870" s="188"/>
      <c r="BH870" s="188"/>
      <c r="BI870" s="188"/>
      <c r="BJ870" s="188"/>
      <c r="BK870" s="188"/>
      <c r="BL870" s="188"/>
      <c r="BM870" s="188"/>
      <c r="BN870" s="188"/>
      <c r="BO870" s="188"/>
      <c r="BP870" s="188"/>
      <c r="BQ870" s="188"/>
      <c r="BR870" s="188"/>
      <c r="BS870" s="188"/>
      <c r="BT870" s="188"/>
      <c r="BU870" s="188"/>
      <c r="BV870" s="188"/>
      <c r="BW870" s="188"/>
    </row>
    <row r="871" spans="49:75" x14ac:dyDescent="0.3">
      <c r="AW871" s="123"/>
      <c r="AX871" s="188"/>
      <c r="AY871" s="188"/>
      <c r="AZ871" s="188"/>
      <c r="BA871" s="236"/>
      <c r="BB871" s="188"/>
      <c r="BC871" s="188"/>
      <c r="BD871" s="188"/>
      <c r="BE871" s="236"/>
      <c r="BG871" s="188"/>
      <c r="BH871" s="188"/>
      <c r="BI871" s="188"/>
      <c r="BJ871" s="188"/>
      <c r="BK871" s="188"/>
      <c r="BL871" s="188"/>
      <c r="BM871" s="188"/>
      <c r="BN871" s="188"/>
      <c r="BO871" s="188"/>
      <c r="BP871" s="188"/>
      <c r="BQ871" s="188"/>
      <c r="BR871" s="188"/>
      <c r="BS871" s="188"/>
      <c r="BT871" s="188"/>
      <c r="BU871" s="188"/>
      <c r="BV871" s="188"/>
      <c r="BW871" s="188"/>
    </row>
    <row r="872" spans="49:75" x14ac:dyDescent="0.3">
      <c r="AW872" s="123"/>
      <c r="AX872" s="188"/>
      <c r="AY872" s="188"/>
      <c r="AZ872" s="188"/>
      <c r="BA872" s="236"/>
      <c r="BB872" s="188"/>
      <c r="BC872" s="188"/>
      <c r="BD872" s="188"/>
      <c r="BE872" s="236"/>
      <c r="BG872" s="188"/>
      <c r="BH872" s="188"/>
      <c r="BI872" s="188"/>
      <c r="BJ872" s="188"/>
      <c r="BK872" s="188"/>
      <c r="BL872" s="188"/>
      <c r="BM872" s="188"/>
      <c r="BN872" s="188"/>
      <c r="BO872" s="188"/>
      <c r="BP872" s="188"/>
      <c r="BQ872" s="188"/>
      <c r="BR872" s="188"/>
      <c r="BS872" s="188"/>
      <c r="BT872" s="188"/>
      <c r="BU872" s="188"/>
      <c r="BV872" s="188"/>
      <c r="BW872" s="188"/>
    </row>
    <row r="873" spans="49:75" x14ac:dyDescent="0.3">
      <c r="AW873" s="123"/>
      <c r="AX873" s="188"/>
      <c r="AY873" s="188"/>
      <c r="AZ873" s="188"/>
      <c r="BA873" s="236"/>
      <c r="BB873" s="188"/>
      <c r="BC873" s="188"/>
      <c r="BD873" s="188"/>
      <c r="BE873" s="236"/>
      <c r="BG873" s="188"/>
      <c r="BH873" s="188"/>
      <c r="BI873" s="188"/>
      <c r="BJ873" s="188"/>
      <c r="BK873" s="188"/>
      <c r="BL873" s="188"/>
      <c r="BM873" s="188"/>
      <c r="BN873" s="188"/>
      <c r="BO873" s="188"/>
      <c r="BP873" s="188"/>
      <c r="BQ873" s="188"/>
      <c r="BR873" s="188"/>
      <c r="BS873" s="188"/>
      <c r="BT873" s="188"/>
      <c r="BU873" s="188"/>
      <c r="BV873" s="188"/>
      <c r="BW873" s="188"/>
    </row>
    <row r="874" spans="49:75" x14ac:dyDescent="0.3">
      <c r="AW874" s="123"/>
      <c r="AX874" s="188"/>
      <c r="AY874" s="188"/>
      <c r="AZ874" s="188"/>
      <c r="BA874" s="236"/>
      <c r="BB874" s="188"/>
      <c r="BC874" s="188"/>
      <c r="BD874" s="188"/>
      <c r="BE874" s="236"/>
      <c r="BG874" s="188"/>
      <c r="BH874" s="188"/>
      <c r="BI874" s="188"/>
      <c r="BJ874" s="188"/>
      <c r="BK874" s="188"/>
      <c r="BL874" s="188"/>
      <c r="BM874" s="188"/>
      <c r="BN874" s="188"/>
      <c r="BO874" s="188"/>
      <c r="BP874" s="188"/>
      <c r="BQ874" s="188"/>
      <c r="BR874" s="188"/>
      <c r="BS874" s="188"/>
      <c r="BT874" s="188"/>
      <c r="BU874" s="188"/>
      <c r="BV874" s="188"/>
      <c r="BW874" s="188"/>
    </row>
    <row r="875" spans="49:75" x14ac:dyDescent="0.3">
      <c r="AW875" s="123"/>
      <c r="AX875" s="188"/>
      <c r="AY875" s="188"/>
      <c r="AZ875" s="188"/>
      <c r="BA875" s="236"/>
      <c r="BB875" s="188"/>
      <c r="BC875" s="188"/>
      <c r="BD875" s="188"/>
      <c r="BE875" s="236"/>
      <c r="BG875" s="188"/>
      <c r="BH875" s="188"/>
      <c r="BI875" s="188"/>
      <c r="BJ875" s="188"/>
      <c r="BK875" s="188"/>
      <c r="BL875" s="188"/>
      <c r="BM875" s="188"/>
      <c r="BN875" s="188"/>
      <c r="BO875" s="188"/>
      <c r="BP875" s="188"/>
      <c r="BQ875" s="188"/>
      <c r="BR875" s="188"/>
      <c r="BS875" s="188"/>
      <c r="BT875" s="188"/>
      <c r="BU875" s="188"/>
      <c r="BV875" s="188"/>
      <c r="BW875" s="188"/>
    </row>
    <row r="876" spans="49:75" x14ac:dyDescent="0.3">
      <c r="AW876" s="123"/>
      <c r="AX876" s="188"/>
      <c r="AY876" s="188"/>
      <c r="AZ876" s="188"/>
      <c r="BA876" s="236"/>
      <c r="BB876" s="188"/>
      <c r="BC876" s="188"/>
      <c r="BD876" s="188"/>
      <c r="BE876" s="236"/>
      <c r="BG876" s="188"/>
      <c r="BH876" s="188"/>
      <c r="BI876" s="188"/>
      <c r="BJ876" s="188"/>
      <c r="BK876" s="188"/>
      <c r="BL876" s="188"/>
      <c r="BM876" s="188"/>
      <c r="BN876" s="188"/>
      <c r="BO876" s="188"/>
      <c r="BP876" s="188"/>
      <c r="BQ876" s="188"/>
      <c r="BR876" s="188"/>
      <c r="BS876" s="188"/>
      <c r="BT876" s="188"/>
      <c r="BU876" s="188"/>
      <c r="BV876" s="188"/>
      <c r="BW876" s="188"/>
    </row>
    <row r="877" spans="49:75" x14ac:dyDescent="0.3">
      <c r="AW877" s="123"/>
      <c r="AX877" s="188"/>
      <c r="AY877" s="188"/>
      <c r="AZ877" s="188"/>
      <c r="BA877" s="236"/>
      <c r="BB877" s="188"/>
      <c r="BC877" s="188"/>
      <c r="BD877" s="188"/>
      <c r="BE877" s="236"/>
      <c r="BG877" s="188"/>
      <c r="BH877" s="188"/>
      <c r="BI877" s="188"/>
      <c r="BJ877" s="188"/>
      <c r="BK877" s="188"/>
      <c r="BL877" s="188"/>
      <c r="BM877" s="188"/>
      <c r="BN877" s="188"/>
      <c r="BO877" s="188"/>
      <c r="BP877" s="188"/>
      <c r="BQ877" s="188"/>
      <c r="BR877" s="188"/>
      <c r="BS877" s="188"/>
      <c r="BT877" s="188"/>
      <c r="BU877" s="188"/>
      <c r="BV877" s="188"/>
      <c r="BW877" s="188"/>
    </row>
    <row r="878" spans="49:75" x14ac:dyDescent="0.3">
      <c r="AW878" s="123"/>
      <c r="AX878" s="188"/>
      <c r="AY878" s="188"/>
      <c r="AZ878" s="188"/>
      <c r="BA878" s="236"/>
      <c r="BB878" s="188"/>
      <c r="BC878" s="188"/>
      <c r="BD878" s="188"/>
      <c r="BE878" s="236"/>
      <c r="BG878" s="188"/>
      <c r="BH878" s="188"/>
      <c r="BI878" s="188"/>
      <c r="BJ878" s="188"/>
      <c r="BK878" s="188"/>
      <c r="BL878" s="188"/>
      <c r="BM878" s="188"/>
      <c r="BN878" s="188"/>
      <c r="BO878" s="188"/>
      <c r="BP878" s="188"/>
      <c r="BQ878" s="188"/>
      <c r="BR878" s="188"/>
      <c r="BS878" s="188"/>
      <c r="BT878" s="188"/>
      <c r="BU878" s="188"/>
      <c r="BV878" s="188"/>
      <c r="BW878" s="188"/>
    </row>
    <row r="879" spans="49:75" x14ac:dyDescent="0.3">
      <c r="AW879" s="123"/>
      <c r="AX879" s="188"/>
      <c r="AY879" s="188"/>
      <c r="AZ879" s="188"/>
      <c r="BA879" s="236"/>
      <c r="BB879" s="188"/>
      <c r="BC879" s="188"/>
      <c r="BD879" s="188"/>
      <c r="BE879" s="236"/>
      <c r="BG879" s="188"/>
      <c r="BH879" s="188"/>
      <c r="BI879" s="188"/>
      <c r="BJ879" s="188"/>
      <c r="BK879" s="188"/>
      <c r="BL879" s="188"/>
      <c r="BM879" s="188"/>
      <c r="BN879" s="188"/>
      <c r="BO879" s="188"/>
      <c r="BP879" s="188"/>
      <c r="BQ879" s="188"/>
      <c r="BR879" s="188"/>
      <c r="BS879" s="188"/>
      <c r="BT879" s="188"/>
      <c r="BU879" s="188"/>
      <c r="BV879" s="188"/>
      <c r="BW879" s="188"/>
    </row>
    <row r="880" spans="49:75" x14ac:dyDescent="0.3">
      <c r="AW880" s="123"/>
      <c r="AX880" s="188"/>
      <c r="AY880" s="188"/>
      <c r="AZ880" s="188"/>
      <c r="BA880" s="236"/>
      <c r="BB880" s="188"/>
      <c r="BC880" s="188"/>
      <c r="BD880" s="188"/>
      <c r="BE880" s="236"/>
      <c r="BG880" s="188"/>
      <c r="BH880" s="188"/>
      <c r="BI880" s="188"/>
      <c r="BJ880" s="188"/>
      <c r="BK880" s="188"/>
      <c r="BL880" s="188"/>
      <c r="BM880" s="188"/>
      <c r="BN880" s="188"/>
      <c r="BO880" s="188"/>
      <c r="BP880" s="188"/>
      <c r="BQ880" s="188"/>
      <c r="BR880" s="188"/>
      <c r="BS880" s="188"/>
      <c r="BT880" s="188"/>
      <c r="BU880" s="188"/>
      <c r="BV880" s="188"/>
      <c r="BW880" s="188"/>
    </row>
    <row r="881" spans="45:75" x14ac:dyDescent="0.3">
      <c r="AW881" s="123"/>
      <c r="AX881" s="188"/>
      <c r="AY881" s="188"/>
      <c r="AZ881" s="188"/>
      <c r="BA881" s="236"/>
      <c r="BB881" s="188"/>
      <c r="BC881" s="188"/>
      <c r="BD881" s="188"/>
      <c r="BE881" s="236"/>
      <c r="BG881" s="135"/>
      <c r="BH881" s="135"/>
      <c r="BI881" s="42"/>
      <c r="BM881" s="135"/>
      <c r="BN881" s="135"/>
      <c r="BO881" s="188"/>
      <c r="BP881" s="135"/>
      <c r="BQ881" s="135"/>
      <c r="BR881" s="42"/>
      <c r="BV881" s="135"/>
      <c r="BW881" s="135"/>
    </row>
    <row r="882" spans="45:75" x14ac:dyDescent="0.3">
      <c r="AU882" s="42"/>
      <c r="AV882" s="44"/>
      <c r="AW882" s="123"/>
      <c r="AX882" s="188"/>
      <c r="AY882" s="188"/>
      <c r="AZ882" s="188"/>
      <c r="BA882" s="236"/>
      <c r="BB882" s="188"/>
      <c r="BC882" s="188"/>
      <c r="BD882" s="188"/>
      <c r="BE882" s="236"/>
      <c r="BG882" s="245"/>
      <c r="BH882" s="188"/>
      <c r="BI882" s="188"/>
      <c r="BJ882" s="188"/>
      <c r="BK882" s="245"/>
      <c r="BL882" s="246"/>
      <c r="BM882" s="188"/>
      <c r="BN882" s="245"/>
      <c r="BO882" s="188"/>
      <c r="BP882" s="245"/>
      <c r="BQ882" s="188"/>
      <c r="BR882" s="188"/>
      <c r="BS882" s="188"/>
      <c r="BT882" s="245"/>
      <c r="BU882" s="246"/>
      <c r="BV882" s="188"/>
      <c r="BW882" s="245"/>
    </row>
    <row r="883" spans="45:75" x14ac:dyDescent="0.3">
      <c r="AV883" s="44"/>
      <c r="AW883" s="123"/>
      <c r="AX883" s="188"/>
      <c r="AY883" s="188"/>
      <c r="AZ883" s="188"/>
      <c r="BA883" s="236"/>
      <c r="BB883" s="188"/>
      <c r="BC883" s="188"/>
      <c r="BD883" s="188"/>
      <c r="BE883" s="236"/>
      <c r="BG883" s="188"/>
      <c r="BH883" s="188"/>
      <c r="BI883" s="188"/>
      <c r="BJ883" s="188"/>
      <c r="BK883" s="188"/>
      <c r="BL883" s="246"/>
      <c r="BM883" s="188"/>
      <c r="BN883" s="188"/>
      <c r="BO883" s="188"/>
      <c r="BP883" s="188"/>
      <c r="BQ883" s="188"/>
      <c r="BR883" s="188"/>
      <c r="BS883" s="188"/>
      <c r="BT883" s="188"/>
      <c r="BU883" s="246"/>
      <c r="BV883" s="188"/>
      <c r="BW883" s="188"/>
    </row>
    <row r="884" spans="45:75" x14ac:dyDescent="0.3">
      <c r="AV884" s="44"/>
      <c r="AW884" s="123"/>
      <c r="AX884" s="188"/>
      <c r="AY884" s="188"/>
      <c r="AZ884" s="188"/>
      <c r="BA884" s="236"/>
      <c r="BB884" s="188"/>
      <c r="BC884" s="188"/>
      <c r="BD884" s="188"/>
      <c r="BE884" s="236"/>
      <c r="BG884" s="188"/>
      <c r="BH884" s="188"/>
      <c r="BI884" s="188"/>
      <c r="BJ884" s="188"/>
      <c r="BK884" s="188"/>
      <c r="BL884" s="246"/>
      <c r="BM884" s="188"/>
      <c r="BN884" s="188"/>
      <c r="BO884" s="188"/>
      <c r="BP884" s="188"/>
      <c r="BQ884" s="188"/>
      <c r="BR884" s="188"/>
      <c r="BS884" s="188"/>
      <c r="BT884" s="188"/>
      <c r="BU884" s="246"/>
      <c r="BV884" s="188"/>
      <c r="BW884" s="188"/>
    </row>
    <row r="885" spans="45:75" x14ac:dyDescent="0.3">
      <c r="AV885" s="44"/>
      <c r="AW885" s="123"/>
      <c r="AX885" s="188"/>
      <c r="AY885" s="188"/>
      <c r="AZ885" s="188"/>
      <c r="BA885" s="236"/>
      <c r="BB885" s="188"/>
      <c r="BC885" s="188"/>
      <c r="BD885" s="188"/>
      <c r="BE885" s="236"/>
      <c r="BG885" s="188"/>
      <c r="BH885" s="188"/>
      <c r="BI885" s="188"/>
      <c r="BJ885" s="188"/>
      <c r="BK885" s="188"/>
      <c r="BL885" s="246"/>
      <c r="BM885" s="188"/>
      <c r="BN885" s="188"/>
      <c r="BO885" s="188"/>
      <c r="BP885" s="188"/>
      <c r="BQ885" s="188"/>
      <c r="BR885" s="188"/>
      <c r="BS885" s="188"/>
      <c r="BT885" s="188"/>
      <c r="BU885" s="246"/>
      <c r="BV885" s="188"/>
      <c r="BW885" s="188"/>
    </row>
    <row r="886" spans="45:75" x14ac:dyDescent="0.3">
      <c r="AX886" s="188"/>
      <c r="AY886" s="188"/>
      <c r="AZ886" s="188"/>
      <c r="BA886" s="236"/>
      <c r="BB886" s="188"/>
      <c r="BC886" s="188"/>
      <c r="BD886" s="188"/>
      <c r="BE886" s="236"/>
      <c r="BG886" s="188"/>
      <c r="BH886" s="188"/>
      <c r="BI886" s="188"/>
      <c r="BJ886" s="188"/>
      <c r="BK886" s="188"/>
      <c r="BL886" s="188"/>
      <c r="BM886" s="188"/>
      <c r="BN886" s="188"/>
      <c r="BO886" s="188"/>
      <c r="BP886" s="188"/>
      <c r="BQ886" s="188"/>
      <c r="BR886" s="188"/>
      <c r="BS886" s="188"/>
      <c r="BT886" s="188"/>
      <c r="BU886" s="188"/>
      <c r="BV886" s="188"/>
    </row>
    <row r="887" spans="45:75" x14ac:dyDescent="0.3">
      <c r="AU887" s="42"/>
    </row>
    <row r="888" spans="45:75" x14ac:dyDescent="0.3">
      <c r="AU888" s="42"/>
      <c r="AZ888" s="188"/>
      <c r="BA888" s="236"/>
      <c r="BB888" s="188"/>
      <c r="BC888" s="188"/>
      <c r="BD888" s="188"/>
      <c r="BE888" s="236"/>
      <c r="BG888" s="188"/>
      <c r="BH888" s="188"/>
      <c r="BI888" s="188"/>
      <c r="BJ888" s="188"/>
      <c r="BK888" s="188"/>
      <c r="BL888" s="188"/>
      <c r="BM888" s="188"/>
      <c r="BN888" s="188"/>
      <c r="BO888" s="188"/>
      <c r="BP888" s="188"/>
      <c r="BQ888" s="188"/>
      <c r="BR888" s="188"/>
      <c r="BS888" s="188"/>
      <c r="BT888" s="188"/>
      <c r="BU888" s="188"/>
      <c r="BV888" s="188"/>
    </row>
    <row r="889" spans="45:75" x14ac:dyDescent="0.3">
      <c r="AS889" s="42"/>
      <c r="AZ889" s="188"/>
      <c r="BB889" s="188"/>
    </row>
    <row r="890" spans="45:75" x14ac:dyDescent="0.3">
      <c r="AZ890" s="188"/>
      <c r="BB890" s="188"/>
      <c r="BO890" s="188"/>
      <c r="BP890" s="188"/>
      <c r="BQ890" s="188"/>
      <c r="BR890" s="188"/>
      <c r="BS890" s="188"/>
      <c r="BT890" s="188"/>
      <c r="BU890" s="188"/>
      <c r="BV890" s="188"/>
    </row>
    <row r="891" spans="45:75" x14ac:dyDescent="0.3">
      <c r="AY891" s="188"/>
      <c r="AZ891" s="188"/>
      <c r="BB891" s="188"/>
      <c r="BO891" s="188"/>
      <c r="BP891" s="188"/>
      <c r="BQ891" s="188"/>
      <c r="BR891" s="188"/>
      <c r="BS891" s="188"/>
      <c r="BT891" s="188"/>
      <c r="BU891" s="188"/>
      <c r="BV891" s="188"/>
    </row>
    <row r="892" spans="45:75" x14ac:dyDescent="0.3">
      <c r="AY892" s="42"/>
      <c r="AZ892" s="188"/>
      <c r="BB892" s="188"/>
      <c r="BO892" s="188"/>
      <c r="BP892" s="188"/>
      <c r="BQ892" s="188"/>
      <c r="BR892" s="188"/>
      <c r="BS892" s="188"/>
      <c r="BT892" s="188"/>
      <c r="BU892" s="188"/>
      <c r="BV892" s="188"/>
    </row>
    <row r="893" spans="45:75" x14ac:dyDescent="0.3">
      <c r="AY893" s="42"/>
      <c r="AZ893" s="188"/>
      <c r="BB893" s="188"/>
      <c r="BO893" s="188"/>
      <c r="BP893" s="188"/>
      <c r="BQ893" s="188"/>
      <c r="BR893" s="188"/>
      <c r="BS893" s="188"/>
      <c r="BT893" s="188"/>
      <c r="BU893" s="188"/>
      <c r="BV893" s="188"/>
    </row>
    <row r="894" spans="45:75" x14ac:dyDescent="0.3">
      <c r="AZ894" s="188"/>
      <c r="BB894" s="188"/>
      <c r="BD894" s="42"/>
      <c r="BO894" s="188"/>
      <c r="BP894" s="188"/>
      <c r="BQ894" s="188"/>
      <c r="BR894" s="188"/>
      <c r="BS894" s="188"/>
      <c r="BT894" s="188"/>
      <c r="BU894" s="188"/>
      <c r="BV894" s="188"/>
    </row>
    <row r="895" spans="45:75" x14ac:dyDescent="0.3">
      <c r="AZ895" s="188"/>
      <c r="BB895" s="188"/>
      <c r="BD895" s="42"/>
      <c r="BO895" s="188"/>
      <c r="BP895" s="188"/>
      <c r="BQ895" s="188"/>
      <c r="BR895" s="188"/>
      <c r="BS895" s="188"/>
      <c r="BT895" s="188"/>
      <c r="BU895" s="188"/>
      <c r="BV895" s="188"/>
    </row>
    <row r="896" spans="45:75" x14ac:dyDescent="0.3">
      <c r="AS896" s="42"/>
      <c r="AZ896" s="188"/>
      <c r="BB896" s="188"/>
      <c r="BD896" s="42"/>
      <c r="BO896" s="188"/>
      <c r="BP896" s="188"/>
      <c r="BQ896" s="188"/>
      <c r="BR896" s="188"/>
      <c r="BS896" s="188"/>
      <c r="BT896" s="188"/>
      <c r="BU896" s="188"/>
      <c r="BV896" s="188"/>
    </row>
    <row r="897" spans="45:74" x14ac:dyDescent="0.3">
      <c r="AZ897" s="188"/>
      <c r="BB897" s="188"/>
      <c r="BO897" s="188"/>
      <c r="BP897" s="188"/>
      <c r="BQ897" s="188"/>
      <c r="BR897" s="188"/>
      <c r="BS897" s="188"/>
      <c r="BT897" s="188"/>
      <c r="BU897" s="188"/>
      <c r="BV897" s="188"/>
    </row>
    <row r="898" spans="45:74" x14ac:dyDescent="0.3">
      <c r="AS898" s="135"/>
      <c r="AT898" s="135"/>
      <c r="AU898" s="135"/>
      <c r="AV898" s="135"/>
      <c r="AW898" s="135"/>
      <c r="AX898" s="135"/>
      <c r="AY898" s="135"/>
      <c r="AZ898" s="244"/>
      <c r="BA898" s="135"/>
      <c r="BB898" s="244"/>
      <c r="BC898" s="135"/>
      <c r="BD898" s="135"/>
      <c r="BE898" s="135"/>
      <c r="BO898" s="188"/>
      <c r="BP898" s="188"/>
      <c r="BQ898" s="188"/>
      <c r="BR898" s="188"/>
      <c r="BS898" s="188"/>
      <c r="BT898" s="188"/>
      <c r="BU898" s="188"/>
      <c r="BV898" s="188"/>
    </row>
    <row r="899" spans="45:74" x14ac:dyDescent="0.3">
      <c r="AX899" s="42"/>
      <c r="AZ899" s="188"/>
      <c r="BB899" s="188"/>
      <c r="BO899" s="188"/>
      <c r="BP899" s="188"/>
      <c r="BQ899" s="188"/>
      <c r="BR899" s="188"/>
      <c r="BS899" s="188"/>
      <c r="BT899" s="188"/>
      <c r="BU899" s="188"/>
      <c r="BV899" s="188"/>
    </row>
    <row r="900" spans="45:74" x14ac:dyDescent="0.3">
      <c r="AX900" s="135"/>
      <c r="AY900" s="135"/>
      <c r="AZ900" s="244"/>
      <c r="BA900" s="135"/>
      <c r="BB900" s="188"/>
      <c r="BC900" s="44"/>
      <c r="BD900" s="44"/>
      <c r="BO900" s="188"/>
      <c r="BP900" s="188"/>
      <c r="BQ900" s="188"/>
      <c r="BR900" s="188"/>
      <c r="BS900" s="188"/>
      <c r="BT900" s="188"/>
      <c r="BU900" s="188"/>
      <c r="BV900" s="188"/>
    </row>
    <row r="901" spans="45:74" x14ac:dyDescent="0.3">
      <c r="AV901" s="44"/>
      <c r="AW901" s="44"/>
      <c r="AZ901" s="245"/>
      <c r="BA901" s="44"/>
      <c r="BB901" s="188"/>
      <c r="BC901" s="44"/>
      <c r="BD901" s="44"/>
      <c r="BE901" s="44"/>
      <c r="BG901" s="135"/>
      <c r="BH901" s="42"/>
      <c r="BK901" s="135"/>
      <c r="BM901" s="135"/>
      <c r="BN901" s="42"/>
      <c r="BQ901" s="135"/>
    </row>
    <row r="902" spans="45:74" x14ac:dyDescent="0.3">
      <c r="AV902" s="44"/>
      <c r="AW902" s="44"/>
      <c r="AX902" s="44"/>
      <c r="AY902" s="44"/>
      <c r="AZ902" s="245"/>
      <c r="BA902" s="44"/>
      <c r="BB902" s="245"/>
      <c r="BC902" s="44"/>
      <c r="BD902" s="44"/>
      <c r="BE902" s="44"/>
      <c r="BH902" s="44"/>
      <c r="BI902" s="44"/>
      <c r="BN902" s="44"/>
      <c r="BO902" s="44"/>
    </row>
    <row r="903" spans="45:74" x14ac:dyDescent="0.3">
      <c r="AS903" s="44"/>
      <c r="AU903" s="42"/>
      <c r="AV903" s="44"/>
      <c r="AW903" s="44"/>
      <c r="AX903" s="44"/>
      <c r="AY903" s="44"/>
      <c r="AZ903" s="245"/>
      <c r="BA903" s="44"/>
      <c r="BB903" s="245"/>
      <c r="BC903" s="44"/>
      <c r="BD903" s="44"/>
      <c r="BE903" s="44"/>
      <c r="BG903" s="44"/>
      <c r="BH903" s="44"/>
      <c r="BI903" s="44"/>
      <c r="BJ903" s="44"/>
      <c r="BK903" s="44"/>
      <c r="BM903" s="44"/>
      <c r="BN903" s="44"/>
      <c r="BO903" s="44"/>
      <c r="BP903" s="44"/>
      <c r="BQ903" s="44"/>
    </row>
    <row r="904" spans="45:74" x14ac:dyDescent="0.3">
      <c r="AS904" s="44"/>
      <c r="AU904" s="42"/>
      <c r="AV904" s="44"/>
      <c r="AW904" s="44"/>
      <c r="AX904" s="44"/>
      <c r="AY904" s="44"/>
      <c r="AZ904" s="245"/>
      <c r="BA904" s="44"/>
      <c r="BB904" s="245"/>
      <c r="BC904" s="44"/>
      <c r="BD904" s="44"/>
      <c r="BE904" s="44"/>
      <c r="BG904" s="44"/>
      <c r="BH904" s="44"/>
      <c r="BI904" s="44"/>
      <c r="BJ904" s="44"/>
      <c r="BK904" s="44"/>
      <c r="BM904" s="44"/>
      <c r="BN904" s="44"/>
      <c r="BO904" s="44"/>
      <c r="BP904" s="44"/>
      <c r="BQ904" s="44"/>
    </row>
    <row r="905" spans="45:74" x14ac:dyDescent="0.3">
      <c r="AS905" s="135"/>
      <c r="AT905" s="135"/>
      <c r="AU905" s="135"/>
      <c r="AV905" s="135"/>
      <c r="AW905" s="135"/>
      <c r="AX905" s="135"/>
      <c r="AY905" s="135"/>
      <c r="AZ905" s="244"/>
      <c r="BA905" s="135"/>
      <c r="BB905" s="244"/>
      <c r="BC905" s="135"/>
      <c r="BD905" s="135"/>
      <c r="BE905" s="135"/>
      <c r="BG905" s="135"/>
      <c r="BH905" s="135"/>
      <c r="BI905" s="135"/>
      <c r="BJ905" s="135"/>
      <c r="BK905" s="135"/>
      <c r="BM905" s="135"/>
      <c r="BN905" s="135"/>
      <c r="BO905" s="135"/>
      <c r="BP905" s="135"/>
      <c r="BQ905" s="135"/>
    </row>
    <row r="906" spans="45:74" x14ac:dyDescent="0.3">
      <c r="AV906" s="44"/>
      <c r="AW906" s="44"/>
      <c r="AX906" s="44"/>
      <c r="AY906" s="44"/>
      <c r="AZ906" s="245"/>
      <c r="BA906" s="44"/>
      <c r="BB906" s="245"/>
      <c r="BC906" s="44"/>
      <c r="BD906" s="44"/>
      <c r="BE906" s="44"/>
      <c r="BG906" s="188"/>
      <c r="BH906" s="188"/>
      <c r="BI906" s="188"/>
      <c r="BJ906" s="188"/>
      <c r="BK906" s="188"/>
      <c r="BL906" s="188"/>
      <c r="BM906" s="188"/>
      <c r="BN906" s="188"/>
      <c r="BO906" s="188"/>
      <c r="BP906" s="188"/>
      <c r="BQ906" s="188"/>
    </row>
    <row r="907" spans="45:74" x14ac:dyDescent="0.3">
      <c r="AT907" s="42"/>
      <c r="AV907" s="123"/>
      <c r="AW907" s="123"/>
      <c r="AX907" s="188"/>
      <c r="AY907" s="188"/>
      <c r="AZ907" s="188"/>
      <c r="BA907" s="236"/>
      <c r="BB907" s="188"/>
      <c r="BC907" s="188"/>
      <c r="BD907" s="188"/>
      <c r="BE907" s="236"/>
      <c r="BG907" s="188"/>
      <c r="BH907" s="188"/>
      <c r="BI907" s="188"/>
      <c r="BJ907" s="188"/>
      <c r="BK907" s="188"/>
      <c r="BL907" s="188"/>
      <c r="BM907" s="188"/>
      <c r="BN907" s="188"/>
      <c r="BO907" s="188"/>
      <c r="BP907" s="188"/>
      <c r="BQ907" s="188"/>
      <c r="BR907" s="188"/>
      <c r="BS907" s="188"/>
    </row>
    <row r="908" spans="45:74" x14ac:dyDescent="0.3">
      <c r="AV908" s="123"/>
      <c r="AW908" s="123"/>
      <c r="AX908" s="188"/>
      <c r="AY908" s="188"/>
      <c r="AZ908" s="188"/>
      <c r="BA908" s="236"/>
      <c r="BB908" s="188"/>
      <c r="BC908" s="188"/>
      <c r="BD908" s="188"/>
      <c r="BE908" s="236"/>
      <c r="BG908" s="188"/>
      <c r="BH908" s="188"/>
      <c r="BI908" s="188"/>
      <c r="BJ908" s="188"/>
      <c r="BK908" s="188"/>
      <c r="BL908" s="188"/>
      <c r="BM908" s="188"/>
      <c r="BN908" s="188"/>
      <c r="BO908" s="188"/>
      <c r="BP908" s="188"/>
      <c r="BQ908" s="188"/>
      <c r="BR908" s="188"/>
      <c r="BS908" s="188"/>
    </row>
    <row r="909" spans="45:74" x14ac:dyDescent="0.3">
      <c r="AV909" s="123"/>
      <c r="AW909" s="123"/>
      <c r="AX909" s="188"/>
      <c r="AY909" s="188"/>
      <c r="AZ909" s="188"/>
      <c r="BA909" s="236"/>
      <c r="BB909" s="188"/>
      <c r="BC909" s="188"/>
      <c r="BD909" s="188"/>
      <c r="BE909" s="236"/>
      <c r="BG909" s="188"/>
      <c r="BH909" s="188"/>
      <c r="BI909" s="188"/>
      <c r="BJ909" s="188"/>
      <c r="BK909" s="188"/>
      <c r="BL909" s="188"/>
      <c r="BM909" s="188"/>
      <c r="BN909" s="188"/>
      <c r="BO909" s="188"/>
      <c r="BP909" s="188"/>
      <c r="BQ909" s="188"/>
      <c r="BR909" s="188"/>
      <c r="BS909" s="188"/>
    </row>
    <row r="910" spans="45:74" x14ac:dyDescent="0.3">
      <c r="AV910" s="123"/>
      <c r="AW910" s="123"/>
      <c r="AX910" s="188"/>
      <c r="AY910" s="188"/>
      <c r="AZ910" s="188"/>
      <c r="BA910" s="236"/>
      <c r="BB910" s="188"/>
      <c r="BC910" s="188"/>
      <c r="BD910" s="188"/>
      <c r="BE910" s="236"/>
      <c r="BG910" s="188"/>
      <c r="BH910" s="188"/>
      <c r="BI910" s="188"/>
      <c r="BJ910" s="188"/>
      <c r="BK910" s="188"/>
      <c r="BL910" s="188"/>
      <c r="BM910" s="188"/>
      <c r="BN910" s="188"/>
      <c r="BO910" s="188"/>
      <c r="BP910" s="188"/>
      <c r="BQ910" s="188"/>
      <c r="BR910" s="188"/>
      <c r="BS910" s="188"/>
    </row>
    <row r="911" spans="45:74" x14ac:dyDescent="0.3">
      <c r="AV911" s="123"/>
      <c r="AW911" s="123"/>
      <c r="AX911" s="188"/>
      <c r="AY911" s="188"/>
      <c r="AZ911" s="188"/>
      <c r="BA911" s="236"/>
      <c r="BB911" s="188"/>
      <c r="BC911" s="188"/>
      <c r="BD911" s="188"/>
      <c r="BE911" s="236"/>
      <c r="BG911" s="188"/>
      <c r="BH911" s="188"/>
      <c r="BI911" s="188"/>
      <c r="BJ911" s="188"/>
      <c r="BK911" s="188"/>
      <c r="BL911" s="188"/>
      <c r="BM911" s="188"/>
      <c r="BN911" s="188"/>
      <c r="BO911" s="188"/>
      <c r="BP911" s="188"/>
      <c r="BQ911" s="188"/>
      <c r="BR911" s="188"/>
      <c r="BS911" s="188"/>
    </row>
    <row r="912" spans="45:74" x14ac:dyDescent="0.3">
      <c r="AV912" s="123"/>
      <c r="AW912" s="123"/>
      <c r="AX912" s="188"/>
      <c r="AY912" s="188"/>
      <c r="AZ912" s="188"/>
      <c r="BA912" s="236"/>
      <c r="BB912" s="188"/>
      <c r="BC912" s="188"/>
      <c r="BD912" s="188"/>
      <c r="BE912" s="236"/>
      <c r="BG912" s="188"/>
      <c r="BH912" s="188"/>
      <c r="BI912" s="188"/>
      <c r="BJ912" s="188"/>
      <c r="BK912" s="188"/>
      <c r="BL912" s="188"/>
      <c r="BM912" s="188"/>
      <c r="BN912" s="188"/>
      <c r="BO912" s="188"/>
      <c r="BP912" s="188"/>
      <c r="BQ912" s="188"/>
      <c r="BR912" s="188"/>
      <c r="BS912" s="188"/>
    </row>
    <row r="913" spans="46:71" x14ac:dyDescent="0.3">
      <c r="AV913" s="123"/>
      <c r="AW913" s="123"/>
      <c r="AX913" s="188"/>
      <c r="AY913" s="188"/>
      <c r="AZ913" s="188"/>
      <c r="BA913" s="236"/>
      <c r="BB913" s="188"/>
      <c r="BC913" s="188"/>
      <c r="BD913" s="188"/>
      <c r="BE913" s="236"/>
      <c r="BG913" s="188"/>
      <c r="BH913" s="188"/>
      <c r="BI913" s="188"/>
      <c r="BJ913" s="188"/>
      <c r="BK913" s="188"/>
      <c r="BL913" s="188"/>
      <c r="BM913" s="188"/>
      <c r="BN913" s="188"/>
      <c r="BO913" s="188"/>
      <c r="BP913" s="188"/>
      <c r="BQ913" s="188"/>
      <c r="BR913" s="188"/>
      <c r="BS913" s="188"/>
    </row>
    <row r="914" spans="46:71" x14ac:dyDescent="0.3">
      <c r="AV914" s="123"/>
      <c r="AW914" s="123"/>
      <c r="AX914" s="188"/>
      <c r="AY914" s="188"/>
      <c r="AZ914" s="188"/>
      <c r="BA914" s="236"/>
      <c r="BB914" s="188"/>
      <c r="BC914" s="188"/>
      <c r="BD914" s="188"/>
      <c r="BE914" s="236"/>
      <c r="BG914" s="188"/>
      <c r="BH914" s="188"/>
      <c r="BI914" s="188"/>
      <c r="BJ914" s="188"/>
      <c r="BK914" s="188"/>
      <c r="BL914" s="188"/>
      <c r="BM914" s="188"/>
      <c r="BN914" s="188"/>
      <c r="BO914" s="188"/>
      <c r="BP914" s="188"/>
      <c r="BQ914" s="188"/>
      <c r="BR914" s="188"/>
      <c r="BS914" s="188"/>
    </row>
    <row r="915" spans="46:71" x14ac:dyDescent="0.3">
      <c r="AV915" s="123"/>
      <c r="AW915" s="123"/>
      <c r="AX915" s="188"/>
      <c r="AY915" s="188"/>
      <c r="AZ915" s="188"/>
      <c r="BA915" s="236"/>
      <c r="BB915" s="188"/>
      <c r="BC915" s="188"/>
      <c r="BD915" s="188"/>
      <c r="BE915" s="236"/>
      <c r="BG915" s="188"/>
      <c r="BH915" s="188"/>
      <c r="BI915" s="188"/>
      <c r="BJ915" s="188"/>
      <c r="BK915" s="188"/>
      <c r="BL915" s="188"/>
      <c r="BM915" s="188"/>
      <c r="BN915" s="188"/>
      <c r="BO915" s="188"/>
      <c r="BP915" s="188"/>
      <c r="BQ915" s="188"/>
      <c r="BR915" s="188"/>
      <c r="BS915" s="188"/>
    </row>
    <row r="916" spans="46:71" x14ac:dyDescent="0.3">
      <c r="AV916" s="123"/>
      <c r="AW916" s="123"/>
      <c r="AX916" s="188"/>
      <c r="AY916" s="188"/>
      <c r="AZ916" s="188"/>
      <c r="BA916" s="236"/>
      <c r="BB916" s="188"/>
      <c r="BC916" s="188"/>
      <c r="BD916" s="188"/>
      <c r="BE916" s="236"/>
      <c r="BG916" s="188"/>
      <c r="BH916" s="188"/>
      <c r="BI916" s="188"/>
      <c r="BJ916" s="188"/>
      <c r="BK916" s="188"/>
      <c r="BL916" s="188"/>
      <c r="BM916" s="188"/>
      <c r="BN916" s="188"/>
      <c r="BO916" s="188"/>
      <c r="BP916" s="188"/>
      <c r="BQ916" s="188"/>
      <c r="BR916" s="188"/>
      <c r="BS916" s="188"/>
    </row>
    <row r="917" spans="46:71" x14ac:dyDescent="0.3">
      <c r="AV917" s="123"/>
      <c r="AW917" s="123"/>
      <c r="AX917" s="188"/>
      <c r="AY917" s="188"/>
      <c r="AZ917" s="188"/>
      <c r="BA917" s="236"/>
      <c r="BB917" s="188"/>
      <c r="BC917" s="188"/>
      <c r="BD917" s="188"/>
      <c r="BE917" s="236"/>
      <c r="BG917" s="188"/>
      <c r="BH917" s="188"/>
      <c r="BI917" s="188"/>
      <c r="BJ917" s="188"/>
      <c r="BK917" s="188"/>
      <c r="BL917" s="188"/>
      <c r="BM917" s="188"/>
      <c r="BN917" s="188"/>
      <c r="BO917" s="188"/>
      <c r="BP917" s="188"/>
      <c r="BQ917" s="188"/>
      <c r="BR917" s="188"/>
      <c r="BS917" s="188"/>
    </row>
    <row r="918" spans="46:71" x14ac:dyDescent="0.3">
      <c r="AV918" s="123"/>
      <c r="AW918" s="123"/>
      <c r="AX918" s="188"/>
      <c r="AY918" s="188"/>
      <c r="AZ918" s="188"/>
      <c r="BA918" s="236"/>
      <c r="BB918" s="188"/>
      <c r="BC918" s="188"/>
      <c r="BD918" s="188"/>
      <c r="BE918" s="236"/>
      <c r="BG918" s="188"/>
      <c r="BH918" s="188"/>
      <c r="BI918" s="188"/>
      <c r="BJ918" s="188"/>
      <c r="BK918" s="188"/>
      <c r="BL918" s="188"/>
      <c r="BM918" s="188"/>
      <c r="BN918" s="188"/>
      <c r="BO918" s="188"/>
      <c r="BP918" s="188"/>
      <c r="BQ918" s="188"/>
      <c r="BR918" s="188"/>
      <c r="BS918" s="188"/>
    </row>
    <row r="919" spans="46:71" x14ac:dyDescent="0.3">
      <c r="AV919" s="123"/>
      <c r="AW919" s="123"/>
      <c r="AX919" s="188"/>
      <c r="AY919" s="188"/>
      <c r="AZ919" s="188"/>
      <c r="BA919" s="236"/>
      <c r="BB919" s="188"/>
      <c r="BC919" s="188"/>
      <c r="BD919" s="188"/>
      <c r="BE919" s="236"/>
      <c r="BG919" s="188"/>
      <c r="BH919" s="188"/>
      <c r="BI919" s="188"/>
      <c r="BJ919" s="188"/>
      <c r="BK919" s="188"/>
      <c r="BL919" s="188"/>
      <c r="BM919" s="188"/>
      <c r="BN919" s="188"/>
      <c r="BO919" s="188"/>
      <c r="BP919" s="188"/>
      <c r="BQ919" s="188"/>
      <c r="BR919" s="188"/>
      <c r="BS919" s="188"/>
    </row>
    <row r="920" spans="46:71" x14ac:dyDescent="0.3">
      <c r="AV920" s="123"/>
      <c r="AW920" s="123"/>
      <c r="AX920" s="188"/>
      <c r="AY920" s="188"/>
      <c r="AZ920" s="188"/>
      <c r="BA920" s="236"/>
      <c r="BB920" s="188"/>
      <c r="BC920" s="188"/>
      <c r="BD920" s="188"/>
      <c r="BE920" s="236"/>
      <c r="BG920" s="188"/>
      <c r="BH920" s="188"/>
      <c r="BI920" s="188"/>
      <c r="BJ920" s="188"/>
      <c r="BK920" s="188"/>
      <c r="BL920" s="188"/>
      <c r="BM920" s="188"/>
      <c r="BN920" s="188"/>
      <c r="BO920" s="188"/>
      <c r="BP920" s="188"/>
      <c r="BQ920" s="188"/>
      <c r="BR920" s="188"/>
      <c r="BS920" s="188"/>
    </row>
    <row r="921" spans="46:71" x14ac:dyDescent="0.3">
      <c r="AV921" s="123"/>
      <c r="AW921" s="123"/>
      <c r="AX921" s="188"/>
      <c r="AY921" s="188"/>
      <c r="AZ921" s="188"/>
      <c r="BA921" s="236"/>
      <c r="BB921" s="188"/>
      <c r="BC921" s="188"/>
      <c r="BD921" s="188"/>
      <c r="BE921" s="236"/>
      <c r="BG921" s="188"/>
      <c r="BH921" s="188"/>
      <c r="BI921" s="188"/>
      <c r="BJ921" s="188"/>
      <c r="BK921" s="188"/>
      <c r="BL921" s="188"/>
      <c r="BM921" s="188"/>
      <c r="BN921" s="188"/>
      <c r="BO921" s="188"/>
      <c r="BP921" s="188"/>
      <c r="BQ921" s="188"/>
      <c r="BR921" s="188"/>
      <c r="BS921" s="188"/>
    </row>
    <row r="922" spans="46:71" x14ac:dyDescent="0.3">
      <c r="AV922" s="123"/>
      <c r="AW922" s="123"/>
      <c r="AX922" s="188"/>
      <c r="AY922" s="188"/>
      <c r="AZ922" s="188"/>
      <c r="BA922" s="236"/>
      <c r="BB922" s="188"/>
      <c r="BC922" s="188"/>
      <c r="BD922" s="188"/>
      <c r="BE922" s="236"/>
      <c r="BG922" s="188"/>
      <c r="BH922" s="188"/>
      <c r="BI922" s="188"/>
      <c r="BJ922" s="188"/>
      <c r="BK922" s="188"/>
      <c r="BL922" s="188"/>
      <c r="BM922" s="188"/>
      <c r="BN922" s="188"/>
      <c r="BO922" s="188"/>
      <c r="BP922" s="188"/>
      <c r="BQ922" s="188"/>
      <c r="BR922" s="188"/>
      <c r="BS922" s="188"/>
    </row>
    <row r="923" spans="46:71" x14ac:dyDescent="0.3">
      <c r="AV923" s="123"/>
      <c r="AW923" s="123"/>
      <c r="AX923" s="188"/>
      <c r="AY923" s="188"/>
      <c r="AZ923" s="188"/>
      <c r="BA923" s="236"/>
      <c r="BB923" s="188"/>
      <c r="BC923" s="188"/>
      <c r="BD923" s="188"/>
      <c r="BE923" s="236"/>
      <c r="BG923" s="188"/>
      <c r="BH923" s="188"/>
      <c r="BI923" s="188"/>
      <c r="BJ923" s="188"/>
      <c r="BK923" s="188"/>
      <c r="BL923" s="188"/>
      <c r="BM923" s="188"/>
      <c r="BN923" s="188"/>
      <c r="BO923" s="188"/>
      <c r="BP923" s="188"/>
      <c r="BQ923" s="188"/>
      <c r="BR923" s="188"/>
      <c r="BS923" s="188"/>
    </row>
    <row r="924" spans="46:71" x14ac:dyDescent="0.3">
      <c r="AV924" s="123"/>
      <c r="AW924" s="123"/>
      <c r="AX924" s="188"/>
      <c r="AY924" s="188"/>
      <c r="AZ924" s="188"/>
      <c r="BA924" s="236"/>
      <c r="BB924" s="188"/>
      <c r="BC924" s="188"/>
      <c r="BD924" s="188"/>
      <c r="BE924" s="236"/>
      <c r="BG924" s="188"/>
      <c r="BH924" s="188"/>
      <c r="BI924" s="188"/>
      <c r="BJ924" s="188"/>
      <c r="BK924" s="188"/>
      <c r="BL924" s="188"/>
      <c r="BM924" s="188"/>
      <c r="BN924" s="188"/>
      <c r="BO924" s="188"/>
      <c r="BP924" s="188"/>
      <c r="BQ924" s="188"/>
      <c r="BR924" s="188"/>
      <c r="BS924" s="188"/>
    </row>
    <row r="925" spans="46:71" x14ac:dyDescent="0.3">
      <c r="AZ925" s="188"/>
      <c r="BB925" s="188"/>
      <c r="BC925" s="188"/>
      <c r="BD925" s="188"/>
      <c r="BG925" s="188"/>
      <c r="BH925" s="188"/>
      <c r="BI925" s="188"/>
      <c r="BJ925" s="188"/>
      <c r="BK925" s="188"/>
      <c r="BL925" s="188"/>
      <c r="BM925" s="188"/>
      <c r="BN925" s="188"/>
      <c r="BO925" s="188"/>
      <c r="BP925" s="188"/>
      <c r="BQ925" s="188"/>
      <c r="BR925" s="188"/>
      <c r="BS925" s="188"/>
    </row>
    <row r="926" spans="46:71" x14ac:dyDescent="0.3">
      <c r="AT926" s="42"/>
      <c r="AV926" s="123"/>
      <c r="AW926" s="123"/>
      <c r="AX926" s="188"/>
      <c r="AY926" s="188"/>
      <c r="AZ926" s="188"/>
      <c r="BA926" s="236"/>
      <c r="BB926" s="188"/>
      <c r="BC926" s="188"/>
      <c r="BD926" s="188"/>
      <c r="BE926" s="236"/>
    </row>
    <row r="927" spans="46:71" x14ac:dyDescent="0.3">
      <c r="AV927" s="123"/>
      <c r="AW927" s="123"/>
      <c r="AX927" s="188"/>
      <c r="AY927" s="188"/>
      <c r="AZ927" s="188"/>
      <c r="BA927" s="236"/>
      <c r="BB927" s="188"/>
      <c r="BC927" s="188"/>
      <c r="BD927" s="188"/>
      <c r="BE927" s="236"/>
    </row>
    <row r="928" spans="46:71" x14ac:dyDescent="0.3">
      <c r="AV928" s="123"/>
      <c r="AW928" s="123"/>
      <c r="AX928" s="188"/>
      <c r="AY928" s="188"/>
      <c r="AZ928" s="188"/>
      <c r="BA928" s="236"/>
      <c r="BB928" s="188"/>
      <c r="BC928" s="188"/>
      <c r="BD928" s="188"/>
      <c r="BE928" s="236"/>
    </row>
    <row r="929" spans="48:57" x14ac:dyDescent="0.3">
      <c r="AV929" s="123"/>
      <c r="AW929" s="123"/>
      <c r="AX929" s="188"/>
      <c r="AY929" s="188"/>
      <c r="AZ929" s="188"/>
      <c r="BA929" s="236"/>
      <c r="BB929" s="188"/>
      <c r="BC929" s="188"/>
      <c r="BD929" s="188"/>
      <c r="BE929" s="236"/>
    </row>
    <row r="930" spans="48:57" x14ac:dyDescent="0.3">
      <c r="AV930" s="123"/>
      <c r="AW930" s="123"/>
      <c r="AX930" s="188"/>
      <c r="AY930" s="188"/>
      <c r="AZ930" s="188"/>
      <c r="BA930" s="236"/>
      <c r="BB930" s="188"/>
      <c r="BC930" s="188"/>
      <c r="BD930" s="188"/>
      <c r="BE930" s="236"/>
    </row>
    <row r="931" spans="48:57" x14ac:dyDescent="0.3">
      <c r="AV931" s="123"/>
      <c r="AW931" s="123"/>
      <c r="AX931" s="188"/>
      <c r="AY931" s="188"/>
      <c r="AZ931" s="188"/>
      <c r="BA931" s="236"/>
      <c r="BB931" s="188"/>
      <c r="BC931" s="188"/>
      <c r="BD931" s="188"/>
      <c r="BE931" s="236"/>
    </row>
    <row r="932" spans="48:57" x14ac:dyDescent="0.3">
      <c r="AV932" s="123"/>
      <c r="AW932" s="123"/>
      <c r="AX932" s="188"/>
      <c r="AY932" s="188"/>
      <c r="AZ932" s="188"/>
      <c r="BA932" s="236"/>
      <c r="BB932" s="188"/>
      <c r="BC932" s="188"/>
      <c r="BD932" s="188"/>
      <c r="BE932" s="236"/>
    </row>
    <row r="933" spans="48:57" x14ac:dyDescent="0.3">
      <c r="AV933" s="123"/>
      <c r="AW933" s="123"/>
      <c r="AX933" s="188"/>
      <c r="AY933" s="188"/>
      <c r="AZ933" s="188"/>
      <c r="BA933" s="236"/>
      <c r="BB933" s="188"/>
      <c r="BC933" s="188"/>
      <c r="BD933" s="188"/>
      <c r="BE933" s="236"/>
    </row>
    <row r="934" spans="48:57" x14ac:dyDescent="0.3">
      <c r="AV934" s="123"/>
      <c r="AW934" s="123"/>
      <c r="AX934" s="188"/>
      <c r="AY934" s="188"/>
      <c r="AZ934" s="188"/>
      <c r="BA934" s="236"/>
      <c r="BB934" s="188"/>
      <c r="BC934" s="188"/>
      <c r="BD934" s="188"/>
      <c r="BE934" s="236"/>
    </row>
    <row r="935" spans="48:57" x14ac:dyDescent="0.3">
      <c r="AV935" s="123"/>
      <c r="AW935" s="123"/>
      <c r="AX935" s="188"/>
      <c r="AY935" s="188"/>
      <c r="AZ935" s="188"/>
      <c r="BA935" s="236"/>
      <c r="BB935" s="188"/>
      <c r="BC935" s="188"/>
      <c r="BD935" s="188"/>
      <c r="BE935" s="236"/>
    </row>
    <row r="936" spans="48:57" x14ac:dyDescent="0.3">
      <c r="AV936" s="123"/>
      <c r="AW936" s="123"/>
      <c r="AX936" s="188"/>
      <c r="AY936" s="188"/>
      <c r="AZ936" s="188"/>
      <c r="BA936" s="236"/>
      <c r="BB936" s="188"/>
      <c r="BC936" s="188"/>
      <c r="BD936" s="188"/>
      <c r="BE936" s="236"/>
    </row>
    <row r="937" spans="48:57" x14ac:dyDescent="0.3">
      <c r="AV937" s="123"/>
      <c r="AW937" s="123"/>
      <c r="AX937" s="188"/>
      <c r="AY937" s="188"/>
      <c r="AZ937" s="188"/>
      <c r="BA937" s="236"/>
      <c r="BB937" s="188"/>
      <c r="BC937" s="188"/>
      <c r="BD937" s="188"/>
      <c r="BE937" s="236"/>
    </row>
    <row r="938" spans="48:57" x14ac:dyDescent="0.3">
      <c r="AV938" s="123"/>
      <c r="AW938" s="123"/>
      <c r="AX938" s="188"/>
      <c r="AY938" s="188"/>
      <c r="AZ938" s="188"/>
      <c r="BA938" s="236"/>
      <c r="BB938" s="188"/>
      <c r="BC938" s="188"/>
      <c r="BD938" s="188"/>
      <c r="BE938" s="236"/>
    </row>
    <row r="939" spans="48:57" x14ac:dyDescent="0.3">
      <c r="AV939" s="123"/>
      <c r="AW939" s="123"/>
      <c r="AX939" s="188"/>
      <c r="AY939" s="188"/>
      <c r="AZ939" s="188"/>
      <c r="BA939" s="236"/>
      <c r="BB939" s="188"/>
      <c r="BC939" s="188"/>
      <c r="BD939" s="188"/>
      <c r="BE939" s="236"/>
    </row>
    <row r="940" spans="48:57" x14ac:dyDescent="0.3">
      <c r="AV940" s="123"/>
      <c r="AW940" s="123"/>
      <c r="AX940" s="188"/>
      <c r="AY940" s="188"/>
      <c r="AZ940" s="188"/>
      <c r="BA940" s="236"/>
      <c r="BB940" s="188"/>
      <c r="BC940" s="188"/>
      <c r="BD940" s="188"/>
      <c r="BE940" s="236"/>
    </row>
    <row r="941" spans="48:57" x14ac:dyDescent="0.3">
      <c r="AV941" s="123"/>
      <c r="AW941" s="123"/>
      <c r="AX941" s="188"/>
      <c r="AY941" s="188"/>
      <c r="AZ941" s="188"/>
      <c r="BA941" s="236"/>
      <c r="BB941" s="188"/>
      <c r="BC941" s="188"/>
      <c r="BD941" s="188"/>
      <c r="BE941" s="236"/>
    </row>
    <row r="942" spans="48:57" x14ac:dyDescent="0.3">
      <c r="AV942" s="123"/>
      <c r="AW942" s="123"/>
      <c r="AX942" s="188"/>
      <c r="AY942" s="188"/>
      <c r="AZ942" s="188"/>
      <c r="BA942" s="236"/>
      <c r="BB942" s="188"/>
      <c r="BC942" s="188"/>
      <c r="BD942" s="188"/>
      <c r="BE942" s="236"/>
    </row>
    <row r="943" spans="48:57" x14ac:dyDescent="0.3">
      <c r="AV943" s="123"/>
      <c r="AW943" s="123"/>
      <c r="AX943" s="188"/>
      <c r="AY943" s="188"/>
      <c r="AZ943" s="188"/>
      <c r="BA943" s="236"/>
      <c r="BB943" s="188"/>
      <c r="BC943" s="188"/>
      <c r="BD943" s="188"/>
      <c r="BE943" s="236"/>
    </row>
    <row r="944" spans="48:57" x14ac:dyDescent="0.3">
      <c r="BB944" s="188"/>
    </row>
    <row r="945" spans="45:57" x14ac:dyDescent="0.3">
      <c r="AU945" s="42"/>
      <c r="BB945" s="188"/>
    </row>
    <row r="946" spans="45:57" x14ac:dyDescent="0.3">
      <c r="AU946" s="42"/>
    </row>
    <row r="947" spans="45:57" x14ac:dyDescent="0.3">
      <c r="AU947" s="42"/>
      <c r="BB947" s="188"/>
    </row>
    <row r="948" spans="45:57" x14ac:dyDescent="0.3">
      <c r="AS948" s="42"/>
      <c r="AZ948" s="188"/>
      <c r="BB948" s="188"/>
    </row>
    <row r="949" spans="45:57" x14ac:dyDescent="0.3">
      <c r="AZ949" s="188"/>
      <c r="BB949" s="188"/>
    </row>
    <row r="950" spans="45:57" x14ac:dyDescent="0.3">
      <c r="AY950" s="188"/>
      <c r="AZ950" s="188"/>
      <c r="BB950" s="188"/>
    </row>
    <row r="951" spans="45:57" x14ac:dyDescent="0.3">
      <c r="AY951" s="42"/>
      <c r="AZ951" s="188"/>
      <c r="BB951" s="188"/>
    </row>
    <row r="952" spans="45:57" x14ac:dyDescent="0.3">
      <c r="AY952" s="42"/>
      <c r="AZ952" s="188"/>
      <c r="BB952" s="188"/>
    </row>
    <row r="953" spans="45:57" x14ac:dyDescent="0.3">
      <c r="AZ953" s="188"/>
      <c r="BB953" s="188"/>
      <c r="BD953" s="42"/>
    </row>
    <row r="954" spans="45:57" x14ac:dyDescent="0.3">
      <c r="AZ954" s="188"/>
      <c r="BB954" s="188"/>
      <c r="BD954" s="42"/>
    </row>
    <row r="955" spans="45:57" x14ac:dyDescent="0.3">
      <c r="AS955" s="42"/>
      <c r="AZ955" s="188"/>
      <c r="BB955" s="188"/>
      <c r="BD955" s="42"/>
    </row>
    <row r="956" spans="45:57" x14ac:dyDescent="0.3">
      <c r="AZ956" s="188"/>
      <c r="BB956" s="188"/>
    </row>
    <row r="957" spans="45:57" x14ac:dyDescent="0.3">
      <c r="AS957" s="135"/>
      <c r="AT957" s="135"/>
      <c r="AU957" s="135"/>
      <c r="AV957" s="135"/>
      <c r="AW957" s="135"/>
      <c r="AX957" s="135"/>
      <c r="AY957" s="135"/>
      <c r="AZ957" s="244"/>
      <c r="BA957" s="135"/>
      <c r="BB957" s="244"/>
      <c r="BC957" s="135"/>
      <c r="BD957" s="135"/>
      <c r="BE957" s="135"/>
    </row>
    <row r="958" spans="45:57" x14ac:dyDescent="0.3">
      <c r="AX958" s="42"/>
      <c r="AZ958" s="188"/>
      <c r="BB958" s="188"/>
    </row>
    <row r="959" spans="45:57" x14ac:dyDescent="0.3">
      <c r="AX959" s="135"/>
      <c r="AY959" s="135"/>
      <c r="AZ959" s="244"/>
      <c r="BA959" s="135"/>
      <c r="BB959" s="188"/>
      <c r="BC959" s="44"/>
      <c r="BD959" s="44"/>
    </row>
    <row r="960" spans="45:57" x14ac:dyDescent="0.3">
      <c r="AV960" s="44"/>
      <c r="AW960" s="44"/>
      <c r="AZ960" s="245"/>
      <c r="BA960" s="44"/>
      <c r="BB960" s="188"/>
      <c r="BC960" s="44"/>
      <c r="BD960" s="44"/>
      <c r="BE960" s="44"/>
    </row>
    <row r="961" spans="45:57" x14ac:dyDescent="0.3">
      <c r="AV961" s="44"/>
      <c r="AW961" s="44"/>
      <c r="AX961" s="44"/>
      <c r="AY961" s="44"/>
      <c r="AZ961" s="245"/>
      <c r="BA961" s="44"/>
      <c r="BB961" s="245"/>
      <c r="BC961" s="44"/>
      <c r="BD961" s="44"/>
      <c r="BE961" s="44"/>
    </row>
    <row r="962" spans="45:57" x14ac:dyDescent="0.3">
      <c r="AS962" s="44"/>
      <c r="AU962" s="42"/>
      <c r="AV962" s="44"/>
      <c r="AW962" s="44"/>
      <c r="AX962" s="44"/>
      <c r="AY962" s="44"/>
      <c r="AZ962" s="245"/>
      <c r="BA962" s="44"/>
      <c r="BB962" s="245"/>
      <c r="BC962" s="44"/>
      <c r="BD962" s="44"/>
      <c r="BE962" s="44"/>
    </row>
    <row r="963" spans="45:57" x14ac:dyDescent="0.3">
      <c r="AS963" s="44"/>
      <c r="AU963" s="42"/>
      <c r="AV963" s="44"/>
      <c r="AW963" s="44"/>
      <c r="AX963" s="44"/>
      <c r="AY963" s="44"/>
      <c r="AZ963" s="245"/>
      <c r="BA963" s="44"/>
      <c r="BB963" s="245"/>
      <c r="BC963" s="44"/>
      <c r="BD963" s="44"/>
      <c r="BE963" s="44"/>
    </row>
    <row r="964" spans="45:57" x14ac:dyDescent="0.3">
      <c r="AS964" s="135"/>
      <c r="AT964" s="135"/>
      <c r="AU964" s="135"/>
      <c r="AV964" s="135"/>
      <c r="AW964" s="135"/>
      <c r="AX964" s="135"/>
      <c r="AY964" s="135"/>
      <c r="AZ964" s="244"/>
      <c r="BA964" s="135"/>
      <c r="BB964" s="244"/>
      <c r="BC964" s="135"/>
      <c r="BD964" s="135"/>
      <c r="BE964" s="135"/>
    </row>
    <row r="965" spans="45:57" x14ac:dyDescent="0.3">
      <c r="AV965" s="44"/>
      <c r="AW965" s="44"/>
      <c r="AX965" s="44"/>
      <c r="AY965" s="44"/>
      <c r="AZ965" s="245"/>
      <c r="BA965" s="44"/>
      <c r="BB965" s="245"/>
      <c r="BC965" s="44"/>
      <c r="BD965" s="44"/>
      <c r="BE965" s="44"/>
    </row>
    <row r="966" spans="45:57" x14ac:dyDescent="0.3">
      <c r="AT966" s="42"/>
      <c r="AV966" s="123"/>
      <c r="AW966" s="123"/>
      <c r="AX966" s="188"/>
      <c r="AY966" s="188"/>
      <c r="AZ966" s="188"/>
      <c r="BA966" s="236"/>
      <c r="BB966" s="188"/>
      <c r="BC966" s="188"/>
      <c r="BD966" s="188"/>
      <c r="BE966" s="236"/>
    </row>
    <row r="967" spans="45:57" x14ac:dyDescent="0.3">
      <c r="AV967" s="123"/>
      <c r="AW967" s="123"/>
      <c r="AX967" s="188"/>
      <c r="AY967" s="188"/>
      <c r="AZ967" s="188"/>
      <c r="BA967" s="236"/>
      <c r="BB967" s="188"/>
      <c r="BC967" s="188"/>
      <c r="BD967" s="188"/>
      <c r="BE967" s="236"/>
    </row>
    <row r="968" spans="45:57" x14ac:dyDescent="0.3">
      <c r="AV968" s="123"/>
      <c r="AW968" s="123"/>
      <c r="AX968" s="188"/>
      <c r="AY968" s="188"/>
      <c r="AZ968" s="188"/>
      <c r="BA968" s="236"/>
      <c r="BB968" s="188"/>
      <c r="BC968" s="188"/>
      <c r="BD968" s="188"/>
      <c r="BE968" s="236"/>
    </row>
    <row r="969" spans="45:57" x14ac:dyDescent="0.3">
      <c r="AV969" s="123"/>
      <c r="AW969" s="123"/>
      <c r="AX969" s="188"/>
      <c r="AY969" s="188"/>
      <c r="AZ969" s="188"/>
      <c r="BA969" s="236"/>
      <c r="BB969" s="188"/>
      <c r="BC969" s="188"/>
      <c r="BD969" s="188"/>
      <c r="BE969" s="236"/>
    </row>
    <row r="970" spans="45:57" x14ac:dyDescent="0.3">
      <c r="AV970" s="123"/>
      <c r="AW970" s="123"/>
      <c r="AX970" s="188"/>
      <c r="AY970" s="188"/>
      <c r="AZ970" s="188"/>
      <c r="BA970" s="236"/>
      <c r="BB970" s="188"/>
      <c r="BC970" s="188"/>
      <c r="BD970" s="188"/>
      <c r="BE970" s="236"/>
    </row>
    <row r="971" spans="45:57" x14ac:dyDescent="0.3">
      <c r="AV971" s="123"/>
      <c r="AW971" s="123"/>
      <c r="AX971" s="188"/>
      <c r="AY971" s="188"/>
      <c r="AZ971" s="188"/>
      <c r="BA971" s="236"/>
      <c r="BB971" s="188"/>
      <c r="BC971" s="188"/>
      <c r="BD971" s="188"/>
      <c r="BE971" s="236"/>
    </row>
    <row r="972" spans="45:57" x14ac:dyDescent="0.3">
      <c r="AV972" s="123"/>
      <c r="AW972" s="123"/>
      <c r="AX972" s="188"/>
      <c r="AY972" s="188"/>
      <c r="AZ972" s="188"/>
      <c r="BA972" s="236"/>
      <c r="BB972" s="188"/>
      <c r="BC972" s="188"/>
      <c r="BD972" s="188"/>
      <c r="BE972" s="236"/>
    </row>
    <row r="973" spans="45:57" x14ac:dyDescent="0.3">
      <c r="AV973" s="123"/>
      <c r="AW973" s="123"/>
      <c r="AX973" s="188"/>
      <c r="AY973" s="188"/>
      <c r="AZ973" s="188"/>
      <c r="BA973" s="236"/>
      <c r="BB973" s="188"/>
      <c r="BC973" s="188"/>
      <c r="BD973" s="188"/>
      <c r="BE973" s="236"/>
    </row>
    <row r="974" spans="45:57" x14ac:dyDescent="0.3">
      <c r="AV974" s="123"/>
      <c r="AW974" s="123"/>
      <c r="AX974" s="188"/>
      <c r="AY974" s="188"/>
      <c r="AZ974" s="188"/>
      <c r="BA974" s="236"/>
      <c r="BB974" s="188"/>
      <c r="BC974" s="188"/>
      <c r="BD974" s="188"/>
      <c r="BE974" s="236"/>
    </row>
    <row r="975" spans="45:57" x14ac:dyDescent="0.3">
      <c r="AV975" s="123"/>
      <c r="AW975" s="123"/>
      <c r="AX975" s="188"/>
      <c r="AY975" s="188"/>
      <c r="AZ975" s="188"/>
      <c r="BA975" s="236"/>
      <c r="BB975" s="188"/>
      <c r="BC975" s="188"/>
      <c r="BD975" s="188"/>
      <c r="BE975" s="236"/>
    </row>
    <row r="976" spans="45:57" x14ac:dyDescent="0.3">
      <c r="AV976" s="123"/>
      <c r="AW976" s="123"/>
      <c r="BB976" s="188"/>
    </row>
    <row r="977" spans="45:57" x14ac:dyDescent="0.3">
      <c r="AT977" s="42"/>
      <c r="AV977" s="123"/>
      <c r="AW977" s="123"/>
      <c r="AX977" s="188"/>
      <c r="AY977" s="188"/>
      <c r="AZ977" s="188"/>
      <c r="BA977" s="236"/>
      <c r="BB977" s="188"/>
      <c r="BC977" s="188"/>
      <c r="BD977" s="188"/>
      <c r="BE977" s="236"/>
    </row>
    <row r="978" spans="45:57" x14ac:dyDescent="0.3">
      <c r="AV978" s="123"/>
      <c r="AW978" s="123"/>
      <c r="AX978" s="188"/>
      <c r="AY978" s="188"/>
      <c r="AZ978" s="188"/>
      <c r="BA978" s="236"/>
      <c r="BB978" s="188"/>
      <c r="BC978" s="188"/>
      <c r="BD978" s="188"/>
      <c r="BE978" s="236"/>
    </row>
    <row r="979" spans="45:57" x14ac:dyDescent="0.3">
      <c r="AV979" s="123"/>
      <c r="AW979" s="123"/>
      <c r="AX979" s="188"/>
      <c r="AY979" s="188"/>
      <c r="AZ979" s="188"/>
      <c r="BA979" s="236"/>
      <c r="BB979" s="188"/>
      <c r="BC979" s="188"/>
      <c r="BD979" s="188"/>
      <c r="BE979" s="236"/>
    </row>
    <row r="980" spans="45:57" x14ac:dyDescent="0.3">
      <c r="AV980" s="123"/>
      <c r="AW980" s="123"/>
      <c r="AX980" s="188"/>
      <c r="AY980" s="188"/>
      <c r="AZ980" s="188"/>
      <c r="BA980" s="236"/>
      <c r="BB980" s="188"/>
      <c r="BC980" s="188"/>
      <c r="BD980" s="188"/>
      <c r="BE980" s="236"/>
    </row>
    <row r="981" spans="45:57" x14ac:dyDescent="0.3">
      <c r="AV981" s="123"/>
      <c r="AW981" s="123"/>
      <c r="AX981" s="188"/>
      <c r="AY981" s="188"/>
      <c r="AZ981" s="188"/>
      <c r="BA981" s="236"/>
      <c r="BB981" s="188"/>
      <c r="BC981" s="188"/>
      <c r="BD981" s="188"/>
      <c r="BE981" s="236"/>
    </row>
    <row r="982" spans="45:57" x14ac:dyDescent="0.3">
      <c r="AV982" s="123"/>
      <c r="AW982" s="123"/>
      <c r="AX982" s="188"/>
      <c r="AY982" s="188"/>
      <c r="AZ982" s="188"/>
      <c r="BA982" s="236"/>
      <c r="BB982" s="188"/>
      <c r="BC982" s="188"/>
      <c r="BD982" s="188"/>
      <c r="BE982" s="236"/>
    </row>
    <row r="983" spans="45:57" x14ac:dyDescent="0.3">
      <c r="AV983" s="123"/>
      <c r="AW983" s="123"/>
      <c r="AX983" s="188"/>
      <c r="AY983" s="188"/>
      <c r="AZ983" s="188"/>
      <c r="BA983" s="236"/>
      <c r="BB983" s="188"/>
      <c r="BC983" s="188"/>
      <c r="BD983" s="188"/>
      <c r="BE983" s="236"/>
    </row>
    <row r="984" spans="45:57" x14ac:dyDescent="0.3">
      <c r="AV984" s="123"/>
      <c r="AW984" s="123"/>
      <c r="AX984" s="188"/>
      <c r="AY984" s="188"/>
      <c r="AZ984" s="188"/>
      <c r="BA984" s="236"/>
      <c r="BB984" s="188"/>
      <c r="BC984" s="188"/>
      <c r="BD984" s="188"/>
      <c r="BE984" s="236"/>
    </row>
    <row r="985" spans="45:57" x14ac:dyDescent="0.3">
      <c r="AV985" s="123"/>
      <c r="AW985" s="123"/>
      <c r="AX985" s="188"/>
      <c r="AY985" s="188"/>
      <c r="AZ985" s="188"/>
      <c r="BA985" s="236"/>
      <c r="BB985" s="188"/>
      <c r="BC985" s="188"/>
      <c r="BD985" s="188"/>
      <c r="BE985" s="236"/>
    </row>
    <row r="986" spans="45:57" x14ac:dyDescent="0.3">
      <c r="AV986" s="123"/>
      <c r="AW986" s="123"/>
      <c r="AX986" s="188"/>
      <c r="AY986" s="188"/>
      <c r="AZ986" s="188"/>
      <c r="BA986" s="236"/>
      <c r="BB986" s="188"/>
      <c r="BC986" s="188"/>
      <c r="BD986" s="188"/>
      <c r="BE986" s="236"/>
    </row>
    <row r="988" spans="45:57" x14ac:dyDescent="0.3">
      <c r="AU988" s="42"/>
    </row>
    <row r="989" spans="45:57" x14ac:dyDescent="0.3">
      <c r="AU989" s="42"/>
    </row>
    <row r="990" spans="45:57" x14ac:dyDescent="0.3">
      <c r="AU990" s="42"/>
    </row>
    <row r="991" spans="45:57" x14ac:dyDescent="0.3">
      <c r="AS991" s="42"/>
    </row>
    <row r="1012" spans="52:71" x14ac:dyDescent="0.3">
      <c r="AZ1012" s="188"/>
      <c r="BB1012" s="188"/>
      <c r="BC1012" s="188"/>
      <c r="BD1012" s="188"/>
      <c r="BG1012" s="188"/>
      <c r="BH1012" s="188"/>
      <c r="BI1012" s="188"/>
      <c r="BJ1012" s="188"/>
      <c r="BK1012" s="188"/>
      <c r="BL1012" s="188"/>
      <c r="BM1012" s="188"/>
      <c r="BN1012" s="188"/>
      <c r="BO1012" s="188"/>
      <c r="BP1012" s="188"/>
      <c r="BQ1012" s="188"/>
      <c r="BR1012" s="188"/>
      <c r="BS1012" s="188"/>
    </row>
    <row r="1013" spans="52:71" x14ac:dyDescent="0.3">
      <c r="AZ1013" s="188"/>
      <c r="BB1013" s="188"/>
      <c r="BC1013" s="188"/>
      <c r="BD1013" s="188"/>
      <c r="BG1013" s="188"/>
      <c r="BH1013" s="188"/>
      <c r="BI1013" s="188"/>
      <c r="BJ1013" s="188"/>
      <c r="BK1013" s="188"/>
      <c r="BL1013" s="188"/>
      <c r="BM1013" s="188"/>
      <c r="BN1013" s="188"/>
      <c r="BO1013" s="188"/>
      <c r="BP1013" s="188"/>
      <c r="BQ1013" s="188"/>
      <c r="BR1013" s="188"/>
      <c r="BS1013" s="188"/>
    </row>
    <row r="1014" spans="52:71" x14ac:dyDescent="0.3">
      <c r="AZ1014" s="188"/>
      <c r="BB1014" s="188"/>
      <c r="BC1014" s="188"/>
      <c r="BD1014" s="188"/>
      <c r="BG1014" s="188"/>
      <c r="BH1014" s="188"/>
      <c r="BI1014" s="188"/>
      <c r="BJ1014" s="188"/>
      <c r="BK1014" s="188"/>
      <c r="BL1014" s="188"/>
      <c r="BM1014" s="188"/>
      <c r="BN1014" s="188"/>
      <c r="BO1014" s="188"/>
      <c r="BP1014" s="188"/>
      <c r="BQ1014" s="188"/>
      <c r="BR1014" s="188"/>
      <c r="BS1014" s="188"/>
    </row>
    <row r="1015" spans="52:71" x14ac:dyDescent="0.3">
      <c r="AZ1015" s="188"/>
      <c r="BB1015" s="188"/>
      <c r="BC1015" s="188"/>
      <c r="BD1015" s="188"/>
      <c r="BG1015" s="188"/>
      <c r="BH1015" s="188"/>
      <c r="BI1015" s="188"/>
      <c r="BJ1015" s="188"/>
      <c r="BK1015" s="188"/>
      <c r="BL1015" s="188"/>
      <c r="BM1015" s="188"/>
      <c r="BN1015" s="188"/>
      <c r="BO1015" s="188"/>
      <c r="BP1015" s="188"/>
      <c r="BQ1015" s="188"/>
      <c r="BR1015" s="188"/>
      <c r="BS1015" s="188"/>
    </row>
    <row r="1016" spans="52:71" x14ac:dyDescent="0.3">
      <c r="AZ1016" s="188"/>
      <c r="BB1016" s="188"/>
      <c r="BC1016" s="188"/>
      <c r="BD1016" s="188"/>
      <c r="BG1016" s="188"/>
      <c r="BH1016" s="188"/>
      <c r="BI1016" s="188"/>
      <c r="BJ1016" s="188"/>
      <c r="BK1016" s="188"/>
      <c r="BL1016" s="188"/>
      <c r="BM1016" s="188"/>
      <c r="BN1016" s="188"/>
      <c r="BO1016" s="188"/>
      <c r="BP1016" s="188"/>
      <c r="BQ1016" s="188"/>
      <c r="BR1016" s="188"/>
      <c r="BS1016" s="188"/>
    </row>
    <row r="1017" spans="52:71" x14ac:dyDescent="0.3">
      <c r="AZ1017" s="188"/>
      <c r="BB1017" s="188"/>
      <c r="BC1017" s="188"/>
      <c r="BD1017" s="188"/>
      <c r="BG1017" s="188"/>
      <c r="BH1017" s="188"/>
      <c r="BI1017" s="188"/>
      <c r="BJ1017" s="188"/>
      <c r="BK1017" s="188"/>
      <c r="BL1017" s="188"/>
      <c r="BM1017" s="188"/>
      <c r="BN1017" s="188"/>
      <c r="BO1017" s="188"/>
      <c r="BP1017" s="188"/>
      <c r="BQ1017" s="188"/>
      <c r="BR1017" s="188"/>
      <c r="BS1017" s="188"/>
    </row>
    <row r="1018" spans="52:71" x14ac:dyDescent="0.3">
      <c r="AZ1018" s="188"/>
      <c r="BB1018" s="188"/>
      <c r="BC1018" s="188"/>
      <c r="BD1018" s="188"/>
      <c r="BG1018" s="188"/>
      <c r="BH1018" s="188"/>
      <c r="BI1018" s="188"/>
      <c r="BJ1018" s="188"/>
      <c r="BK1018" s="188"/>
      <c r="BL1018" s="188"/>
      <c r="BM1018" s="188"/>
      <c r="BN1018" s="188"/>
      <c r="BO1018" s="188"/>
      <c r="BP1018" s="188"/>
      <c r="BQ1018" s="188"/>
      <c r="BR1018" s="188"/>
      <c r="BS1018" s="188"/>
    </row>
    <row r="1019" spans="52:71" x14ac:dyDescent="0.3">
      <c r="AZ1019" s="188"/>
      <c r="BB1019" s="188"/>
      <c r="BC1019" s="188"/>
      <c r="BD1019" s="188"/>
      <c r="BG1019" s="188"/>
      <c r="BH1019" s="188"/>
      <c r="BI1019" s="188"/>
      <c r="BJ1019" s="188"/>
      <c r="BK1019" s="188"/>
      <c r="BL1019" s="188"/>
      <c r="BM1019" s="188"/>
      <c r="BN1019" s="188"/>
      <c r="BO1019" s="188"/>
      <c r="BP1019" s="188"/>
      <c r="BQ1019" s="188"/>
      <c r="BR1019" s="188"/>
      <c r="BS1019" s="188"/>
    </row>
    <row r="1020" spans="52:71" x14ac:dyDescent="0.3">
      <c r="AZ1020" s="188"/>
      <c r="BB1020" s="188"/>
      <c r="BC1020" s="188"/>
      <c r="BD1020" s="188"/>
      <c r="BG1020" s="188"/>
      <c r="BH1020" s="188"/>
      <c r="BI1020" s="188"/>
      <c r="BJ1020" s="188"/>
      <c r="BK1020" s="188"/>
      <c r="BL1020" s="188"/>
      <c r="BM1020" s="188"/>
      <c r="BN1020" s="188"/>
      <c r="BO1020" s="188"/>
      <c r="BP1020" s="188"/>
      <c r="BQ1020" s="188"/>
      <c r="BR1020" s="188"/>
      <c r="BS1020" s="188"/>
    </row>
    <row r="1021" spans="52:71" x14ac:dyDescent="0.3">
      <c r="AZ1021" s="188"/>
      <c r="BB1021" s="188"/>
      <c r="BC1021" s="188"/>
      <c r="BD1021" s="188"/>
      <c r="BG1021" s="188"/>
      <c r="BH1021" s="188"/>
      <c r="BI1021" s="188"/>
      <c r="BJ1021" s="188"/>
      <c r="BK1021" s="188"/>
      <c r="BL1021" s="188"/>
      <c r="BM1021" s="188"/>
      <c r="BN1021" s="188"/>
      <c r="BO1021" s="188"/>
      <c r="BP1021" s="188"/>
      <c r="BQ1021" s="188"/>
      <c r="BR1021" s="188"/>
      <c r="BS1021" s="188"/>
    </row>
    <row r="1022" spans="52:71" x14ac:dyDescent="0.3">
      <c r="AZ1022" s="188"/>
      <c r="BB1022" s="188"/>
      <c r="BC1022" s="188"/>
      <c r="BD1022" s="188"/>
      <c r="BG1022" s="188"/>
      <c r="BH1022" s="188"/>
      <c r="BI1022" s="188"/>
      <c r="BJ1022" s="188"/>
      <c r="BK1022" s="188"/>
      <c r="BL1022" s="188"/>
      <c r="BM1022" s="188"/>
      <c r="BN1022" s="188"/>
      <c r="BO1022" s="188"/>
      <c r="BP1022" s="188"/>
      <c r="BQ1022" s="188"/>
      <c r="BR1022" s="188"/>
      <c r="BS1022" s="188"/>
    </row>
    <row r="1023" spans="52:71" x14ac:dyDescent="0.3">
      <c r="AZ1023" s="188"/>
      <c r="BB1023" s="188"/>
      <c r="BC1023" s="188"/>
      <c r="BD1023" s="188"/>
      <c r="BG1023" s="188"/>
      <c r="BH1023" s="188"/>
      <c r="BI1023" s="188"/>
      <c r="BJ1023" s="188"/>
      <c r="BK1023" s="188"/>
      <c r="BL1023" s="188"/>
      <c r="BM1023" s="188"/>
      <c r="BN1023" s="188"/>
      <c r="BO1023" s="188"/>
      <c r="BP1023" s="188"/>
      <c r="BQ1023" s="188"/>
      <c r="BR1023" s="188"/>
      <c r="BS1023" s="188"/>
    </row>
    <row r="1024" spans="52:71" x14ac:dyDescent="0.3">
      <c r="AZ1024" s="188"/>
      <c r="BG1024" s="188"/>
      <c r="BH1024" s="188"/>
      <c r="BI1024" s="188"/>
      <c r="BJ1024" s="188"/>
      <c r="BK1024" s="188"/>
      <c r="BL1024" s="188"/>
      <c r="BM1024" s="188"/>
      <c r="BN1024" s="188"/>
      <c r="BO1024" s="188"/>
      <c r="BP1024" s="188"/>
      <c r="BQ1024" s="188"/>
      <c r="BR1024" s="188"/>
      <c r="BS1024" s="188"/>
    </row>
    <row r="1025" spans="52:71" x14ac:dyDescent="0.3">
      <c r="AZ1025" s="188"/>
      <c r="BG1025" s="188"/>
      <c r="BH1025" s="188"/>
      <c r="BI1025" s="188"/>
      <c r="BJ1025" s="188"/>
      <c r="BK1025" s="188"/>
      <c r="BL1025" s="188"/>
      <c r="BM1025" s="188"/>
      <c r="BN1025" s="188"/>
      <c r="BO1025" s="188"/>
      <c r="BP1025" s="188"/>
      <c r="BQ1025" s="188"/>
      <c r="BR1025" s="188"/>
      <c r="BS1025" s="188"/>
    </row>
    <row r="1026" spans="52:71" x14ac:dyDescent="0.3">
      <c r="AZ1026" s="188"/>
      <c r="BG1026" s="188"/>
      <c r="BH1026" s="188"/>
      <c r="BI1026" s="188"/>
      <c r="BJ1026" s="188"/>
      <c r="BK1026" s="188"/>
      <c r="BL1026" s="188"/>
      <c r="BM1026" s="188"/>
      <c r="BN1026" s="188"/>
      <c r="BO1026" s="188"/>
      <c r="BP1026" s="188"/>
      <c r="BQ1026" s="188"/>
      <c r="BR1026" s="188"/>
      <c r="BS1026" s="188"/>
    </row>
    <row r="1027" spans="52:71" x14ac:dyDescent="0.3">
      <c r="AZ1027" s="188"/>
      <c r="BG1027" s="188"/>
      <c r="BH1027" s="188"/>
      <c r="BI1027" s="188"/>
      <c r="BJ1027" s="188"/>
      <c r="BK1027" s="188"/>
      <c r="BL1027" s="188"/>
      <c r="BM1027" s="188"/>
      <c r="BN1027" s="188"/>
      <c r="BO1027" s="188"/>
      <c r="BP1027" s="188"/>
      <c r="BQ1027" s="188"/>
      <c r="BR1027" s="188"/>
      <c r="BS1027" s="188"/>
    </row>
    <row r="1028" spans="52:71" x14ac:dyDescent="0.3">
      <c r="AZ1028" s="188"/>
      <c r="BG1028" s="188"/>
      <c r="BH1028" s="188"/>
      <c r="BI1028" s="188"/>
      <c r="BJ1028" s="188"/>
      <c r="BK1028" s="188"/>
      <c r="BL1028" s="188"/>
      <c r="BM1028" s="188"/>
      <c r="BN1028" s="188"/>
      <c r="BO1028" s="188"/>
      <c r="BP1028" s="188"/>
      <c r="BQ1028" s="188"/>
      <c r="BR1028" s="188"/>
      <c r="BS1028" s="188"/>
    </row>
    <row r="1029" spans="52:71" x14ac:dyDescent="0.3">
      <c r="AZ1029" s="188"/>
      <c r="BG1029" s="188"/>
      <c r="BH1029" s="188"/>
      <c r="BI1029" s="188"/>
      <c r="BJ1029" s="188"/>
      <c r="BK1029" s="188"/>
      <c r="BL1029" s="188"/>
      <c r="BM1029" s="188"/>
      <c r="BN1029" s="188"/>
      <c r="BO1029" s="188"/>
      <c r="BP1029" s="188"/>
      <c r="BQ1029" s="188"/>
      <c r="BR1029" s="188"/>
      <c r="BS1029" s="188"/>
    </row>
    <row r="1030" spans="52:71" x14ac:dyDescent="0.3">
      <c r="AZ1030" s="188"/>
      <c r="BG1030" s="188"/>
      <c r="BH1030" s="188"/>
      <c r="BI1030" s="188"/>
      <c r="BJ1030" s="188"/>
      <c r="BK1030" s="188"/>
      <c r="BL1030" s="188"/>
      <c r="BM1030" s="188"/>
      <c r="BN1030" s="188"/>
      <c r="BO1030" s="188"/>
      <c r="BP1030" s="188"/>
      <c r="BQ1030" s="188"/>
      <c r="BR1030" s="188"/>
      <c r="BS1030" s="188"/>
    </row>
    <row r="1031" spans="52:71" x14ac:dyDescent="0.3">
      <c r="AZ1031" s="188"/>
    </row>
    <row r="1032" spans="52:71" x14ac:dyDescent="0.3">
      <c r="AZ1032" s="188"/>
    </row>
    <row r="1046" spans="1:28" x14ac:dyDescent="0.3">
      <c r="A1046" s="42"/>
    </row>
    <row r="1049" spans="1:28" x14ac:dyDescent="0.3">
      <c r="Y1049" s="42"/>
    </row>
    <row r="1050" spans="1:28" x14ac:dyDescent="0.3">
      <c r="A1050" s="42"/>
      <c r="H1050" s="42"/>
      <c r="I1050" s="42"/>
    </row>
    <row r="1051" spans="1:28" x14ac:dyDescent="0.3">
      <c r="A1051" s="42"/>
      <c r="V1051" s="44"/>
      <c r="AA1051" s="44"/>
      <c r="AB1051" s="44"/>
    </row>
    <row r="1052" spans="1:28" x14ac:dyDescent="0.3">
      <c r="A1052" s="42"/>
      <c r="V1052" s="135"/>
      <c r="AA1052" s="135"/>
      <c r="AB1052" s="135"/>
    </row>
    <row r="1053" spans="1:28" x14ac:dyDescent="0.3">
      <c r="A1053" s="42"/>
      <c r="U1053" s="42"/>
      <c r="AA1053" s="44"/>
      <c r="AB1053" s="44"/>
    </row>
    <row r="1054" spans="1:28" x14ac:dyDescent="0.3">
      <c r="A1054" s="42"/>
    </row>
    <row r="1055" spans="1:28" x14ac:dyDescent="0.3">
      <c r="A1055" s="42"/>
      <c r="U1055" s="42"/>
      <c r="AA1055" s="44"/>
      <c r="AB1055" s="44"/>
    </row>
    <row r="1056" spans="1:28" x14ac:dyDescent="0.3">
      <c r="A1056" s="42"/>
    </row>
    <row r="1057" spans="1:28" x14ac:dyDescent="0.3">
      <c r="A1057" s="42"/>
      <c r="U1057" s="42"/>
      <c r="V1057" s="247"/>
      <c r="AA1057" s="44"/>
      <c r="AB1057" s="44"/>
    </row>
    <row r="1058" spans="1:28" x14ac:dyDescent="0.3">
      <c r="A1058" s="42"/>
    </row>
    <row r="1059" spans="1:28" x14ac:dyDescent="0.3">
      <c r="A1059" s="42"/>
      <c r="U1059" s="42"/>
      <c r="AA1059" s="44"/>
      <c r="AB1059" s="44"/>
    </row>
    <row r="1060" spans="1:28" x14ac:dyDescent="0.3">
      <c r="A1060" s="42"/>
    </row>
    <row r="1061" spans="1:28" x14ac:dyDescent="0.3">
      <c r="A1061" s="42"/>
      <c r="U1061" s="42"/>
      <c r="AA1061" s="44"/>
      <c r="AB1061" s="44"/>
    </row>
    <row r="1062" spans="1:28" x14ac:dyDescent="0.3">
      <c r="A1062" s="42"/>
    </row>
    <row r="1063" spans="1:28" x14ac:dyDescent="0.3">
      <c r="A1063" s="42"/>
    </row>
    <row r="1064" spans="1:28" x14ac:dyDescent="0.3">
      <c r="A1064" s="42"/>
    </row>
    <row r="1065" spans="1:28" x14ac:dyDescent="0.3">
      <c r="A1065" s="42"/>
    </row>
    <row r="1066" spans="1:28" x14ac:dyDescent="0.3">
      <c r="A1066" s="42"/>
    </row>
    <row r="1067" spans="1:28" x14ac:dyDescent="0.3">
      <c r="A1067" s="42"/>
    </row>
    <row r="1068" spans="1:28" x14ac:dyDescent="0.3">
      <c r="A1068" s="42"/>
    </row>
    <row r="1069" spans="1:28" x14ac:dyDescent="0.3">
      <c r="A1069" s="42"/>
    </row>
    <row r="1070" spans="1:28" x14ac:dyDescent="0.3">
      <c r="A1070" s="42"/>
    </row>
    <row r="1071" spans="1:28" x14ac:dyDescent="0.3">
      <c r="A1071" s="42"/>
    </row>
    <row r="1072" spans="1:28" x14ac:dyDescent="0.3">
      <c r="A1072" s="42"/>
      <c r="H1072" s="42"/>
      <c r="I1072" s="42"/>
    </row>
    <row r="1075" spans="1:1" x14ac:dyDescent="0.3">
      <c r="A1075" s="42"/>
    </row>
    <row r="1078" spans="1:1" x14ac:dyDescent="0.3">
      <c r="A1078" s="42"/>
    </row>
    <row r="1081" spans="1:1" x14ac:dyDescent="0.3">
      <c r="A1081" s="42"/>
    </row>
    <row r="1082" spans="1:1" x14ac:dyDescent="0.3">
      <c r="A1082" s="42"/>
    </row>
    <row r="1083" spans="1:1" x14ac:dyDescent="0.3">
      <c r="A1083" s="42"/>
    </row>
    <row r="1084" spans="1:1" x14ac:dyDescent="0.3">
      <c r="A1084" s="42"/>
    </row>
    <row r="1085" spans="1:1" x14ac:dyDescent="0.3">
      <c r="A1085" s="42"/>
    </row>
    <row r="1086" spans="1:1" x14ac:dyDescent="0.3">
      <c r="A1086" s="42"/>
    </row>
    <row r="1087" spans="1:1" x14ac:dyDescent="0.3">
      <c r="A1087" s="42"/>
    </row>
    <row r="1088" spans="1:1" x14ac:dyDescent="0.3">
      <c r="A1088" s="42"/>
    </row>
    <row r="1089" spans="1:1" x14ac:dyDescent="0.3">
      <c r="A1089" s="42"/>
    </row>
    <row r="1090" spans="1:1" x14ac:dyDescent="0.3">
      <c r="A1090" s="42"/>
    </row>
    <row r="1091" spans="1:1" x14ac:dyDescent="0.3">
      <c r="A1091" s="42"/>
    </row>
    <row r="1092" spans="1:1" x14ac:dyDescent="0.3">
      <c r="A1092" s="42"/>
    </row>
    <row r="1093" spans="1:1" x14ac:dyDescent="0.3">
      <c r="A1093" s="42"/>
    </row>
    <row r="1094" spans="1:1" x14ac:dyDescent="0.3">
      <c r="A1094" s="42"/>
    </row>
    <row r="1095" spans="1:1" x14ac:dyDescent="0.3">
      <c r="A1095" s="42"/>
    </row>
    <row r="1096" spans="1:1" x14ac:dyDescent="0.3">
      <c r="A1096" s="42"/>
    </row>
    <row r="1097" spans="1:1" x14ac:dyDescent="0.3">
      <c r="A1097" s="42"/>
    </row>
    <row r="1098" spans="1:1" x14ac:dyDescent="0.3">
      <c r="A1098" s="42"/>
    </row>
    <row r="1099" spans="1:1" x14ac:dyDescent="0.3">
      <c r="A1099" s="42"/>
    </row>
    <row r="1100" spans="1:1" x14ac:dyDescent="0.3">
      <c r="A1100" s="42"/>
    </row>
    <row r="1101" spans="1:1" x14ac:dyDescent="0.3">
      <c r="A1101" s="42"/>
    </row>
    <row r="1102" spans="1:1" x14ac:dyDescent="0.3">
      <c r="A1102" s="42"/>
    </row>
    <row r="1103" spans="1:1" x14ac:dyDescent="0.3">
      <c r="A1103" s="42"/>
    </row>
    <row r="1104" spans="1:1" x14ac:dyDescent="0.3">
      <c r="A1104" s="42"/>
    </row>
    <row r="1105" spans="1:1" x14ac:dyDescent="0.3">
      <c r="A1105" s="42"/>
    </row>
    <row r="1106" spans="1:1" x14ac:dyDescent="0.3">
      <c r="A1106" s="42"/>
    </row>
    <row r="1107" spans="1:1" x14ac:dyDescent="0.3">
      <c r="A1107" s="42"/>
    </row>
    <row r="1108" spans="1:1" x14ac:dyDescent="0.3">
      <c r="A1108" s="42"/>
    </row>
    <row r="1109" spans="1:1" x14ac:dyDescent="0.3">
      <c r="A1109" s="42"/>
    </row>
    <row r="1110" spans="1:1" x14ac:dyDescent="0.3">
      <c r="A1110" s="42"/>
    </row>
    <row r="1111" spans="1:1" x14ac:dyDescent="0.3">
      <c r="A1111" s="42"/>
    </row>
    <row r="1112" spans="1:1" x14ac:dyDescent="0.3">
      <c r="A1112" s="42"/>
    </row>
    <row r="1113" spans="1:1" x14ac:dyDescent="0.3">
      <c r="A1113" s="42"/>
    </row>
    <row r="1114" spans="1:1" x14ac:dyDescent="0.3">
      <c r="A1114" s="42"/>
    </row>
    <row r="1115" spans="1:1" x14ac:dyDescent="0.3">
      <c r="A1115" s="42"/>
    </row>
    <row r="1120" spans="1:1" x14ac:dyDescent="0.3">
      <c r="A1120" s="42"/>
    </row>
    <row r="1121" spans="1:1" x14ac:dyDescent="0.3">
      <c r="A1121" s="42"/>
    </row>
    <row r="1124" spans="1:1" x14ac:dyDescent="0.3">
      <c r="A1124" s="42"/>
    </row>
    <row r="1126" spans="1:1" x14ac:dyDescent="0.3">
      <c r="A1126" s="42"/>
    </row>
    <row r="1128" spans="1:1" x14ac:dyDescent="0.3">
      <c r="A1128" s="42"/>
    </row>
    <row r="1130" spans="1:1" x14ac:dyDescent="0.3">
      <c r="A1130" s="42"/>
    </row>
    <row r="1133" spans="1:1" x14ac:dyDescent="0.3">
      <c r="A1133" s="42"/>
    </row>
    <row r="1134" spans="1:1" x14ac:dyDescent="0.3">
      <c r="A1134" s="42"/>
    </row>
    <row r="1135" spans="1:1" x14ac:dyDescent="0.3">
      <c r="A1135" s="42"/>
    </row>
    <row r="1136" spans="1:1" x14ac:dyDescent="0.3">
      <c r="A1136" s="42"/>
    </row>
    <row r="1137" spans="1:1" x14ac:dyDescent="0.3">
      <c r="A1137" s="42"/>
    </row>
    <row r="1138" spans="1:1" x14ac:dyDescent="0.3">
      <c r="A1138" s="42"/>
    </row>
    <row r="1139" spans="1:1" x14ac:dyDescent="0.3">
      <c r="A1139" s="42"/>
    </row>
    <row r="1140" spans="1:1" x14ac:dyDescent="0.3">
      <c r="A1140" s="42"/>
    </row>
  </sheetData>
  <customSheetViews>
    <customSheetView guid="{195DF303-1BBD-4236-94B5-47432850B006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 topLeftCell="A10">
      <selection activeCell="J27" sqref="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AC63">
      <selection activeCell="R8" sqref="R8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3"/>
      <headerFooter alignWithMargins="0"/>
    </customSheetView>
    <customSheetView guid="{2431C9E5-7CC2-4B8D-99C3-962247B1DBF5}" scale="75" fitToPage="1" showRuler="0" topLeftCell="X53">
      <selection activeCell="AE80" sqref="AE8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4"/>
      <headerFooter alignWithMargins="0"/>
    </customSheetView>
    <customSheetView guid="{2EA35095-1ADC-4CC7-8C3C-B487D65FA247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 topLeftCell="A10">
      <selection activeCell="J27" sqref="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8"/>
      <headerFooter alignWithMargins="0"/>
    </customSheetView>
    <customSheetView guid="{0BC1F393-8A13-47D5-BC6C-0C99615B5AB9}" scale="75" fitToPage="1" showRuler="0">
      <selection activeCell="V33" sqref="V33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>
      <selection activeCell="J24" sqref="J24: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A8">
      <selection activeCell="F20" sqref="F2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F562D92E-120C-4AE9-9663-89E64D41DC53}" scale="75" fitToPage="1" topLeftCell="W57">
      <selection activeCell="P30" sqref="P3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1" type="noConversion"/>
  <pageMargins left="0.5" right="0.5" top="1" bottom="0" header="0" footer="0"/>
  <pageSetup scale="48" orientation="landscape" r:id="rId13"/>
  <headerFooter alignWithMargins="0"/>
  <rowBreaks count="16" manualBreakCount="16">
    <brk id="136" max="65535" man="1"/>
    <brk id="179" max="65535" man="1"/>
    <brk id="221" max="65535" man="1"/>
    <brk id="260" max="65535" man="1"/>
    <brk id="316" max="65535" man="1"/>
    <brk id="362" max="65535" man="1"/>
    <brk id="444" max="65535" man="1"/>
    <brk id="482" max="65535" man="1"/>
    <brk id="519" max="65535" man="1"/>
    <brk id="567" max="65535" man="1"/>
    <brk id="628" max="65535" man="1"/>
    <brk id="687" max="65535" man="1"/>
    <brk id="794" max="65535" man="1"/>
    <brk id="841" max="65535" man="1"/>
    <brk id="900" max="65535" man="1"/>
    <brk id="943" max="65535" man="1"/>
  </rowBreaks>
  <colBreaks count="1" manualBreakCount="1">
    <brk id="4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syncVertical="1" syncRef="A1" transitionEvaluation="1" transitionEntry="1" codeName="Sheet9">
    <pageSetUpPr fitToPage="1"/>
  </sheetPr>
  <dimension ref="A1:BX1127"/>
  <sheetViews>
    <sheetView zoomScale="75" workbookViewId="0"/>
  </sheetViews>
  <sheetFormatPr defaultColWidth="9.75" defaultRowHeight="15.6" x14ac:dyDescent="0.3"/>
  <cols>
    <col min="1" max="1" width="4.9140625" style="41" customWidth="1"/>
    <col min="2" max="2" width="0.6640625" style="41" customWidth="1"/>
    <col min="3" max="3" width="6.75" style="41" customWidth="1"/>
    <col min="4" max="4" width="35.6640625" style="41" customWidth="1"/>
    <col min="5" max="5" width="0.66406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2.41406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8.75" style="41" customWidth="1"/>
    <col min="19" max="19" width="6.75" style="41" customWidth="1"/>
    <col min="20" max="20" width="5.4140625" style="41" customWidth="1"/>
    <col min="21" max="21" width="0.58203125" style="41" customWidth="1"/>
    <col min="22" max="22" width="4.58203125" style="41" customWidth="1"/>
    <col min="23" max="23" width="39.4140625" style="41" customWidth="1"/>
    <col min="24" max="24" width="0.5820312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1.4140625" style="41" customWidth="1"/>
    <col min="30" max="30" width="0.9140625" style="41" customWidth="1"/>
    <col min="31" max="31" width="12.9140625" style="41" customWidth="1"/>
    <col min="32" max="32" width="0.75" style="41" customWidth="1"/>
    <col min="33" max="33" width="13.6640625" style="165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165" customWidth="1"/>
    <col min="38" max="38" width="0.582031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165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REHEARING ORDER CALCULATED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157</v>
      </c>
      <c r="AK6" s="206"/>
      <c r="AL6" s="42"/>
    </row>
    <row r="7" spans="1:40" x14ac:dyDescent="0.3">
      <c r="A7" s="41" t="str">
        <f>TYPE</f>
        <v>TYPE OF FILING: _X_ ORIGINAL   ___UPDATED  ___ REVISED</v>
      </c>
      <c r="R7" s="45" t="str">
        <f>"PAGE 8 OF "&amp;TEXT(Page_Num_2.3,"00")</f>
        <v>PAGE 8 OF 24</v>
      </c>
      <c r="AK7" s="206"/>
      <c r="AL7" s="42"/>
    </row>
    <row r="8" spans="1:40" x14ac:dyDescent="0.3">
      <c r="A8" s="42" t="s">
        <v>171</v>
      </c>
      <c r="R8" s="42" t="s">
        <v>3</v>
      </c>
      <c r="AK8" s="206"/>
      <c r="AL8" s="42"/>
    </row>
    <row r="9" spans="1:40" x14ac:dyDescent="0.3">
      <c r="A9" s="132" t="str">
        <f>TIME</f>
        <v>12 Months Projected with Riders</v>
      </c>
      <c r="R9" s="41" t="str">
        <f>WIT</f>
        <v>B. L. Sailers</v>
      </c>
      <c r="AK9" s="206"/>
      <c r="AL9" s="42"/>
    </row>
    <row r="10" spans="1:40" x14ac:dyDescent="0.3">
      <c r="A10" s="132" t="str">
        <f>INPUT!B5</f>
        <v xml:space="preserve"> </v>
      </c>
      <c r="AK10" s="206"/>
      <c r="AL10" s="42"/>
    </row>
    <row r="11" spans="1:40" x14ac:dyDescent="0.3">
      <c r="A11" s="40" t="s">
        <v>130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207"/>
      <c r="AH12" s="135"/>
      <c r="AI12" s="135"/>
      <c r="AJ12" s="135"/>
      <c r="AK12" s="207"/>
      <c r="AL12" s="135"/>
      <c r="AM12" s="135"/>
      <c r="AN12" s="135"/>
    </row>
    <row r="13" spans="1:40" ht="18" customHeight="1" x14ac:dyDescent="0.3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68"/>
      <c r="AH13" s="44"/>
      <c r="AK13" s="168"/>
      <c r="AL13" s="44"/>
      <c r="AM13" s="44"/>
      <c r="AN13" s="44"/>
    </row>
    <row r="14" spans="1:40" x14ac:dyDescent="0.3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68"/>
      <c r="AH14" s="44"/>
      <c r="AK14" s="168"/>
      <c r="AL14" s="44"/>
      <c r="AM14" s="44"/>
      <c r="AN14" s="44"/>
    </row>
    <row r="15" spans="1:4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842</v>
      </c>
      <c r="M15" s="44"/>
      <c r="N15" s="44" t="s">
        <v>842</v>
      </c>
      <c r="O15" s="44"/>
      <c r="P15" s="44" t="s">
        <v>842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68"/>
      <c r="AH15" s="44"/>
      <c r="AI15" s="44"/>
      <c r="AJ15" s="44"/>
      <c r="AK15" s="168"/>
      <c r="AL15" s="44"/>
      <c r="AM15" s="44"/>
      <c r="AN15" s="44"/>
    </row>
    <row r="16" spans="1:40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324</v>
      </c>
      <c r="Q16" s="44"/>
      <c r="R16" s="141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68"/>
      <c r="AH16" s="44"/>
      <c r="AI16" s="44"/>
      <c r="AJ16" s="44"/>
      <c r="AK16" s="168"/>
      <c r="AL16" s="44"/>
      <c r="AM16" s="44"/>
      <c r="AN16" s="44"/>
    </row>
    <row r="17" spans="1:40" x14ac:dyDescent="0.3">
      <c r="C17" s="141" t="s">
        <v>33</v>
      </c>
      <c r="D17" s="141" t="s">
        <v>34</v>
      </c>
      <c r="E17" s="141"/>
      <c r="F17" s="141" t="s">
        <v>35</v>
      </c>
      <c r="G17" s="153"/>
      <c r="H17" s="141" t="s">
        <v>36</v>
      </c>
      <c r="I17" s="141"/>
      <c r="J17" s="141" t="s">
        <v>37</v>
      </c>
      <c r="K17" s="141"/>
      <c r="L17" s="141" t="s">
        <v>38</v>
      </c>
      <c r="M17" s="141"/>
      <c r="N17" s="141" t="s">
        <v>39</v>
      </c>
      <c r="O17" s="141"/>
      <c r="P17" s="141" t="s">
        <v>40</v>
      </c>
      <c r="Q17" s="141"/>
      <c r="R17" s="141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68"/>
      <c r="AH17" s="44"/>
      <c r="AI17" s="44"/>
      <c r="AJ17" s="44"/>
      <c r="AK17" s="168"/>
      <c r="AL17" s="44"/>
      <c r="AM17" s="44"/>
      <c r="AN17" s="44"/>
    </row>
    <row r="18" spans="1:40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207"/>
      <c r="AH18" s="135"/>
      <c r="AI18" s="135"/>
      <c r="AJ18" s="135"/>
      <c r="AK18" s="207"/>
      <c r="AL18" s="135"/>
      <c r="AM18" s="135"/>
      <c r="AN18" s="135"/>
    </row>
    <row r="19" spans="1:40" ht="17.100000000000001" customHeight="1" x14ac:dyDescent="0.3">
      <c r="H19" s="172" t="s">
        <v>197</v>
      </c>
      <c r="I19" s="171"/>
      <c r="J19" s="172" t="s">
        <v>313</v>
      </c>
      <c r="K19" s="171"/>
      <c r="L19" s="171" t="s">
        <v>50</v>
      </c>
      <c r="M19" s="171"/>
      <c r="N19" s="171" t="s">
        <v>51</v>
      </c>
      <c r="O19" s="171"/>
      <c r="P19" s="171" t="s">
        <v>50</v>
      </c>
      <c r="Q19" s="171"/>
      <c r="R19" s="171" t="s">
        <v>50</v>
      </c>
      <c r="Y19" s="44"/>
      <c r="Z19" s="44"/>
      <c r="AA19" s="44"/>
      <c r="AB19" s="44"/>
      <c r="AC19" s="44"/>
      <c r="AD19" s="44"/>
      <c r="AE19" s="44"/>
      <c r="AF19" s="44"/>
      <c r="AG19" s="168"/>
      <c r="AH19" s="44"/>
      <c r="AI19" s="44"/>
      <c r="AJ19" s="44"/>
      <c r="AK19" s="168"/>
      <c r="AL19" s="44"/>
      <c r="AM19" s="44"/>
      <c r="AN19" s="44"/>
    </row>
    <row r="20" spans="1:40" x14ac:dyDescent="0.3">
      <c r="A20" s="41">
        <v>1</v>
      </c>
      <c r="C20" s="132" t="s">
        <v>92</v>
      </c>
      <c r="D20" s="132" t="s">
        <v>150</v>
      </c>
      <c r="E20" s="42"/>
      <c r="F20" s="1"/>
      <c r="G20" s="1"/>
      <c r="H20" s="208"/>
      <c r="I20" s="208"/>
      <c r="J20" s="172" t="s">
        <v>329</v>
      </c>
      <c r="K20" s="208"/>
      <c r="L20" s="208"/>
      <c r="M20" s="208"/>
      <c r="N20" s="208"/>
      <c r="O20" s="208"/>
      <c r="P20" s="208"/>
      <c r="Q20" s="208"/>
      <c r="R20" s="208"/>
      <c r="T20" s="42"/>
      <c r="U20" s="42"/>
    </row>
    <row r="21" spans="1:40" x14ac:dyDescent="0.3">
      <c r="A21" s="41">
        <v>2</v>
      </c>
      <c r="C21" s="153"/>
      <c r="D21" s="132" t="s">
        <v>133</v>
      </c>
      <c r="E21" s="4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 x14ac:dyDescent="0.3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 x14ac:dyDescent="0.3">
      <c r="A23" s="41">
        <v>3</v>
      </c>
      <c r="C23" s="132" t="s">
        <v>134</v>
      </c>
      <c r="F23" s="159"/>
      <c r="G23" s="1"/>
      <c r="H23" s="159"/>
      <c r="I23" s="159"/>
      <c r="J23" s="194"/>
      <c r="K23" s="194"/>
      <c r="L23" s="3"/>
      <c r="M23" s="3"/>
      <c r="N23" s="4"/>
      <c r="O23" s="4"/>
      <c r="P23" s="1"/>
      <c r="Q23" s="1"/>
      <c r="R23" s="3"/>
      <c r="S23" s="123"/>
      <c r="T23" s="42"/>
      <c r="V23" s="123"/>
      <c r="Y23" s="123"/>
      <c r="Z23" s="193"/>
      <c r="AA23" s="123"/>
      <c r="AB23" s="123"/>
      <c r="AC23" s="160"/>
      <c r="AD23" s="160"/>
      <c r="AE23" s="123"/>
      <c r="AF23" s="123"/>
      <c r="AH23" s="160"/>
      <c r="AI23" s="123"/>
      <c r="AJ23" s="123"/>
      <c r="AL23" s="123"/>
      <c r="AM23" s="160"/>
      <c r="AN23" s="160"/>
    </row>
    <row r="24" spans="1:40" x14ac:dyDescent="0.3">
      <c r="A24" s="41">
        <v>4</v>
      </c>
      <c r="C24" s="42" t="s">
        <v>356</v>
      </c>
      <c r="F24" s="184">
        <v>24</v>
      </c>
      <c r="G24" s="1"/>
      <c r="H24" s="159"/>
      <c r="I24" s="159"/>
      <c r="J24" s="193">
        <f>INPUT!D64</f>
        <v>5</v>
      </c>
      <c r="K24" s="194"/>
      <c r="L24" s="3">
        <f>ROUND(F24*J24,0)</f>
        <v>120</v>
      </c>
      <c r="M24" s="3"/>
      <c r="N24" s="4">
        <f>ROUND((L24/$L$46)*100,1)</f>
        <v>0</v>
      </c>
      <c r="O24" s="4"/>
      <c r="P24" s="1"/>
      <c r="Q24" s="1"/>
      <c r="R24" s="3">
        <f>L24+P24</f>
        <v>120</v>
      </c>
      <c r="S24" s="123"/>
      <c r="T24" s="42"/>
      <c r="V24" s="123"/>
      <c r="Y24" s="123"/>
      <c r="Z24" s="193"/>
      <c r="AA24" s="123"/>
      <c r="AB24" s="123"/>
      <c r="AC24" s="160"/>
      <c r="AD24" s="160"/>
      <c r="AE24" s="123"/>
      <c r="AF24" s="123"/>
      <c r="AH24" s="160"/>
      <c r="AI24" s="123"/>
      <c r="AJ24" s="123"/>
      <c r="AL24" s="123"/>
      <c r="AM24" s="160"/>
      <c r="AN24" s="160"/>
    </row>
    <row r="25" spans="1:40" x14ac:dyDescent="0.3">
      <c r="A25" s="41">
        <v>5</v>
      </c>
      <c r="C25" s="42" t="s">
        <v>145</v>
      </c>
      <c r="F25" s="184">
        <v>120</v>
      </c>
      <c r="G25" s="1"/>
      <c r="H25" s="159"/>
      <c r="I25" s="159"/>
      <c r="J25" s="193">
        <f>INPUT!D113</f>
        <v>120</v>
      </c>
      <c r="K25" s="194"/>
      <c r="L25" s="3">
        <f>ROUND(F25*J25,0)</f>
        <v>14400</v>
      </c>
      <c r="M25" s="3"/>
      <c r="N25" s="253">
        <f>ROUND((L25/$L$46)*100,1)</f>
        <v>1.6</v>
      </c>
      <c r="O25" s="4"/>
      <c r="P25" s="1"/>
      <c r="Q25" s="1"/>
      <c r="R25" s="3">
        <f>L25+P25</f>
        <v>14400</v>
      </c>
      <c r="S25" s="123"/>
      <c r="V25" s="210"/>
      <c r="Y25" s="123"/>
      <c r="Z25" s="184"/>
      <c r="AA25" s="123"/>
      <c r="AB25" s="123"/>
      <c r="AC25" s="160"/>
      <c r="AD25" s="160"/>
      <c r="AE25" s="123"/>
      <c r="AF25" s="123"/>
      <c r="AI25" s="123"/>
      <c r="AJ25" s="123"/>
      <c r="AL25" s="123"/>
    </row>
    <row r="26" spans="1:40" ht="20.100000000000001" customHeight="1" x14ac:dyDescent="0.3">
      <c r="A26" s="41">
        <v>6</v>
      </c>
      <c r="C26" s="132" t="s">
        <v>137</v>
      </c>
      <c r="F26" s="145">
        <f>F25</f>
        <v>120</v>
      </c>
      <c r="G26" s="1"/>
      <c r="H26" s="3"/>
      <c r="I26" s="3"/>
      <c r="J26" s="183"/>
      <c r="K26" s="183"/>
      <c r="L26" s="145">
        <f>SUM(L24:L25)</f>
        <v>14520</v>
      </c>
      <c r="M26" s="3"/>
      <c r="N26" s="253">
        <f>ROUND((L26/$L$46)*100,1)</f>
        <v>1.6</v>
      </c>
      <c r="O26" s="4"/>
      <c r="P26" s="145"/>
      <c r="Q26" s="3"/>
      <c r="R26" s="145">
        <f>SUM(R24:R25)</f>
        <v>14520</v>
      </c>
      <c r="S26" s="123"/>
      <c r="T26" s="42"/>
      <c r="V26" s="123"/>
      <c r="Y26" s="123"/>
      <c r="Z26" s="212"/>
      <c r="AA26" s="123"/>
      <c r="AB26" s="123"/>
      <c r="AC26" s="160"/>
      <c r="AD26" s="160"/>
      <c r="AE26" s="123"/>
      <c r="AF26" s="123"/>
      <c r="AH26" s="160"/>
      <c r="AI26" s="123"/>
      <c r="AJ26" s="123"/>
      <c r="AL26" s="123"/>
      <c r="AM26" s="160"/>
      <c r="AN26" s="160"/>
    </row>
    <row r="27" spans="1:40" x14ac:dyDescent="0.3">
      <c r="F27" s="3"/>
      <c r="G27" s="1"/>
      <c r="H27" s="3"/>
      <c r="I27" s="3"/>
      <c r="J27" s="183"/>
      <c r="K27" s="183"/>
      <c r="L27" s="3"/>
      <c r="M27" s="3"/>
      <c r="N27" s="4"/>
      <c r="O27" s="4"/>
      <c r="P27" s="3"/>
      <c r="Q27" s="3"/>
      <c r="R27" s="3"/>
      <c r="S27" s="123"/>
      <c r="V27" s="210"/>
      <c r="Y27" s="210"/>
      <c r="Z27" s="213"/>
      <c r="AA27" s="210"/>
      <c r="AB27" s="210"/>
      <c r="AC27" s="210"/>
      <c r="AD27" s="210"/>
      <c r="AE27" s="210"/>
      <c r="AF27" s="210"/>
      <c r="AI27" s="210"/>
      <c r="AJ27" s="210"/>
      <c r="AK27" s="214"/>
      <c r="AL27" s="210"/>
      <c r="AM27" s="160"/>
      <c r="AN27" s="160"/>
    </row>
    <row r="28" spans="1:40" x14ac:dyDescent="0.3">
      <c r="A28" s="41">
        <v>7</v>
      </c>
      <c r="C28" s="132" t="s">
        <v>63</v>
      </c>
      <c r="F28" s="159"/>
      <c r="G28" s="1"/>
      <c r="H28" s="159"/>
      <c r="I28" s="159"/>
      <c r="J28" s="194"/>
      <c r="K28" s="194"/>
      <c r="L28" s="3"/>
      <c r="M28" s="3"/>
      <c r="N28" s="4"/>
      <c r="O28" s="4"/>
      <c r="P28" s="3"/>
      <c r="Q28" s="3"/>
      <c r="R28" s="3"/>
      <c r="S28" s="123"/>
      <c r="T28" s="42"/>
      <c r="V28" s="184"/>
      <c r="Y28" s="184"/>
      <c r="Z28" s="213"/>
      <c r="AA28" s="123"/>
      <c r="AB28" s="123"/>
      <c r="AC28" s="160"/>
      <c r="AD28" s="160"/>
      <c r="AE28" s="123"/>
      <c r="AF28" s="123"/>
      <c r="AI28" s="123"/>
      <c r="AJ28" s="123"/>
      <c r="AL28" s="123"/>
      <c r="AM28" s="160"/>
      <c r="AN28" s="160"/>
    </row>
    <row r="29" spans="1:40" x14ac:dyDescent="0.3">
      <c r="A29" s="41">
        <v>8</v>
      </c>
      <c r="C29" s="42" t="s">
        <v>151</v>
      </c>
      <c r="F29" s="159"/>
      <c r="G29" s="1"/>
      <c r="H29" s="184">
        <v>27415</v>
      </c>
      <c r="I29" s="159"/>
      <c r="J29" s="193">
        <f>INPUT!D119</f>
        <v>10.130000000000001</v>
      </c>
      <c r="K29" s="194"/>
      <c r="L29" s="3">
        <f>ROUND(H29*J29,0)</f>
        <v>277714</v>
      </c>
      <c r="M29" s="3"/>
      <c r="N29" s="253">
        <f>ROUND((L29/$L$46)*100,1)</f>
        <v>30.1</v>
      </c>
      <c r="O29" s="269"/>
      <c r="P29" s="3"/>
      <c r="Q29" s="3"/>
      <c r="R29" s="3">
        <f>L29+P29</f>
        <v>277714</v>
      </c>
      <c r="S29" s="123"/>
      <c r="V29" s="184"/>
      <c r="Y29" s="184"/>
      <c r="Z29" s="213"/>
      <c r="AA29" s="123"/>
      <c r="AB29" s="123"/>
      <c r="AC29" s="160"/>
      <c r="AD29" s="160"/>
      <c r="AE29" s="123"/>
      <c r="AF29" s="123"/>
      <c r="AI29" s="123"/>
      <c r="AJ29" s="123"/>
      <c r="AL29" s="123"/>
      <c r="AM29" s="160"/>
      <c r="AN29" s="160"/>
    </row>
    <row r="30" spans="1:40" ht="20.100000000000001" customHeight="1" x14ac:dyDescent="0.3">
      <c r="A30" s="41">
        <v>9</v>
      </c>
      <c r="C30" s="132" t="s">
        <v>66</v>
      </c>
      <c r="F30" s="3"/>
      <c r="G30" s="1"/>
      <c r="H30" s="145">
        <f>SUM(H29)</f>
        <v>27415</v>
      </c>
      <c r="I30" s="3"/>
      <c r="J30" s="183"/>
      <c r="K30" s="183"/>
      <c r="L30" s="145">
        <f>SUM(L29)</f>
        <v>277714</v>
      </c>
      <c r="M30" s="3"/>
      <c r="N30" s="253">
        <f>ROUND((L30/$L$46)*100,1)</f>
        <v>30.1</v>
      </c>
      <c r="O30" s="4"/>
      <c r="P30" s="145"/>
      <c r="Q30" s="3"/>
      <c r="R30" s="145">
        <f>SUM(R29)</f>
        <v>277714</v>
      </c>
      <c r="S30" s="123"/>
      <c r="T30" s="42"/>
      <c r="V30" s="184"/>
      <c r="Y30" s="123"/>
      <c r="Z30" s="212"/>
      <c r="AA30" s="123"/>
      <c r="AB30" s="123"/>
      <c r="AC30" s="160"/>
      <c r="AD30" s="160"/>
      <c r="AE30" s="123"/>
      <c r="AF30" s="123"/>
      <c r="AH30" s="160"/>
      <c r="AI30" s="123"/>
      <c r="AJ30" s="123"/>
      <c r="AL30" s="123"/>
      <c r="AM30" s="160"/>
      <c r="AN30" s="160"/>
    </row>
    <row r="31" spans="1:40" x14ac:dyDescent="0.3">
      <c r="F31" s="3"/>
      <c r="G31" s="1"/>
      <c r="H31" s="3"/>
      <c r="I31" s="3"/>
      <c r="J31" s="183"/>
      <c r="K31" s="183"/>
      <c r="L31" s="3"/>
      <c r="M31" s="3"/>
      <c r="N31" s="3"/>
      <c r="O31" s="3"/>
      <c r="P31" s="3"/>
      <c r="Q31" s="3"/>
      <c r="R31" s="3"/>
      <c r="S31" s="123"/>
      <c r="V31" s="210"/>
      <c r="Y31" s="210"/>
      <c r="Z31" s="213"/>
      <c r="AA31" s="210"/>
      <c r="AB31" s="210"/>
      <c r="AC31" s="210"/>
      <c r="AD31" s="210"/>
      <c r="AE31" s="210"/>
      <c r="AF31" s="210"/>
      <c r="AI31" s="210"/>
      <c r="AJ31" s="210"/>
      <c r="AK31" s="214"/>
      <c r="AL31" s="210"/>
      <c r="AM31" s="160"/>
      <c r="AN31" s="160"/>
    </row>
    <row r="32" spans="1:40" x14ac:dyDescent="0.3">
      <c r="A32" s="41">
        <v>10</v>
      </c>
      <c r="C32" s="132" t="s">
        <v>374</v>
      </c>
      <c r="F32" s="159"/>
      <c r="G32" s="1"/>
      <c r="H32" s="159"/>
      <c r="I32" s="159"/>
      <c r="J32" s="199"/>
      <c r="K32" s="199"/>
      <c r="L32" s="3"/>
      <c r="M32" s="3"/>
      <c r="N32" s="4"/>
      <c r="O32" s="4"/>
      <c r="P32" s="159"/>
      <c r="Q32" s="159"/>
      <c r="R32" s="3"/>
      <c r="S32" s="123"/>
      <c r="T32" s="42"/>
      <c r="V32" s="123"/>
      <c r="Y32" s="123"/>
      <c r="Z32" s="213"/>
      <c r="AA32" s="123"/>
      <c r="AB32" s="123"/>
      <c r="AC32" s="160"/>
      <c r="AD32" s="160"/>
      <c r="AE32" s="123"/>
      <c r="AF32" s="123"/>
      <c r="AH32" s="160"/>
      <c r="AI32" s="123"/>
      <c r="AJ32" s="123"/>
      <c r="AL32" s="123"/>
      <c r="AM32" s="160"/>
      <c r="AN32" s="160"/>
    </row>
    <row r="33" spans="1:40" x14ac:dyDescent="0.3">
      <c r="A33" s="41">
        <v>11</v>
      </c>
      <c r="C33" s="42" t="s">
        <v>152</v>
      </c>
      <c r="F33" s="159"/>
      <c r="G33" s="1"/>
      <c r="H33" s="184">
        <v>6857618</v>
      </c>
      <c r="I33" s="159"/>
      <c r="J33" s="205">
        <f>INPUT!D115</f>
        <v>7.6301999999999995E-2</v>
      </c>
      <c r="K33" s="199"/>
      <c r="L33" s="3">
        <f>ROUND((H33*J33),0)</f>
        <v>523250</v>
      </c>
      <c r="M33" s="3"/>
      <c r="N33" s="4">
        <f>ROUND((L33/$L$46)*100,1)</f>
        <v>56.7</v>
      </c>
      <c r="O33" s="4"/>
      <c r="P33" s="3"/>
      <c r="Q33" s="159"/>
      <c r="R33" s="3">
        <f>L33+P33</f>
        <v>523250</v>
      </c>
      <c r="S33" s="123"/>
      <c r="V33" s="210"/>
      <c r="Y33" s="210"/>
      <c r="Z33" s="213"/>
      <c r="AA33" s="210"/>
      <c r="AB33" s="210"/>
      <c r="AC33" s="210"/>
      <c r="AD33" s="210"/>
      <c r="AE33" s="210"/>
      <c r="AF33" s="210"/>
      <c r="AI33" s="210"/>
      <c r="AJ33" s="210"/>
      <c r="AK33" s="214"/>
      <c r="AL33" s="210"/>
      <c r="AM33" s="160"/>
      <c r="AN33" s="160"/>
    </row>
    <row r="34" spans="1:40" x14ac:dyDescent="0.3">
      <c r="A34" s="41">
        <v>12</v>
      </c>
      <c r="C34" s="42" t="s">
        <v>142</v>
      </c>
      <c r="F34" s="159"/>
      <c r="G34" s="1"/>
      <c r="H34" s="184">
        <v>869355</v>
      </c>
      <c r="I34" s="159"/>
      <c r="J34" s="205">
        <f>INPUT!D116</f>
        <v>6.6118999999999997E-2</v>
      </c>
      <c r="K34" s="199"/>
      <c r="L34" s="3">
        <f>ROUND((H34*J34),0)</f>
        <v>57481</v>
      </c>
      <c r="M34" s="3"/>
      <c r="N34" s="4">
        <f>ROUND((L34/$L$46)*100,1)</f>
        <v>6.2</v>
      </c>
      <c r="O34" s="4"/>
      <c r="P34" s="3"/>
      <c r="Q34" s="159"/>
      <c r="R34" s="3">
        <f>L34+P34</f>
        <v>57481</v>
      </c>
      <c r="S34" s="123"/>
      <c r="T34" s="42"/>
      <c r="Z34" s="213"/>
      <c r="AA34" s="123"/>
      <c r="AB34" s="123"/>
      <c r="AC34" s="160"/>
      <c r="AD34" s="160"/>
      <c r="AE34" s="123"/>
      <c r="AF34" s="123"/>
      <c r="AH34" s="160"/>
      <c r="AI34" s="123"/>
      <c r="AJ34" s="123"/>
      <c r="AL34" s="123"/>
      <c r="AM34" s="160"/>
      <c r="AN34" s="160"/>
    </row>
    <row r="35" spans="1:40" x14ac:dyDescent="0.3">
      <c r="A35" s="41">
        <v>13</v>
      </c>
      <c r="C35" s="42" t="s">
        <v>530</v>
      </c>
      <c r="F35" s="159"/>
      <c r="G35" s="1"/>
      <c r="H35" s="184">
        <v>0</v>
      </c>
      <c r="I35" s="159"/>
      <c r="J35" s="205">
        <f>INPUT!D117</f>
        <v>0.308166</v>
      </c>
      <c r="K35" s="199"/>
      <c r="L35" s="3">
        <f>ROUND((H35*J35),0)</f>
        <v>0</v>
      </c>
      <c r="M35" s="3"/>
      <c r="N35" s="253">
        <f>ROUND((L35/$L$46)*100,1)</f>
        <v>0</v>
      </c>
      <c r="O35" s="4"/>
      <c r="P35" s="49"/>
      <c r="Q35" s="159"/>
      <c r="R35" s="3">
        <f>L35+P35</f>
        <v>0</v>
      </c>
      <c r="S35" s="123"/>
      <c r="T35" s="42"/>
      <c r="Z35" s="213"/>
      <c r="AA35" s="123"/>
      <c r="AB35" s="123"/>
      <c r="AC35" s="160"/>
      <c r="AD35" s="160"/>
      <c r="AE35" s="123"/>
      <c r="AF35" s="123"/>
      <c r="AH35" s="160"/>
      <c r="AI35" s="123"/>
      <c r="AJ35" s="123"/>
      <c r="AL35" s="123"/>
      <c r="AM35" s="160"/>
      <c r="AN35" s="160"/>
    </row>
    <row r="36" spans="1:40" ht="20.100000000000001" customHeight="1" x14ac:dyDescent="0.3">
      <c r="A36" s="41">
        <v>14</v>
      </c>
      <c r="C36" s="132" t="s">
        <v>143</v>
      </c>
      <c r="F36" s="3"/>
      <c r="G36" s="1"/>
      <c r="H36" s="145">
        <f>SUM(H33:H35)</f>
        <v>7726973</v>
      </c>
      <c r="I36" s="3"/>
      <c r="J36" s="216"/>
      <c r="K36" s="7"/>
      <c r="L36" s="145">
        <f>SUM(L33:L35)</f>
        <v>580731</v>
      </c>
      <c r="M36" s="3"/>
      <c r="N36" s="253">
        <f>ROUND((L36/$L$46)*100,1)</f>
        <v>62.9</v>
      </c>
      <c r="O36" s="4"/>
      <c r="P36" s="49"/>
      <c r="Q36" s="3"/>
      <c r="R36" s="145">
        <f>L36+P36</f>
        <v>580731</v>
      </c>
      <c r="S36" s="123"/>
      <c r="T36" s="42"/>
      <c r="AA36" s="123"/>
      <c r="AB36" s="123"/>
      <c r="AC36" s="123"/>
      <c r="AD36" s="123"/>
      <c r="AI36" s="123"/>
      <c r="AJ36" s="123"/>
      <c r="AL36" s="123"/>
    </row>
    <row r="37" spans="1:40" ht="20.100000000000001" customHeight="1" x14ac:dyDescent="0.3">
      <c r="A37" s="41">
        <v>15</v>
      </c>
      <c r="C37" s="178" t="s">
        <v>451</v>
      </c>
      <c r="F37" s="49">
        <f>F26</f>
        <v>120</v>
      </c>
      <c r="G37" s="1"/>
      <c r="H37" s="145">
        <f>H36</f>
        <v>7726973</v>
      </c>
      <c r="I37" s="3"/>
      <c r="J37" s="216"/>
      <c r="K37" s="7"/>
      <c r="L37" s="145">
        <f>L36+L30+L26</f>
        <v>872965</v>
      </c>
      <c r="M37" s="3"/>
      <c r="N37" s="211">
        <f>ROUND((L37/$L$46)*100,1)</f>
        <v>94.6</v>
      </c>
      <c r="O37" s="4"/>
      <c r="P37" s="145"/>
      <c r="Q37" s="3"/>
      <c r="R37" s="145">
        <f>R26+R30+R36</f>
        <v>872965</v>
      </c>
      <c r="S37" s="123"/>
      <c r="T37" s="42"/>
      <c r="AA37" s="123"/>
      <c r="AB37" s="123"/>
      <c r="AC37" s="123"/>
      <c r="AD37" s="123"/>
      <c r="AI37" s="123"/>
      <c r="AJ37" s="123"/>
      <c r="AL37" s="123"/>
    </row>
    <row r="38" spans="1:40" ht="15.75" customHeight="1" x14ac:dyDescent="0.3">
      <c r="C38" s="42"/>
      <c r="F38" s="3"/>
      <c r="G38" s="1"/>
      <c r="H38" s="3"/>
      <c r="I38" s="3"/>
      <c r="J38" s="216"/>
      <c r="K38" s="7"/>
      <c r="L38" s="3"/>
      <c r="M38" s="3"/>
      <c r="N38" s="4"/>
      <c r="O38" s="4"/>
      <c r="P38" s="3"/>
      <c r="Q38" s="3"/>
      <c r="R38" s="3"/>
      <c r="S38" s="123"/>
      <c r="T38" s="42"/>
      <c r="AA38" s="123"/>
      <c r="AB38" s="123"/>
      <c r="AC38" s="123"/>
      <c r="AD38" s="123"/>
      <c r="AI38" s="123"/>
      <c r="AJ38" s="123"/>
      <c r="AL38" s="123"/>
    </row>
    <row r="39" spans="1:40" ht="15.75" customHeight="1" x14ac:dyDescent="0.3">
      <c r="A39" s="41">
        <v>16</v>
      </c>
      <c r="C39" s="132" t="s">
        <v>432</v>
      </c>
      <c r="F39" s="3"/>
      <c r="G39" s="1"/>
      <c r="H39" s="3"/>
      <c r="I39" s="3"/>
      <c r="J39" s="216"/>
      <c r="K39" s="7"/>
      <c r="L39" s="3"/>
      <c r="M39" s="3"/>
      <c r="N39" s="4"/>
      <c r="O39" s="4"/>
      <c r="P39" s="3"/>
      <c r="Q39" s="3"/>
      <c r="R39" s="3"/>
      <c r="S39" s="123"/>
      <c r="T39" s="42"/>
      <c r="AA39" s="123"/>
      <c r="AB39" s="123"/>
      <c r="AC39" s="123"/>
      <c r="AD39" s="123"/>
      <c r="AI39" s="123"/>
      <c r="AJ39" s="123"/>
      <c r="AL39" s="123"/>
    </row>
    <row r="40" spans="1:40" ht="15.75" customHeight="1" x14ac:dyDescent="0.3">
      <c r="A40" s="41">
        <v>17</v>
      </c>
      <c r="C40" s="192" t="str">
        <f>DSMR_Name</f>
        <v>DEMAND SIDE MANAGEMENT RIDER (DSMR)</v>
      </c>
      <c r="F40" s="3"/>
      <c r="G40" s="1"/>
      <c r="H40" s="3"/>
      <c r="I40" s="3"/>
      <c r="J40" s="217">
        <f>PRO_DSM_DIST</f>
        <v>3.503E-3</v>
      </c>
      <c r="K40" s="7"/>
      <c r="L40" s="3">
        <f>ROUND($H$37*J40,0)</f>
        <v>27068</v>
      </c>
      <c r="M40" s="3"/>
      <c r="N40" s="175">
        <f>ROUND((L40/$L$46)*100,1)</f>
        <v>2.9</v>
      </c>
      <c r="O40" s="4"/>
      <c r="P40" s="3"/>
      <c r="Q40" s="3"/>
      <c r="R40" s="3">
        <f>L40+P40</f>
        <v>27068</v>
      </c>
      <c r="S40" s="123"/>
      <c r="T40" s="42"/>
      <c r="AA40" s="123"/>
      <c r="AB40" s="123"/>
      <c r="AC40" s="123"/>
      <c r="AD40" s="123"/>
      <c r="AI40" s="123"/>
      <c r="AJ40" s="123"/>
      <c r="AL40" s="123"/>
    </row>
    <row r="41" spans="1:40" ht="15.75" customHeight="1" x14ac:dyDescent="0.3">
      <c r="A41" s="41">
        <v>18</v>
      </c>
      <c r="C41" s="192" t="str">
        <f>ESM_Name</f>
        <v>ENVIRONMENTAL SURCHARGE MECHANISM RIDER (ESM)</v>
      </c>
      <c r="F41" s="3"/>
      <c r="G41" s="1"/>
      <c r="H41" s="3"/>
      <c r="I41" s="3"/>
      <c r="J41" s="198">
        <f>PRO_ESM_NONRES</f>
        <v>5.7995821086186533E-3</v>
      </c>
      <c r="K41" s="7"/>
      <c r="L41" s="3">
        <f>ROUND((R37-(PRO_BASE_FUEL*H37)+R40+R43)*J41,0)</f>
        <v>3817</v>
      </c>
      <c r="M41" s="3"/>
      <c r="N41" s="175">
        <f>ROUND((L41/$L$46)*100,1)</f>
        <v>0.4</v>
      </c>
      <c r="O41" s="4"/>
      <c r="P41" s="3"/>
      <c r="Q41" s="3"/>
      <c r="R41" s="3">
        <f>L41+P41</f>
        <v>3817</v>
      </c>
      <c r="S41" s="123"/>
      <c r="T41" s="42"/>
      <c r="AA41" s="123"/>
      <c r="AB41" s="123"/>
      <c r="AC41" s="123"/>
      <c r="AD41" s="123"/>
      <c r="AI41" s="123"/>
      <c r="AJ41" s="123"/>
      <c r="AL41" s="123"/>
    </row>
    <row r="42" spans="1:40" ht="15.75" customHeight="1" x14ac:dyDescent="0.3">
      <c r="A42" s="41">
        <v>19</v>
      </c>
      <c r="C42" s="192" t="str">
        <f>FAC_Name</f>
        <v>FUEL ADJUSTMENT CLAUSE (FAC)</v>
      </c>
      <c r="F42" s="3"/>
      <c r="G42" s="1"/>
      <c r="H42" s="3"/>
      <c r="I42" s="3"/>
      <c r="J42" s="217">
        <f>PRO_FAC</f>
        <v>3.4872127999999998E-3</v>
      </c>
      <c r="K42" s="7"/>
      <c r="L42" s="3"/>
      <c r="M42" s="3"/>
      <c r="N42" s="175"/>
      <c r="O42" s="4"/>
      <c r="P42" s="3">
        <f>ROUND(H37*PRO_FAC,0)</f>
        <v>26946</v>
      </c>
      <c r="Q42" s="3"/>
      <c r="R42" s="3">
        <f>L42+P42</f>
        <v>26946</v>
      </c>
      <c r="S42" s="123"/>
      <c r="T42" s="42"/>
      <c r="AA42" s="123"/>
      <c r="AB42" s="123"/>
      <c r="AC42" s="123"/>
      <c r="AD42" s="123"/>
      <c r="AI42" s="123"/>
      <c r="AJ42" s="123"/>
      <c r="AL42" s="123"/>
    </row>
    <row r="43" spans="1:40" ht="15.75" customHeight="1" x14ac:dyDescent="0.3">
      <c r="A43" s="41">
        <v>20</v>
      </c>
      <c r="C43" s="192" t="str">
        <f>PSM_Name</f>
        <v>PROFIT SHARING MECHANISM (PSM)</v>
      </c>
      <c r="F43" s="3"/>
      <c r="G43" s="1"/>
      <c r="H43" s="3"/>
      <c r="I43" s="3"/>
      <c r="J43" s="217">
        <f>PRO_PSM</f>
        <v>2.4750000000000002E-3</v>
      </c>
      <c r="K43" s="7"/>
      <c r="L43" s="49">
        <f>ROUND(H37*PRO_PSM,0)</f>
        <v>19124</v>
      </c>
      <c r="M43" s="3"/>
      <c r="N43" s="177">
        <f>ROUND((L43/$L$46)*100,1)</f>
        <v>2.1</v>
      </c>
      <c r="O43" s="4"/>
      <c r="P43" s="49"/>
      <c r="Q43" s="3"/>
      <c r="R43" s="49">
        <f>L43+P43</f>
        <v>19124</v>
      </c>
      <c r="S43" s="123"/>
      <c r="T43" s="42"/>
      <c r="AA43" s="123"/>
      <c r="AB43" s="123"/>
      <c r="AC43" s="123"/>
      <c r="AD43" s="123"/>
      <c r="AI43" s="123"/>
      <c r="AJ43" s="123"/>
      <c r="AL43" s="123"/>
    </row>
    <row r="44" spans="1:40" ht="20.100000000000001" customHeight="1" x14ac:dyDescent="0.3">
      <c r="A44" s="41">
        <v>21</v>
      </c>
      <c r="C44" s="132" t="s">
        <v>437</v>
      </c>
      <c r="F44" s="49"/>
      <c r="G44" s="1"/>
      <c r="H44" s="49"/>
      <c r="I44" s="3"/>
      <c r="J44" s="7"/>
      <c r="K44" s="7"/>
      <c r="L44" s="145">
        <f>SUM(L40:L43)</f>
        <v>50009</v>
      </c>
      <c r="M44" s="3"/>
      <c r="N44" s="180">
        <f>ROUND((L44/$L$46)*100,1)</f>
        <v>5.4</v>
      </c>
      <c r="O44" s="4"/>
      <c r="P44" s="145">
        <f>SUM(P40:P43)</f>
        <v>26946</v>
      </c>
      <c r="Q44" s="3"/>
      <c r="R44" s="145">
        <f>SUM(R40:R43)</f>
        <v>76955</v>
      </c>
      <c r="S44" s="123"/>
      <c r="T44" s="42"/>
      <c r="AA44" s="123"/>
      <c r="AB44" s="123"/>
      <c r="AC44" s="123"/>
      <c r="AD44" s="123"/>
      <c r="AI44" s="123"/>
      <c r="AJ44" s="123"/>
      <c r="AL44" s="123"/>
    </row>
    <row r="45" spans="1:40" ht="15.75" customHeight="1" x14ac:dyDescent="0.3">
      <c r="C45" s="132"/>
      <c r="F45" s="3"/>
      <c r="G45" s="1"/>
      <c r="H45" s="3"/>
      <c r="I45" s="3"/>
      <c r="J45" s="7"/>
      <c r="K45" s="7"/>
      <c r="L45" s="3"/>
      <c r="M45" s="3"/>
      <c r="N45" s="4"/>
      <c r="O45" s="4"/>
      <c r="P45" s="3"/>
      <c r="Q45" s="3"/>
      <c r="R45" s="3"/>
      <c r="S45" s="123"/>
      <c r="T45" s="42"/>
      <c r="AA45" s="123"/>
      <c r="AB45" s="123"/>
      <c r="AC45" s="123"/>
      <c r="AD45" s="123"/>
      <c r="AI45" s="123"/>
      <c r="AJ45" s="123"/>
      <c r="AL45" s="123"/>
    </row>
    <row r="46" spans="1:40" ht="20.100000000000001" customHeight="1" thickBot="1" x14ac:dyDescent="0.35">
      <c r="A46" s="41">
        <v>22</v>
      </c>
      <c r="C46" s="178" t="s">
        <v>452</v>
      </c>
      <c r="F46" s="151">
        <f>F26</f>
        <v>120</v>
      </c>
      <c r="G46" s="1"/>
      <c r="H46" s="151">
        <f>H36</f>
        <v>7726973</v>
      </c>
      <c r="I46" s="3"/>
      <c r="J46" s="7"/>
      <c r="K46" s="7"/>
      <c r="L46" s="151">
        <f>L37+L44</f>
        <v>922974</v>
      </c>
      <c r="M46" s="3"/>
      <c r="N46" s="218">
        <v>100</v>
      </c>
      <c r="O46" s="4"/>
      <c r="P46" s="151">
        <f>P44+P37</f>
        <v>26946</v>
      </c>
      <c r="Q46" s="3"/>
      <c r="R46" s="151">
        <f>R44+R37</f>
        <v>949920</v>
      </c>
      <c r="Y46" s="42"/>
    </row>
    <row r="47" spans="1:40" ht="16.2" thickTop="1" x14ac:dyDescent="0.3">
      <c r="F47" s="3"/>
      <c r="G47" s="1"/>
      <c r="H47" s="3"/>
      <c r="I47" s="3"/>
      <c r="J47" s="7"/>
      <c r="K47" s="7"/>
      <c r="L47" s="3"/>
      <c r="M47" s="3"/>
      <c r="N47" s="3"/>
      <c r="O47" s="3"/>
      <c r="P47" s="3"/>
      <c r="Q47" s="3"/>
      <c r="R47" s="3"/>
      <c r="AA47" s="42"/>
      <c r="AB47" s="42"/>
    </row>
    <row r="48" spans="1:40" x14ac:dyDescent="0.3">
      <c r="C48" s="202" t="s">
        <v>59</v>
      </c>
      <c r="F48" s="123"/>
      <c r="H48" s="123"/>
      <c r="I48" s="123"/>
      <c r="J48" s="219"/>
      <c r="K48" s="219"/>
      <c r="L48" s="123"/>
      <c r="M48" s="123"/>
      <c r="N48" s="123"/>
      <c r="O48" s="123"/>
      <c r="P48" s="123"/>
      <c r="Q48" s="123"/>
      <c r="R48" s="123"/>
      <c r="AK48" s="206"/>
      <c r="AL48" s="42"/>
    </row>
    <row r="49" spans="1:43" x14ac:dyDescent="0.3">
      <c r="C49" s="202" t="str">
        <f>"(2) REFLECTS FUEL COMPONENT OF "&amp;TEXT(PRO_FAC,"$0.000000;($0.000000)")&amp;"  PER KWH."</f>
        <v>(2) REFLECTS FUEL COMPONENT OF $0.003487  PER KWH.</v>
      </c>
      <c r="F49" s="123"/>
      <c r="H49" s="123"/>
      <c r="I49" s="123"/>
      <c r="J49" s="219"/>
      <c r="K49" s="219"/>
      <c r="L49" s="123"/>
      <c r="M49" s="123"/>
      <c r="N49" s="123"/>
      <c r="O49" s="123"/>
      <c r="P49" s="123"/>
      <c r="Q49" s="123"/>
      <c r="R49" s="123"/>
      <c r="AK49" s="206"/>
      <c r="AL49" s="42"/>
    </row>
    <row r="50" spans="1:43" x14ac:dyDescent="0.3">
      <c r="C50" s="202" t="str">
        <f>"(3) REFLECTS FUEL COST RECOVERY INCLUDED IN BASE RATES OF "&amp;TEXT(PRO_BASE_FUEL,"$0.000000;($0.000000)")&amp;"  PER KWH."</f>
        <v>(3) REFLECTS FUEL COST RECOVERY INCLUDED IN BASE RATES OF $0.033780  PER KWH.</v>
      </c>
      <c r="R50" s="42"/>
    </row>
    <row r="51" spans="1:43" x14ac:dyDescent="0.3">
      <c r="A51" s="42"/>
      <c r="R51" s="42"/>
    </row>
    <row r="52" spans="1:43" x14ac:dyDescent="0.3">
      <c r="F52"/>
      <c r="G52"/>
      <c r="H52"/>
      <c r="I52"/>
      <c r="J52"/>
      <c r="L52" s="42"/>
      <c r="M52" s="42"/>
    </row>
    <row r="53" spans="1:43" x14ac:dyDescent="0.3">
      <c r="A53" s="135"/>
      <c r="B53" s="135"/>
      <c r="C53" s="135"/>
      <c r="D53" s="135"/>
      <c r="E53" s="135"/>
      <c r="F53"/>
      <c r="G53"/>
      <c r="H53"/>
      <c r="I53"/>
      <c r="J53"/>
      <c r="K53" s="135"/>
      <c r="L53" s="135"/>
      <c r="M53" s="135"/>
      <c r="N53" s="135"/>
      <c r="O53" s="135"/>
      <c r="P53" s="135"/>
      <c r="Q53" s="135"/>
      <c r="R53" s="135"/>
      <c r="T53" s="40" t="str">
        <f>NAME</f>
        <v>DUKE ENERGY KENTUCKY, INC.</v>
      </c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166"/>
      <c r="AH53" s="40"/>
      <c r="AI53" s="40"/>
      <c r="AJ53" s="40"/>
      <c r="AK53" s="166"/>
      <c r="AL53" s="40"/>
      <c r="AM53" s="40"/>
      <c r="AN53" s="40"/>
      <c r="AO53" s="40"/>
      <c r="AP53" s="40"/>
      <c r="AQ53" s="166"/>
    </row>
    <row r="54" spans="1:43" x14ac:dyDescent="0.3">
      <c r="A54" s="135"/>
      <c r="B54" s="135"/>
      <c r="C54" s="135"/>
      <c r="D54" s="135"/>
      <c r="E54" s="135"/>
      <c r="F54"/>
      <c r="G54"/>
      <c r="H54"/>
      <c r="I54"/>
      <c r="J54"/>
      <c r="K54" s="135"/>
      <c r="L54" s="135"/>
      <c r="M54" s="135"/>
      <c r="N54" s="135"/>
      <c r="O54" s="135"/>
      <c r="P54" s="135"/>
      <c r="Q54" s="135"/>
      <c r="R54" s="135"/>
      <c r="T54" s="40" t="str">
        <f>CASE_NO</f>
        <v>CASE NO.   2024-00354</v>
      </c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166"/>
      <c r="AH54" s="40"/>
      <c r="AI54" s="40"/>
      <c r="AJ54" s="40"/>
      <c r="AK54" s="166"/>
      <c r="AL54" s="40"/>
      <c r="AM54" s="40"/>
      <c r="AN54" s="40"/>
      <c r="AO54" s="40"/>
      <c r="AP54" s="40"/>
      <c r="AQ54" s="166"/>
    </row>
    <row r="55" spans="1:43" x14ac:dyDescent="0.3">
      <c r="F55"/>
      <c r="G55"/>
      <c r="H55"/>
      <c r="I55"/>
      <c r="J55"/>
      <c r="L55" s="44"/>
      <c r="M55" s="44"/>
      <c r="N55" s="44"/>
      <c r="O55" s="44"/>
      <c r="R55" s="44"/>
      <c r="T55" s="40" t="str">
        <f>TITLE</f>
        <v>ANNUALIZED TEST YEAR REVENUES AT REHEARING ORDER CALCULATED VS. MOST CURRENT RATES</v>
      </c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166"/>
      <c r="AH55" s="40"/>
      <c r="AI55" s="40"/>
      <c r="AJ55" s="40"/>
      <c r="AK55" s="166"/>
      <c r="AL55" s="40"/>
      <c r="AM55" s="40"/>
      <c r="AN55" s="40"/>
      <c r="AO55" s="40"/>
      <c r="AP55" s="40"/>
      <c r="AQ55" s="166"/>
    </row>
    <row r="56" spans="1:43" x14ac:dyDescent="0.3">
      <c r="L56" s="44"/>
      <c r="M56" s="44"/>
      <c r="N56" s="44"/>
      <c r="O56" s="44"/>
      <c r="R56" s="44"/>
      <c r="T56" s="40" t="str">
        <f>DATE</f>
        <v>FOR THE TWELVE MONTHS ENDED June 30, 2026</v>
      </c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166"/>
      <c r="AH56" s="40"/>
      <c r="AI56" s="40"/>
      <c r="AJ56" s="40"/>
      <c r="AK56" s="166"/>
      <c r="AL56" s="40"/>
      <c r="AM56" s="40"/>
      <c r="AN56" s="40"/>
      <c r="AO56" s="40"/>
      <c r="AP56" s="40"/>
      <c r="AQ56" s="166"/>
    </row>
    <row r="57" spans="1:43" x14ac:dyDescent="0.3">
      <c r="A57" s="44"/>
      <c r="C57" s="44"/>
      <c r="D57" s="44"/>
      <c r="E57" s="44"/>
      <c r="F57" s="44"/>
      <c r="J57" s="44"/>
      <c r="K57" s="44"/>
      <c r="L57" s="44"/>
      <c r="M57" s="44"/>
      <c r="N57" s="44"/>
      <c r="O57" s="44"/>
      <c r="P57" s="44"/>
      <c r="Q57" s="44"/>
      <c r="R57" s="44"/>
      <c r="T57" s="40" t="str">
        <f>SERVICE</f>
        <v>(ELECTRIC SERVICE)</v>
      </c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66"/>
      <c r="AH57" s="40"/>
      <c r="AI57" s="40"/>
      <c r="AJ57" s="40"/>
      <c r="AK57" s="166"/>
      <c r="AL57" s="40"/>
      <c r="AM57" s="40"/>
      <c r="AN57" s="40"/>
      <c r="AO57" s="40"/>
      <c r="AP57" s="40"/>
      <c r="AQ57" s="166"/>
    </row>
    <row r="58" spans="1:43" x14ac:dyDescent="0.3">
      <c r="A58" s="44"/>
      <c r="C58" s="44"/>
      <c r="D58" s="44"/>
      <c r="E58" s="44"/>
      <c r="F58" s="44"/>
      <c r="J58" s="44"/>
      <c r="K58" s="44"/>
      <c r="L58" s="44"/>
      <c r="M58" s="44"/>
      <c r="N58" s="44"/>
      <c r="O58" s="44"/>
      <c r="P58" s="44"/>
      <c r="Q58" s="44"/>
      <c r="R58" s="44"/>
      <c r="T58" s="41" t="str">
        <f>DATA_PERIOD</f>
        <v>DATA: ____ BASE PERIOD   __X__FORECASTED PERIOD</v>
      </c>
      <c r="AO58" s="42" t="s">
        <v>158</v>
      </c>
      <c r="AP58" s="42"/>
    </row>
    <row r="59" spans="1:43" x14ac:dyDescent="0.3">
      <c r="A59" s="44"/>
      <c r="C59" s="44"/>
      <c r="D59" s="44"/>
      <c r="E59" s="44"/>
      <c r="F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T59" s="41" t="str">
        <f>TYPE</f>
        <v>TYPE OF FILING: _X_ ORIGINAL   ___UPDATED  ___ REVISED</v>
      </c>
      <c r="AO59" s="45" t="str">
        <f>"PAGE 8 OF "&amp;TEXT(Page_Num_2.2,"00")</f>
        <v>PAGE 8 OF 24</v>
      </c>
      <c r="AP59" s="42"/>
    </row>
    <row r="60" spans="1:43" x14ac:dyDescent="0.3">
      <c r="C60" s="44"/>
      <c r="D60" s="44"/>
      <c r="E60" s="44"/>
      <c r="F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T60" s="42" t="s">
        <v>171</v>
      </c>
      <c r="AO60" s="42" t="s">
        <v>3</v>
      </c>
      <c r="AP60" s="42"/>
    </row>
    <row r="61" spans="1:43" x14ac:dyDescent="0.3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T61" s="132" t="str">
        <f>TIME</f>
        <v>12 Months Projected with Riders</v>
      </c>
      <c r="AO61" s="41" t="str">
        <f>WIT</f>
        <v>B. L. Sailers</v>
      </c>
    </row>
    <row r="62" spans="1:43" x14ac:dyDescent="0.3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T62" s="132" t="str">
        <f>INPUT!B5</f>
        <v xml:space="preserve"> </v>
      </c>
    </row>
    <row r="63" spans="1:43" x14ac:dyDescent="0.3"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T63" s="40" t="s">
        <v>131</v>
      </c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166"/>
      <c r="AH63" s="40"/>
      <c r="AI63" s="40"/>
      <c r="AJ63" s="40"/>
      <c r="AK63" s="166"/>
      <c r="AL63" s="40"/>
      <c r="AM63" s="40"/>
      <c r="AN63" s="40"/>
      <c r="AO63" s="40"/>
      <c r="AP63" s="40"/>
      <c r="AQ63" s="166"/>
    </row>
    <row r="64" spans="1:43" x14ac:dyDescent="0.3">
      <c r="C64" s="42"/>
      <c r="D64" s="42"/>
      <c r="E64" s="42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167"/>
      <c r="AH64" s="43"/>
      <c r="AI64" s="43"/>
      <c r="AJ64" s="43"/>
      <c r="AK64" s="167"/>
      <c r="AL64" s="43"/>
      <c r="AM64" s="43"/>
      <c r="AN64" s="43"/>
      <c r="AO64" s="43"/>
      <c r="AP64" s="43"/>
      <c r="AQ64" s="167"/>
    </row>
    <row r="65" spans="3:76" ht="18" customHeight="1" x14ac:dyDescent="0.3">
      <c r="D65" s="42"/>
      <c r="E65" s="42"/>
      <c r="AE65" s="44" t="s">
        <v>8</v>
      </c>
      <c r="AF65" s="44"/>
      <c r="AG65" s="168" t="s">
        <v>7</v>
      </c>
      <c r="AH65" s="44"/>
      <c r="AI65" s="44" t="s">
        <v>9</v>
      </c>
      <c r="AJ65" s="44"/>
      <c r="AK65" s="168" t="s">
        <v>10</v>
      </c>
      <c r="AL65" s="44"/>
      <c r="AO65" s="44" t="s">
        <v>8</v>
      </c>
      <c r="AP65" s="44"/>
      <c r="AQ65" s="168" t="s">
        <v>11</v>
      </c>
    </row>
    <row r="66" spans="3:76" x14ac:dyDescent="0.3">
      <c r="AC66" s="44" t="s">
        <v>14</v>
      </c>
      <c r="AD66" s="44"/>
      <c r="AE66" s="44" t="s">
        <v>12</v>
      </c>
      <c r="AF66" s="44"/>
      <c r="AG66" s="168" t="s">
        <v>13</v>
      </c>
      <c r="AH66" s="44"/>
      <c r="AI66" s="44" t="s">
        <v>15</v>
      </c>
      <c r="AJ66" s="44"/>
      <c r="AK66" s="168" t="s">
        <v>16</v>
      </c>
      <c r="AL66" s="44"/>
      <c r="AO66" s="44" t="s">
        <v>11</v>
      </c>
      <c r="AP66" s="44"/>
      <c r="AQ66" s="168" t="s">
        <v>9</v>
      </c>
    </row>
    <row r="67" spans="3:76" x14ac:dyDescent="0.3">
      <c r="C67" s="42"/>
      <c r="T67" s="44" t="s">
        <v>17</v>
      </c>
      <c r="V67" s="44" t="s">
        <v>18</v>
      </c>
      <c r="W67" s="44" t="s">
        <v>19</v>
      </c>
      <c r="X67" s="44"/>
      <c r="Y67" s="44" t="s">
        <v>20</v>
      </c>
      <c r="AC67" s="44" t="s">
        <v>8</v>
      </c>
      <c r="AD67" s="44"/>
      <c r="AE67" s="44" t="s">
        <v>842</v>
      </c>
      <c r="AF67" s="44"/>
      <c r="AG67" s="168" t="s">
        <v>842</v>
      </c>
      <c r="AH67" s="44"/>
      <c r="AI67" s="46" t="s">
        <v>965</v>
      </c>
      <c r="AJ67" s="44"/>
      <c r="AK67" s="169" t="s">
        <v>965</v>
      </c>
      <c r="AL67" s="44"/>
      <c r="AM67" s="44" t="s">
        <v>842</v>
      </c>
      <c r="AN67" s="44"/>
      <c r="AO67" s="44" t="s">
        <v>9</v>
      </c>
      <c r="AP67" s="44"/>
      <c r="AQ67" s="168" t="s">
        <v>21</v>
      </c>
    </row>
    <row r="68" spans="3:76" x14ac:dyDescent="0.3">
      <c r="C68" s="42"/>
      <c r="F68" s="184"/>
      <c r="H68" s="184"/>
      <c r="I68" s="184"/>
      <c r="J68" s="193"/>
      <c r="K68" s="193"/>
      <c r="L68" s="123"/>
      <c r="M68" s="123"/>
      <c r="N68" s="160"/>
      <c r="O68" s="160"/>
      <c r="R68" s="123"/>
      <c r="T68" s="44" t="s">
        <v>22</v>
      </c>
      <c r="V68" s="44" t="s">
        <v>23</v>
      </c>
      <c r="W68" s="44" t="s">
        <v>24</v>
      </c>
      <c r="X68" s="44"/>
      <c r="Y68" s="44" t="s">
        <v>25</v>
      </c>
      <c r="AA68" s="44" t="s">
        <v>26</v>
      </c>
      <c r="AB68" s="44"/>
      <c r="AC68" s="44" t="s">
        <v>27</v>
      </c>
      <c r="AD68" s="44"/>
      <c r="AE68" s="44" t="s">
        <v>9</v>
      </c>
      <c r="AF68" s="44"/>
      <c r="AG68" s="168" t="s">
        <v>9</v>
      </c>
      <c r="AH68" s="44"/>
      <c r="AI68" s="141" t="s">
        <v>29</v>
      </c>
      <c r="AJ68" s="141"/>
      <c r="AK68" s="170" t="s">
        <v>30</v>
      </c>
      <c r="AL68" s="44"/>
      <c r="AM68" s="44" t="s">
        <v>324</v>
      </c>
      <c r="AN68" s="44"/>
      <c r="AO68" s="141" t="s">
        <v>31</v>
      </c>
      <c r="AP68" s="141"/>
      <c r="AQ68" s="170" t="s">
        <v>32</v>
      </c>
    </row>
    <row r="69" spans="3:76" x14ac:dyDescent="0.3">
      <c r="C69" s="42"/>
      <c r="F69" s="184"/>
      <c r="H69" s="184"/>
      <c r="I69" s="184"/>
      <c r="J69" s="193"/>
      <c r="K69" s="193"/>
      <c r="L69" s="123"/>
      <c r="M69" s="123"/>
      <c r="N69" s="160"/>
      <c r="O69" s="160"/>
      <c r="R69" s="123"/>
      <c r="V69" s="141" t="s">
        <v>33</v>
      </c>
      <c r="W69" s="141" t="s">
        <v>34</v>
      </c>
      <c r="X69" s="141"/>
      <c r="Y69" s="141" t="s">
        <v>35</v>
      </c>
      <c r="Z69" s="153"/>
      <c r="AA69" s="141" t="s">
        <v>36</v>
      </c>
      <c r="AB69" s="141"/>
      <c r="AC69" s="141" t="s">
        <v>42</v>
      </c>
      <c r="AD69" s="141"/>
      <c r="AE69" s="141" t="s">
        <v>43</v>
      </c>
      <c r="AF69" s="141"/>
      <c r="AG69" s="170" t="s">
        <v>44</v>
      </c>
      <c r="AH69" s="141"/>
      <c r="AI69" s="141" t="s">
        <v>45</v>
      </c>
      <c r="AJ69" s="141"/>
      <c r="AK69" s="170" t="s">
        <v>46</v>
      </c>
      <c r="AL69" s="141"/>
      <c r="AM69" s="141" t="s">
        <v>40</v>
      </c>
      <c r="AN69" s="141"/>
      <c r="AO69" s="141" t="s">
        <v>47</v>
      </c>
      <c r="AP69" s="141"/>
      <c r="AQ69" s="170" t="s">
        <v>48</v>
      </c>
    </row>
    <row r="70" spans="3:76" x14ac:dyDescent="0.3">
      <c r="F70" s="210"/>
      <c r="H70" s="123"/>
      <c r="I70" s="123"/>
      <c r="J70" s="213"/>
      <c r="K70" s="213"/>
      <c r="L70" s="210"/>
      <c r="M70" s="210"/>
      <c r="N70" s="210"/>
      <c r="O70" s="210"/>
      <c r="P70" s="210"/>
      <c r="Q70" s="210"/>
      <c r="R70" s="210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167"/>
      <c r="AH70" s="43"/>
      <c r="AI70" s="43"/>
      <c r="AJ70" s="43"/>
      <c r="AK70" s="167"/>
      <c r="AL70" s="43"/>
      <c r="AM70" s="43"/>
      <c r="AN70" s="43"/>
      <c r="AO70" s="43"/>
      <c r="AP70" s="43"/>
      <c r="AQ70" s="167"/>
    </row>
    <row r="71" spans="3:76" ht="17.100000000000001" customHeight="1" x14ac:dyDescent="0.3">
      <c r="C71" s="42"/>
      <c r="F71" s="123"/>
      <c r="H71" s="123"/>
      <c r="I71" s="123"/>
      <c r="J71" s="213"/>
      <c r="K71" s="213"/>
      <c r="L71" s="123"/>
      <c r="M71" s="123"/>
      <c r="N71" s="160"/>
      <c r="O71" s="160"/>
      <c r="P71" s="123"/>
      <c r="Q71" s="123"/>
      <c r="R71" s="123"/>
      <c r="AA71" s="172" t="s">
        <v>197</v>
      </c>
      <c r="AB71" s="171"/>
      <c r="AC71" s="172" t="s">
        <v>332</v>
      </c>
      <c r="AD71" s="171"/>
      <c r="AE71" s="171" t="s">
        <v>50</v>
      </c>
      <c r="AF71" s="171"/>
      <c r="AG71" s="173" t="s">
        <v>51</v>
      </c>
      <c r="AH71" s="171"/>
      <c r="AI71" s="171" t="s">
        <v>50</v>
      </c>
      <c r="AJ71" s="171"/>
      <c r="AK71" s="173" t="s">
        <v>51</v>
      </c>
      <c r="AL71" s="171"/>
      <c r="AM71" s="171" t="s">
        <v>50</v>
      </c>
      <c r="AN71" s="171"/>
      <c r="AO71" s="171" t="s">
        <v>50</v>
      </c>
      <c r="AP71" s="171"/>
      <c r="AQ71" s="173" t="s">
        <v>51</v>
      </c>
    </row>
    <row r="72" spans="3:76" x14ac:dyDescent="0.3">
      <c r="F72" s="210"/>
      <c r="H72" s="123"/>
      <c r="I72" s="123"/>
      <c r="J72" s="213"/>
      <c r="K72" s="213"/>
      <c r="L72" s="210"/>
      <c r="M72" s="210"/>
      <c r="N72" s="210"/>
      <c r="O72" s="210"/>
      <c r="P72" s="210"/>
      <c r="Q72" s="210"/>
      <c r="R72" s="210"/>
      <c r="T72" s="41">
        <v>1</v>
      </c>
      <c r="V72" s="132" t="s">
        <v>92</v>
      </c>
      <c r="W72" s="132" t="s">
        <v>150</v>
      </c>
      <c r="X72" s="42"/>
      <c r="Y72" s="1"/>
      <c r="Z72" s="1"/>
      <c r="AA72" s="208"/>
      <c r="AB72" s="208"/>
      <c r="AC72" s="172" t="s">
        <v>329</v>
      </c>
      <c r="AD72" s="208"/>
      <c r="AE72" s="208"/>
      <c r="AF72" s="208"/>
      <c r="AG72" s="221"/>
      <c r="AH72" s="208"/>
      <c r="AI72" s="208"/>
      <c r="AJ72" s="208"/>
      <c r="AK72" s="221"/>
      <c r="AL72" s="208"/>
      <c r="AM72" s="208"/>
      <c r="AN72" s="208"/>
      <c r="AO72" s="208"/>
      <c r="AP72" s="208"/>
      <c r="AQ72" s="221"/>
      <c r="AU72" s="235"/>
    </row>
    <row r="73" spans="3:76" x14ac:dyDescent="0.3">
      <c r="F73" s="123"/>
      <c r="H73" s="123"/>
      <c r="I73" s="123"/>
      <c r="J73" s="213"/>
      <c r="K73" s="213"/>
      <c r="L73" s="123"/>
      <c r="M73" s="123"/>
      <c r="N73" s="160"/>
      <c r="O73" s="160"/>
      <c r="P73" s="123"/>
      <c r="Q73" s="123"/>
      <c r="R73" s="123"/>
      <c r="T73" s="41">
        <v>2</v>
      </c>
      <c r="V73" s="153"/>
      <c r="W73" s="132" t="s">
        <v>133</v>
      </c>
      <c r="X73" s="42"/>
      <c r="Y73" s="1"/>
      <c r="Z73" s="1"/>
      <c r="AA73" s="1"/>
      <c r="AB73" s="1"/>
      <c r="AC73" s="1"/>
      <c r="AD73" s="1"/>
      <c r="AE73" s="1"/>
      <c r="AF73" s="1"/>
      <c r="AG73" s="175"/>
      <c r="AH73" s="1"/>
      <c r="AI73" s="1"/>
      <c r="AJ73" s="1"/>
      <c r="AK73" s="175"/>
      <c r="AL73" s="1"/>
      <c r="AM73" s="1"/>
      <c r="AN73" s="1"/>
      <c r="AO73" s="1"/>
      <c r="AP73" s="1"/>
      <c r="AQ73" s="175"/>
      <c r="AU73" s="160"/>
      <c r="BX73" s="222"/>
    </row>
    <row r="74" spans="3:76" x14ac:dyDescent="0.3">
      <c r="C74" s="42"/>
      <c r="F74" s="184"/>
      <c r="H74" s="184"/>
      <c r="I74" s="184"/>
      <c r="J74" s="193"/>
      <c r="K74" s="193"/>
      <c r="L74" s="123"/>
      <c r="M74" s="123"/>
      <c r="N74" s="160"/>
      <c r="O74" s="160"/>
      <c r="P74" s="123"/>
      <c r="Q74" s="123"/>
      <c r="R74" s="123"/>
      <c r="Y74" s="1"/>
      <c r="Z74" s="1"/>
      <c r="AA74" s="1"/>
      <c r="AB74" s="1"/>
      <c r="AC74" s="1"/>
      <c r="AD74" s="1"/>
      <c r="AE74" s="1"/>
      <c r="AF74" s="1"/>
      <c r="AG74" s="175"/>
      <c r="AH74" s="1"/>
      <c r="AI74" s="1"/>
      <c r="AJ74" s="1"/>
      <c r="AK74" s="175"/>
      <c r="AL74" s="1"/>
      <c r="AM74" s="1"/>
      <c r="AN74" s="1"/>
      <c r="AO74" s="1"/>
      <c r="AP74" s="1"/>
      <c r="AQ74" s="175"/>
      <c r="AU74" s="160"/>
    </row>
    <row r="75" spans="3:76" x14ac:dyDescent="0.3">
      <c r="F75" s="123"/>
      <c r="H75" s="210"/>
      <c r="I75" s="210"/>
      <c r="J75" s="213"/>
      <c r="K75" s="213"/>
      <c r="L75" s="210"/>
      <c r="M75" s="210"/>
      <c r="N75" s="210"/>
      <c r="O75" s="210"/>
      <c r="P75" s="210"/>
      <c r="Q75" s="210"/>
      <c r="R75" s="210"/>
      <c r="T75" s="41">
        <v>3</v>
      </c>
      <c r="V75" s="132" t="s">
        <v>134</v>
      </c>
      <c r="Y75" s="3"/>
      <c r="Z75" s="1"/>
      <c r="AA75" s="159"/>
      <c r="AB75" s="159"/>
      <c r="AC75" s="194"/>
      <c r="AD75" s="194"/>
      <c r="AE75" s="3"/>
      <c r="AF75" s="3"/>
      <c r="AG75" s="175"/>
      <c r="AH75" s="4"/>
      <c r="AI75" s="3"/>
      <c r="AJ75" s="3"/>
      <c r="AK75" s="225"/>
      <c r="AL75" s="226"/>
      <c r="AM75" s="1"/>
      <c r="AN75" s="1"/>
      <c r="AO75" s="3"/>
      <c r="AP75" s="3"/>
      <c r="AQ75" s="225"/>
      <c r="AS75" s="123"/>
      <c r="AT75" s="123"/>
      <c r="AU75" s="160"/>
    </row>
    <row r="76" spans="3:76" x14ac:dyDescent="0.3">
      <c r="F76" s="123"/>
      <c r="H76" s="210"/>
      <c r="I76" s="210"/>
      <c r="J76" s="213"/>
      <c r="K76" s="213"/>
      <c r="L76" s="210"/>
      <c r="M76" s="210"/>
      <c r="N76" s="210"/>
      <c r="O76" s="210"/>
      <c r="P76" s="210"/>
      <c r="Q76" s="210"/>
      <c r="R76" s="210"/>
      <c r="T76" s="41">
        <v>4</v>
      </c>
      <c r="V76" s="42" t="s">
        <v>356</v>
      </c>
      <c r="Y76" s="3">
        <f>F24</f>
        <v>24</v>
      </c>
      <c r="Z76" s="1"/>
      <c r="AA76" s="159"/>
      <c r="AB76" s="159"/>
      <c r="AC76" s="193">
        <f>INPUT!C64</f>
        <v>5</v>
      </c>
      <c r="AD76" s="194"/>
      <c r="AE76" s="3">
        <f>ROUND(Y76*AC76,0)</f>
        <v>120</v>
      </c>
      <c r="AF76" s="3"/>
      <c r="AG76" s="175">
        <f>ROUND((AE76/$AE$98)*100,1)</f>
        <v>0</v>
      </c>
      <c r="AH76" s="4"/>
      <c r="AI76" s="3">
        <f>L24-AE76</f>
        <v>0</v>
      </c>
      <c r="AJ76" s="3"/>
      <c r="AK76" s="175">
        <f>ROUND((AI76/AE76)*100,1)</f>
        <v>0</v>
      </c>
      <c r="AL76" s="6"/>
      <c r="AM76" s="3"/>
      <c r="AN76" s="1"/>
      <c r="AO76" s="3">
        <f>AE76+AM76</f>
        <v>120</v>
      </c>
      <c r="AP76" s="3"/>
      <c r="AQ76" s="175">
        <f>ROUND((AI76/AO76)*100,1)</f>
        <v>0</v>
      </c>
      <c r="AS76" s="123"/>
      <c r="AT76" s="123"/>
      <c r="AU76" s="160"/>
    </row>
    <row r="77" spans="3:76" x14ac:dyDescent="0.3">
      <c r="C77" s="42"/>
      <c r="F77" s="123"/>
      <c r="H77" s="123"/>
      <c r="I77" s="123"/>
      <c r="J77" s="219"/>
      <c r="K77" s="219"/>
      <c r="L77" s="123"/>
      <c r="M77" s="123"/>
      <c r="N77" s="160"/>
      <c r="O77" s="160"/>
      <c r="P77" s="123"/>
      <c r="Q77" s="123"/>
      <c r="R77" s="123"/>
      <c r="T77" s="41">
        <v>5</v>
      </c>
      <c r="V77" s="42" t="s">
        <v>145</v>
      </c>
      <c r="Y77" s="3">
        <f>F25</f>
        <v>120</v>
      </c>
      <c r="Z77" s="1"/>
      <c r="AA77" s="159"/>
      <c r="AB77" s="159"/>
      <c r="AC77" s="193">
        <f>INPUT!C113</f>
        <v>117</v>
      </c>
      <c r="AD77" s="194"/>
      <c r="AE77" s="3">
        <f>ROUND(Y77*AC77,0)</f>
        <v>14040</v>
      </c>
      <c r="AF77" s="3"/>
      <c r="AG77" s="177">
        <f>ROUND((AE77/$AE$98)*100,1)</f>
        <v>1.6</v>
      </c>
      <c r="AH77" s="4"/>
      <c r="AI77" s="3">
        <f>L25-AE77</f>
        <v>360</v>
      </c>
      <c r="AJ77" s="3"/>
      <c r="AK77" s="177">
        <f>ROUND((AI77/AE77)*100,1)</f>
        <v>2.6</v>
      </c>
      <c r="AL77" s="6"/>
      <c r="AM77" s="3"/>
      <c r="AN77" s="1"/>
      <c r="AO77" s="3">
        <f>AE77+AM77</f>
        <v>14040</v>
      </c>
      <c r="AP77" s="3"/>
      <c r="AQ77" s="177">
        <f>ROUND((AI77/AO77)*100,1)</f>
        <v>2.6</v>
      </c>
      <c r="AS77" s="123"/>
      <c r="AT77" s="123"/>
      <c r="AU77" s="235"/>
    </row>
    <row r="78" spans="3:76" ht="20.100000000000001" customHeight="1" x14ac:dyDescent="0.3">
      <c r="C78" s="42"/>
      <c r="F78" s="184"/>
      <c r="H78" s="184"/>
      <c r="I78" s="184"/>
      <c r="J78" s="227"/>
      <c r="K78" s="227"/>
      <c r="L78" s="123"/>
      <c r="M78" s="123"/>
      <c r="N78" s="160"/>
      <c r="O78" s="160"/>
      <c r="P78" s="184"/>
      <c r="Q78" s="184"/>
      <c r="R78" s="123"/>
      <c r="T78" s="41">
        <v>6</v>
      </c>
      <c r="V78" s="132" t="s">
        <v>137</v>
      </c>
      <c r="Y78" s="145">
        <f>F26</f>
        <v>120</v>
      </c>
      <c r="Z78" s="1"/>
      <c r="AA78" s="3"/>
      <c r="AB78" s="3"/>
      <c r="AC78" s="7"/>
      <c r="AD78" s="7"/>
      <c r="AE78" s="145">
        <f>SUM(AE76:AE77)</f>
        <v>14160</v>
      </c>
      <c r="AF78" s="3"/>
      <c r="AG78" s="177">
        <f>ROUND((AE78/$AE$98)*100,1)+0.1</f>
        <v>1.7000000000000002</v>
      </c>
      <c r="AH78" s="4"/>
      <c r="AI78" s="145">
        <f>SUM(AI76:AI77)</f>
        <v>360</v>
      </c>
      <c r="AJ78" s="3"/>
      <c r="AK78" s="180">
        <f>SUM(AK76:AK77)</f>
        <v>2.6</v>
      </c>
      <c r="AL78" s="6"/>
      <c r="AM78" s="145"/>
      <c r="AN78" s="3"/>
      <c r="AO78" s="145">
        <f>SUM(AO76:AO77)</f>
        <v>14160</v>
      </c>
      <c r="AP78" s="3"/>
      <c r="AQ78" s="177">
        <f>ROUND((AI78/AO78)*100,1)</f>
        <v>2.5</v>
      </c>
      <c r="AR78" s="123"/>
      <c r="AS78" s="123"/>
      <c r="AT78" s="123"/>
      <c r="AU78" s="160"/>
    </row>
    <row r="79" spans="3:76" x14ac:dyDescent="0.3">
      <c r="C79" s="42"/>
      <c r="H79" s="184"/>
      <c r="I79" s="184"/>
      <c r="J79" s="227"/>
      <c r="K79" s="227"/>
      <c r="L79" s="123"/>
      <c r="M79" s="123"/>
      <c r="N79" s="160"/>
      <c r="O79" s="160"/>
      <c r="P79" s="184"/>
      <c r="Q79" s="184"/>
      <c r="R79" s="123"/>
      <c r="Y79" s="3"/>
      <c r="Z79" s="1"/>
      <c r="AA79" s="3"/>
      <c r="AB79" s="3"/>
      <c r="AC79" s="7"/>
      <c r="AD79" s="7"/>
      <c r="AE79" s="3"/>
      <c r="AF79" s="3"/>
      <c r="AG79" s="175"/>
      <c r="AH79" s="4"/>
      <c r="AI79" s="3"/>
      <c r="AJ79" s="3"/>
      <c r="AK79" s="175"/>
      <c r="AL79" s="6"/>
      <c r="AM79" s="3"/>
      <c r="AN79" s="3"/>
      <c r="AO79" s="3"/>
      <c r="AP79" s="3"/>
      <c r="AQ79" s="175"/>
      <c r="AR79" s="123"/>
      <c r="AS79" s="123"/>
      <c r="AT79" s="123"/>
      <c r="AU79" s="160"/>
    </row>
    <row r="80" spans="3:76" x14ac:dyDescent="0.3">
      <c r="C80" s="42"/>
      <c r="F80" s="123"/>
      <c r="H80" s="123"/>
      <c r="I80" s="123"/>
      <c r="J80" s="219"/>
      <c r="K80" s="219"/>
      <c r="L80" s="123"/>
      <c r="M80" s="123"/>
      <c r="N80" s="160"/>
      <c r="O80" s="160"/>
      <c r="P80" s="123"/>
      <c r="Q80" s="123"/>
      <c r="R80" s="123"/>
      <c r="T80" s="41">
        <v>7</v>
      </c>
      <c r="V80" s="132" t="s">
        <v>63</v>
      </c>
      <c r="Y80" s="159"/>
      <c r="Z80" s="1"/>
      <c r="AA80" s="3"/>
      <c r="AB80" s="3"/>
      <c r="AC80" s="194"/>
      <c r="AD80" s="194"/>
      <c r="AE80" s="3"/>
      <c r="AF80" s="3"/>
      <c r="AG80" s="175"/>
      <c r="AH80" s="4"/>
      <c r="AI80" s="3"/>
      <c r="AJ80" s="3"/>
      <c r="AK80" s="225"/>
      <c r="AL80" s="226"/>
      <c r="AM80" s="3"/>
      <c r="AN80" s="3"/>
      <c r="AO80" s="3"/>
      <c r="AP80" s="3"/>
      <c r="AQ80" s="225"/>
      <c r="AR80" s="123"/>
      <c r="AS80" s="123"/>
      <c r="AT80" s="123"/>
      <c r="AU80" s="160"/>
    </row>
    <row r="81" spans="1:47" x14ac:dyDescent="0.3">
      <c r="F81" s="210"/>
      <c r="H81" s="210"/>
      <c r="I81" s="210"/>
      <c r="J81" s="213"/>
      <c r="K81" s="213"/>
      <c r="L81" s="210"/>
      <c r="M81" s="210"/>
      <c r="N81" s="210"/>
      <c r="O81" s="210"/>
      <c r="P81" s="210"/>
      <c r="Q81" s="210"/>
      <c r="R81" s="210"/>
      <c r="T81" s="41">
        <v>8</v>
      </c>
      <c r="V81" s="42" t="s">
        <v>151</v>
      </c>
      <c r="Y81" s="159"/>
      <c r="Z81" s="1"/>
      <c r="AA81" s="3">
        <f>H29</f>
        <v>27415</v>
      </c>
      <c r="AB81" s="3"/>
      <c r="AC81" s="193">
        <f>INPUT!C119</f>
        <v>9.5</v>
      </c>
      <c r="AD81" s="194"/>
      <c r="AE81" s="3">
        <f>ROUND(AA81*AC81,0)</f>
        <v>260443</v>
      </c>
      <c r="AF81" s="3"/>
      <c r="AG81" s="177">
        <f>ROUND((AE81/$AE$98)*100,1)</f>
        <v>30</v>
      </c>
      <c r="AH81" s="4"/>
      <c r="AI81" s="3">
        <f>L29-AE81</f>
        <v>17271</v>
      </c>
      <c r="AJ81" s="3"/>
      <c r="AK81" s="177">
        <f>ROUND((AI81/AE81)*100,1)</f>
        <v>6.6</v>
      </c>
      <c r="AL81" s="6"/>
      <c r="AM81" s="3"/>
      <c r="AN81" s="3"/>
      <c r="AO81" s="3">
        <f>AE81+AM81</f>
        <v>260443</v>
      </c>
      <c r="AP81" s="3"/>
      <c r="AQ81" s="177">
        <f>ROUND((AI81/AO81)*100,1)</f>
        <v>6.6</v>
      </c>
      <c r="AR81" s="123"/>
      <c r="AS81" s="123"/>
      <c r="AT81" s="123"/>
      <c r="AU81" s="160"/>
    </row>
    <row r="82" spans="1:47" ht="20.100000000000001" customHeight="1" x14ac:dyDescent="0.3">
      <c r="C82" s="42"/>
      <c r="F82" s="123"/>
      <c r="H82" s="123"/>
      <c r="I82" s="123"/>
      <c r="J82" s="219"/>
      <c r="K82" s="219"/>
      <c r="L82" s="123"/>
      <c r="M82" s="123"/>
      <c r="N82" s="160"/>
      <c r="O82" s="160"/>
      <c r="P82" s="123"/>
      <c r="Q82" s="123"/>
      <c r="R82" s="123"/>
      <c r="T82" s="41">
        <v>9</v>
      </c>
      <c r="V82" s="132" t="s">
        <v>66</v>
      </c>
      <c r="Y82" s="3"/>
      <c r="Z82" s="1"/>
      <c r="AA82" s="145">
        <f>H30</f>
        <v>27415</v>
      </c>
      <c r="AB82" s="3"/>
      <c r="AC82" s="183"/>
      <c r="AD82" s="183"/>
      <c r="AE82" s="145">
        <f>SUM(AE81)</f>
        <v>260443</v>
      </c>
      <c r="AF82" s="3"/>
      <c r="AG82" s="177">
        <f>ROUND((AE82/$AE$98)*100,1)</f>
        <v>30</v>
      </c>
      <c r="AH82" s="4"/>
      <c r="AI82" s="145">
        <f>SUM(AI81)</f>
        <v>17271</v>
      </c>
      <c r="AJ82" s="3"/>
      <c r="AK82" s="180">
        <f>ROUND((AI82/AE82)*100,1)</f>
        <v>6.6</v>
      </c>
      <c r="AL82" s="6"/>
      <c r="AM82" s="145"/>
      <c r="AN82" s="3"/>
      <c r="AO82" s="145">
        <f>SUM(AO81)</f>
        <v>260443</v>
      </c>
      <c r="AP82" s="3"/>
      <c r="AQ82" s="177">
        <f>ROUND((AI82/AO82)*100,1)</f>
        <v>6.6</v>
      </c>
      <c r="AR82" s="123"/>
      <c r="AS82" s="123"/>
      <c r="AT82" s="123"/>
      <c r="AU82" s="160"/>
    </row>
    <row r="83" spans="1:47" x14ac:dyDescent="0.3">
      <c r="C83" s="42"/>
      <c r="F83" s="123"/>
      <c r="H83" s="123"/>
      <c r="I83" s="123"/>
      <c r="J83" s="219"/>
      <c r="K83" s="219"/>
      <c r="L83" s="123"/>
      <c r="M83" s="123"/>
      <c r="N83" s="160"/>
      <c r="O83" s="160"/>
      <c r="P83" s="123"/>
      <c r="Q83" s="123"/>
      <c r="R83" s="123"/>
      <c r="Y83" s="3"/>
      <c r="Z83" s="1"/>
      <c r="AA83" s="3"/>
      <c r="AB83" s="3"/>
      <c r="AC83" s="183"/>
      <c r="AD83" s="183"/>
      <c r="AE83" s="3"/>
      <c r="AF83" s="3"/>
      <c r="AG83" s="175"/>
      <c r="AH83" s="3"/>
      <c r="AI83" s="3"/>
      <c r="AJ83" s="3"/>
      <c r="AK83" s="175"/>
      <c r="AL83" s="6"/>
      <c r="AM83" s="3"/>
      <c r="AN83" s="3"/>
      <c r="AO83" s="3"/>
      <c r="AP83" s="3"/>
      <c r="AQ83" s="175"/>
      <c r="AR83" s="123"/>
      <c r="AS83" s="123"/>
      <c r="AT83" s="123"/>
      <c r="AU83" s="160"/>
    </row>
    <row r="84" spans="1:47" x14ac:dyDescent="0.3">
      <c r="A84" s="42"/>
      <c r="F84" s="123"/>
      <c r="H84" s="123"/>
      <c r="I84" s="123"/>
      <c r="J84" s="219"/>
      <c r="K84" s="219"/>
      <c r="L84" s="123"/>
      <c r="M84" s="123"/>
      <c r="N84" s="123"/>
      <c r="O84" s="123"/>
      <c r="P84" s="123"/>
      <c r="Q84" s="123"/>
      <c r="R84" s="123"/>
      <c r="T84" s="41">
        <v>10</v>
      </c>
      <c r="V84" s="132" t="s">
        <v>374</v>
      </c>
      <c r="Y84" s="159"/>
      <c r="Z84" s="1"/>
      <c r="AA84" s="159"/>
      <c r="AB84" s="159"/>
      <c r="AC84" s="248"/>
      <c r="AD84" s="248"/>
      <c r="AE84" s="3"/>
      <c r="AF84" s="3"/>
      <c r="AG84" s="175"/>
      <c r="AH84" s="4"/>
      <c r="AI84" s="3"/>
      <c r="AJ84" s="3"/>
      <c r="AK84" s="175"/>
      <c r="AL84" s="6"/>
      <c r="AM84" s="159"/>
      <c r="AN84" s="159"/>
      <c r="AO84" s="3"/>
      <c r="AP84" s="3"/>
      <c r="AQ84" s="175"/>
      <c r="AR84" s="184"/>
      <c r="AS84" s="123"/>
      <c r="AT84" s="123"/>
      <c r="AU84" s="160"/>
    </row>
    <row r="85" spans="1:47" x14ac:dyDescent="0.3">
      <c r="T85" s="41">
        <v>11</v>
      </c>
      <c r="V85" s="45" t="s">
        <v>152</v>
      </c>
      <c r="Y85" s="159"/>
      <c r="Z85" s="1"/>
      <c r="AA85" s="3">
        <f>H33</f>
        <v>6857618</v>
      </c>
      <c r="AB85" s="3"/>
      <c r="AC85" s="205">
        <f>INPUT!C115</f>
        <v>7.1562000000000001E-2</v>
      </c>
      <c r="AD85" s="204"/>
      <c r="AE85" s="3">
        <f>ROUND((AA85*AC85),0)</f>
        <v>490745</v>
      </c>
      <c r="AF85" s="3"/>
      <c r="AG85" s="175">
        <f>ROUND((AE85/$AE$98)*100,1)</f>
        <v>56.4</v>
      </c>
      <c r="AH85" s="4"/>
      <c r="AI85" s="3">
        <f>L33-AE85</f>
        <v>32505</v>
      </c>
      <c r="AJ85" s="3"/>
      <c r="AK85" s="175">
        <f>ROUND((AI85/AE85)*100,1)</f>
        <v>6.6</v>
      </c>
      <c r="AL85" s="6"/>
      <c r="AM85" s="3"/>
      <c r="AN85" s="159"/>
      <c r="AO85" s="3">
        <f>AE85+AM85</f>
        <v>490745</v>
      </c>
      <c r="AP85" s="3"/>
      <c r="AQ85" s="175">
        <f>ROUND((AI85/AO85)*100,1)</f>
        <v>6.6</v>
      </c>
      <c r="AR85" s="184"/>
      <c r="AS85" s="123"/>
      <c r="AT85" s="123"/>
      <c r="AU85" s="160"/>
    </row>
    <row r="86" spans="1:47" x14ac:dyDescent="0.3">
      <c r="L86" s="123"/>
      <c r="M86" s="123"/>
      <c r="N86" s="123"/>
      <c r="O86" s="123"/>
      <c r="P86" s="123"/>
      <c r="Q86" s="123"/>
      <c r="R86" s="123"/>
      <c r="T86" s="41">
        <v>12</v>
      </c>
      <c r="V86" s="42" t="s">
        <v>142</v>
      </c>
      <c r="Y86" s="159"/>
      <c r="Z86" s="1"/>
      <c r="AA86" s="3">
        <f>H34</f>
        <v>869355</v>
      </c>
      <c r="AB86" s="3"/>
      <c r="AC86" s="205">
        <f>INPUT!C116</f>
        <v>6.2067999999999998E-2</v>
      </c>
      <c r="AD86" s="204"/>
      <c r="AE86" s="3">
        <f>ROUND((AA86*AC86),0)</f>
        <v>53959</v>
      </c>
      <c r="AF86" s="3"/>
      <c r="AG86" s="175">
        <f>ROUND((AE86/$AE$98)*100,1)</f>
        <v>6.2</v>
      </c>
      <c r="AH86" s="4"/>
      <c r="AI86" s="3">
        <f>L34-AE86</f>
        <v>3522</v>
      </c>
      <c r="AJ86" s="3"/>
      <c r="AK86" s="175">
        <f>ROUND((AI86/AE86)*100,1)</f>
        <v>6.5</v>
      </c>
      <c r="AL86" s="6"/>
      <c r="AM86" s="3"/>
      <c r="AN86" s="159"/>
      <c r="AO86" s="3">
        <f>AE86+AM86</f>
        <v>53959</v>
      </c>
      <c r="AP86" s="3"/>
      <c r="AQ86" s="175">
        <f>ROUND((AI86/AO86)*100,1)</f>
        <v>6.5</v>
      </c>
      <c r="AR86" s="184"/>
      <c r="AS86" s="123"/>
      <c r="AT86" s="123"/>
      <c r="AU86" s="160"/>
    </row>
    <row r="87" spans="1:47" x14ac:dyDescent="0.3">
      <c r="L87" s="123"/>
      <c r="M87" s="123"/>
      <c r="N87" s="123"/>
      <c r="O87" s="123"/>
      <c r="P87" s="123"/>
      <c r="Q87" s="123"/>
      <c r="R87" s="123"/>
      <c r="T87" s="41">
        <v>13</v>
      </c>
      <c r="V87" s="42" t="s">
        <v>530</v>
      </c>
      <c r="Y87" s="159"/>
      <c r="Z87" s="1"/>
      <c r="AA87" s="3">
        <f>H35</f>
        <v>0</v>
      </c>
      <c r="AB87" s="3"/>
      <c r="AC87" s="205">
        <f>INPUT!C117</f>
        <v>0.289184</v>
      </c>
      <c r="AD87" s="204"/>
      <c r="AE87" s="3">
        <f>ROUND((AA87*AC87),0)</f>
        <v>0</v>
      </c>
      <c r="AF87" s="3"/>
      <c r="AG87" s="177">
        <f>ROUND((AE87/$AE$98)*100,1)</f>
        <v>0</v>
      </c>
      <c r="AH87" s="4"/>
      <c r="AI87" s="3">
        <f>L35-AE87</f>
        <v>0</v>
      </c>
      <c r="AJ87" s="3"/>
      <c r="AK87" s="175">
        <f>IF(AE87=0,0,ROUND((AI87/AE87)*100,1))</f>
        <v>0</v>
      </c>
      <c r="AL87" s="6"/>
      <c r="AM87" s="49"/>
      <c r="AN87" s="159"/>
      <c r="AO87" s="3">
        <f>AE87+AM87</f>
        <v>0</v>
      </c>
      <c r="AP87" s="3"/>
      <c r="AQ87" s="177">
        <f>IF(AO87=0,0,ROUND((AI87/AO87)*100,1))</f>
        <v>0</v>
      </c>
      <c r="AR87" s="184"/>
      <c r="AS87" s="123"/>
      <c r="AT87" s="123"/>
      <c r="AU87" s="160"/>
    </row>
    <row r="88" spans="1:47" ht="20.100000000000001" customHeight="1" x14ac:dyDescent="0.3">
      <c r="T88" s="41">
        <v>14</v>
      </c>
      <c r="V88" s="132" t="s">
        <v>143</v>
      </c>
      <c r="Y88" s="3"/>
      <c r="Z88" s="1"/>
      <c r="AA88" s="145">
        <f>H36</f>
        <v>7726973</v>
      </c>
      <c r="AB88" s="3"/>
      <c r="AC88" s="216"/>
      <c r="AD88" s="7"/>
      <c r="AE88" s="145">
        <f>SUM(AE85:AE87)</f>
        <v>544704</v>
      </c>
      <c r="AF88" s="3"/>
      <c r="AG88" s="177">
        <f>ROUND((AE88/$AE$98)*100,1)</f>
        <v>62.7</v>
      </c>
      <c r="AH88" s="4"/>
      <c r="AI88" s="145">
        <f>SUM(AI85:AI87)</f>
        <v>36027</v>
      </c>
      <c r="AJ88" s="3"/>
      <c r="AK88" s="180">
        <f>ROUND((AI88/AE88)*100,1)</f>
        <v>6.6</v>
      </c>
      <c r="AL88" s="6"/>
      <c r="AM88" s="145"/>
      <c r="AN88" s="3"/>
      <c r="AO88" s="145">
        <f>SUM(AO85:AO87)</f>
        <v>544704</v>
      </c>
      <c r="AP88" s="3"/>
      <c r="AQ88" s="177">
        <f>ROUND((AI88/AO88)*100,1)</f>
        <v>6.6</v>
      </c>
      <c r="AR88" s="123"/>
      <c r="AS88" s="123"/>
      <c r="AT88" s="123"/>
    </row>
    <row r="89" spans="1:47" ht="20.100000000000001" customHeight="1" x14ac:dyDescent="0.3">
      <c r="T89" s="41">
        <v>15</v>
      </c>
      <c r="V89" s="178" t="s">
        <v>451</v>
      </c>
      <c r="Y89" s="49">
        <f>Y78</f>
        <v>120</v>
      </c>
      <c r="Z89" s="1"/>
      <c r="AA89" s="145">
        <f>AA88</f>
        <v>7726973</v>
      </c>
      <c r="AB89" s="3"/>
      <c r="AC89" s="216"/>
      <c r="AD89" s="7"/>
      <c r="AE89" s="145">
        <f>AE78+AE82+AE88</f>
        <v>819307</v>
      </c>
      <c r="AF89" s="3"/>
      <c r="AG89" s="180">
        <f>ROUND((AE89/$AE$98)*100,1)</f>
        <v>94.2</v>
      </c>
      <c r="AH89" s="4"/>
      <c r="AI89" s="145">
        <f>AI78+AI82+AI88</f>
        <v>53658</v>
      </c>
      <c r="AJ89" s="3"/>
      <c r="AK89" s="180">
        <f>ROUND((AI89/AE89)*100,1)</f>
        <v>6.5</v>
      </c>
      <c r="AL89" s="6"/>
      <c r="AM89" s="145"/>
      <c r="AN89" s="3"/>
      <c r="AO89" s="145">
        <f>AO78+AO82+AO88</f>
        <v>819307</v>
      </c>
      <c r="AP89" s="3"/>
      <c r="AQ89" s="177">
        <f>ROUND((AI89/AO89)*100,1)</f>
        <v>6.5</v>
      </c>
      <c r="AR89" s="123"/>
      <c r="AS89" s="123"/>
      <c r="AT89" s="123"/>
    </row>
    <row r="90" spans="1:47" ht="15.75" customHeight="1" x14ac:dyDescent="0.3">
      <c r="V90" s="42"/>
      <c r="Y90" s="3"/>
      <c r="Z90" s="1"/>
      <c r="AA90" s="3"/>
      <c r="AB90" s="3"/>
      <c r="AC90" s="216"/>
      <c r="AD90" s="7"/>
      <c r="AE90" s="3"/>
      <c r="AF90" s="3"/>
      <c r="AG90" s="175"/>
      <c r="AH90" s="4"/>
      <c r="AI90" s="3"/>
      <c r="AJ90" s="3"/>
      <c r="AK90" s="175"/>
      <c r="AL90" s="6"/>
      <c r="AM90" s="3"/>
      <c r="AN90" s="3"/>
      <c r="AO90" s="3"/>
      <c r="AP90" s="3"/>
      <c r="AQ90" s="175"/>
      <c r="AR90" s="123"/>
      <c r="AS90" s="123"/>
      <c r="AT90" s="123"/>
    </row>
    <row r="91" spans="1:47" ht="15.75" customHeight="1" x14ac:dyDescent="0.3">
      <c r="T91" s="41">
        <f t="shared" ref="T91:T96" si="0">A39</f>
        <v>16</v>
      </c>
      <c r="V91" s="132" t="s">
        <v>432</v>
      </c>
      <c r="Y91" s="3"/>
      <c r="Z91" s="1"/>
      <c r="AA91" s="3"/>
      <c r="AB91" s="3"/>
      <c r="AC91" s="216"/>
      <c r="AD91" s="7"/>
      <c r="AE91" s="3"/>
      <c r="AF91" s="3"/>
      <c r="AG91" s="175"/>
      <c r="AH91" s="4"/>
      <c r="AI91" s="3"/>
      <c r="AJ91" s="3"/>
      <c r="AK91" s="175"/>
      <c r="AL91" s="6"/>
      <c r="AM91" s="3"/>
      <c r="AN91" s="3"/>
      <c r="AO91" s="3"/>
      <c r="AP91" s="3"/>
      <c r="AQ91" s="175"/>
      <c r="AR91" s="123"/>
      <c r="AS91" s="123"/>
      <c r="AT91" s="123"/>
    </row>
    <row r="92" spans="1:47" ht="15.75" customHeight="1" x14ac:dyDescent="0.3">
      <c r="T92" s="41">
        <f t="shared" si="0"/>
        <v>17</v>
      </c>
      <c r="V92" s="192" t="str">
        <f>C40</f>
        <v>DEMAND SIDE MANAGEMENT RIDER (DSMR)</v>
      </c>
      <c r="Y92" s="3"/>
      <c r="Z92" s="1"/>
      <c r="AA92" s="3"/>
      <c r="AB92" s="3"/>
      <c r="AC92" s="217">
        <f>DSM_DIST</f>
        <v>3.503E-3</v>
      </c>
      <c r="AD92" s="7"/>
      <c r="AE92" s="3">
        <f>ROUND($AA$89*AC92,0)</f>
        <v>27068</v>
      </c>
      <c r="AF92" s="3"/>
      <c r="AG92" s="175">
        <f>ROUND((AE92/$AE$98)*100,1)-0.1</f>
        <v>3</v>
      </c>
      <c r="AH92" s="4"/>
      <c r="AI92" s="3">
        <f>L40-AE92</f>
        <v>0</v>
      </c>
      <c r="AJ92" s="3"/>
      <c r="AK92" s="175">
        <f>IF(AE92=0,0,ROUND((AI92/AE92)*100,1))</f>
        <v>0</v>
      </c>
      <c r="AL92" s="6"/>
      <c r="AM92" s="3"/>
      <c r="AN92" s="3"/>
      <c r="AO92" s="3">
        <f>AE92+AM92</f>
        <v>27068</v>
      </c>
      <c r="AP92" s="3"/>
      <c r="AQ92" s="175">
        <f>IF(AO92=0,0,ROUND((AI92/AO92)*100,1))</f>
        <v>0</v>
      </c>
      <c r="AR92" s="123"/>
      <c r="AS92" s="123"/>
      <c r="AT92" s="123"/>
    </row>
    <row r="93" spans="1:47" ht="15.75" customHeight="1" x14ac:dyDescent="0.3">
      <c r="T93" s="41">
        <f t="shared" si="0"/>
        <v>18</v>
      </c>
      <c r="V93" s="192" t="str">
        <f>C41</f>
        <v>ENVIRONMENTAL SURCHARGE MECHANISM RIDER (ESM)</v>
      </c>
      <c r="Y93" s="3"/>
      <c r="Z93" s="1"/>
      <c r="AA93" s="3"/>
      <c r="AB93" s="3"/>
      <c r="AC93" s="231">
        <f>CUR_ESM_NonRes</f>
        <v>6.4941608437496566E-3</v>
      </c>
      <c r="AD93" s="7"/>
      <c r="AE93" s="3">
        <f>ROUND((AO89-(CUR_BASE_FUEL*AA89)+AO92+AO95)*AC93,0)</f>
        <v>3926</v>
      </c>
      <c r="AF93" s="3"/>
      <c r="AG93" s="175">
        <f>ROUND((AE93/$AE$98)*100,1)</f>
        <v>0.5</v>
      </c>
      <c r="AH93" s="4"/>
      <c r="AI93" s="3">
        <f>L41-AE93</f>
        <v>-109</v>
      </c>
      <c r="AJ93" s="3"/>
      <c r="AK93" s="175">
        <f>IF(AE93=0,0,ROUND((AI93/AE93)*100,1))</f>
        <v>-2.8</v>
      </c>
      <c r="AL93" s="6"/>
      <c r="AM93" s="3"/>
      <c r="AN93" s="3"/>
      <c r="AO93" s="3">
        <f>AE93+AM93</f>
        <v>3926</v>
      </c>
      <c r="AP93" s="3"/>
      <c r="AQ93" s="175">
        <f>IF(AO93=0,0,ROUND((AI93/AO93)*100,1))</f>
        <v>-2.8</v>
      </c>
      <c r="AR93" s="123"/>
      <c r="AS93" s="123"/>
      <c r="AT93" s="123"/>
    </row>
    <row r="94" spans="1:47" ht="15.75" customHeight="1" x14ac:dyDescent="0.3">
      <c r="T94" s="41">
        <f t="shared" si="0"/>
        <v>19</v>
      </c>
      <c r="V94" s="192" t="str">
        <f>C42</f>
        <v>FUEL ADJUSTMENT CLAUSE (FAC)</v>
      </c>
      <c r="Y94" s="3"/>
      <c r="Z94" s="1"/>
      <c r="AA94" s="3"/>
      <c r="AB94" s="3"/>
      <c r="AC94" s="217">
        <f>CUR_FAC</f>
        <v>3.4872127999999998E-3</v>
      </c>
      <c r="AD94" s="7"/>
      <c r="AE94" s="3"/>
      <c r="AF94" s="3"/>
      <c r="AG94" s="175"/>
      <c r="AH94" s="4"/>
      <c r="AI94" s="3"/>
      <c r="AJ94" s="3"/>
      <c r="AK94" s="175"/>
      <c r="AL94" s="6"/>
      <c r="AM94" s="3">
        <f>ROUND(AA89*CUR_FAC,0)</f>
        <v>26946</v>
      </c>
      <c r="AN94" s="3"/>
      <c r="AO94" s="3">
        <f>AE94+AM94</f>
        <v>26946</v>
      </c>
      <c r="AP94" s="3"/>
      <c r="AQ94" s="175">
        <f>IF(AO94=0,0,ROUND((AI94/AO94)*100,1))</f>
        <v>0</v>
      </c>
      <c r="AR94" s="123"/>
      <c r="AS94" s="123"/>
      <c r="AT94" s="123"/>
    </row>
    <row r="95" spans="1:47" ht="15.75" customHeight="1" x14ac:dyDescent="0.3">
      <c r="T95" s="41">
        <f t="shared" si="0"/>
        <v>20</v>
      </c>
      <c r="V95" s="192" t="str">
        <f>C43</f>
        <v>PROFIT SHARING MECHANISM (PSM)</v>
      </c>
      <c r="Y95" s="3"/>
      <c r="Z95" s="1"/>
      <c r="AA95" s="3"/>
      <c r="AB95" s="3"/>
      <c r="AC95" s="217">
        <f>RS_PSM</f>
        <v>2.4750000000000002E-3</v>
      </c>
      <c r="AD95" s="7"/>
      <c r="AE95" s="49">
        <f>ROUND(AA89*RS_PSM,0)</f>
        <v>19124</v>
      </c>
      <c r="AF95" s="3"/>
      <c r="AG95" s="177">
        <f>ROUND((AE95/$AE$98)*100,1)</f>
        <v>2.2000000000000002</v>
      </c>
      <c r="AH95" s="4"/>
      <c r="AI95" s="3">
        <f>L43-AE95</f>
        <v>0</v>
      </c>
      <c r="AJ95" s="3"/>
      <c r="AK95" s="175">
        <f>IF(AE95=0,0,ROUND((AI95/AE95)*100,1))</f>
        <v>0</v>
      </c>
      <c r="AL95" s="6"/>
      <c r="AM95" s="49"/>
      <c r="AN95" s="3"/>
      <c r="AO95" s="3">
        <f>AE95+AM95</f>
        <v>19124</v>
      </c>
      <c r="AP95" s="3"/>
      <c r="AQ95" s="177">
        <f>IF(AO95=0,0,ROUND((AI95/AO95)*100,1))</f>
        <v>0</v>
      </c>
      <c r="AR95" s="123"/>
      <c r="AS95" s="123"/>
      <c r="AT95" s="123"/>
    </row>
    <row r="96" spans="1:47" ht="20.100000000000001" customHeight="1" x14ac:dyDescent="0.3">
      <c r="T96" s="41">
        <f t="shared" si="0"/>
        <v>21</v>
      </c>
      <c r="V96" s="132" t="s">
        <v>437</v>
      </c>
      <c r="Y96" s="49"/>
      <c r="Z96" s="1"/>
      <c r="AA96" s="49"/>
      <c r="AB96" s="3"/>
      <c r="AC96" s="7"/>
      <c r="AD96" s="7"/>
      <c r="AE96" s="145">
        <f>SUM(AE92:AE95)</f>
        <v>50118</v>
      </c>
      <c r="AF96" s="3"/>
      <c r="AG96" s="180">
        <f>ROUND((AE96/$AE$98)*100,1)</f>
        <v>5.8</v>
      </c>
      <c r="AH96" s="4"/>
      <c r="AI96" s="145">
        <f>SUM(AI92:AI95)</f>
        <v>-109</v>
      </c>
      <c r="AJ96" s="3"/>
      <c r="AK96" s="180">
        <f>ROUND((AI96/AE96)*100,1)</f>
        <v>-0.2</v>
      </c>
      <c r="AL96" s="6"/>
      <c r="AM96" s="145">
        <f>SUM(AM92:AM95)</f>
        <v>26946</v>
      </c>
      <c r="AN96" s="3"/>
      <c r="AO96" s="145">
        <f>SUM(AO92:AO95)</f>
        <v>77064</v>
      </c>
      <c r="AP96" s="3"/>
      <c r="AQ96" s="177">
        <f>IF(AO96=0,0,ROUND((AI96/AO96)*100,1))</f>
        <v>-0.1</v>
      </c>
      <c r="AR96" s="123"/>
      <c r="AS96" s="123"/>
      <c r="AT96" s="123"/>
    </row>
    <row r="97" spans="1:46" ht="15.75" customHeight="1" x14ac:dyDescent="0.3">
      <c r="V97" s="132"/>
      <c r="Y97" s="3"/>
      <c r="Z97" s="1"/>
      <c r="AA97" s="3"/>
      <c r="AB97" s="3"/>
      <c r="AC97" s="7"/>
      <c r="AD97" s="7"/>
      <c r="AE97" s="3"/>
      <c r="AF97" s="3"/>
      <c r="AG97" s="175"/>
      <c r="AH97" s="4"/>
      <c r="AI97" s="3"/>
      <c r="AJ97" s="3"/>
      <c r="AK97" s="175"/>
      <c r="AL97" s="6"/>
      <c r="AM97" s="3"/>
      <c r="AN97" s="3"/>
      <c r="AO97" s="3"/>
      <c r="AP97" s="3"/>
      <c r="AQ97" s="175"/>
      <c r="AR97" s="123"/>
      <c r="AS97" s="123"/>
      <c r="AT97" s="123"/>
    </row>
    <row r="98" spans="1:46" ht="20.100000000000001" customHeight="1" thickBot="1" x14ac:dyDescent="0.35">
      <c r="T98" s="41">
        <f>A46</f>
        <v>22</v>
      </c>
      <c r="V98" s="178" t="s">
        <v>453</v>
      </c>
      <c r="Y98" s="151">
        <f>F46</f>
        <v>120</v>
      </c>
      <c r="Z98" s="1"/>
      <c r="AA98" s="151">
        <f>H46</f>
        <v>7726973</v>
      </c>
      <c r="AB98" s="3"/>
      <c r="AC98" s="7"/>
      <c r="AD98" s="7"/>
      <c r="AE98" s="151">
        <f>AE96+AE89</f>
        <v>869425</v>
      </c>
      <c r="AF98" s="3"/>
      <c r="AG98" s="187">
        <v>100</v>
      </c>
      <c r="AH98" s="4"/>
      <c r="AI98" s="151">
        <f>AI96+AI89</f>
        <v>53549</v>
      </c>
      <c r="AJ98" s="3"/>
      <c r="AK98" s="187">
        <f>ROUND((AI98/AE98)*100,1)</f>
        <v>6.2</v>
      </c>
      <c r="AL98" s="6"/>
      <c r="AM98" s="151">
        <f>AM96+AM89</f>
        <v>26946</v>
      </c>
      <c r="AN98" s="3"/>
      <c r="AO98" s="151">
        <f>AO96+AO89</f>
        <v>896371</v>
      </c>
      <c r="AP98" s="3"/>
      <c r="AQ98" s="187">
        <f>ROUND((AI98/AO98)*100,1)</f>
        <v>6</v>
      </c>
      <c r="AR98" s="123"/>
      <c r="AS98" s="123"/>
      <c r="AT98" s="123"/>
    </row>
    <row r="99" spans="1:46" ht="16.2" thickTop="1" x14ac:dyDescent="0.3">
      <c r="L99" s="42"/>
      <c r="M99" s="42"/>
      <c r="Y99" s="3"/>
      <c r="Z99" s="1"/>
      <c r="AA99" s="3"/>
      <c r="AB99" s="3"/>
      <c r="AC99" s="7"/>
      <c r="AD99" s="7"/>
      <c r="AE99" s="3"/>
      <c r="AF99" s="3"/>
      <c r="AG99" s="175"/>
      <c r="AH99" s="3"/>
      <c r="AI99" s="1"/>
      <c r="AJ99" s="1"/>
      <c r="AK99" s="175"/>
      <c r="AL99" s="1"/>
      <c r="AM99" s="1"/>
      <c r="AN99" s="1"/>
      <c r="AO99" s="1"/>
      <c r="AP99" s="1"/>
      <c r="AQ99" s="175"/>
    </row>
    <row r="100" spans="1:46" x14ac:dyDescent="0.3">
      <c r="R100" s="42"/>
      <c r="V100" s="202" t="s">
        <v>59</v>
      </c>
      <c r="Y100" s="123"/>
      <c r="AA100" s="123"/>
      <c r="AB100" s="123"/>
      <c r="AC100" s="219"/>
      <c r="AD100" s="219"/>
      <c r="AE100" s="123"/>
      <c r="AF100" s="123"/>
      <c r="AH100" s="123"/>
    </row>
    <row r="101" spans="1:46" x14ac:dyDescent="0.3">
      <c r="R101" s="42"/>
      <c r="V101" s="202" t="str">
        <f>"(2) REFLECTS FUEL COMPONENT OF "&amp;TEXT(CUR_FAC,"$0.000000;($0.000000)")&amp;"  PER KWH."</f>
        <v>(2) REFLECTS FUEL COMPONENT OF $0.003487  PER KWH.</v>
      </c>
      <c r="Y101" s="123"/>
      <c r="AA101" s="123"/>
      <c r="AB101" s="123"/>
      <c r="AC101" s="219"/>
      <c r="AD101" s="219"/>
      <c r="AE101" s="123"/>
      <c r="AF101" s="123"/>
      <c r="AH101" s="123"/>
    </row>
    <row r="102" spans="1:46" x14ac:dyDescent="0.3">
      <c r="R102" s="42"/>
      <c r="V102" s="202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03" spans="1:46" x14ac:dyDescent="0.3">
      <c r="A103" s="42"/>
      <c r="R103" s="42"/>
      <c r="AA103" s="42"/>
      <c r="AB103" s="42"/>
    </row>
    <row r="104" spans="1:46" x14ac:dyDescent="0.3">
      <c r="L104" s="42"/>
      <c r="M104" s="42"/>
      <c r="AK104" s="206"/>
      <c r="AL104" s="42"/>
    </row>
    <row r="105" spans="1:46" x14ac:dyDescent="0.3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AK105" s="206"/>
      <c r="AL105" s="42"/>
    </row>
    <row r="106" spans="1:46" x14ac:dyDescent="0.3">
      <c r="L106" s="44"/>
      <c r="M106" s="44"/>
      <c r="N106" s="44"/>
      <c r="O106" s="44"/>
      <c r="R106" s="44"/>
      <c r="AK106" s="206"/>
      <c r="AL106" s="42"/>
    </row>
    <row r="107" spans="1:46" x14ac:dyDescent="0.3">
      <c r="L107" s="44"/>
      <c r="M107" s="44"/>
      <c r="N107" s="44"/>
      <c r="O107" s="44"/>
      <c r="R107" s="44"/>
      <c r="AA107" s="42"/>
      <c r="AB107" s="42"/>
    </row>
    <row r="108" spans="1:46" x14ac:dyDescent="0.3">
      <c r="A108" s="44"/>
      <c r="C108" s="44"/>
      <c r="D108" s="44"/>
      <c r="E108" s="44"/>
      <c r="F108" s="44"/>
      <c r="J108" s="44"/>
      <c r="K108" s="44"/>
      <c r="L108" s="44"/>
      <c r="M108" s="44"/>
      <c r="N108" s="44"/>
      <c r="O108" s="44"/>
      <c r="P108" s="44"/>
      <c r="Q108" s="44"/>
      <c r="R108" s="44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207"/>
      <c r="AH108" s="135"/>
      <c r="AI108" s="135"/>
      <c r="AJ108" s="135"/>
      <c r="AK108" s="207"/>
      <c r="AL108" s="135"/>
      <c r="AM108" s="135"/>
      <c r="AN108" s="135"/>
    </row>
    <row r="109" spans="1:46" x14ac:dyDescent="0.3">
      <c r="A109" s="44"/>
      <c r="C109" s="44"/>
      <c r="D109" s="44"/>
      <c r="E109" s="44"/>
      <c r="F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AA109" s="44"/>
      <c r="AB109" s="44"/>
      <c r="AC109" s="44"/>
      <c r="AD109" s="44"/>
      <c r="AE109" s="44"/>
      <c r="AF109" s="44"/>
      <c r="AG109" s="168"/>
      <c r="AH109" s="44"/>
      <c r="AK109" s="168"/>
      <c r="AL109" s="44"/>
      <c r="AM109" s="44"/>
      <c r="AN109" s="44"/>
    </row>
    <row r="110" spans="1:46" x14ac:dyDescent="0.3">
      <c r="C110" s="44"/>
      <c r="D110" s="44"/>
      <c r="E110" s="44"/>
      <c r="F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Z110" s="44"/>
      <c r="AA110" s="44"/>
      <c r="AB110" s="44"/>
      <c r="AC110" s="44"/>
      <c r="AD110" s="44"/>
      <c r="AE110" s="44"/>
      <c r="AF110" s="44"/>
      <c r="AG110" s="168"/>
      <c r="AH110" s="44"/>
      <c r="AK110" s="168"/>
      <c r="AL110" s="44"/>
      <c r="AM110" s="44"/>
      <c r="AN110" s="44"/>
    </row>
    <row r="111" spans="1:46" x14ac:dyDescent="0.3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T111" s="44"/>
      <c r="U111" s="44"/>
      <c r="V111" s="44"/>
      <c r="Z111" s="44"/>
      <c r="AA111" s="44"/>
      <c r="AB111" s="44"/>
      <c r="AC111" s="44"/>
      <c r="AD111" s="44"/>
      <c r="AE111" s="44"/>
      <c r="AF111" s="44"/>
      <c r="AG111" s="168"/>
      <c r="AH111" s="44"/>
      <c r="AI111" s="44"/>
      <c r="AJ111" s="44"/>
      <c r="AK111" s="168"/>
      <c r="AL111" s="44"/>
      <c r="AM111" s="44"/>
      <c r="AN111" s="44"/>
    </row>
    <row r="112" spans="1:46" x14ac:dyDescent="0.3"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T112" s="44"/>
      <c r="U112" s="44"/>
      <c r="V112" s="44"/>
      <c r="Y112" s="44"/>
      <c r="Z112" s="44"/>
      <c r="AA112" s="44"/>
      <c r="AB112" s="44"/>
      <c r="AC112" s="44"/>
      <c r="AD112" s="44"/>
      <c r="AE112" s="44"/>
      <c r="AF112" s="44"/>
      <c r="AG112" s="168"/>
      <c r="AH112" s="44"/>
      <c r="AI112" s="44"/>
      <c r="AJ112" s="44"/>
      <c r="AK112" s="168"/>
      <c r="AL112" s="44"/>
      <c r="AM112" s="44"/>
      <c r="AN112" s="44"/>
    </row>
    <row r="113" spans="3:40" x14ac:dyDescent="0.3">
      <c r="C113" s="42"/>
      <c r="D113" s="42"/>
      <c r="E113" s="42"/>
      <c r="T113" s="44"/>
      <c r="U113" s="44"/>
      <c r="V113" s="44"/>
      <c r="Y113" s="44"/>
      <c r="Z113" s="44"/>
      <c r="AA113" s="44"/>
      <c r="AB113" s="44"/>
      <c r="AC113" s="44"/>
      <c r="AD113" s="44"/>
      <c r="AE113" s="44"/>
      <c r="AF113" s="44"/>
      <c r="AG113" s="168"/>
      <c r="AH113" s="44"/>
      <c r="AI113" s="44"/>
      <c r="AJ113" s="44"/>
      <c r="AK113" s="168"/>
      <c r="AL113" s="44"/>
      <c r="AM113" s="44"/>
      <c r="AN113" s="44"/>
    </row>
    <row r="114" spans="3:40" x14ac:dyDescent="0.3">
      <c r="C114" s="42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207"/>
      <c r="AH114" s="135"/>
      <c r="AI114" s="135"/>
      <c r="AJ114" s="135"/>
      <c r="AK114" s="207"/>
      <c r="AL114" s="135"/>
      <c r="AM114" s="135"/>
      <c r="AN114" s="135"/>
    </row>
    <row r="115" spans="3:40" x14ac:dyDescent="0.3">
      <c r="Y115" s="44"/>
      <c r="Z115" s="44"/>
      <c r="AA115" s="44"/>
      <c r="AB115" s="44"/>
      <c r="AC115" s="44"/>
      <c r="AD115" s="44"/>
      <c r="AE115" s="44"/>
      <c r="AF115" s="44"/>
      <c r="AG115" s="168"/>
      <c r="AH115" s="44"/>
      <c r="AI115" s="44"/>
      <c r="AJ115" s="44"/>
      <c r="AK115" s="168"/>
      <c r="AL115" s="44"/>
      <c r="AM115" s="44"/>
      <c r="AN115" s="44"/>
    </row>
    <row r="116" spans="3:40" x14ac:dyDescent="0.3">
      <c r="C116" s="42"/>
      <c r="T116" s="42"/>
      <c r="U116" s="42"/>
    </row>
    <row r="117" spans="3:40" x14ac:dyDescent="0.3">
      <c r="C117" s="42"/>
      <c r="F117" s="184"/>
      <c r="H117" s="184"/>
      <c r="I117" s="184"/>
      <c r="J117" s="193"/>
      <c r="K117" s="193"/>
      <c r="L117" s="123"/>
      <c r="M117" s="123"/>
      <c r="N117" s="160"/>
      <c r="O117" s="160"/>
      <c r="R117" s="123"/>
      <c r="T117" s="42"/>
    </row>
    <row r="118" spans="3:40" x14ac:dyDescent="0.3">
      <c r="C118" s="42"/>
      <c r="F118" s="184"/>
      <c r="H118" s="184"/>
      <c r="I118" s="184"/>
      <c r="J118" s="193"/>
      <c r="K118" s="193"/>
      <c r="L118" s="123"/>
      <c r="M118" s="123"/>
      <c r="N118" s="160"/>
      <c r="O118" s="160"/>
      <c r="R118" s="123"/>
    </row>
    <row r="119" spans="3:40" x14ac:dyDescent="0.3">
      <c r="C119" s="42"/>
      <c r="F119" s="184"/>
      <c r="H119" s="184"/>
      <c r="I119" s="184"/>
      <c r="J119" s="193"/>
      <c r="K119" s="193"/>
      <c r="L119" s="123"/>
      <c r="M119" s="123"/>
      <c r="N119" s="160"/>
      <c r="O119" s="160"/>
      <c r="R119" s="123"/>
      <c r="T119" s="42"/>
    </row>
    <row r="120" spans="3:40" x14ac:dyDescent="0.3">
      <c r="F120" s="210"/>
      <c r="H120" s="123"/>
      <c r="I120" s="123"/>
      <c r="J120" s="213"/>
      <c r="K120" s="213"/>
      <c r="L120" s="210"/>
      <c r="M120" s="210"/>
      <c r="N120" s="210"/>
      <c r="O120" s="210"/>
      <c r="P120" s="210"/>
      <c r="Q120" s="210"/>
      <c r="R120" s="210"/>
      <c r="T120" s="42"/>
      <c r="V120" s="123"/>
      <c r="Y120" s="184"/>
      <c r="Z120" s="193"/>
      <c r="AA120" s="123"/>
      <c r="AB120" s="123"/>
      <c r="AC120" s="160"/>
      <c r="AD120" s="160"/>
      <c r="AE120" s="123"/>
      <c r="AF120" s="123"/>
      <c r="AG120" s="233"/>
      <c r="AH120" s="234"/>
      <c r="AL120" s="123"/>
      <c r="AM120" s="235"/>
      <c r="AN120" s="235"/>
    </row>
    <row r="121" spans="3:40" x14ac:dyDescent="0.3">
      <c r="C121" s="42"/>
      <c r="F121" s="123"/>
      <c r="H121" s="123"/>
      <c r="I121" s="123"/>
      <c r="J121" s="213"/>
      <c r="K121" s="213"/>
      <c r="L121" s="123"/>
      <c r="M121" s="123"/>
      <c r="N121" s="160"/>
      <c r="O121" s="160"/>
      <c r="P121" s="123"/>
      <c r="Q121" s="123"/>
      <c r="R121" s="123"/>
      <c r="T121" s="42"/>
      <c r="V121" s="123"/>
      <c r="Y121" s="184"/>
      <c r="Z121" s="193"/>
      <c r="AA121" s="123"/>
      <c r="AB121" s="123"/>
      <c r="AC121" s="160"/>
      <c r="AD121" s="160"/>
      <c r="AE121" s="123"/>
      <c r="AF121" s="123"/>
      <c r="AH121" s="236"/>
      <c r="AL121" s="123"/>
      <c r="AM121" s="160"/>
      <c r="AN121" s="160"/>
    </row>
    <row r="122" spans="3:40" x14ac:dyDescent="0.3">
      <c r="F122" s="210"/>
      <c r="H122" s="123"/>
      <c r="I122" s="123"/>
      <c r="J122" s="213"/>
      <c r="K122" s="213"/>
      <c r="L122" s="210"/>
      <c r="M122" s="210"/>
      <c r="N122" s="210"/>
      <c r="O122" s="210"/>
      <c r="P122" s="210"/>
      <c r="Q122" s="210"/>
      <c r="R122" s="210"/>
      <c r="T122" s="42"/>
      <c r="V122" s="123"/>
      <c r="Y122" s="184"/>
      <c r="Z122" s="193"/>
      <c r="AA122" s="123"/>
      <c r="AB122" s="123"/>
      <c r="AC122" s="160"/>
      <c r="AD122" s="160"/>
      <c r="AE122" s="123"/>
      <c r="AF122" s="123"/>
      <c r="AH122" s="236"/>
      <c r="AL122" s="123"/>
      <c r="AM122" s="160"/>
      <c r="AN122" s="160"/>
    </row>
    <row r="123" spans="3:40" x14ac:dyDescent="0.3">
      <c r="C123" s="42"/>
      <c r="F123" s="184"/>
      <c r="H123" s="184"/>
      <c r="I123" s="184"/>
      <c r="J123" s="237"/>
      <c r="K123" s="237"/>
      <c r="L123" s="123"/>
      <c r="M123" s="123"/>
      <c r="N123" s="160"/>
      <c r="O123" s="160"/>
      <c r="P123" s="123"/>
      <c r="Q123" s="123"/>
      <c r="R123" s="123"/>
      <c r="S123" s="123"/>
      <c r="V123" s="210"/>
      <c r="Y123" s="123"/>
      <c r="Z123" s="213"/>
      <c r="AA123" s="210"/>
      <c r="AB123" s="210"/>
      <c r="AC123" s="210"/>
      <c r="AD123" s="210"/>
      <c r="AE123" s="210"/>
      <c r="AF123" s="210"/>
      <c r="AI123" s="210"/>
      <c r="AJ123" s="210"/>
      <c r="AK123" s="214"/>
      <c r="AL123" s="210"/>
      <c r="AM123" s="160"/>
      <c r="AN123" s="160"/>
    </row>
    <row r="124" spans="3:40" x14ac:dyDescent="0.3">
      <c r="C124" s="42"/>
      <c r="F124" s="184"/>
      <c r="H124" s="184"/>
      <c r="I124" s="184"/>
      <c r="J124" s="193"/>
      <c r="K124" s="193"/>
      <c r="L124" s="123"/>
      <c r="M124" s="123"/>
      <c r="N124" s="160"/>
      <c r="O124" s="160"/>
      <c r="P124" s="123"/>
      <c r="Q124" s="123"/>
      <c r="R124" s="123"/>
      <c r="T124" s="42"/>
      <c r="V124" s="123"/>
      <c r="Y124" s="123"/>
      <c r="Z124" s="219"/>
      <c r="AA124" s="123"/>
      <c r="AB124" s="123"/>
      <c r="AC124" s="160"/>
      <c r="AD124" s="160"/>
      <c r="AE124" s="123"/>
      <c r="AF124" s="123"/>
      <c r="AH124" s="236"/>
      <c r="AI124" s="123"/>
      <c r="AJ124" s="123"/>
      <c r="AL124" s="123"/>
      <c r="AM124" s="160"/>
      <c r="AN124" s="160"/>
    </row>
    <row r="125" spans="3:40" x14ac:dyDescent="0.3">
      <c r="C125" s="42"/>
      <c r="F125" s="184"/>
      <c r="H125" s="184"/>
      <c r="I125" s="184"/>
      <c r="J125" s="193"/>
      <c r="K125" s="193"/>
      <c r="L125" s="123"/>
      <c r="M125" s="123"/>
      <c r="N125" s="160"/>
      <c r="O125" s="160"/>
      <c r="P125" s="123"/>
      <c r="Q125" s="123"/>
      <c r="R125" s="123"/>
      <c r="V125" s="210"/>
      <c r="Y125" s="123"/>
      <c r="Z125" s="213"/>
      <c r="AA125" s="210"/>
      <c r="AB125" s="210"/>
      <c r="AC125" s="210"/>
      <c r="AD125" s="210"/>
      <c r="AE125" s="210"/>
      <c r="AF125" s="210"/>
      <c r="AI125" s="210"/>
      <c r="AJ125" s="210"/>
      <c r="AK125" s="214"/>
      <c r="AL125" s="210"/>
      <c r="AM125" s="160"/>
      <c r="AN125" s="160"/>
    </row>
    <row r="126" spans="3:40" x14ac:dyDescent="0.3">
      <c r="F126" s="123"/>
      <c r="H126" s="210"/>
      <c r="I126" s="210"/>
      <c r="J126" s="213"/>
      <c r="K126" s="213"/>
      <c r="L126" s="210"/>
      <c r="M126" s="210"/>
      <c r="N126" s="210"/>
      <c r="O126" s="210"/>
      <c r="P126" s="210"/>
      <c r="Q126" s="210"/>
      <c r="R126" s="210"/>
      <c r="T126" s="42"/>
      <c r="V126" s="184"/>
      <c r="Y126" s="184"/>
      <c r="Z126" s="237"/>
      <c r="AA126" s="123"/>
      <c r="AB126" s="123"/>
      <c r="AC126" s="160"/>
      <c r="AD126" s="160"/>
      <c r="AE126" s="123"/>
      <c r="AF126" s="123"/>
      <c r="AH126" s="160"/>
      <c r="AI126" s="123"/>
      <c r="AJ126" s="123"/>
      <c r="AL126" s="123"/>
      <c r="AM126" s="160"/>
      <c r="AN126" s="160"/>
    </row>
    <row r="127" spans="3:40" x14ac:dyDescent="0.3">
      <c r="C127" s="42"/>
      <c r="F127" s="123"/>
      <c r="H127" s="123"/>
      <c r="I127" s="123"/>
      <c r="J127" s="213"/>
      <c r="K127" s="213"/>
      <c r="L127" s="123"/>
      <c r="M127" s="123"/>
      <c r="N127" s="160"/>
      <c r="O127" s="160"/>
      <c r="P127" s="123"/>
      <c r="Q127" s="123"/>
      <c r="R127" s="123"/>
      <c r="T127" s="42"/>
      <c r="V127" s="184"/>
      <c r="Y127" s="123"/>
      <c r="Z127" s="193"/>
      <c r="AA127" s="123"/>
      <c r="AB127" s="123"/>
      <c r="AC127" s="160"/>
      <c r="AD127" s="160"/>
      <c r="AE127" s="123"/>
      <c r="AF127" s="123"/>
      <c r="AH127" s="236"/>
      <c r="AI127" s="123"/>
      <c r="AJ127" s="123"/>
      <c r="AL127" s="123"/>
      <c r="AM127" s="160"/>
      <c r="AN127" s="160"/>
    </row>
    <row r="128" spans="3:40" x14ac:dyDescent="0.3">
      <c r="F128" s="123"/>
      <c r="H128" s="210"/>
      <c r="I128" s="210"/>
      <c r="J128" s="213"/>
      <c r="K128" s="213"/>
      <c r="L128" s="210"/>
      <c r="M128" s="210"/>
      <c r="N128" s="210"/>
      <c r="O128" s="210"/>
      <c r="P128" s="210"/>
      <c r="Q128" s="210"/>
      <c r="R128" s="210"/>
      <c r="T128" s="42"/>
      <c r="V128" s="184"/>
      <c r="Y128" s="123"/>
      <c r="Z128" s="193"/>
      <c r="AA128" s="123"/>
      <c r="AB128" s="123"/>
      <c r="AC128" s="160"/>
      <c r="AD128" s="160"/>
      <c r="AE128" s="123"/>
      <c r="AF128" s="123"/>
      <c r="AH128" s="236"/>
      <c r="AI128" s="123"/>
      <c r="AJ128" s="123"/>
      <c r="AL128" s="123"/>
      <c r="AM128" s="160"/>
      <c r="AN128" s="160"/>
    </row>
    <row r="129" spans="3:40" x14ac:dyDescent="0.3">
      <c r="C129" s="42"/>
      <c r="F129" s="123"/>
      <c r="H129" s="123"/>
      <c r="I129" s="123"/>
      <c r="J129" s="213"/>
      <c r="K129" s="213"/>
      <c r="L129" s="123"/>
      <c r="M129" s="123"/>
      <c r="N129" s="123"/>
      <c r="O129" s="123"/>
      <c r="P129" s="123"/>
      <c r="Q129" s="123"/>
      <c r="R129" s="123"/>
      <c r="V129" s="123"/>
      <c r="Y129" s="210"/>
      <c r="Z129" s="213"/>
      <c r="AA129" s="210"/>
      <c r="AB129" s="210"/>
      <c r="AC129" s="210"/>
      <c r="AD129" s="210"/>
      <c r="AE129" s="210"/>
      <c r="AF129" s="210"/>
      <c r="AI129" s="210"/>
      <c r="AJ129" s="210"/>
      <c r="AK129" s="214"/>
      <c r="AL129" s="210"/>
      <c r="AM129" s="160"/>
      <c r="AN129" s="160"/>
    </row>
    <row r="130" spans="3:40" x14ac:dyDescent="0.3">
      <c r="C130" s="42"/>
      <c r="F130" s="123"/>
      <c r="H130" s="184"/>
      <c r="I130" s="184"/>
      <c r="J130" s="238"/>
      <c r="K130" s="238"/>
      <c r="L130" s="123"/>
      <c r="M130" s="123"/>
      <c r="N130" s="160"/>
      <c r="O130" s="160"/>
      <c r="P130" s="123"/>
      <c r="Q130" s="123"/>
      <c r="R130" s="123"/>
      <c r="T130" s="42"/>
      <c r="V130" s="123"/>
      <c r="Y130" s="123"/>
      <c r="Z130" s="213"/>
      <c r="AA130" s="123"/>
      <c r="AB130" s="123"/>
      <c r="AC130" s="160"/>
      <c r="AD130" s="160"/>
      <c r="AE130" s="123"/>
      <c r="AF130" s="123"/>
      <c r="AH130" s="236"/>
      <c r="AI130" s="123"/>
      <c r="AJ130" s="123"/>
      <c r="AL130" s="123"/>
      <c r="AM130" s="160"/>
      <c r="AN130" s="160"/>
    </row>
    <row r="131" spans="3:40" x14ac:dyDescent="0.3">
      <c r="C131" s="42"/>
      <c r="H131" s="184"/>
      <c r="I131" s="184"/>
      <c r="J131" s="238"/>
      <c r="K131" s="238"/>
      <c r="L131" s="123"/>
      <c r="M131" s="123"/>
      <c r="N131" s="160"/>
      <c r="O131" s="160"/>
      <c r="P131" s="123"/>
      <c r="Q131" s="123"/>
      <c r="R131" s="123"/>
      <c r="V131" s="123"/>
      <c r="Y131" s="210"/>
      <c r="Z131" s="213"/>
      <c r="AA131" s="210"/>
      <c r="AB131" s="210"/>
      <c r="AC131" s="210"/>
      <c r="AD131" s="210"/>
      <c r="AE131" s="210"/>
      <c r="AF131" s="210"/>
      <c r="AI131" s="210"/>
      <c r="AJ131" s="210"/>
      <c r="AK131" s="214"/>
      <c r="AL131" s="210"/>
      <c r="AM131" s="160"/>
      <c r="AN131" s="160"/>
    </row>
    <row r="132" spans="3:40" x14ac:dyDescent="0.3">
      <c r="F132" s="123"/>
      <c r="H132" s="123"/>
      <c r="I132" s="123"/>
      <c r="J132" s="213"/>
      <c r="K132" s="213"/>
      <c r="L132" s="210"/>
      <c r="M132" s="210"/>
      <c r="N132" s="210"/>
      <c r="O132" s="210"/>
      <c r="P132" s="210"/>
      <c r="Q132" s="210"/>
      <c r="R132" s="210"/>
      <c r="T132" s="42"/>
      <c r="V132" s="123"/>
      <c r="Y132" s="123"/>
      <c r="Z132" s="213"/>
      <c r="AA132" s="123"/>
      <c r="AB132" s="123"/>
      <c r="AC132" s="123"/>
      <c r="AD132" s="123"/>
      <c r="AE132" s="123"/>
      <c r="AF132" s="123"/>
      <c r="AH132" s="236"/>
      <c r="AI132" s="123"/>
      <c r="AJ132" s="123"/>
      <c r="AL132" s="123"/>
      <c r="AM132" s="160"/>
      <c r="AN132" s="160"/>
    </row>
    <row r="133" spans="3:40" x14ac:dyDescent="0.3">
      <c r="C133" s="42"/>
      <c r="F133" s="123"/>
      <c r="H133" s="123"/>
      <c r="I133" s="123"/>
      <c r="J133" s="219"/>
      <c r="K133" s="219"/>
      <c r="L133" s="123"/>
      <c r="M133" s="123"/>
      <c r="N133" s="160"/>
      <c r="O133" s="160"/>
      <c r="P133" s="123"/>
      <c r="Q133" s="123"/>
      <c r="R133" s="123"/>
      <c r="T133" s="42"/>
      <c r="V133" s="123"/>
      <c r="Y133" s="123"/>
      <c r="Z133" s="238"/>
      <c r="AA133" s="123"/>
      <c r="AB133" s="123"/>
      <c r="AC133" s="160"/>
      <c r="AD133" s="160"/>
      <c r="AE133" s="123"/>
      <c r="AF133" s="123"/>
      <c r="AH133" s="236"/>
      <c r="AI133" s="123"/>
      <c r="AJ133" s="123"/>
      <c r="AL133" s="123"/>
      <c r="AM133" s="160"/>
      <c r="AN133" s="160"/>
    </row>
    <row r="134" spans="3:40" x14ac:dyDescent="0.3">
      <c r="F134" s="123"/>
      <c r="H134" s="123"/>
      <c r="I134" s="123"/>
      <c r="J134" s="213"/>
      <c r="K134" s="213"/>
      <c r="L134" s="210"/>
      <c r="M134" s="210"/>
      <c r="N134" s="210"/>
      <c r="O134" s="210"/>
      <c r="P134" s="210"/>
      <c r="Q134" s="210"/>
      <c r="R134" s="210"/>
      <c r="T134" s="42"/>
      <c r="Y134" s="123"/>
      <c r="Z134" s="238"/>
      <c r="AA134" s="123"/>
      <c r="AB134" s="123"/>
      <c r="AC134" s="160"/>
      <c r="AD134" s="160"/>
      <c r="AE134" s="123"/>
      <c r="AF134" s="123"/>
      <c r="AH134" s="236"/>
      <c r="AI134" s="123"/>
      <c r="AJ134" s="123"/>
      <c r="AL134" s="123"/>
      <c r="AM134" s="160"/>
      <c r="AN134" s="160"/>
    </row>
    <row r="135" spans="3:40" x14ac:dyDescent="0.3">
      <c r="C135" s="42"/>
      <c r="F135" s="123"/>
      <c r="H135" s="123"/>
      <c r="I135" s="123"/>
      <c r="J135" s="219"/>
      <c r="K135" s="219"/>
      <c r="L135" s="123"/>
      <c r="M135" s="123"/>
      <c r="N135" s="160"/>
      <c r="O135" s="160"/>
      <c r="P135" s="123"/>
      <c r="Q135" s="123"/>
      <c r="R135" s="123"/>
      <c r="V135" s="123"/>
      <c r="Y135" s="123"/>
      <c r="Z135" s="213"/>
      <c r="AA135" s="210"/>
      <c r="AB135" s="210"/>
      <c r="AC135" s="210"/>
      <c r="AD135" s="210"/>
      <c r="AE135" s="210"/>
      <c r="AF135" s="210"/>
      <c r="AI135" s="210"/>
      <c r="AJ135" s="210"/>
      <c r="AK135" s="214"/>
      <c r="AL135" s="210"/>
      <c r="AM135" s="160"/>
      <c r="AN135" s="160"/>
    </row>
    <row r="136" spans="3:40" x14ac:dyDescent="0.3">
      <c r="C136" s="42"/>
      <c r="F136" s="123"/>
      <c r="H136" s="184"/>
      <c r="I136" s="184"/>
      <c r="J136" s="227"/>
      <c r="K136" s="227"/>
      <c r="L136" s="123"/>
      <c r="M136" s="123"/>
      <c r="N136" s="160"/>
      <c r="O136" s="160"/>
      <c r="P136" s="123"/>
      <c r="Q136" s="123"/>
      <c r="R136" s="123"/>
      <c r="T136" s="42"/>
      <c r="V136" s="123"/>
      <c r="Y136" s="123"/>
      <c r="Z136" s="219"/>
      <c r="AA136" s="123"/>
      <c r="AB136" s="123"/>
      <c r="AC136" s="160"/>
      <c r="AD136" s="160"/>
      <c r="AE136" s="123"/>
      <c r="AF136" s="123"/>
      <c r="AH136" s="236"/>
      <c r="AI136" s="123"/>
      <c r="AJ136" s="123"/>
      <c r="AL136" s="123"/>
      <c r="AM136" s="160"/>
      <c r="AN136" s="160"/>
    </row>
    <row r="137" spans="3:40" x14ac:dyDescent="0.3">
      <c r="F137" s="210"/>
      <c r="H137" s="210"/>
      <c r="I137" s="210"/>
      <c r="J137" s="213"/>
      <c r="K137" s="213"/>
      <c r="L137" s="210"/>
      <c r="M137" s="210"/>
      <c r="N137" s="210"/>
      <c r="O137" s="210"/>
      <c r="P137" s="210"/>
      <c r="Q137" s="210"/>
      <c r="R137" s="210"/>
      <c r="V137" s="123"/>
      <c r="Y137" s="123"/>
      <c r="Z137" s="213"/>
      <c r="AA137" s="210"/>
      <c r="AB137" s="210"/>
      <c r="AC137" s="210"/>
      <c r="AD137" s="210"/>
      <c r="AE137" s="210"/>
      <c r="AF137" s="210"/>
      <c r="AI137" s="210"/>
      <c r="AJ137" s="210"/>
      <c r="AK137" s="214"/>
      <c r="AL137" s="210"/>
      <c r="AM137" s="160"/>
      <c r="AN137" s="160"/>
    </row>
    <row r="138" spans="3:40" x14ac:dyDescent="0.3">
      <c r="C138" s="42"/>
      <c r="F138" s="123"/>
      <c r="H138" s="123"/>
      <c r="I138" s="123"/>
      <c r="J138" s="213"/>
      <c r="K138" s="213"/>
      <c r="L138" s="123"/>
      <c r="M138" s="123"/>
      <c r="N138" s="160"/>
      <c r="O138" s="160"/>
      <c r="P138" s="123"/>
      <c r="Q138" s="123"/>
      <c r="R138" s="123"/>
      <c r="S138" s="123"/>
      <c r="T138" s="42"/>
      <c r="V138" s="123"/>
      <c r="Y138" s="123"/>
      <c r="Z138" s="219"/>
      <c r="AA138" s="123"/>
      <c r="AB138" s="123"/>
      <c r="AC138" s="160"/>
      <c r="AD138" s="160"/>
      <c r="AE138" s="123"/>
      <c r="AF138" s="123"/>
      <c r="AH138" s="236"/>
      <c r="AI138" s="123"/>
      <c r="AJ138" s="123"/>
      <c r="AL138" s="123"/>
      <c r="AM138" s="160"/>
      <c r="AN138" s="160"/>
    </row>
    <row r="139" spans="3:40" x14ac:dyDescent="0.3">
      <c r="F139" s="210"/>
      <c r="H139" s="210"/>
      <c r="I139" s="210"/>
      <c r="J139" s="213"/>
      <c r="K139" s="213"/>
      <c r="L139" s="210"/>
      <c r="M139" s="210"/>
      <c r="N139" s="210"/>
      <c r="O139" s="210"/>
      <c r="P139" s="210"/>
      <c r="Q139" s="210"/>
      <c r="R139" s="210"/>
      <c r="S139" s="123"/>
      <c r="T139" s="42"/>
      <c r="V139" s="184"/>
      <c r="Y139" s="123"/>
      <c r="Z139" s="227"/>
      <c r="AA139" s="123"/>
      <c r="AB139" s="123"/>
      <c r="AC139" s="160"/>
      <c r="AD139" s="160"/>
      <c r="AE139" s="123"/>
      <c r="AF139" s="123"/>
      <c r="AH139" s="236"/>
      <c r="AI139" s="123"/>
      <c r="AJ139" s="123"/>
      <c r="AL139" s="123"/>
      <c r="AM139" s="160"/>
      <c r="AN139" s="160"/>
    </row>
    <row r="140" spans="3:40" x14ac:dyDescent="0.3">
      <c r="C140" s="42"/>
      <c r="F140" s="184"/>
      <c r="H140" s="239"/>
      <c r="I140" s="239"/>
      <c r="J140" s="213"/>
      <c r="K140" s="213"/>
      <c r="L140" s="123"/>
      <c r="M140" s="123"/>
      <c r="N140" s="160"/>
      <c r="O140" s="160"/>
      <c r="P140" s="123"/>
      <c r="Q140" s="123"/>
      <c r="R140" s="123"/>
      <c r="S140" s="123"/>
      <c r="V140" s="210"/>
      <c r="Y140" s="210"/>
      <c r="Z140" s="213"/>
      <c r="AA140" s="210"/>
      <c r="AB140" s="210"/>
      <c r="AC140" s="210"/>
      <c r="AD140" s="210"/>
      <c r="AE140" s="210"/>
      <c r="AF140" s="210"/>
      <c r="AI140" s="210"/>
      <c r="AJ140" s="210"/>
      <c r="AK140" s="214"/>
      <c r="AL140" s="210"/>
      <c r="AM140" s="160"/>
      <c r="AN140" s="160"/>
    </row>
    <row r="141" spans="3:40" x14ac:dyDescent="0.3">
      <c r="T141" s="42"/>
      <c r="V141" s="123"/>
      <c r="Y141" s="123"/>
      <c r="Z141" s="213"/>
      <c r="AA141" s="123"/>
      <c r="AB141" s="123"/>
      <c r="AC141" s="160"/>
      <c r="AD141" s="160"/>
      <c r="AE141" s="123"/>
      <c r="AF141" s="123"/>
      <c r="AH141" s="160"/>
      <c r="AI141" s="123"/>
      <c r="AJ141" s="123"/>
      <c r="AL141" s="123"/>
      <c r="AM141" s="160"/>
      <c r="AN141" s="160"/>
    </row>
    <row r="142" spans="3:40" x14ac:dyDescent="0.3">
      <c r="C142" s="42"/>
      <c r="V142" s="210"/>
      <c r="Y142" s="210"/>
      <c r="Z142" s="213"/>
      <c r="AA142" s="210"/>
      <c r="AB142" s="210"/>
      <c r="AC142" s="210"/>
      <c r="AD142" s="210"/>
      <c r="AE142" s="210"/>
      <c r="AF142" s="210"/>
      <c r="AI142" s="210"/>
      <c r="AJ142" s="210"/>
      <c r="AK142" s="214"/>
      <c r="AL142" s="210"/>
      <c r="AM142" s="160"/>
      <c r="AN142" s="160"/>
    </row>
    <row r="143" spans="3:40" x14ac:dyDescent="0.3">
      <c r="C143" s="42"/>
      <c r="F143" s="184"/>
      <c r="H143" s="184"/>
      <c r="I143" s="184"/>
      <c r="J143" s="193"/>
      <c r="K143" s="193"/>
      <c r="L143" s="123"/>
      <c r="M143" s="123"/>
      <c r="N143" s="160"/>
      <c r="O143" s="160"/>
      <c r="R143" s="123"/>
      <c r="T143" s="42"/>
      <c r="V143" s="184"/>
      <c r="Y143" s="184"/>
      <c r="Z143" s="213"/>
      <c r="AA143" s="123"/>
      <c r="AB143" s="123"/>
      <c r="AC143" s="160"/>
      <c r="AD143" s="160"/>
      <c r="AE143" s="123"/>
      <c r="AF143" s="123"/>
      <c r="AI143" s="123"/>
      <c r="AJ143" s="123"/>
      <c r="AL143" s="123"/>
      <c r="AM143" s="160"/>
      <c r="AN143" s="160"/>
    </row>
    <row r="144" spans="3:40" x14ac:dyDescent="0.3">
      <c r="C144" s="42"/>
      <c r="F144" s="184"/>
      <c r="H144" s="184"/>
      <c r="I144" s="184"/>
      <c r="J144" s="193"/>
      <c r="K144" s="193"/>
      <c r="L144" s="123"/>
      <c r="M144" s="123"/>
      <c r="N144" s="160"/>
      <c r="O144" s="160"/>
      <c r="R144" s="123"/>
    </row>
    <row r="145" spans="3:40" x14ac:dyDescent="0.3">
      <c r="C145" s="42"/>
      <c r="F145" s="184"/>
      <c r="H145" s="184"/>
      <c r="I145" s="184"/>
      <c r="J145" s="193"/>
      <c r="K145" s="193"/>
      <c r="L145" s="123"/>
      <c r="M145" s="123"/>
      <c r="N145" s="160"/>
      <c r="O145" s="160"/>
      <c r="R145" s="123"/>
      <c r="T145" s="42"/>
    </row>
    <row r="146" spans="3:40" x14ac:dyDescent="0.3">
      <c r="F146" s="210"/>
      <c r="H146" s="123"/>
      <c r="I146" s="123"/>
      <c r="J146" s="213"/>
      <c r="K146" s="213"/>
      <c r="L146" s="210"/>
      <c r="M146" s="210"/>
      <c r="N146" s="210"/>
      <c r="O146" s="210"/>
      <c r="P146" s="210"/>
      <c r="Q146" s="210"/>
      <c r="R146" s="210"/>
      <c r="T146" s="42"/>
      <c r="V146" s="123"/>
      <c r="Y146" s="184"/>
      <c r="Z146" s="193"/>
      <c r="AA146" s="123"/>
      <c r="AB146" s="123"/>
      <c r="AC146" s="160"/>
      <c r="AD146" s="160"/>
      <c r="AE146" s="123"/>
      <c r="AF146" s="123"/>
      <c r="AG146" s="233"/>
      <c r="AH146" s="234"/>
      <c r="AL146" s="123"/>
      <c r="AM146" s="235"/>
      <c r="AN146" s="235"/>
    </row>
    <row r="147" spans="3:40" x14ac:dyDescent="0.3">
      <c r="C147" s="42"/>
      <c r="F147" s="123"/>
      <c r="H147" s="123"/>
      <c r="I147" s="123"/>
      <c r="J147" s="213"/>
      <c r="K147" s="213"/>
      <c r="L147" s="123"/>
      <c r="M147" s="123"/>
      <c r="N147" s="160"/>
      <c r="O147" s="160"/>
      <c r="P147" s="123"/>
      <c r="Q147" s="123"/>
      <c r="R147" s="123"/>
      <c r="T147" s="42"/>
      <c r="V147" s="123"/>
      <c r="Y147" s="184"/>
      <c r="Z147" s="193"/>
      <c r="AA147" s="123"/>
      <c r="AB147" s="123"/>
      <c r="AC147" s="160"/>
      <c r="AD147" s="160"/>
      <c r="AE147" s="123"/>
      <c r="AF147" s="123"/>
      <c r="AH147" s="236"/>
      <c r="AL147" s="123"/>
      <c r="AM147" s="160"/>
      <c r="AN147" s="160"/>
    </row>
    <row r="148" spans="3:40" x14ac:dyDescent="0.3">
      <c r="F148" s="210"/>
      <c r="H148" s="123"/>
      <c r="I148" s="123"/>
      <c r="J148" s="213"/>
      <c r="K148" s="213"/>
      <c r="L148" s="210"/>
      <c r="M148" s="210"/>
      <c r="N148" s="210"/>
      <c r="O148" s="210"/>
      <c r="P148" s="210"/>
      <c r="Q148" s="210"/>
      <c r="R148" s="210"/>
      <c r="T148" s="42"/>
      <c r="V148" s="123"/>
      <c r="Y148" s="184"/>
      <c r="Z148" s="193"/>
      <c r="AA148" s="123"/>
      <c r="AB148" s="123"/>
      <c r="AC148" s="160"/>
      <c r="AD148" s="160"/>
      <c r="AE148" s="123"/>
      <c r="AF148" s="123"/>
      <c r="AH148" s="236"/>
      <c r="AL148" s="123"/>
      <c r="AM148" s="160"/>
      <c r="AN148" s="160"/>
    </row>
    <row r="149" spans="3:40" x14ac:dyDescent="0.3">
      <c r="C149" s="42"/>
      <c r="F149" s="184"/>
      <c r="H149" s="184"/>
      <c r="I149" s="184"/>
      <c r="J149" s="237"/>
      <c r="K149" s="237"/>
      <c r="L149" s="123"/>
      <c r="M149" s="123"/>
      <c r="N149" s="160"/>
      <c r="O149" s="160"/>
      <c r="P149" s="123"/>
      <c r="Q149" s="123"/>
      <c r="R149" s="123"/>
      <c r="S149" s="123"/>
      <c r="V149" s="210"/>
      <c r="Y149" s="123"/>
      <c r="Z149" s="213"/>
      <c r="AA149" s="210"/>
      <c r="AB149" s="210"/>
      <c r="AC149" s="210"/>
      <c r="AD149" s="210"/>
      <c r="AE149" s="210"/>
      <c r="AF149" s="210"/>
      <c r="AI149" s="210"/>
      <c r="AJ149" s="210"/>
      <c r="AK149" s="214"/>
      <c r="AL149" s="210"/>
      <c r="AM149" s="160"/>
      <c r="AN149" s="160"/>
    </row>
    <row r="150" spans="3:40" x14ac:dyDescent="0.3">
      <c r="C150" s="42"/>
      <c r="F150" s="184"/>
      <c r="H150" s="184"/>
      <c r="I150" s="184"/>
      <c r="J150" s="193"/>
      <c r="K150" s="193"/>
      <c r="L150" s="123"/>
      <c r="M150" s="123"/>
      <c r="N150" s="160"/>
      <c r="O150" s="160"/>
      <c r="P150" s="123"/>
      <c r="Q150" s="123"/>
      <c r="R150" s="123"/>
      <c r="T150" s="42"/>
      <c r="V150" s="123"/>
      <c r="Y150" s="123"/>
      <c r="Z150" s="213"/>
      <c r="AA150" s="123"/>
      <c r="AB150" s="123"/>
      <c r="AC150" s="160"/>
      <c r="AD150" s="160"/>
      <c r="AE150" s="123"/>
      <c r="AF150" s="123"/>
      <c r="AH150" s="236"/>
      <c r="AI150" s="123"/>
      <c r="AJ150" s="123"/>
      <c r="AL150" s="123"/>
      <c r="AM150" s="160"/>
      <c r="AN150" s="160"/>
    </row>
    <row r="151" spans="3:40" x14ac:dyDescent="0.3">
      <c r="C151" s="42"/>
      <c r="F151" s="184"/>
      <c r="H151" s="184"/>
      <c r="I151" s="184"/>
      <c r="J151" s="193"/>
      <c r="K151" s="193"/>
      <c r="L151" s="123"/>
      <c r="M151" s="123"/>
      <c r="N151" s="160"/>
      <c r="O151" s="160"/>
      <c r="P151" s="123"/>
      <c r="Q151" s="123"/>
      <c r="R151" s="123"/>
      <c r="V151" s="210"/>
      <c r="Y151" s="123"/>
      <c r="Z151" s="213"/>
      <c r="AA151" s="210"/>
      <c r="AB151" s="210"/>
      <c r="AC151" s="210"/>
      <c r="AD151" s="210"/>
      <c r="AE151" s="210"/>
      <c r="AF151" s="210"/>
      <c r="AI151" s="210"/>
      <c r="AJ151" s="210"/>
      <c r="AK151" s="214"/>
      <c r="AL151" s="210"/>
      <c r="AM151" s="160"/>
      <c r="AN151" s="160"/>
    </row>
    <row r="152" spans="3:40" x14ac:dyDescent="0.3">
      <c r="F152" s="123"/>
      <c r="H152" s="210"/>
      <c r="I152" s="210"/>
      <c r="J152" s="213"/>
      <c r="K152" s="213"/>
      <c r="L152" s="210"/>
      <c r="M152" s="210"/>
      <c r="N152" s="210"/>
      <c r="O152" s="210"/>
      <c r="P152" s="210"/>
      <c r="Q152" s="210"/>
      <c r="R152" s="210"/>
      <c r="T152" s="42"/>
      <c r="V152" s="184"/>
      <c r="Y152" s="184"/>
      <c r="Z152" s="237"/>
      <c r="AA152" s="123"/>
      <c r="AB152" s="123"/>
      <c r="AC152" s="160"/>
      <c r="AD152" s="160"/>
      <c r="AE152" s="123"/>
      <c r="AF152" s="123"/>
      <c r="AH152" s="160"/>
      <c r="AI152" s="123"/>
      <c r="AJ152" s="123"/>
      <c r="AL152" s="123"/>
      <c r="AM152" s="160"/>
      <c r="AN152" s="160"/>
    </row>
    <row r="153" spans="3:40" x14ac:dyDescent="0.3">
      <c r="C153" s="42"/>
      <c r="F153" s="123"/>
      <c r="H153" s="123"/>
      <c r="I153" s="123"/>
      <c r="J153" s="213"/>
      <c r="K153" s="213"/>
      <c r="L153" s="123"/>
      <c r="M153" s="123"/>
      <c r="N153" s="160"/>
      <c r="O153" s="160"/>
      <c r="P153" s="123"/>
      <c r="Q153" s="123"/>
      <c r="R153" s="123"/>
      <c r="T153" s="42"/>
      <c r="V153" s="184"/>
      <c r="Y153" s="123"/>
      <c r="Z153" s="193"/>
      <c r="AA153" s="123"/>
      <c r="AB153" s="123"/>
      <c r="AC153" s="160"/>
      <c r="AD153" s="160"/>
      <c r="AE153" s="123"/>
      <c r="AF153" s="123"/>
      <c r="AH153" s="236"/>
      <c r="AI153" s="123"/>
      <c r="AJ153" s="123"/>
      <c r="AL153" s="123"/>
      <c r="AM153" s="160"/>
      <c r="AN153" s="160"/>
    </row>
    <row r="154" spans="3:40" x14ac:dyDescent="0.3">
      <c r="F154" s="123"/>
      <c r="H154" s="210"/>
      <c r="I154" s="210"/>
      <c r="J154" s="213"/>
      <c r="K154" s="213"/>
      <c r="L154" s="210"/>
      <c r="M154" s="210"/>
      <c r="N154" s="210"/>
      <c r="O154" s="210"/>
      <c r="P154" s="210"/>
      <c r="Q154" s="210"/>
      <c r="R154" s="210"/>
      <c r="T154" s="42"/>
      <c r="V154" s="184"/>
      <c r="Y154" s="123"/>
      <c r="Z154" s="193"/>
      <c r="AA154" s="123"/>
      <c r="AB154" s="123"/>
      <c r="AC154" s="160"/>
      <c r="AD154" s="160"/>
      <c r="AE154" s="123"/>
      <c r="AF154" s="123"/>
      <c r="AH154" s="236"/>
      <c r="AI154" s="123"/>
      <c r="AJ154" s="123"/>
      <c r="AL154" s="123"/>
      <c r="AM154" s="160"/>
      <c r="AN154" s="160"/>
    </row>
    <row r="155" spans="3:40" x14ac:dyDescent="0.3">
      <c r="C155" s="42"/>
      <c r="F155" s="123"/>
      <c r="H155" s="123"/>
      <c r="I155" s="123"/>
      <c r="J155" s="213"/>
      <c r="K155" s="213"/>
      <c r="L155" s="123"/>
      <c r="M155" s="123"/>
      <c r="N155" s="123"/>
      <c r="O155" s="123"/>
      <c r="P155" s="123"/>
      <c r="Q155" s="123"/>
      <c r="R155" s="123"/>
      <c r="V155" s="123"/>
      <c r="Y155" s="210"/>
      <c r="Z155" s="213"/>
      <c r="AA155" s="210"/>
      <c r="AB155" s="210"/>
      <c r="AC155" s="210"/>
      <c r="AD155" s="210"/>
      <c r="AE155" s="210"/>
      <c r="AF155" s="210"/>
      <c r="AI155" s="210"/>
      <c r="AJ155" s="210"/>
      <c r="AK155" s="214"/>
      <c r="AL155" s="210"/>
      <c r="AM155" s="160"/>
      <c r="AN155" s="160"/>
    </row>
    <row r="156" spans="3:40" x14ac:dyDescent="0.3">
      <c r="C156" s="42"/>
      <c r="F156" s="123"/>
      <c r="H156" s="184"/>
      <c r="I156" s="184"/>
      <c r="J156" s="238"/>
      <c r="K156" s="238"/>
      <c r="L156" s="123"/>
      <c r="M156" s="123"/>
      <c r="N156" s="160"/>
      <c r="O156" s="160"/>
      <c r="P156" s="123"/>
      <c r="Q156" s="123"/>
      <c r="R156" s="123"/>
      <c r="T156" s="42"/>
      <c r="V156" s="123"/>
      <c r="Y156" s="123"/>
      <c r="Z156" s="213"/>
      <c r="AA156" s="123"/>
      <c r="AB156" s="123"/>
      <c r="AC156" s="160"/>
      <c r="AD156" s="160"/>
      <c r="AE156" s="123"/>
      <c r="AF156" s="123"/>
      <c r="AH156" s="236"/>
      <c r="AI156" s="123"/>
      <c r="AJ156" s="123"/>
      <c r="AL156" s="123"/>
      <c r="AM156" s="160"/>
      <c r="AN156" s="160"/>
    </row>
    <row r="157" spans="3:40" x14ac:dyDescent="0.3">
      <c r="C157" s="42"/>
      <c r="H157" s="184"/>
      <c r="I157" s="184"/>
      <c r="J157" s="238"/>
      <c r="K157" s="238"/>
      <c r="L157" s="123"/>
      <c r="M157" s="123"/>
      <c r="N157" s="160"/>
      <c r="O157" s="160"/>
      <c r="P157" s="123"/>
      <c r="Q157" s="123"/>
      <c r="R157" s="123"/>
      <c r="V157" s="123"/>
      <c r="Y157" s="210"/>
      <c r="Z157" s="213"/>
      <c r="AA157" s="210"/>
      <c r="AB157" s="210"/>
      <c r="AC157" s="210"/>
      <c r="AD157" s="210"/>
      <c r="AE157" s="210"/>
      <c r="AF157" s="210"/>
      <c r="AI157" s="210"/>
      <c r="AJ157" s="210"/>
      <c r="AK157" s="214"/>
      <c r="AL157" s="210"/>
      <c r="AM157" s="160"/>
      <c r="AN157" s="160"/>
    </row>
    <row r="158" spans="3:40" x14ac:dyDescent="0.3">
      <c r="F158" s="123"/>
      <c r="H158" s="123"/>
      <c r="I158" s="123"/>
      <c r="J158" s="213"/>
      <c r="K158" s="213"/>
      <c r="L158" s="210"/>
      <c r="M158" s="210"/>
      <c r="N158" s="210"/>
      <c r="O158" s="210"/>
      <c r="P158" s="210"/>
      <c r="Q158" s="210"/>
      <c r="R158" s="210"/>
      <c r="T158" s="42"/>
      <c r="V158" s="123"/>
      <c r="Y158" s="123"/>
      <c r="Z158" s="213"/>
      <c r="AA158" s="123"/>
      <c r="AB158" s="123"/>
      <c r="AC158" s="123"/>
      <c r="AD158" s="123"/>
      <c r="AE158" s="123"/>
      <c r="AF158" s="123"/>
      <c r="AH158" s="236"/>
      <c r="AI158" s="123"/>
      <c r="AJ158" s="123"/>
      <c r="AL158" s="123"/>
      <c r="AM158" s="160"/>
      <c r="AN158" s="160"/>
    </row>
    <row r="159" spans="3:40" x14ac:dyDescent="0.3">
      <c r="C159" s="42"/>
      <c r="F159" s="123"/>
      <c r="H159" s="123"/>
      <c r="I159" s="123"/>
      <c r="J159" s="219"/>
      <c r="K159" s="219"/>
      <c r="L159" s="123"/>
      <c r="M159" s="123"/>
      <c r="N159" s="160"/>
      <c r="O159" s="160"/>
      <c r="P159" s="123"/>
      <c r="Q159" s="123"/>
      <c r="R159" s="123"/>
      <c r="T159" s="42"/>
      <c r="V159" s="123"/>
      <c r="Y159" s="123"/>
      <c r="Z159" s="238"/>
      <c r="AA159" s="123"/>
      <c r="AB159" s="123"/>
      <c r="AC159" s="160"/>
      <c r="AD159" s="160"/>
      <c r="AE159" s="123"/>
      <c r="AF159" s="123"/>
      <c r="AH159" s="236"/>
      <c r="AI159" s="123"/>
      <c r="AJ159" s="123"/>
      <c r="AL159" s="123"/>
      <c r="AM159" s="160"/>
      <c r="AN159" s="160"/>
    </row>
    <row r="160" spans="3:40" x14ac:dyDescent="0.3">
      <c r="F160" s="123"/>
      <c r="H160" s="123"/>
      <c r="I160" s="123"/>
      <c r="J160" s="213"/>
      <c r="K160" s="213"/>
      <c r="L160" s="210"/>
      <c r="M160" s="210"/>
      <c r="N160" s="210"/>
      <c r="O160" s="210"/>
      <c r="P160" s="210"/>
      <c r="Q160" s="210"/>
      <c r="R160" s="210"/>
      <c r="T160" s="42"/>
      <c r="Y160" s="123"/>
      <c r="Z160" s="238"/>
      <c r="AA160" s="123"/>
      <c r="AB160" s="123"/>
      <c r="AC160" s="160"/>
      <c r="AD160" s="160"/>
      <c r="AE160" s="123"/>
      <c r="AF160" s="123"/>
      <c r="AH160" s="236"/>
      <c r="AI160" s="123"/>
      <c r="AJ160" s="123"/>
      <c r="AL160" s="123"/>
      <c r="AM160" s="160"/>
      <c r="AN160" s="160"/>
    </row>
    <row r="161" spans="1:40" x14ac:dyDescent="0.3">
      <c r="C161" s="42"/>
      <c r="F161" s="123"/>
      <c r="H161" s="123"/>
      <c r="I161" s="123"/>
      <c r="J161" s="219"/>
      <c r="K161" s="219"/>
      <c r="L161" s="123"/>
      <c r="M161" s="123"/>
      <c r="N161" s="160"/>
      <c r="O161" s="160"/>
      <c r="P161" s="123"/>
      <c r="Q161" s="123"/>
      <c r="R161" s="123"/>
      <c r="V161" s="123"/>
      <c r="Y161" s="123"/>
      <c r="Z161" s="213"/>
      <c r="AA161" s="210"/>
      <c r="AB161" s="210"/>
      <c r="AC161" s="210"/>
      <c r="AD161" s="210"/>
      <c r="AE161" s="210"/>
      <c r="AF161" s="210"/>
      <c r="AI161" s="210"/>
      <c r="AJ161" s="210"/>
      <c r="AK161" s="214"/>
      <c r="AL161" s="210"/>
      <c r="AM161" s="160"/>
      <c r="AN161" s="160"/>
    </row>
    <row r="162" spans="1:40" x14ac:dyDescent="0.3">
      <c r="C162" s="42"/>
      <c r="F162" s="184"/>
      <c r="H162" s="184"/>
      <c r="I162" s="184"/>
      <c r="J162" s="227"/>
      <c r="K162" s="227"/>
      <c r="L162" s="123"/>
      <c r="M162" s="123"/>
      <c r="N162" s="160"/>
      <c r="O162" s="160"/>
      <c r="P162" s="123"/>
      <c r="Q162" s="123"/>
      <c r="R162" s="123"/>
      <c r="T162" s="42"/>
      <c r="V162" s="123"/>
      <c r="Y162" s="123"/>
      <c r="Z162" s="219"/>
      <c r="AA162" s="123"/>
      <c r="AB162" s="123"/>
      <c r="AC162" s="160"/>
      <c r="AD162" s="160"/>
      <c r="AE162" s="123"/>
      <c r="AF162" s="123"/>
      <c r="AH162" s="236"/>
      <c r="AI162" s="123"/>
      <c r="AJ162" s="123"/>
      <c r="AL162" s="123"/>
      <c r="AM162" s="160"/>
      <c r="AN162" s="160"/>
    </row>
    <row r="163" spans="1:40" x14ac:dyDescent="0.3">
      <c r="F163" s="210"/>
      <c r="H163" s="210"/>
      <c r="I163" s="210"/>
      <c r="J163" s="213"/>
      <c r="K163" s="213"/>
      <c r="L163" s="210"/>
      <c r="M163" s="210"/>
      <c r="N163" s="210"/>
      <c r="O163" s="210"/>
      <c r="P163" s="210"/>
      <c r="Q163" s="210"/>
      <c r="R163" s="210"/>
      <c r="V163" s="123"/>
      <c r="Y163" s="123"/>
      <c r="Z163" s="213"/>
      <c r="AA163" s="210"/>
      <c r="AB163" s="210"/>
      <c r="AC163" s="210"/>
      <c r="AD163" s="210"/>
      <c r="AE163" s="210"/>
      <c r="AF163" s="210"/>
      <c r="AI163" s="210"/>
      <c r="AJ163" s="210"/>
      <c r="AK163" s="214"/>
      <c r="AL163" s="210"/>
      <c r="AM163" s="160"/>
      <c r="AN163" s="160"/>
    </row>
    <row r="164" spans="1:40" x14ac:dyDescent="0.3">
      <c r="C164" s="42"/>
      <c r="F164" s="123"/>
      <c r="H164" s="123"/>
      <c r="I164" s="123"/>
      <c r="J164" s="213"/>
      <c r="K164" s="213"/>
      <c r="L164" s="123"/>
      <c r="M164" s="123"/>
      <c r="N164" s="160"/>
      <c r="O164" s="160"/>
      <c r="P164" s="123"/>
      <c r="Q164" s="123"/>
      <c r="R164" s="123"/>
      <c r="S164" s="123"/>
      <c r="T164" s="42"/>
      <c r="V164" s="123"/>
      <c r="Y164" s="123"/>
      <c r="Z164" s="219"/>
      <c r="AA164" s="123"/>
      <c r="AB164" s="123"/>
      <c r="AC164" s="160"/>
      <c r="AD164" s="160"/>
      <c r="AE164" s="123"/>
      <c r="AF164" s="123"/>
      <c r="AH164" s="236"/>
      <c r="AI164" s="123"/>
      <c r="AJ164" s="123"/>
      <c r="AL164" s="123"/>
      <c r="AM164" s="160"/>
      <c r="AN164" s="160"/>
    </row>
    <row r="165" spans="1:40" x14ac:dyDescent="0.3">
      <c r="F165" s="210"/>
      <c r="H165" s="210"/>
      <c r="I165" s="210"/>
      <c r="J165" s="213"/>
      <c r="K165" s="213"/>
      <c r="L165" s="210"/>
      <c r="M165" s="210"/>
      <c r="N165" s="210"/>
      <c r="O165" s="210"/>
      <c r="P165" s="210"/>
      <c r="Q165" s="210"/>
      <c r="R165" s="210"/>
      <c r="S165" s="123"/>
      <c r="T165" s="42"/>
      <c r="V165" s="184"/>
      <c r="Y165" s="123"/>
      <c r="Z165" s="227"/>
      <c r="AA165" s="123"/>
      <c r="AB165" s="123"/>
      <c r="AC165" s="160"/>
      <c r="AD165" s="160"/>
      <c r="AE165" s="123"/>
      <c r="AF165" s="123"/>
      <c r="AH165" s="236"/>
      <c r="AI165" s="123"/>
      <c r="AJ165" s="123"/>
      <c r="AL165" s="123"/>
      <c r="AM165" s="160"/>
      <c r="AN165" s="160"/>
    </row>
    <row r="166" spans="1:40" x14ac:dyDescent="0.3">
      <c r="C166" s="42"/>
      <c r="V166" s="210"/>
      <c r="Y166" s="210"/>
      <c r="Z166" s="213"/>
      <c r="AA166" s="210"/>
      <c r="AB166" s="210"/>
      <c r="AC166" s="210"/>
      <c r="AD166" s="210"/>
      <c r="AE166" s="210"/>
      <c r="AF166" s="210"/>
      <c r="AI166" s="210"/>
      <c r="AJ166" s="210"/>
      <c r="AK166" s="214"/>
      <c r="AL166" s="210"/>
      <c r="AM166" s="160"/>
      <c r="AN166" s="160"/>
    </row>
    <row r="167" spans="1:40" x14ac:dyDescent="0.3">
      <c r="C167" s="42"/>
      <c r="F167" s="123"/>
      <c r="H167" s="123"/>
      <c r="I167" s="123"/>
      <c r="L167" s="123"/>
      <c r="M167" s="123"/>
      <c r="N167" s="160"/>
      <c r="O167" s="160"/>
      <c r="P167" s="184"/>
      <c r="Q167" s="184"/>
      <c r="R167" s="123"/>
      <c r="T167" s="42"/>
      <c r="V167" s="123"/>
      <c r="Y167" s="123"/>
      <c r="Z167" s="213"/>
      <c r="AA167" s="123"/>
      <c r="AB167" s="123"/>
      <c r="AC167" s="160"/>
      <c r="AD167" s="160"/>
      <c r="AE167" s="123"/>
      <c r="AF167" s="123"/>
      <c r="AH167" s="160"/>
      <c r="AI167" s="123"/>
      <c r="AJ167" s="123"/>
      <c r="AL167" s="123"/>
      <c r="AM167" s="160"/>
      <c r="AN167" s="160"/>
    </row>
    <row r="168" spans="1:40" x14ac:dyDescent="0.3">
      <c r="F168" s="210"/>
      <c r="H168" s="210"/>
      <c r="I168" s="210"/>
      <c r="J168" s="213"/>
      <c r="K168" s="213"/>
      <c r="L168" s="210"/>
      <c r="M168" s="210"/>
      <c r="N168" s="210"/>
      <c r="O168" s="210"/>
      <c r="P168" s="210"/>
      <c r="Q168" s="210"/>
      <c r="R168" s="210"/>
      <c r="V168" s="210"/>
      <c r="Y168" s="210"/>
      <c r="Z168" s="213"/>
      <c r="AA168" s="210"/>
      <c r="AB168" s="210"/>
      <c r="AC168" s="210"/>
      <c r="AD168" s="210"/>
      <c r="AE168" s="210"/>
      <c r="AF168" s="210"/>
      <c r="AI168" s="210"/>
      <c r="AJ168" s="210"/>
      <c r="AK168" s="214"/>
      <c r="AL168" s="210"/>
      <c r="AM168" s="160"/>
      <c r="AN168" s="160"/>
    </row>
    <row r="169" spans="1:40" x14ac:dyDescent="0.3">
      <c r="T169" s="42"/>
    </row>
    <row r="170" spans="1:40" x14ac:dyDescent="0.3">
      <c r="C170" s="42"/>
      <c r="L170" s="123"/>
      <c r="M170" s="123"/>
      <c r="N170" s="123"/>
      <c r="O170" s="123"/>
      <c r="P170" s="123"/>
      <c r="Q170" s="123"/>
      <c r="R170" s="123"/>
      <c r="S170" s="123"/>
      <c r="T170" s="42"/>
      <c r="V170" s="123"/>
      <c r="Y170" s="123"/>
      <c r="AA170" s="123"/>
      <c r="AB170" s="123"/>
      <c r="AC170" s="160"/>
      <c r="AD170" s="160"/>
      <c r="AE170" s="123"/>
      <c r="AF170" s="123"/>
      <c r="AH170" s="160"/>
      <c r="AI170" s="184"/>
      <c r="AJ170" s="184"/>
      <c r="AL170" s="123"/>
      <c r="AM170" s="160"/>
      <c r="AN170" s="160"/>
    </row>
    <row r="171" spans="1:40" x14ac:dyDescent="0.3">
      <c r="A171" s="42"/>
      <c r="V171" s="210"/>
      <c r="Y171" s="210"/>
      <c r="Z171" s="213"/>
      <c r="AA171" s="210"/>
      <c r="AB171" s="210"/>
      <c r="AC171" s="210"/>
      <c r="AD171" s="210"/>
      <c r="AE171" s="210"/>
      <c r="AF171" s="210"/>
      <c r="AI171" s="210"/>
      <c r="AJ171" s="210"/>
      <c r="AK171" s="214"/>
      <c r="AL171" s="210"/>
    </row>
    <row r="173" spans="1:40" x14ac:dyDescent="0.3">
      <c r="H173" s="42"/>
      <c r="I173" s="42"/>
      <c r="T173" s="42"/>
      <c r="AA173" s="123"/>
      <c r="AB173" s="123"/>
      <c r="AC173" s="123"/>
      <c r="AD173" s="123"/>
      <c r="AI173" s="123"/>
      <c r="AJ173" s="123"/>
      <c r="AL173" s="123"/>
    </row>
    <row r="175" spans="1:40" x14ac:dyDescent="0.3">
      <c r="L175" s="42"/>
      <c r="M175" s="42"/>
    </row>
    <row r="176" spans="1:40" x14ac:dyDescent="0.3">
      <c r="R176" s="42"/>
      <c r="Y176" s="42"/>
    </row>
    <row r="177" spans="1:40" x14ac:dyDescent="0.3">
      <c r="R177" s="42"/>
    </row>
    <row r="178" spans="1:40" x14ac:dyDescent="0.3">
      <c r="A178" s="42"/>
      <c r="R178" s="42"/>
      <c r="AK178" s="206"/>
      <c r="AL178" s="42"/>
    </row>
    <row r="179" spans="1:40" x14ac:dyDescent="0.3">
      <c r="L179" s="42"/>
      <c r="M179" s="42"/>
      <c r="AA179" s="42"/>
      <c r="AB179" s="42"/>
    </row>
    <row r="180" spans="1:40" x14ac:dyDescent="0.3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207"/>
      <c r="AH180" s="135"/>
      <c r="AI180" s="135"/>
      <c r="AJ180" s="135"/>
      <c r="AK180" s="207"/>
      <c r="AL180" s="135"/>
      <c r="AM180" s="135"/>
      <c r="AN180" s="135"/>
    </row>
    <row r="181" spans="1:40" x14ac:dyDescent="0.3">
      <c r="L181" s="44"/>
      <c r="M181" s="44"/>
      <c r="N181" s="44"/>
      <c r="O181" s="44"/>
      <c r="R181" s="44"/>
      <c r="AA181" s="44"/>
      <c r="AB181" s="44"/>
      <c r="AC181" s="44"/>
      <c r="AD181" s="44"/>
      <c r="AE181" s="44"/>
      <c r="AF181" s="44"/>
      <c r="AG181" s="168"/>
      <c r="AH181" s="44"/>
      <c r="AK181" s="168"/>
      <c r="AL181" s="44"/>
      <c r="AM181" s="44"/>
      <c r="AN181" s="44"/>
    </row>
    <row r="182" spans="1:40" x14ac:dyDescent="0.3">
      <c r="L182" s="44"/>
      <c r="M182" s="44"/>
      <c r="N182" s="44"/>
      <c r="O182" s="44"/>
      <c r="R182" s="44"/>
      <c r="Z182" s="44"/>
      <c r="AA182" s="44"/>
      <c r="AB182" s="44"/>
      <c r="AC182" s="44"/>
      <c r="AD182" s="44"/>
      <c r="AE182" s="44"/>
      <c r="AF182" s="44"/>
      <c r="AG182" s="168"/>
      <c r="AH182" s="44"/>
      <c r="AK182" s="168"/>
      <c r="AL182" s="44"/>
      <c r="AM182" s="44"/>
      <c r="AN182" s="44"/>
    </row>
    <row r="183" spans="1:40" x14ac:dyDescent="0.3">
      <c r="A183" s="44"/>
      <c r="C183" s="44"/>
      <c r="D183" s="44"/>
      <c r="E183" s="44"/>
      <c r="F183" s="44"/>
      <c r="J183" s="44"/>
      <c r="K183" s="44"/>
      <c r="L183" s="44"/>
      <c r="M183" s="44"/>
      <c r="N183" s="44"/>
      <c r="O183" s="44"/>
      <c r="P183" s="44"/>
      <c r="Q183" s="44"/>
      <c r="R183" s="44"/>
      <c r="T183" s="44"/>
      <c r="U183" s="44"/>
      <c r="V183" s="44"/>
      <c r="Z183" s="44"/>
      <c r="AA183" s="44"/>
      <c r="AB183" s="44"/>
      <c r="AC183" s="44"/>
      <c r="AD183" s="44"/>
      <c r="AE183" s="44"/>
      <c r="AF183" s="44"/>
      <c r="AG183" s="168"/>
      <c r="AH183" s="44"/>
      <c r="AI183" s="44"/>
      <c r="AJ183" s="44"/>
      <c r="AK183" s="168"/>
      <c r="AL183" s="44"/>
      <c r="AM183" s="44"/>
      <c r="AN183" s="44"/>
    </row>
    <row r="184" spans="1:40" x14ac:dyDescent="0.3">
      <c r="A184" s="44"/>
      <c r="C184" s="44"/>
      <c r="D184" s="44"/>
      <c r="E184" s="44"/>
      <c r="F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T184" s="44"/>
      <c r="U184" s="44"/>
      <c r="V184" s="44"/>
      <c r="Y184" s="44"/>
      <c r="Z184" s="44"/>
      <c r="AA184" s="44"/>
      <c r="AB184" s="44"/>
      <c r="AC184" s="44"/>
      <c r="AD184" s="44"/>
      <c r="AE184" s="44"/>
      <c r="AF184" s="44"/>
      <c r="AG184" s="168"/>
      <c r="AH184" s="44"/>
      <c r="AI184" s="44"/>
      <c r="AJ184" s="44"/>
      <c r="AK184" s="168"/>
      <c r="AL184" s="44"/>
      <c r="AM184" s="44"/>
      <c r="AN184" s="44"/>
    </row>
    <row r="185" spans="1:40" x14ac:dyDescent="0.3">
      <c r="C185" s="44"/>
      <c r="D185" s="44"/>
      <c r="E185" s="44"/>
      <c r="F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T185" s="44"/>
      <c r="U185" s="44"/>
      <c r="V185" s="44"/>
      <c r="Y185" s="44"/>
      <c r="Z185" s="44"/>
      <c r="AA185" s="44"/>
      <c r="AB185" s="44"/>
      <c r="AC185" s="44"/>
      <c r="AD185" s="44"/>
      <c r="AE185" s="44"/>
      <c r="AF185" s="44"/>
      <c r="AG185" s="168"/>
      <c r="AH185" s="44"/>
      <c r="AI185" s="44"/>
      <c r="AJ185" s="44"/>
      <c r="AK185" s="168"/>
      <c r="AL185" s="44"/>
      <c r="AM185" s="44"/>
      <c r="AN185" s="44"/>
    </row>
    <row r="186" spans="1:40" x14ac:dyDescent="0.3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207"/>
      <c r="AH186" s="135"/>
      <c r="AI186" s="135"/>
      <c r="AJ186" s="135"/>
      <c r="AK186" s="207"/>
      <c r="AL186" s="135"/>
      <c r="AM186" s="135"/>
      <c r="AN186" s="135"/>
    </row>
    <row r="187" spans="1:40" x14ac:dyDescent="0.3"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Y187" s="44"/>
      <c r="Z187" s="44"/>
      <c r="AA187" s="44"/>
      <c r="AB187" s="44"/>
      <c r="AC187" s="44"/>
      <c r="AD187" s="44"/>
      <c r="AE187" s="44"/>
      <c r="AF187" s="44"/>
      <c r="AG187" s="168"/>
      <c r="AH187" s="44"/>
      <c r="AI187" s="44"/>
      <c r="AJ187" s="44"/>
      <c r="AK187" s="168"/>
      <c r="AL187" s="44"/>
      <c r="AM187" s="44"/>
      <c r="AN187" s="44"/>
    </row>
    <row r="188" spans="1:40" x14ac:dyDescent="0.3">
      <c r="C188" s="42"/>
      <c r="D188" s="42"/>
      <c r="E188" s="42"/>
      <c r="T188" s="42"/>
      <c r="U188" s="42"/>
    </row>
    <row r="189" spans="1:40" x14ac:dyDescent="0.3">
      <c r="D189" s="42"/>
      <c r="E189" s="42"/>
      <c r="U189" s="42"/>
    </row>
    <row r="191" spans="1:40" x14ac:dyDescent="0.3">
      <c r="C191" s="42"/>
      <c r="F191" s="184"/>
      <c r="H191" s="184"/>
      <c r="I191" s="184"/>
      <c r="J191" s="193"/>
      <c r="K191" s="193"/>
      <c r="L191" s="123"/>
      <c r="M191" s="123"/>
      <c r="N191" s="160"/>
      <c r="O191" s="160"/>
      <c r="R191" s="123"/>
      <c r="T191" s="42"/>
      <c r="V191" s="123"/>
      <c r="Y191" s="184"/>
      <c r="Z191" s="193"/>
      <c r="AA191" s="123"/>
      <c r="AB191" s="123"/>
      <c r="AC191" s="160"/>
      <c r="AD191" s="160"/>
      <c r="AE191" s="123"/>
      <c r="AF191" s="123"/>
      <c r="AG191" s="233"/>
      <c r="AH191" s="234"/>
      <c r="AL191" s="123"/>
      <c r="AM191" s="235"/>
      <c r="AN191" s="235"/>
    </row>
    <row r="192" spans="1:40" x14ac:dyDescent="0.3">
      <c r="C192" s="42"/>
      <c r="F192" s="184"/>
      <c r="H192" s="184"/>
      <c r="I192" s="184"/>
      <c r="J192" s="193"/>
      <c r="K192" s="193"/>
      <c r="L192" s="123"/>
      <c r="M192" s="123"/>
      <c r="N192" s="160"/>
      <c r="O192" s="160"/>
      <c r="R192" s="123"/>
      <c r="T192" s="42"/>
      <c r="V192" s="123"/>
      <c r="Y192" s="184"/>
      <c r="Z192" s="193"/>
      <c r="AA192" s="123"/>
      <c r="AB192" s="123"/>
      <c r="AC192" s="160"/>
      <c r="AD192" s="160"/>
      <c r="AE192" s="123"/>
      <c r="AF192" s="123"/>
      <c r="AH192" s="236"/>
      <c r="AL192" s="123"/>
      <c r="AM192" s="160"/>
      <c r="AN192" s="160"/>
    </row>
    <row r="193" spans="3:40" x14ac:dyDescent="0.3">
      <c r="F193" s="210"/>
      <c r="H193" s="123"/>
      <c r="I193" s="123"/>
      <c r="J193" s="213"/>
      <c r="K193" s="213"/>
      <c r="L193" s="210"/>
      <c r="M193" s="210"/>
      <c r="N193" s="210"/>
      <c r="O193" s="210"/>
      <c r="P193" s="210"/>
      <c r="Q193" s="210"/>
      <c r="R193" s="210"/>
      <c r="V193" s="210"/>
      <c r="Y193" s="123"/>
      <c r="Z193" s="213"/>
      <c r="AA193" s="210"/>
      <c r="AB193" s="210"/>
      <c r="AC193" s="210"/>
      <c r="AD193" s="210"/>
      <c r="AE193" s="210"/>
      <c r="AF193" s="210"/>
      <c r="AI193" s="210"/>
      <c r="AJ193" s="210"/>
      <c r="AK193" s="214"/>
      <c r="AL193" s="210"/>
      <c r="AM193" s="160"/>
      <c r="AN193" s="160"/>
    </row>
    <row r="194" spans="3:40" x14ac:dyDescent="0.3">
      <c r="C194" s="42"/>
      <c r="F194" s="123"/>
      <c r="H194" s="123"/>
      <c r="I194" s="123"/>
      <c r="J194" s="213"/>
      <c r="K194" s="213"/>
      <c r="L194" s="123"/>
      <c r="M194" s="123"/>
      <c r="N194" s="160"/>
      <c r="O194" s="160"/>
      <c r="P194" s="123"/>
      <c r="Q194" s="123"/>
      <c r="R194" s="123"/>
      <c r="T194" s="42"/>
      <c r="V194" s="123"/>
      <c r="Y194" s="123"/>
      <c r="Z194" s="219"/>
      <c r="AA194" s="123"/>
      <c r="AB194" s="123"/>
      <c r="AC194" s="160"/>
      <c r="AD194" s="160"/>
      <c r="AE194" s="123"/>
      <c r="AF194" s="123"/>
      <c r="AH194" s="236"/>
      <c r="AI194" s="123"/>
      <c r="AJ194" s="123"/>
      <c r="AL194" s="123"/>
      <c r="AM194" s="160"/>
      <c r="AN194" s="160"/>
    </row>
    <row r="195" spans="3:40" x14ac:dyDescent="0.3">
      <c r="F195" s="210"/>
      <c r="H195" s="123"/>
      <c r="I195" s="123"/>
      <c r="J195" s="213"/>
      <c r="K195" s="213"/>
      <c r="L195" s="210"/>
      <c r="M195" s="210"/>
      <c r="N195" s="210"/>
      <c r="O195" s="210"/>
      <c r="P195" s="210"/>
      <c r="Q195" s="210"/>
      <c r="R195" s="210"/>
      <c r="V195" s="210"/>
      <c r="Y195" s="123"/>
      <c r="Z195" s="213"/>
      <c r="AA195" s="210"/>
      <c r="AB195" s="210"/>
      <c r="AC195" s="210"/>
      <c r="AD195" s="210"/>
      <c r="AE195" s="210"/>
      <c r="AF195" s="210"/>
      <c r="AI195" s="210"/>
      <c r="AJ195" s="210"/>
      <c r="AK195" s="214"/>
      <c r="AL195" s="210"/>
      <c r="AM195" s="160"/>
      <c r="AN195" s="160"/>
    </row>
    <row r="196" spans="3:40" x14ac:dyDescent="0.3">
      <c r="F196" s="123"/>
      <c r="H196" s="123"/>
      <c r="I196" s="123"/>
      <c r="J196" s="213"/>
      <c r="K196" s="213"/>
      <c r="L196" s="123"/>
      <c r="M196" s="123"/>
      <c r="N196" s="160"/>
      <c r="O196" s="160"/>
      <c r="P196" s="123"/>
      <c r="Q196" s="123"/>
      <c r="R196" s="123"/>
      <c r="V196" s="123"/>
      <c r="Y196" s="123"/>
      <c r="Z196" s="219"/>
      <c r="AA196" s="123"/>
      <c r="AB196" s="123"/>
      <c r="AC196" s="160"/>
      <c r="AD196" s="160"/>
      <c r="AE196" s="123"/>
      <c r="AF196" s="123"/>
      <c r="AH196" s="236"/>
      <c r="AI196" s="123"/>
      <c r="AJ196" s="123"/>
      <c r="AL196" s="123"/>
      <c r="AM196" s="160"/>
      <c r="AN196" s="160"/>
    </row>
    <row r="197" spans="3:40" x14ac:dyDescent="0.3">
      <c r="C197" s="42"/>
      <c r="F197" s="184"/>
      <c r="H197" s="184"/>
      <c r="I197" s="184"/>
      <c r="J197" s="193"/>
      <c r="K197" s="193"/>
      <c r="L197" s="123"/>
      <c r="M197" s="123"/>
      <c r="N197" s="160"/>
      <c r="O197" s="160"/>
      <c r="P197" s="123"/>
      <c r="Q197" s="123"/>
      <c r="R197" s="123"/>
      <c r="T197" s="42"/>
      <c r="V197" s="184"/>
      <c r="Y197" s="123"/>
      <c r="Z197" s="193"/>
      <c r="AA197" s="123"/>
      <c r="AB197" s="123"/>
      <c r="AC197" s="160"/>
      <c r="AD197" s="160"/>
      <c r="AE197" s="123"/>
      <c r="AF197" s="123"/>
      <c r="AG197" s="233"/>
      <c r="AH197" s="234"/>
      <c r="AI197" s="123"/>
      <c r="AJ197" s="123"/>
      <c r="AL197" s="123"/>
      <c r="AM197" s="235"/>
      <c r="AN197" s="235"/>
    </row>
    <row r="198" spans="3:40" x14ac:dyDescent="0.3">
      <c r="C198" s="42"/>
      <c r="F198" s="184"/>
      <c r="H198" s="184"/>
      <c r="I198" s="184"/>
      <c r="J198" s="193"/>
      <c r="K198" s="193"/>
      <c r="L198" s="123"/>
      <c r="M198" s="123"/>
      <c r="N198" s="160"/>
      <c r="O198" s="160"/>
      <c r="P198" s="123"/>
      <c r="Q198" s="123"/>
      <c r="R198" s="123"/>
      <c r="T198" s="42"/>
      <c r="V198" s="184"/>
      <c r="Y198" s="123"/>
      <c r="Z198" s="193"/>
      <c r="AA198" s="123"/>
      <c r="AB198" s="123"/>
      <c r="AC198" s="160"/>
      <c r="AD198" s="160"/>
      <c r="AE198" s="123"/>
      <c r="AF198" s="123"/>
      <c r="AH198" s="236"/>
      <c r="AI198" s="123"/>
      <c r="AJ198" s="123"/>
      <c r="AL198" s="123"/>
      <c r="AM198" s="160"/>
      <c r="AN198" s="160"/>
    </row>
    <row r="199" spans="3:40" x14ac:dyDescent="0.3">
      <c r="F199" s="123"/>
      <c r="H199" s="210"/>
      <c r="I199" s="210"/>
      <c r="J199" s="213"/>
      <c r="K199" s="213"/>
      <c r="L199" s="210"/>
      <c r="M199" s="210"/>
      <c r="N199" s="210"/>
      <c r="O199" s="210"/>
      <c r="P199" s="210"/>
      <c r="Q199" s="210"/>
      <c r="R199" s="210"/>
      <c r="V199" s="123"/>
      <c r="Y199" s="210"/>
      <c r="Z199" s="213"/>
      <c r="AA199" s="210"/>
      <c r="AB199" s="210"/>
      <c r="AC199" s="210"/>
      <c r="AD199" s="210"/>
      <c r="AE199" s="210"/>
      <c r="AF199" s="210"/>
      <c r="AI199" s="210"/>
      <c r="AJ199" s="210"/>
      <c r="AK199" s="214"/>
      <c r="AL199" s="210"/>
      <c r="AM199" s="160"/>
      <c r="AN199" s="160"/>
    </row>
    <row r="200" spans="3:40" x14ac:dyDescent="0.3">
      <c r="C200" s="42"/>
      <c r="F200" s="123"/>
      <c r="H200" s="123"/>
      <c r="I200" s="123"/>
      <c r="J200" s="213"/>
      <c r="K200" s="213"/>
      <c r="L200" s="123"/>
      <c r="M200" s="123"/>
      <c r="N200" s="160"/>
      <c r="O200" s="160"/>
      <c r="P200" s="123"/>
      <c r="Q200" s="123"/>
      <c r="R200" s="123"/>
      <c r="T200" s="42"/>
      <c r="V200" s="123"/>
      <c r="Y200" s="123"/>
      <c r="Z200" s="213"/>
      <c r="AA200" s="123"/>
      <c r="AB200" s="123"/>
      <c r="AC200" s="160"/>
      <c r="AD200" s="160"/>
      <c r="AE200" s="123"/>
      <c r="AF200" s="123"/>
      <c r="AH200" s="236"/>
      <c r="AI200" s="123"/>
      <c r="AJ200" s="123"/>
      <c r="AL200" s="123"/>
      <c r="AM200" s="160"/>
      <c r="AN200" s="160"/>
    </row>
    <row r="201" spans="3:40" x14ac:dyDescent="0.3">
      <c r="F201" s="123"/>
      <c r="H201" s="210"/>
      <c r="I201" s="210"/>
      <c r="J201" s="213"/>
      <c r="K201" s="213"/>
      <c r="L201" s="210"/>
      <c r="M201" s="210"/>
      <c r="N201" s="210"/>
      <c r="O201" s="210"/>
      <c r="P201" s="210"/>
      <c r="Q201" s="210"/>
      <c r="R201" s="210"/>
      <c r="V201" s="123"/>
      <c r="Y201" s="210"/>
      <c r="Z201" s="213"/>
      <c r="AA201" s="210"/>
      <c r="AB201" s="210"/>
      <c r="AC201" s="210"/>
      <c r="AD201" s="210"/>
      <c r="AE201" s="210"/>
      <c r="AF201" s="210"/>
      <c r="AI201" s="210"/>
      <c r="AJ201" s="210"/>
      <c r="AK201" s="214"/>
      <c r="AL201" s="210"/>
      <c r="AM201" s="160"/>
      <c r="AN201" s="160"/>
    </row>
    <row r="202" spans="3:40" x14ac:dyDescent="0.3">
      <c r="F202" s="123"/>
      <c r="H202" s="123"/>
      <c r="I202" s="123"/>
      <c r="J202" s="213"/>
      <c r="K202" s="213"/>
      <c r="L202" s="123"/>
      <c r="M202" s="123"/>
      <c r="N202" s="123"/>
      <c r="O202" s="123"/>
      <c r="P202" s="123"/>
      <c r="Q202" s="123"/>
      <c r="R202" s="123"/>
      <c r="V202" s="123"/>
      <c r="Y202" s="123"/>
      <c r="Z202" s="213"/>
      <c r="AA202" s="123"/>
      <c r="AB202" s="123"/>
      <c r="AC202" s="123"/>
      <c r="AD202" s="123"/>
      <c r="AE202" s="123"/>
      <c r="AF202" s="123"/>
      <c r="AH202" s="236"/>
      <c r="AI202" s="123"/>
      <c r="AJ202" s="123"/>
      <c r="AL202" s="123"/>
      <c r="AM202" s="160"/>
      <c r="AN202" s="160"/>
    </row>
    <row r="203" spans="3:40" x14ac:dyDescent="0.3">
      <c r="C203" s="42"/>
      <c r="F203" s="184"/>
      <c r="H203" s="184"/>
      <c r="I203" s="184"/>
      <c r="J203" s="227"/>
      <c r="K203" s="227"/>
      <c r="L203" s="123"/>
      <c r="M203" s="123"/>
      <c r="N203" s="160"/>
      <c r="O203" s="160"/>
      <c r="P203" s="184"/>
      <c r="Q203" s="184"/>
      <c r="R203" s="123"/>
      <c r="T203" s="42"/>
      <c r="V203" s="184"/>
      <c r="Y203" s="184"/>
      <c r="Z203" s="237"/>
      <c r="AA203" s="123"/>
      <c r="AB203" s="123"/>
      <c r="AC203" s="160"/>
      <c r="AD203" s="160"/>
      <c r="AE203" s="123"/>
      <c r="AF203" s="123"/>
      <c r="AH203" s="236"/>
      <c r="AI203" s="184"/>
      <c r="AJ203" s="184"/>
      <c r="AL203" s="123"/>
      <c r="AM203" s="160"/>
      <c r="AN203" s="160"/>
    </row>
    <row r="204" spans="3:40" x14ac:dyDescent="0.3">
      <c r="C204" s="42"/>
      <c r="F204" s="184"/>
      <c r="H204" s="184"/>
      <c r="I204" s="184"/>
      <c r="J204" s="227"/>
      <c r="K204" s="227"/>
      <c r="L204" s="123"/>
      <c r="M204" s="123"/>
      <c r="N204" s="160"/>
      <c r="O204" s="160"/>
      <c r="P204" s="184"/>
      <c r="Q204" s="184"/>
      <c r="R204" s="123"/>
      <c r="T204" s="42"/>
      <c r="V204" s="184"/>
      <c r="Y204" s="123"/>
      <c r="Z204" s="212"/>
      <c r="AA204" s="123"/>
      <c r="AB204" s="123"/>
      <c r="AC204" s="160"/>
      <c r="AD204" s="160"/>
      <c r="AE204" s="123"/>
      <c r="AF204" s="123"/>
      <c r="AH204" s="236"/>
      <c r="AI204" s="184"/>
      <c r="AJ204" s="184"/>
      <c r="AL204" s="123"/>
      <c r="AM204" s="160"/>
      <c r="AN204" s="160"/>
    </row>
    <row r="205" spans="3:40" x14ac:dyDescent="0.3">
      <c r="C205" s="42"/>
      <c r="F205" s="184"/>
      <c r="H205" s="184"/>
      <c r="I205" s="184"/>
      <c r="J205" s="227"/>
      <c r="K205" s="227"/>
      <c r="L205" s="123"/>
      <c r="M205" s="123"/>
      <c r="N205" s="160"/>
      <c r="O205" s="160"/>
      <c r="P205" s="184"/>
      <c r="Q205" s="184"/>
      <c r="R205" s="123"/>
      <c r="T205" s="42"/>
      <c r="V205" s="184"/>
      <c r="Y205" s="123"/>
      <c r="Z205" s="212"/>
      <c r="AA205" s="123"/>
      <c r="AB205" s="123"/>
      <c r="AC205" s="160"/>
      <c r="AD205" s="160"/>
      <c r="AE205" s="123"/>
      <c r="AF205" s="123"/>
      <c r="AH205" s="236"/>
      <c r="AI205" s="184"/>
      <c r="AJ205" s="184"/>
      <c r="AL205" s="123"/>
      <c r="AM205" s="160"/>
      <c r="AN205" s="160"/>
    </row>
    <row r="206" spans="3:40" x14ac:dyDescent="0.3">
      <c r="F206" s="210"/>
      <c r="H206" s="210"/>
      <c r="I206" s="210"/>
      <c r="J206" s="213"/>
      <c r="K206" s="213"/>
      <c r="L206" s="210"/>
      <c r="M206" s="210"/>
      <c r="N206" s="210"/>
      <c r="O206" s="210"/>
      <c r="P206" s="210"/>
      <c r="Q206" s="210"/>
      <c r="R206" s="210"/>
      <c r="V206" s="210"/>
      <c r="Y206" s="210"/>
      <c r="Z206" s="213"/>
      <c r="AA206" s="210"/>
      <c r="AB206" s="210"/>
      <c r="AC206" s="210"/>
      <c r="AD206" s="210"/>
      <c r="AE206" s="210"/>
      <c r="AF206" s="210"/>
      <c r="AI206" s="210"/>
      <c r="AJ206" s="210"/>
      <c r="AK206" s="214"/>
      <c r="AL206" s="210"/>
      <c r="AM206" s="160"/>
      <c r="AN206" s="160"/>
    </row>
    <row r="207" spans="3:40" x14ac:dyDescent="0.3">
      <c r="C207" s="42"/>
      <c r="F207" s="123"/>
      <c r="H207" s="123"/>
      <c r="I207" s="123"/>
      <c r="J207" s="219"/>
      <c r="K207" s="219"/>
      <c r="L207" s="123"/>
      <c r="M207" s="123"/>
      <c r="N207" s="160"/>
      <c r="O207" s="160"/>
      <c r="P207" s="123"/>
      <c r="Q207" s="123"/>
      <c r="R207" s="123"/>
      <c r="T207" s="42"/>
      <c r="V207" s="123"/>
      <c r="Y207" s="123"/>
      <c r="Z207" s="219"/>
      <c r="AA207" s="123"/>
      <c r="AB207" s="123"/>
      <c r="AC207" s="160"/>
      <c r="AD207" s="160"/>
      <c r="AE207" s="123"/>
      <c r="AF207" s="123"/>
      <c r="AH207" s="236"/>
      <c r="AI207" s="123"/>
      <c r="AJ207" s="123"/>
      <c r="AL207" s="123"/>
      <c r="AM207" s="160"/>
      <c r="AN207" s="160"/>
    </row>
    <row r="208" spans="3:40" x14ac:dyDescent="0.3">
      <c r="F208" s="210"/>
      <c r="H208" s="210"/>
      <c r="I208" s="210"/>
      <c r="J208" s="213"/>
      <c r="K208" s="213"/>
      <c r="L208" s="210"/>
      <c r="M208" s="210"/>
      <c r="N208" s="210"/>
      <c r="O208" s="210"/>
      <c r="P208" s="210"/>
      <c r="Q208" s="210"/>
      <c r="R208" s="210"/>
      <c r="V208" s="210"/>
      <c r="Y208" s="210"/>
      <c r="Z208" s="213"/>
      <c r="AA208" s="210"/>
      <c r="AB208" s="210"/>
      <c r="AC208" s="210"/>
      <c r="AD208" s="210"/>
      <c r="AE208" s="210"/>
      <c r="AF208" s="210"/>
      <c r="AI208" s="210"/>
      <c r="AJ208" s="210"/>
      <c r="AK208" s="214"/>
      <c r="AL208" s="210"/>
      <c r="AM208" s="160"/>
      <c r="AN208" s="160"/>
    </row>
    <row r="209" spans="1:40" x14ac:dyDescent="0.3">
      <c r="C209" s="42"/>
      <c r="F209" s="123"/>
      <c r="H209" s="123"/>
      <c r="I209" s="123"/>
      <c r="J209" s="219"/>
      <c r="K209" s="219"/>
      <c r="L209" s="123"/>
      <c r="M209" s="123"/>
      <c r="N209" s="160"/>
      <c r="O209" s="160"/>
      <c r="P209" s="123"/>
      <c r="Q209" s="123"/>
      <c r="R209" s="123"/>
      <c r="T209" s="42"/>
      <c r="V209" s="123"/>
      <c r="Y209" s="123"/>
      <c r="Z209" s="219"/>
      <c r="AA209" s="123"/>
      <c r="AB209" s="123"/>
      <c r="AC209" s="160"/>
      <c r="AD209" s="160"/>
      <c r="AE209" s="123"/>
      <c r="AF209" s="123"/>
      <c r="AH209" s="236"/>
      <c r="AI209" s="123"/>
      <c r="AJ209" s="123"/>
      <c r="AL209" s="123"/>
      <c r="AM209" s="160"/>
      <c r="AN209" s="160"/>
    </row>
    <row r="210" spans="1:40" x14ac:dyDescent="0.3">
      <c r="C210" s="42"/>
      <c r="F210" s="123"/>
      <c r="H210" s="123"/>
      <c r="I210" s="123"/>
      <c r="J210" s="219"/>
      <c r="K210" s="219"/>
      <c r="L210" s="123"/>
      <c r="M210" s="123"/>
      <c r="N210" s="160"/>
      <c r="O210" s="160"/>
      <c r="P210" s="123"/>
      <c r="Q210" s="123"/>
      <c r="R210" s="123"/>
      <c r="T210" s="42"/>
      <c r="V210" s="123"/>
      <c r="Y210" s="123"/>
      <c r="Z210" s="219"/>
      <c r="AA210" s="123"/>
      <c r="AB210" s="123"/>
      <c r="AC210" s="160"/>
      <c r="AD210" s="160"/>
      <c r="AE210" s="123"/>
      <c r="AF210" s="123"/>
      <c r="AH210" s="236"/>
      <c r="AI210" s="123"/>
      <c r="AJ210" s="123"/>
      <c r="AL210" s="123"/>
      <c r="AM210" s="160"/>
      <c r="AN210" s="160"/>
    </row>
    <row r="211" spans="1:40" x14ac:dyDescent="0.3">
      <c r="F211" s="210"/>
      <c r="H211" s="210"/>
      <c r="I211" s="210"/>
      <c r="J211" s="213"/>
      <c r="K211" s="213"/>
      <c r="L211" s="210"/>
      <c r="M211" s="210"/>
      <c r="N211" s="210"/>
      <c r="O211" s="210"/>
      <c r="P211" s="210"/>
      <c r="Q211" s="210"/>
      <c r="R211" s="210"/>
      <c r="V211" s="210"/>
      <c r="Y211" s="210"/>
      <c r="Z211" s="213"/>
      <c r="AA211" s="210"/>
      <c r="AB211" s="210"/>
      <c r="AC211" s="210"/>
      <c r="AD211" s="210"/>
      <c r="AE211" s="210"/>
      <c r="AF211" s="210"/>
      <c r="AI211" s="210"/>
      <c r="AJ211" s="210"/>
      <c r="AK211" s="214"/>
      <c r="AL211" s="210"/>
      <c r="AM211" s="123"/>
      <c r="AN211" s="123"/>
    </row>
    <row r="212" spans="1:40" x14ac:dyDescent="0.3">
      <c r="F212" s="123"/>
      <c r="H212" s="123"/>
      <c r="I212" s="123"/>
      <c r="J212" s="219"/>
      <c r="K212" s="219"/>
      <c r="L212" s="123"/>
      <c r="M212" s="123"/>
      <c r="N212" s="123"/>
      <c r="O212" s="123"/>
      <c r="P212" s="123"/>
      <c r="Q212" s="123"/>
      <c r="R212" s="123"/>
      <c r="V212" s="123"/>
      <c r="Y212" s="123"/>
      <c r="Z212" s="219"/>
      <c r="AA212" s="123"/>
      <c r="AB212" s="123"/>
      <c r="AC212" s="123"/>
      <c r="AD212" s="123"/>
    </row>
    <row r="213" spans="1:40" x14ac:dyDescent="0.3">
      <c r="C213" s="42"/>
      <c r="F213" s="123"/>
      <c r="H213" s="123"/>
      <c r="I213" s="123"/>
      <c r="J213" s="219"/>
      <c r="K213" s="219"/>
      <c r="L213" s="123"/>
      <c r="M213" s="123"/>
      <c r="N213" s="123"/>
      <c r="O213" s="123"/>
      <c r="P213" s="123"/>
      <c r="Q213" s="123"/>
      <c r="R213" s="123"/>
      <c r="T213" s="42"/>
      <c r="V213" s="123"/>
      <c r="Y213" s="123"/>
      <c r="Z213" s="219"/>
      <c r="AA213" s="123"/>
      <c r="AB213" s="123"/>
      <c r="AC213" s="123"/>
      <c r="AD213" s="123"/>
    </row>
    <row r="214" spans="1:40" x14ac:dyDescent="0.3">
      <c r="A214" s="42"/>
    </row>
    <row r="216" spans="1:40" x14ac:dyDescent="0.3">
      <c r="H216" s="42"/>
      <c r="I216" s="42"/>
      <c r="Y216" s="42"/>
    </row>
    <row r="218" spans="1:40" x14ac:dyDescent="0.3">
      <c r="L218" s="42"/>
      <c r="M218" s="42"/>
      <c r="AA218" s="42"/>
      <c r="AB218" s="42"/>
    </row>
    <row r="219" spans="1:40" x14ac:dyDescent="0.3">
      <c r="R219" s="42"/>
      <c r="AK219" s="206"/>
      <c r="AL219" s="42"/>
    </row>
    <row r="220" spans="1:40" x14ac:dyDescent="0.3">
      <c r="R220" s="42"/>
      <c r="AK220" s="206"/>
      <c r="AL220" s="42"/>
    </row>
    <row r="221" spans="1:40" x14ac:dyDescent="0.3">
      <c r="A221" s="42"/>
      <c r="R221" s="42"/>
      <c r="AK221" s="206"/>
      <c r="AL221" s="42"/>
    </row>
    <row r="222" spans="1:40" x14ac:dyDescent="0.3">
      <c r="L222" s="42"/>
      <c r="M222" s="42"/>
      <c r="AA222" s="42"/>
      <c r="AB222" s="42"/>
    </row>
    <row r="223" spans="1:40" x14ac:dyDescent="0.3">
      <c r="A223" s="135"/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207"/>
      <c r="AH223" s="135"/>
      <c r="AI223" s="135"/>
      <c r="AJ223" s="135"/>
      <c r="AK223" s="207"/>
      <c r="AL223" s="135"/>
      <c r="AM223" s="135"/>
      <c r="AN223" s="135"/>
    </row>
    <row r="224" spans="1:40" x14ac:dyDescent="0.3">
      <c r="L224" s="44"/>
      <c r="M224" s="44"/>
      <c r="N224" s="44"/>
      <c r="O224" s="44"/>
      <c r="R224" s="44"/>
      <c r="AA224" s="44"/>
      <c r="AB224" s="44"/>
      <c r="AC224" s="44"/>
      <c r="AD224" s="44"/>
      <c r="AE224" s="44"/>
      <c r="AF224" s="44"/>
      <c r="AG224" s="168"/>
      <c r="AH224" s="44"/>
      <c r="AK224" s="168"/>
      <c r="AL224" s="44"/>
      <c r="AM224" s="44"/>
      <c r="AN224" s="44"/>
    </row>
    <row r="225" spans="1:40" x14ac:dyDescent="0.3">
      <c r="L225" s="44"/>
      <c r="M225" s="44"/>
      <c r="N225" s="44"/>
      <c r="O225" s="44"/>
      <c r="R225" s="44"/>
      <c r="Z225" s="44"/>
      <c r="AA225" s="44"/>
      <c r="AB225" s="44"/>
      <c r="AC225" s="44"/>
      <c r="AD225" s="44"/>
      <c r="AE225" s="44"/>
      <c r="AF225" s="44"/>
      <c r="AG225" s="168"/>
      <c r="AH225" s="44"/>
      <c r="AK225" s="168"/>
      <c r="AL225" s="44"/>
      <c r="AM225" s="44"/>
      <c r="AN225" s="44"/>
    </row>
    <row r="226" spans="1:40" x14ac:dyDescent="0.3">
      <c r="A226" s="44"/>
      <c r="C226" s="44"/>
      <c r="D226" s="44"/>
      <c r="E226" s="44"/>
      <c r="F226" s="44"/>
      <c r="J226" s="44"/>
      <c r="K226" s="44"/>
      <c r="L226" s="44"/>
      <c r="M226" s="44"/>
      <c r="N226" s="44"/>
      <c r="O226" s="44"/>
      <c r="P226" s="44"/>
      <c r="Q226" s="44"/>
      <c r="R226" s="44"/>
      <c r="T226" s="44"/>
      <c r="U226" s="44"/>
      <c r="V226" s="44"/>
      <c r="Z226" s="44"/>
      <c r="AA226" s="44"/>
      <c r="AB226" s="44"/>
      <c r="AC226" s="44"/>
      <c r="AD226" s="44"/>
      <c r="AE226" s="44"/>
      <c r="AF226" s="44"/>
      <c r="AG226" s="168"/>
      <c r="AH226" s="44"/>
      <c r="AI226" s="44"/>
      <c r="AJ226" s="44"/>
      <c r="AK226" s="168"/>
      <c r="AL226" s="44"/>
      <c r="AM226" s="44"/>
      <c r="AN226" s="44"/>
    </row>
    <row r="227" spans="1:40" x14ac:dyDescent="0.3">
      <c r="A227" s="44"/>
      <c r="C227" s="44"/>
      <c r="D227" s="44"/>
      <c r="E227" s="44"/>
      <c r="F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T227" s="44"/>
      <c r="U227" s="44"/>
      <c r="V227" s="44"/>
      <c r="Y227" s="44"/>
      <c r="Z227" s="44"/>
      <c r="AA227" s="44"/>
      <c r="AB227" s="44"/>
      <c r="AC227" s="44"/>
      <c r="AD227" s="44"/>
      <c r="AE227" s="44"/>
      <c r="AF227" s="44"/>
      <c r="AG227" s="168"/>
      <c r="AH227" s="44"/>
      <c r="AI227" s="44"/>
      <c r="AJ227" s="44"/>
      <c r="AK227" s="168"/>
      <c r="AL227" s="44"/>
      <c r="AM227" s="44"/>
      <c r="AN227" s="44"/>
    </row>
    <row r="228" spans="1:40" x14ac:dyDescent="0.3">
      <c r="C228" s="44"/>
      <c r="D228" s="44"/>
      <c r="E228" s="44"/>
      <c r="F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T228" s="44"/>
      <c r="U228" s="44"/>
      <c r="V228" s="44"/>
      <c r="Y228" s="44"/>
      <c r="Z228" s="44"/>
      <c r="AA228" s="44"/>
      <c r="AB228" s="44"/>
      <c r="AC228" s="44"/>
      <c r="AD228" s="44"/>
      <c r="AE228" s="44"/>
      <c r="AF228" s="44"/>
      <c r="AG228" s="168"/>
      <c r="AH228" s="44"/>
      <c r="AI228" s="44"/>
      <c r="AJ228" s="44"/>
      <c r="AK228" s="168"/>
      <c r="AL228" s="44"/>
      <c r="AM228" s="44"/>
      <c r="AN228" s="44"/>
    </row>
    <row r="229" spans="1:40" x14ac:dyDescent="0.3">
      <c r="A229" s="135"/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207"/>
      <c r="AH229" s="135"/>
      <c r="AI229" s="135"/>
      <c r="AJ229" s="135"/>
      <c r="AK229" s="207"/>
      <c r="AL229" s="135"/>
      <c r="AM229" s="135"/>
      <c r="AN229" s="135"/>
    </row>
    <row r="230" spans="1:40" x14ac:dyDescent="0.3"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Y230" s="44"/>
      <c r="Z230" s="44"/>
      <c r="AA230" s="44"/>
      <c r="AB230" s="44"/>
      <c r="AC230" s="44"/>
      <c r="AD230" s="44"/>
      <c r="AE230" s="44"/>
      <c r="AF230" s="44"/>
      <c r="AG230" s="168"/>
      <c r="AH230" s="44"/>
      <c r="AI230" s="44"/>
      <c r="AJ230" s="44"/>
      <c r="AK230" s="168"/>
      <c r="AL230" s="44"/>
      <c r="AM230" s="44"/>
      <c r="AN230" s="44"/>
    </row>
    <row r="231" spans="1:40" x14ac:dyDescent="0.3">
      <c r="C231" s="42"/>
      <c r="D231" s="42"/>
      <c r="E231" s="42"/>
      <c r="T231" s="42"/>
      <c r="U231" s="42"/>
    </row>
    <row r="233" spans="1:40" x14ac:dyDescent="0.3">
      <c r="C233" s="42"/>
      <c r="F233" s="184"/>
      <c r="H233" s="222"/>
      <c r="I233" s="222"/>
      <c r="J233" s="193"/>
      <c r="K233" s="193"/>
      <c r="L233" s="123"/>
      <c r="M233" s="123"/>
      <c r="R233" s="123"/>
      <c r="T233" s="42"/>
      <c r="V233" s="123"/>
      <c r="Z233" s="193"/>
      <c r="AA233" s="123"/>
      <c r="AB233" s="123"/>
      <c r="AE233" s="123"/>
      <c r="AF233" s="123"/>
      <c r="AG233" s="233"/>
      <c r="AH233" s="234"/>
      <c r="AI233" s="123"/>
      <c r="AJ233" s="123"/>
      <c r="AL233" s="123"/>
      <c r="AM233" s="235"/>
      <c r="AN233" s="235"/>
    </row>
    <row r="234" spans="1:40" x14ac:dyDescent="0.3">
      <c r="F234" s="184"/>
      <c r="H234" s="222"/>
      <c r="I234" s="222"/>
      <c r="J234" s="222"/>
      <c r="K234" s="222"/>
      <c r="R234" s="123"/>
      <c r="V234" s="123"/>
      <c r="Z234" s="222"/>
    </row>
    <row r="235" spans="1:40" x14ac:dyDescent="0.3">
      <c r="C235" s="42"/>
      <c r="F235" s="184"/>
      <c r="H235" s="184"/>
      <c r="I235" s="184"/>
      <c r="J235" s="227"/>
      <c r="K235" s="227"/>
      <c r="L235" s="123"/>
      <c r="M235" s="123"/>
      <c r="N235" s="160"/>
      <c r="O235" s="160"/>
      <c r="P235" s="184"/>
      <c r="Q235" s="184"/>
      <c r="R235" s="123"/>
      <c r="T235" s="42"/>
      <c r="V235" s="123"/>
      <c r="Y235" s="123"/>
      <c r="Z235" s="212"/>
      <c r="AA235" s="123"/>
      <c r="AB235" s="123"/>
      <c r="AC235" s="160"/>
      <c r="AD235" s="160"/>
      <c r="AE235" s="123"/>
      <c r="AF235" s="123"/>
      <c r="AH235" s="236"/>
      <c r="AI235" s="184"/>
      <c r="AJ235" s="184"/>
      <c r="AL235" s="123"/>
      <c r="AM235" s="160"/>
      <c r="AN235" s="160"/>
    </row>
    <row r="236" spans="1:40" x14ac:dyDescent="0.3">
      <c r="F236" s="210"/>
      <c r="H236" s="210"/>
      <c r="I236" s="210"/>
      <c r="J236" s="213"/>
      <c r="K236" s="213"/>
      <c r="L236" s="210"/>
      <c r="M236" s="210"/>
      <c r="N236" s="210"/>
      <c r="O236" s="210"/>
      <c r="P236" s="210"/>
      <c r="Q236" s="210"/>
      <c r="R236" s="210"/>
      <c r="V236" s="210"/>
      <c r="Y236" s="210"/>
      <c r="Z236" s="213"/>
      <c r="AA236" s="210"/>
      <c r="AB236" s="210"/>
      <c r="AC236" s="210"/>
      <c r="AD236" s="210"/>
      <c r="AE236" s="210"/>
      <c r="AF236" s="210"/>
      <c r="AI236" s="210"/>
      <c r="AJ236" s="210"/>
      <c r="AK236" s="214"/>
      <c r="AL236" s="210"/>
    </row>
    <row r="237" spans="1:40" x14ac:dyDescent="0.3">
      <c r="D237" s="42"/>
      <c r="E237" s="42"/>
      <c r="F237" s="123"/>
      <c r="H237" s="123"/>
      <c r="I237" s="123"/>
      <c r="J237" s="219"/>
      <c r="K237" s="219"/>
      <c r="L237" s="123"/>
      <c r="M237" s="123"/>
      <c r="N237" s="160"/>
      <c r="O237" s="160"/>
      <c r="P237" s="123"/>
      <c r="Q237" s="123"/>
      <c r="R237" s="123"/>
      <c r="U237" s="42"/>
      <c r="V237" s="123"/>
      <c r="Y237" s="123"/>
      <c r="Z237" s="219"/>
      <c r="AA237" s="123"/>
      <c r="AB237" s="123"/>
      <c r="AC237" s="160"/>
      <c r="AD237" s="160"/>
      <c r="AE237" s="123"/>
      <c r="AF237" s="123"/>
      <c r="AH237" s="236"/>
      <c r="AI237" s="123"/>
      <c r="AJ237" s="123"/>
      <c r="AL237" s="123"/>
      <c r="AM237" s="160"/>
      <c r="AN237" s="160"/>
    </row>
    <row r="238" spans="1:40" x14ac:dyDescent="0.3">
      <c r="F238" s="210"/>
      <c r="H238" s="210"/>
      <c r="I238" s="210"/>
      <c r="J238" s="213"/>
      <c r="K238" s="213"/>
      <c r="L238" s="210"/>
      <c r="M238" s="210"/>
      <c r="N238" s="210"/>
      <c r="O238" s="210"/>
      <c r="P238" s="210"/>
      <c r="Q238" s="210"/>
      <c r="R238" s="210"/>
      <c r="V238" s="210"/>
      <c r="Y238" s="210"/>
      <c r="Z238" s="213"/>
      <c r="AA238" s="210"/>
      <c r="AB238" s="210"/>
      <c r="AC238" s="210"/>
      <c r="AD238" s="210"/>
      <c r="AE238" s="210"/>
      <c r="AF238" s="210"/>
      <c r="AI238" s="210"/>
      <c r="AJ238" s="210"/>
      <c r="AK238" s="214"/>
      <c r="AL238" s="210"/>
    </row>
    <row r="239" spans="1:40" x14ac:dyDescent="0.3">
      <c r="R239" s="123"/>
    </row>
    <row r="240" spans="1:40" x14ac:dyDescent="0.3">
      <c r="R240" s="123"/>
    </row>
    <row r="241" spans="1:40" x14ac:dyDescent="0.3">
      <c r="R241" s="123"/>
    </row>
    <row r="242" spans="1:40" x14ac:dyDescent="0.3">
      <c r="C242" s="42"/>
      <c r="D242" s="42"/>
      <c r="E242" s="42"/>
      <c r="H242" s="123"/>
      <c r="I242" s="123"/>
      <c r="J242" s="219"/>
      <c r="K242" s="219"/>
      <c r="L242" s="123"/>
      <c r="M242" s="123"/>
      <c r="N242" s="160"/>
      <c r="O242" s="160"/>
      <c r="P242" s="123"/>
      <c r="Q242" s="123"/>
      <c r="R242" s="123"/>
      <c r="T242" s="42"/>
      <c r="U242" s="42"/>
      <c r="Y242" s="123"/>
      <c r="Z242" s="219"/>
      <c r="AA242" s="123"/>
      <c r="AB242" s="123"/>
      <c r="AC242" s="160"/>
      <c r="AD242" s="160"/>
    </row>
    <row r="243" spans="1:40" x14ac:dyDescent="0.3">
      <c r="H243" s="123"/>
      <c r="I243" s="123"/>
      <c r="J243" s="219"/>
      <c r="K243" s="219"/>
      <c r="L243" s="123"/>
      <c r="M243" s="123"/>
      <c r="N243" s="160"/>
      <c r="O243" s="160"/>
      <c r="P243" s="123"/>
      <c r="Q243" s="123"/>
      <c r="R243" s="123"/>
      <c r="Y243" s="123"/>
      <c r="Z243" s="219"/>
      <c r="AA243" s="123"/>
      <c r="AB243" s="123"/>
      <c r="AC243" s="160"/>
      <c r="AD243" s="160"/>
    </row>
    <row r="244" spans="1:40" x14ac:dyDescent="0.3">
      <c r="C244" s="42"/>
      <c r="F244" s="184"/>
      <c r="H244" s="184"/>
      <c r="I244" s="184"/>
      <c r="J244" s="240"/>
      <c r="K244" s="240"/>
      <c r="L244" s="184"/>
      <c r="M244" s="184"/>
      <c r="N244" s="160"/>
      <c r="O244" s="160"/>
      <c r="P244" s="123"/>
      <c r="Q244" s="123"/>
      <c r="R244" s="123"/>
      <c r="T244" s="42"/>
      <c r="V244" s="123"/>
      <c r="Y244" s="123"/>
      <c r="Z244" s="240"/>
      <c r="AA244" s="123"/>
      <c r="AB244" s="123"/>
      <c r="AC244" s="160"/>
      <c r="AD244" s="160"/>
      <c r="AE244" s="123"/>
      <c r="AF244" s="123"/>
      <c r="AH244" s="236"/>
      <c r="AI244" s="123"/>
      <c r="AJ244" s="123"/>
      <c r="AL244" s="123"/>
      <c r="AM244" s="160"/>
      <c r="AN244" s="160"/>
    </row>
    <row r="245" spans="1:40" x14ac:dyDescent="0.3">
      <c r="F245" s="184"/>
      <c r="H245" s="222"/>
      <c r="I245" s="222"/>
      <c r="J245" s="222"/>
      <c r="K245" s="222"/>
      <c r="R245" s="123"/>
      <c r="V245" s="123"/>
      <c r="Z245" s="222"/>
    </row>
    <row r="246" spans="1:40" x14ac:dyDescent="0.3">
      <c r="C246" s="42"/>
      <c r="F246" s="184"/>
      <c r="H246" s="184"/>
      <c r="I246" s="184"/>
      <c r="J246" s="193"/>
      <c r="K246" s="193"/>
      <c r="L246" s="123"/>
      <c r="M246" s="123"/>
      <c r="N246" s="160"/>
      <c r="O246" s="160"/>
      <c r="P246" s="123"/>
      <c r="Q246" s="123"/>
      <c r="R246" s="123"/>
      <c r="T246" s="42"/>
      <c r="V246" s="123"/>
      <c r="Y246" s="123"/>
      <c r="Z246" s="193"/>
      <c r="AA246" s="123"/>
      <c r="AB246" s="123"/>
      <c r="AC246" s="160"/>
      <c r="AD246" s="160"/>
      <c r="AE246" s="123"/>
      <c r="AF246" s="123"/>
      <c r="AH246" s="236"/>
      <c r="AI246" s="123"/>
      <c r="AJ246" s="123"/>
      <c r="AL246" s="123"/>
      <c r="AM246" s="160"/>
      <c r="AN246" s="160"/>
    </row>
    <row r="247" spans="1:40" x14ac:dyDescent="0.3">
      <c r="F247" s="184"/>
      <c r="H247" s="222"/>
      <c r="I247" s="222"/>
      <c r="J247" s="222"/>
      <c r="K247" s="222"/>
      <c r="R247" s="123"/>
      <c r="V247" s="123"/>
      <c r="Z247" s="222"/>
    </row>
    <row r="248" spans="1:40" x14ac:dyDescent="0.3">
      <c r="C248" s="42"/>
      <c r="F248" s="184"/>
      <c r="H248" s="184"/>
      <c r="I248" s="184"/>
      <c r="J248" s="227"/>
      <c r="K248" s="227"/>
      <c r="L248" s="123"/>
      <c r="M248" s="123"/>
      <c r="N248" s="160"/>
      <c r="O248" s="160"/>
      <c r="P248" s="123"/>
      <c r="Q248" s="123"/>
      <c r="R248" s="123"/>
      <c r="T248" s="42"/>
      <c r="V248" s="123"/>
      <c r="Y248" s="123"/>
      <c r="Z248" s="212"/>
      <c r="AA248" s="123"/>
      <c r="AB248" s="123"/>
      <c r="AC248" s="160"/>
      <c r="AD248" s="160"/>
      <c r="AE248" s="123"/>
      <c r="AF248" s="123"/>
      <c r="AH248" s="236"/>
      <c r="AI248" s="123"/>
      <c r="AJ248" s="123"/>
      <c r="AL248" s="123"/>
      <c r="AM248" s="160"/>
      <c r="AN248" s="160"/>
    </row>
    <row r="249" spans="1:40" x14ac:dyDescent="0.3">
      <c r="F249" s="210"/>
      <c r="H249" s="210"/>
      <c r="I249" s="210"/>
      <c r="J249" s="213"/>
      <c r="K249" s="213"/>
      <c r="L249" s="210"/>
      <c r="M249" s="210"/>
      <c r="N249" s="210"/>
      <c r="O249" s="210"/>
      <c r="P249" s="210"/>
      <c r="Q249" s="210"/>
      <c r="R249" s="210"/>
      <c r="S249" s="123"/>
      <c r="V249" s="210"/>
      <c r="Y249" s="210"/>
      <c r="Z249" s="213"/>
      <c r="AA249" s="210"/>
      <c r="AB249" s="210"/>
      <c r="AC249" s="210"/>
      <c r="AD249" s="210"/>
      <c r="AE249" s="210"/>
      <c r="AF249" s="210"/>
      <c r="AI249" s="210"/>
      <c r="AJ249" s="210"/>
      <c r="AK249" s="214"/>
      <c r="AL249" s="210"/>
    </row>
    <row r="250" spans="1:40" x14ac:dyDescent="0.3">
      <c r="D250" s="42"/>
      <c r="E250" s="42"/>
      <c r="F250" s="123"/>
      <c r="H250" s="123"/>
      <c r="I250" s="123"/>
      <c r="J250" s="219"/>
      <c r="K250" s="219"/>
      <c r="L250" s="123"/>
      <c r="M250" s="123"/>
      <c r="N250" s="160"/>
      <c r="O250" s="160"/>
      <c r="P250" s="184"/>
      <c r="Q250" s="184"/>
      <c r="R250" s="123"/>
      <c r="S250" s="123"/>
      <c r="U250" s="42"/>
      <c r="V250" s="123"/>
      <c r="Y250" s="123"/>
      <c r="Z250" s="219"/>
      <c r="AA250" s="123"/>
      <c r="AB250" s="123"/>
      <c r="AC250" s="160"/>
      <c r="AD250" s="160"/>
      <c r="AE250" s="123"/>
      <c r="AF250" s="123"/>
      <c r="AH250" s="236"/>
      <c r="AI250" s="184"/>
      <c r="AJ250" s="184"/>
      <c r="AL250" s="123"/>
      <c r="AM250" s="160"/>
      <c r="AN250" s="160"/>
    </row>
    <row r="251" spans="1:40" x14ac:dyDescent="0.3">
      <c r="F251" s="210"/>
      <c r="H251" s="210"/>
      <c r="I251" s="210"/>
      <c r="J251" s="213"/>
      <c r="K251" s="213"/>
      <c r="L251" s="210"/>
      <c r="M251" s="210"/>
      <c r="N251" s="210"/>
      <c r="O251" s="210"/>
      <c r="P251" s="210"/>
      <c r="Q251" s="210"/>
      <c r="R251" s="210"/>
      <c r="S251" s="123"/>
      <c r="V251" s="210"/>
      <c r="Y251" s="210"/>
      <c r="Z251" s="213"/>
      <c r="AA251" s="210"/>
      <c r="AB251" s="210"/>
      <c r="AC251" s="210"/>
      <c r="AD251" s="210"/>
      <c r="AE251" s="210"/>
      <c r="AF251" s="210"/>
      <c r="AI251" s="210"/>
      <c r="AJ251" s="210"/>
      <c r="AK251" s="214"/>
      <c r="AL251" s="210"/>
    </row>
    <row r="252" spans="1:40" x14ac:dyDescent="0.3">
      <c r="R252" s="123"/>
    </row>
    <row r="253" spans="1:40" x14ac:dyDescent="0.3">
      <c r="F253" s="123"/>
      <c r="H253" s="123"/>
      <c r="I253" s="123"/>
      <c r="J253" s="219"/>
      <c r="K253" s="219"/>
      <c r="L253" s="123"/>
      <c r="M253" s="123"/>
      <c r="N253" s="123"/>
      <c r="O253" s="123"/>
      <c r="P253" s="123"/>
      <c r="Q253" s="123"/>
      <c r="R253" s="123"/>
      <c r="V253" s="123"/>
      <c r="Y253" s="123"/>
      <c r="Z253" s="219"/>
      <c r="AA253" s="123"/>
      <c r="AB253" s="123"/>
      <c r="AC253" s="123"/>
      <c r="AD253" s="123"/>
    </row>
    <row r="254" spans="1:40" x14ac:dyDescent="0.3">
      <c r="C254" s="42"/>
      <c r="F254" s="123"/>
      <c r="H254" s="123"/>
      <c r="I254" s="123"/>
      <c r="J254" s="219"/>
      <c r="K254" s="219"/>
      <c r="L254" s="123"/>
      <c r="M254" s="123"/>
      <c r="N254" s="123"/>
      <c r="O254" s="123"/>
      <c r="P254" s="123"/>
      <c r="Q254" s="123"/>
      <c r="R254" s="123"/>
      <c r="T254" s="42"/>
      <c r="V254" s="123"/>
      <c r="Y254" s="123"/>
      <c r="Z254" s="219"/>
      <c r="AA254" s="123"/>
      <c r="AB254" s="123"/>
      <c r="AC254" s="123"/>
      <c r="AD254" s="123"/>
    </row>
    <row r="255" spans="1:40" x14ac:dyDescent="0.3">
      <c r="C255" s="42"/>
      <c r="T255" s="42"/>
    </row>
    <row r="256" spans="1:40" x14ac:dyDescent="0.3">
      <c r="A256" s="42"/>
    </row>
    <row r="259" spans="1:40" x14ac:dyDescent="0.3">
      <c r="H259" s="42"/>
      <c r="I259" s="42"/>
      <c r="Y259" s="42"/>
    </row>
    <row r="261" spans="1:40" x14ac:dyDescent="0.3">
      <c r="L261" s="42"/>
      <c r="M261" s="42"/>
      <c r="AA261" s="42"/>
      <c r="AB261" s="42"/>
    </row>
    <row r="262" spans="1:40" x14ac:dyDescent="0.3">
      <c r="R262" s="42"/>
      <c r="AK262" s="206"/>
      <c r="AL262" s="42"/>
    </row>
    <row r="263" spans="1:40" x14ac:dyDescent="0.3">
      <c r="R263" s="42"/>
      <c r="AK263" s="206"/>
      <c r="AL263" s="42"/>
    </row>
    <row r="264" spans="1:40" x14ac:dyDescent="0.3">
      <c r="A264" s="42"/>
      <c r="R264" s="42"/>
      <c r="AK264" s="206"/>
      <c r="AL264" s="42"/>
    </row>
    <row r="265" spans="1:40" x14ac:dyDescent="0.3">
      <c r="L265" s="42"/>
      <c r="M265" s="42"/>
      <c r="AA265" s="42"/>
      <c r="AB265" s="42"/>
    </row>
    <row r="266" spans="1:40" x14ac:dyDescent="0.3">
      <c r="A266" s="135"/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207"/>
      <c r="AH266" s="135"/>
      <c r="AI266" s="135"/>
      <c r="AJ266" s="135"/>
      <c r="AK266" s="207"/>
      <c r="AL266" s="135"/>
      <c r="AM266" s="135"/>
      <c r="AN266" s="135"/>
    </row>
    <row r="267" spans="1:40" x14ac:dyDescent="0.3">
      <c r="L267" s="44"/>
      <c r="M267" s="44"/>
      <c r="N267" s="44"/>
      <c r="O267" s="44"/>
      <c r="R267" s="44"/>
      <c r="AA267" s="44"/>
      <c r="AB267" s="44"/>
      <c r="AC267" s="44"/>
      <c r="AD267" s="44"/>
      <c r="AE267" s="44"/>
      <c r="AF267" s="44"/>
      <c r="AG267" s="168"/>
      <c r="AH267" s="44"/>
      <c r="AK267" s="168"/>
      <c r="AL267" s="44"/>
      <c r="AM267" s="44"/>
      <c r="AN267" s="44"/>
    </row>
    <row r="268" spans="1:40" x14ac:dyDescent="0.3">
      <c r="L268" s="44"/>
      <c r="M268" s="44"/>
      <c r="N268" s="44"/>
      <c r="O268" s="44"/>
      <c r="R268" s="44"/>
      <c r="Z268" s="44"/>
      <c r="AA268" s="44"/>
      <c r="AB268" s="44"/>
      <c r="AC268" s="44"/>
      <c r="AD268" s="44"/>
      <c r="AE268" s="44"/>
      <c r="AF268" s="44"/>
      <c r="AG268" s="168"/>
      <c r="AH268" s="44"/>
      <c r="AK268" s="168"/>
      <c r="AL268" s="44"/>
      <c r="AM268" s="44"/>
      <c r="AN268" s="44"/>
    </row>
    <row r="269" spans="1:40" x14ac:dyDescent="0.3">
      <c r="A269" s="44"/>
      <c r="C269" s="44"/>
      <c r="D269" s="44"/>
      <c r="E269" s="44"/>
      <c r="F269" s="44"/>
      <c r="J269" s="44"/>
      <c r="K269" s="44"/>
      <c r="L269" s="44"/>
      <c r="M269" s="44"/>
      <c r="N269" s="44"/>
      <c r="O269" s="44"/>
      <c r="P269" s="44"/>
      <c r="Q269" s="44"/>
      <c r="R269" s="44"/>
      <c r="T269" s="44"/>
      <c r="U269" s="44"/>
      <c r="V269" s="44"/>
      <c r="Z269" s="44"/>
      <c r="AA269" s="44"/>
      <c r="AB269" s="44"/>
      <c r="AC269" s="44"/>
      <c r="AD269" s="44"/>
      <c r="AE269" s="44"/>
      <c r="AF269" s="44"/>
      <c r="AG269" s="168"/>
      <c r="AH269" s="44"/>
      <c r="AI269" s="44"/>
      <c r="AJ269" s="44"/>
      <c r="AK269" s="168"/>
      <c r="AL269" s="44"/>
      <c r="AM269" s="44"/>
      <c r="AN269" s="44"/>
    </row>
    <row r="270" spans="1:40" x14ac:dyDescent="0.3">
      <c r="A270" s="44"/>
      <c r="C270" s="44"/>
      <c r="D270" s="44"/>
      <c r="E270" s="44"/>
      <c r="F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T270" s="44"/>
      <c r="U270" s="44"/>
      <c r="V270" s="44"/>
      <c r="Y270" s="44"/>
      <c r="Z270" s="44"/>
      <c r="AA270" s="44"/>
      <c r="AB270" s="44"/>
      <c r="AC270" s="44"/>
      <c r="AD270" s="44"/>
      <c r="AE270" s="44"/>
      <c r="AF270" s="44"/>
      <c r="AG270" s="168"/>
      <c r="AH270" s="44"/>
      <c r="AI270" s="44"/>
      <c r="AJ270" s="44"/>
      <c r="AK270" s="168"/>
      <c r="AL270" s="44"/>
      <c r="AM270" s="44"/>
      <c r="AN270" s="44"/>
    </row>
    <row r="271" spans="1:40" x14ac:dyDescent="0.3">
      <c r="C271" s="44"/>
      <c r="D271" s="44"/>
      <c r="E271" s="44"/>
      <c r="F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T271" s="44"/>
      <c r="U271" s="44"/>
      <c r="V271" s="44"/>
      <c r="Y271" s="44"/>
      <c r="Z271" s="44"/>
      <c r="AA271" s="44"/>
      <c r="AB271" s="44"/>
      <c r="AC271" s="44"/>
      <c r="AD271" s="44"/>
      <c r="AE271" s="44"/>
      <c r="AF271" s="44"/>
      <c r="AG271" s="168"/>
      <c r="AH271" s="44"/>
      <c r="AI271" s="44"/>
      <c r="AJ271" s="44"/>
      <c r="AK271" s="168"/>
      <c r="AL271" s="44"/>
      <c r="AM271" s="44"/>
      <c r="AN271" s="44"/>
    </row>
    <row r="272" spans="1:40" x14ac:dyDescent="0.3">
      <c r="A272" s="135"/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207"/>
      <c r="AH272" s="135"/>
      <c r="AI272" s="135"/>
      <c r="AJ272" s="135"/>
      <c r="AK272" s="207"/>
      <c r="AL272" s="135"/>
      <c r="AM272" s="135"/>
      <c r="AN272" s="135"/>
    </row>
    <row r="273" spans="3:40" x14ac:dyDescent="0.3"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Y273" s="44"/>
      <c r="Z273" s="44"/>
      <c r="AA273" s="44"/>
      <c r="AB273" s="44"/>
      <c r="AC273" s="44"/>
      <c r="AD273" s="44"/>
      <c r="AE273" s="44"/>
      <c r="AF273" s="44"/>
      <c r="AG273" s="168"/>
      <c r="AH273" s="44"/>
      <c r="AI273" s="44"/>
      <c r="AJ273" s="44"/>
      <c r="AK273" s="168"/>
      <c r="AL273" s="44"/>
      <c r="AM273" s="44"/>
      <c r="AN273" s="44"/>
    </row>
    <row r="274" spans="3:40" x14ac:dyDescent="0.3">
      <c r="C274" s="42"/>
      <c r="D274" s="42"/>
      <c r="E274" s="42"/>
      <c r="T274" s="42"/>
      <c r="U274" s="42"/>
    </row>
    <row r="275" spans="3:40" x14ac:dyDescent="0.3">
      <c r="D275" s="42"/>
      <c r="E275" s="42"/>
      <c r="U275" s="42"/>
    </row>
    <row r="277" spans="3:40" x14ac:dyDescent="0.3">
      <c r="C277" s="42"/>
      <c r="F277" s="123"/>
      <c r="J277" s="209"/>
      <c r="K277" s="209"/>
      <c r="L277" s="123"/>
      <c r="M277" s="123"/>
      <c r="R277" s="123"/>
      <c r="T277" s="42"/>
      <c r="V277" s="123"/>
      <c r="Z277" s="209"/>
      <c r="AA277" s="123"/>
      <c r="AB277" s="123"/>
      <c r="AL277" s="123"/>
    </row>
    <row r="278" spans="3:40" x14ac:dyDescent="0.3">
      <c r="F278" s="123"/>
      <c r="R278" s="123"/>
      <c r="V278" s="123"/>
      <c r="AL278" s="123"/>
    </row>
    <row r="279" spans="3:40" x14ac:dyDescent="0.3">
      <c r="C279" s="42"/>
      <c r="F279" s="184"/>
      <c r="H279" s="184"/>
      <c r="I279" s="184"/>
      <c r="J279" s="193"/>
      <c r="K279" s="193"/>
      <c r="L279" s="123"/>
      <c r="M279" s="123"/>
      <c r="N279" s="160"/>
      <c r="O279" s="160"/>
      <c r="P279" s="123"/>
      <c r="Q279" s="123"/>
      <c r="R279" s="123"/>
      <c r="T279" s="42"/>
      <c r="V279" s="123"/>
      <c r="Y279" s="123"/>
      <c r="Z279" s="193"/>
      <c r="AA279" s="123"/>
      <c r="AB279" s="123"/>
      <c r="AC279" s="160"/>
      <c r="AD279" s="160"/>
      <c r="AE279" s="123"/>
      <c r="AF279" s="123"/>
      <c r="AH279" s="236"/>
      <c r="AI279" s="123"/>
      <c r="AJ279" s="123"/>
      <c r="AL279" s="123"/>
      <c r="AM279" s="160"/>
      <c r="AN279" s="160"/>
    </row>
    <row r="280" spans="3:40" x14ac:dyDescent="0.3">
      <c r="C280" s="42"/>
      <c r="F280" s="184"/>
      <c r="H280" s="222"/>
      <c r="I280" s="222"/>
      <c r="J280" s="193"/>
      <c r="K280" s="193"/>
      <c r="L280" s="123"/>
      <c r="M280" s="123"/>
      <c r="N280" s="160"/>
      <c r="O280" s="160"/>
      <c r="P280" s="123"/>
      <c r="Q280" s="123"/>
      <c r="R280" s="123"/>
      <c r="T280" s="42"/>
      <c r="V280" s="123"/>
      <c r="Y280" s="123"/>
      <c r="Z280" s="193"/>
      <c r="AA280" s="123"/>
      <c r="AB280" s="123"/>
      <c r="AC280" s="160"/>
      <c r="AD280" s="160"/>
      <c r="AE280" s="123"/>
      <c r="AF280" s="123"/>
      <c r="AH280" s="236"/>
      <c r="AI280" s="123"/>
      <c r="AJ280" s="123"/>
      <c r="AL280" s="123"/>
      <c r="AM280" s="160"/>
      <c r="AN280" s="160"/>
    </row>
    <row r="281" spans="3:40" x14ac:dyDescent="0.3">
      <c r="F281" s="210"/>
      <c r="H281" s="123"/>
      <c r="I281" s="123"/>
      <c r="J281" s="213"/>
      <c r="K281" s="213"/>
      <c r="L281" s="210"/>
      <c r="M281" s="210"/>
      <c r="N281" s="210"/>
      <c r="O281" s="210"/>
      <c r="P281" s="210"/>
      <c r="Q281" s="210"/>
      <c r="R281" s="210"/>
      <c r="V281" s="210"/>
      <c r="Y281" s="123"/>
      <c r="Z281" s="213"/>
      <c r="AA281" s="210"/>
      <c r="AB281" s="210"/>
      <c r="AC281" s="210"/>
      <c r="AD281" s="210"/>
      <c r="AE281" s="210"/>
      <c r="AF281" s="210"/>
      <c r="AI281" s="210"/>
      <c r="AJ281" s="210"/>
      <c r="AK281" s="214"/>
      <c r="AL281" s="210"/>
    </row>
    <row r="282" spans="3:40" x14ac:dyDescent="0.3">
      <c r="C282" s="42"/>
      <c r="F282" s="123"/>
      <c r="H282" s="123"/>
      <c r="I282" s="123"/>
      <c r="J282" s="219"/>
      <c r="K282" s="219"/>
      <c r="L282" s="123"/>
      <c r="M282" s="123"/>
      <c r="N282" s="160"/>
      <c r="O282" s="160"/>
      <c r="P282" s="123"/>
      <c r="Q282" s="123"/>
      <c r="R282" s="123"/>
      <c r="T282" s="42"/>
      <c r="V282" s="123"/>
      <c r="Y282" s="123"/>
      <c r="Z282" s="219"/>
      <c r="AA282" s="123"/>
      <c r="AB282" s="123"/>
      <c r="AC282" s="160"/>
      <c r="AD282" s="160"/>
      <c r="AE282" s="123"/>
      <c r="AF282" s="123"/>
      <c r="AH282" s="236"/>
      <c r="AI282" s="123"/>
      <c r="AJ282" s="123"/>
      <c r="AL282" s="123"/>
      <c r="AM282" s="160"/>
      <c r="AN282" s="160"/>
    </row>
    <row r="283" spans="3:40" x14ac:dyDescent="0.3">
      <c r="F283" s="210"/>
      <c r="H283" s="123"/>
      <c r="I283" s="123"/>
      <c r="J283" s="213"/>
      <c r="K283" s="213"/>
      <c r="L283" s="210"/>
      <c r="M283" s="210"/>
      <c r="N283" s="210"/>
      <c r="O283" s="210"/>
      <c r="P283" s="210"/>
      <c r="Q283" s="210"/>
      <c r="R283" s="210"/>
      <c r="V283" s="210"/>
      <c r="Y283" s="123"/>
      <c r="Z283" s="213"/>
      <c r="AA283" s="210"/>
      <c r="AB283" s="210"/>
      <c r="AC283" s="210"/>
      <c r="AD283" s="210"/>
      <c r="AE283" s="210"/>
      <c r="AF283" s="210"/>
      <c r="AI283" s="210"/>
      <c r="AJ283" s="210"/>
      <c r="AK283" s="214"/>
      <c r="AL283" s="210"/>
    </row>
    <row r="284" spans="3:40" x14ac:dyDescent="0.3">
      <c r="F284" s="123"/>
      <c r="R284" s="123"/>
      <c r="V284" s="123"/>
      <c r="AL284" s="123"/>
    </row>
    <row r="285" spans="3:40" x14ac:dyDescent="0.3">
      <c r="C285" s="42"/>
      <c r="F285" s="123"/>
      <c r="R285" s="123"/>
      <c r="T285" s="42"/>
      <c r="V285" s="123"/>
      <c r="AL285" s="123"/>
    </row>
    <row r="286" spans="3:40" x14ac:dyDescent="0.3">
      <c r="F286" s="123"/>
      <c r="R286" s="123"/>
      <c r="V286" s="123"/>
      <c r="AL286" s="123"/>
    </row>
    <row r="287" spans="3:40" x14ac:dyDescent="0.3">
      <c r="C287" s="42"/>
      <c r="F287" s="123"/>
      <c r="H287" s="184"/>
      <c r="I287" s="184"/>
      <c r="J287" s="227"/>
      <c r="K287" s="227"/>
      <c r="L287" s="123"/>
      <c r="M287" s="123"/>
      <c r="N287" s="160"/>
      <c r="O287" s="160"/>
      <c r="P287" s="184"/>
      <c r="Q287" s="184"/>
      <c r="R287" s="123"/>
      <c r="T287" s="42"/>
      <c r="V287" s="123"/>
      <c r="Y287" s="123"/>
      <c r="Z287" s="212"/>
      <c r="AA287" s="123"/>
      <c r="AB287" s="123"/>
      <c r="AC287" s="160"/>
      <c r="AD287" s="160"/>
      <c r="AE287" s="123"/>
      <c r="AF287" s="123"/>
      <c r="AH287" s="236"/>
      <c r="AI287" s="184"/>
      <c r="AJ287" s="184"/>
      <c r="AL287" s="123"/>
      <c r="AM287" s="160"/>
      <c r="AN287" s="160"/>
    </row>
    <row r="288" spans="3:40" x14ac:dyDescent="0.3">
      <c r="F288" s="210"/>
      <c r="H288" s="210"/>
      <c r="I288" s="210"/>
      <c r="J288" s="213"/>
      <c r="K288" s="213"/>
      <c r="L288" s="210"/>
      <c r="M288" s="210"/>
      <c r="N288" s="210"/>
      <c r="O288" s="210"/>
      <c r="P288" s="210"/>
      <c r="Q288" s="210"/>
      <c r="R288" s="210"/>
      <c r="V288" s="210"/>
      <c r="Y288" s="210"/>
      <c r="Z288" s="213"/>
      <c r="AA288" s="210"/>
      <c r="AB288" s="210"/>
      <c r="AC288" s="210"/>
      <c r="AD288" s="210"/>
      <c r="AE288" s="210"/>
      <c r="AF288" s="210"/>
      <c r="AI288" s="210"/>
      <c r="AJ288" s="210"/>
      <c r="AK288" s="214"/>
      <c r="AL288" s="210"/>
    </row>
    <row r="290" spans="1:40" x14ac:dyDescent="0.3">
      <c r="C290" s="42"/>
      <c r="F290" s="123"/>
      <c r="H290" s="123"/>
      <c r="I290" s="123"/>
      <c r="J290" s="209"/>
      <c r="K290" s="209"/>
      <c r="L290" s="123"/>
      <c r="M290" s="123"/>
      <c r="N290" s="160"/>
      <c r="O290" s="160"/>
      <c r="P290" s="123"/>
      <c r="Q290" s="123"/>
      <c r="R290" s="123"/>
      <c r="T290" s="42"/>
      <c r="V290" s="123"/>
      <c r="Y290" s="123"/>
      <c r="Z290" s="209"/>
      <c r="AA290" s="123"/>
      <c r="AB290" s="123"/>
      <c r="AC290" s="160"/>
      <c r="AD290" s="160"/>
      <c r="AE290" s="123"/>
      <c r="AF290" s="123"/>
      <c r="AH290" s="236"/>
      <c r="AI290" s="123"/>
      <c r="AJ290" s="123"/>
      <c r="AL290" s="123"/>
      <c r="AM290" s="160"/>
      <c r="AN290" s="160"/>
    </row>
    <row r="291" spans="1:40" x14ac:dyDescent="0.3">
      <c r="F291" s="210"/>
      <c r="H291" s="210"/>
      <c r="I291" s="210"/>
      <c r="J291" s="213"/>
      <c r="K291" s="213"/>
      <c r="L291" s="210"/>
      <c r="M291" s="210"/>
      <c r="N291" s="210"/>
      <c r="O291" s="210"/>
      <c r="P291" s="210"/>
      <c r="Q291" s="210"/>
      <c r="R291" s="210"/>
      <c r="V291" s="210"/>
      <c r="Y291" s="210"/>
      <c r="Z291" s="213"/>
      <c r="AA291" s="210"/>
      <c r="AB291" s="210"/>
      <c r="AC291" s="210"/>
      <c r="AD291" s="210"/>
      <c r="AE291" s="210"/>
      <c r="AF291" s="210"/>
      <c r="AI291" s="210"/>
      <c r="AJ291" s="210"/>
      <c r="AK291" s="214"/>
      <c r="AL291" s="210"/>
    </row>
    <row r="292" spans="1:40" x14ac:dyDescent="0.3">
      <c r="R292" s="123"/>
      <c r="AH292" s="123"/>
    </row>
    <row r="293" spans="1:40" x14ac:dyDescent="0.3">
      <c r="F293" s="123"/>
      <c r="H293" s="123"/>
      <c r="I293" s="123"/>
      <c r="J293" s="219"/>
      <c r="K293" s="219"/>
      <c r="L293" s="123"/>
      <c r="M293" s="123"/>
      <c r="N293" s="123"/>
      <c r="O293" s="123"/>
      <c r="P293" s="123"/>
      <c r="Q293" s="123"/>
      <c r="R293" s="123"/>
      <c r="V293" s="123"/>
      <c r="Y293" s="123"/>
      <c r="Z293" s="219"/>
      <c r="AA293" s="123"/>
      <c r="AB293" s="123"/>
      <c r="AC293" s="123"/>
      <c r="AD293" s="123"/>
      <c r="AE293" s="123"/>
      <c r="AF293" s="123"/>
      <c r="AH293" s="123"/>
    </row>
    <row r="294" spans="1:40" x14ac:dyDescent="0.3">
      <c r="C294" s="42"/>
      <c r="F294" s="123"/>
      <c r="H294" s="123"/>
      <c r="I294" s="123"/>
      <c r="J294" s="219"/>
      <c r="K294" s="219"/>
      <c r="L294" s="123"/>
      <c r="M294" s="123"/>
      <c r="N294" s="123"/>
      <c r="O294" s="123"/>
      <c r="P294" s="123"/>
      <c r="Q294" s="123"/>
      <c r="R294" s="123"/>
      <c r="T294" s="42"/>
      <c r="V294" s="123"/>
      <c r="Y294" s="123"/>
      <c r="Z294" s="219"/>
      <c r="AA294" s="123"/>
      <c r="AB294" s="123"/>
      <c r="AC294" s="123"/>
      <c r="AD294" s="123"/>
      <c r="AE294" s="123"/>
      <c r="AF294" s="123"/>
      <c r="AH294" s="123"/>
    </row>
    <row r="295" spans="1:40" x14ac:dyDescent="0.3">
      <c r="A295" s="42"/>
    </row>
    <row r="298" spans="1:40" x14ac:dyDescent="0.3">
      <c r="H298" s="42"/>
      <c r="I298" s="42"/>
      <c r="Y298" s="42"/>
    </row>
    <row r="300" spans="1:40" x14ac:dyDescent="0.3">
      <c r="L300" s="42"/>
      <c r="M300" s="42"/>
      <c r="AA300" s="42"/>
      <c r="AB300" s="42"/>
    </row>
    <row r="301" spans="1:40" x14ac:dyDescent="0.3">
      <c r="R301" s="42"/>
      <c r="AK301" s="206"/>
      <c r="AL301" s="42"/>
    </row>
    <row r="302" spans="1:40" x14ac:dyDescent="0.3">
      <c r="R302" s="42"/>
      <c r="AK302" s="206"/>
      <c r="AL302" s="42"/>
    </row>
    <row r="303" spans="1:40" x14ac:dyDescent="0.3">
      <c r="A303" s="42"/>
      <c r="R303" s="42"/>
      <c r="AK303" s="206"/>
      <c r="AL303" s="42"/>
    </row>
    <row r="304" spans="1:40" x14ac:dyDescent="0.3">
      <c r="L304" s="42"/>
      <c r="M304" s="42"/>
      <c r="AA304" s="42"/>
      <c r="AB304" s="42"/>
    </row>
    <row r="305" spans="1:40" x14ac:dyDescent="0.3">
      <c r="A305" s="135"/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207"/>
      <c r="AH305" s="135"/>
      <c r="AI305" s="135"/>
      <c r="AJ305" s="135"/>
      <c r="AK305" s="207"/>
      <c r="AL305" s="135"/>
      <c r="AM305" s="135"/>
      <c r="AN305" s="135"/>
    </row>
    <row r="306" spans="1:40" x14ac:dyDescent="0.3">
      <c r="L306" s="44"/>
      <c r="M306" s="44"/>
      <c r="N306" s="44"/>
      <c r="O306" s="44"/>
      <c r="R306" s="44"/>
      <c r="AA306" s="44"/>
      <c r="AB306" s="44"/>
      <c r="AC306" s="44"/>
      <c r="AD306" s="44"/>
      <c r="AE306" s="44"/>
      <c r="AF306" s="44"/>
      <c r="AG306" s="168"/>
      <c r="AH306" s="44"/>
      <c r="AK306" s="168"/>
      <c r="AL306" s="44"/>
      <c r="AM306" s="44"/>
      <c r="AN306" s="44"/>
    </row>
    <row r="307" spans="1:40" x14ac:dyDescent="0.3">
      <c r="L307" s="44"/>
      <c r="M307" s="44"/>
      <c r="N307" s="44"/>
      <c r="O307" s="44"/>
      <c r="R307" s="44"/>
      <c r="Z307" s="44"/>
      <c r="AA307" s="44"/>
      <c r="AB307" s="44"/>
      <c r="AC307" s="44"/>
      <c r="AD307" s="44"/>
      <c r="AE307" s="44"/>
      <c r="AF307" s="44"/>
      <c r="AG307" s="168"/>
      <c r="AH307" s="44"/>
      <c r="AK307" s="168"/>
      <c r="AL307" s="44"/>
      <c r="AM307" s="44"/>
      <c r="AN307" s="44"/>
    </row>
    <row r="308" spans="1:40" x14ac:dyDescent="0.3">
      <c r="A308" s="44"/>
      <c r="C308" s="44"/>
      <c r="D308" s="44"/>
      <c r="E308" s="44"/>
      <c r="F308" s="44"/>
      <c r="J308" s="44"/>
      <c r="K308" s="44"/>
      <c r="L308" s="44"/>
      <c r="M308" s="44"/>
      <c r="N308" s="44"/>
      <c r="O308" s="44"/>
      <c r="P308" s="44"/>
      <c r="Q308" s="44"/>
      <c r="R308" s="44"/>
      <c r="T308" s="44"/>
      <c r="U308" s="44"/>
      <c r="V308" s="44"/>
      <c r="Z308" s="44"/>
      <c r="AA308" s="44"/>
      <c r="AB308" s="44"/>
      <c r="AC308" s="44"/>
      <c r="AD308" s="44"/>
      <c r="AE308" s="44"/>
      <c r="AF308" s="44"/>
      <c r="AG308" s="168"/>
      <c r="AH308" s="44"/>
      <c r="AI308" s="44"/>
      <c r="AJ308" s="44"/>
      <c r="AK308" s="168"/>
      <c r="AL308" s="44"/>
      <c r="AM308" s="44"/>
      <c r="AN308" s="44"/>
    </row>
    <row r="309" spans="1:40" x14ac:dyDescent="0.3">
      <c r="A309" s="44"/>
      <c r="C309" s="44"/>
      <c r="D309" s="44"/>
      <c r="E309" s="44"/>
      <c r="F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T309" s="44"/>
      <c r="U309" s="44"/>
      <c r="V309" s="44"/>
      <c r="Y309" s="44"/>
      <c r="Z309" s="44"/>
      <c r="AA309" s="44"/>
      <c r="AB309" s="44"/>
      <c r="AC309" s="44"/>
      <c r="AD309" s="44"/>
      <c r="AE309" s="44"/>
      <c r="AF309" s="44"/>
      <c r="AG309" s="168"/>
      <c r="AH309" s="44"/>
      <c r="AI309" s="44"/>
      <c r="AJ309" s="44"/>
      <c r="AK309" s="168"/>
      <c r="AL309" s="44"/>
      <c r="AM309" s="44"/>
      <c r="AN309" s="44"/>
    </row>
    <row r="310" spans="1:40" x14ac:dyDescent="0.3">
      <c r="C310" s="44"/>
      <c r="D310" s="44"/>
      <c r="E310" s="44"/>
      <c r="F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T310" s="44"/>
      <c r="U310" s="44"/>
      <c r="V310" s="44"/>
      <c r="Y310" s="44"/>
      <c r="Z310" s="44"/>
      <c r="AA310" s="44"/>
      <c r="AB310" s="44"/>
      <c r="AC310" s="44"/>
      <c r="AD310" s="44"/>
      <c r="AE310" s="44"/>
      <c r="AF310" s="44"/>
      <c r="AG310" s="168"/>
      <c r="AH310" s="44"/>
      <c r="AI310" s="44"/>
      <c r="AJ310" s="44"/>
      <c r="AK310" s="168"/>
      <c r="AL310" s="44"/>
      <c r="AM310" s="44"/>
      <c r="AN310" s="44"/>
    </row>
    <row r="311" spans="1:40" x14ac:dyDescent="0.3">
      <c r="A311" s="135"/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207"/>
      <c r="AH311" s="135"/>
      <c r="AI311" s="135"/>
      <c r="AJ311" s="135"/>
      <c r="AK311" s="207"/>
      <c r="AL311" s="135"/>
      <c r="AM311" s="135"/>
      <c r="AN311" s="135"/>
    </row>
    <row r="312" spans="1:40" x14ac:dyDescent="0.3"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Y312" s="44"/>
      <c r="Z312" s="44"/>
      <c r="AA312" s="44"/>
      <c r="AB312" s="44"/>
      <c r="AC312" s="44"/>
      <c r="AD312" s="44"/>
      <c r="AE312" s="44"/>
      <c r="AF312" s="44"/>
      <c r="AG312" s="168"/>
      <c r="AH312" s="44"/>
      <c r="AI312" s="44"/>
      <c r="AJ312" s="44"/>
      <c r="AK312" s="168"/>
      <c r="AL312" s="44"/>
      <c r="AM312" s="44"/>
      <c r="AN312" s="44"/>
    </row>
    <row r="313" spans="1:40" x14ac:dyDescent="0.3">
      <c r="C313" s="42"/>
      <c r="D313" s="42"/>
      <c r="E313" s="42"/>
      <c r="T313" s="42"/>
      <c r="U313" s="42"/>
    </row>
    <row r="314" spans="1:40" x14ac:dyDescent="0.3">
      <c r="C314" s="42"/>
      <c r="T314" s="42"/>
    </row>
    <row r="316" spans="1:40" x14ac:dyDescent="0.3">
      <c r="C316" s="42"/>
      <c r="F316" s="184"/>
      <c r="H316" s="184"/>
      <c r="I316" s="184"/>
      <c r="J316" s="193"/>
      <c r="K316" s="193"/>
      <c r="L316" s="123"/>
      <c r="M316" s="123"/>
      <c r="N316" s="160"/>
      <c r="O316" s="160"/>
      <c r="R316" s="123"/>
      <c r="T316" s="42"/>
      <c r="V316" s="123"/>
      <c r="Y316" s="184"/>
      <c r="Z316" s="193"/>
      <c r="AA316" s="123"/>
      <c r="AB316" s="123"/>
      <c r="AC316" s="160"/>
      <c r="AD316" s="160"/>
      <c r="AE316" s="123"/>
      <c r="AF316" s="123"/>
      <c r="AH316" s="236"/>
      <c r="AL316" s="123"/>
      <c r="AM316" s="160"/>
      <c r="AN316" s="160"/>
    </row>
    <row r="317" spans="1:40" x14ac:dyDescent="0.3">
      <c r="F317" s="210"/>
      <c r="H317" s="123"/>
      <c r="I317" s="123"/>
      <c r="J317" s="213"/>
      <c r="K317" s="213"/>
      <c r="L317" s="210"/>
      <c r="M317" s="210"/>
      <c r="N317" s="210"/>
      <c r="O317" s="210"/>
      <c r="P317" s="210"/>
      <c r="Q317" s="210"/>
      <c r="R317" s="210"/>
      <c r="V317" s="210"/>
      <c r="Y317" s="123"/>
      <c r="Z317" s="213"/>
      <c r="AA317" s="210"/>
      <c r="AB317" s="210"/>
      <c r="AC317" s="210"/>
      <c r="AD317" s="210"/>
      <c r="AE317" s="210"/>
      <c r="AF317" s="210"/>
      <c r="AI317" s="210"/>
      <c r="AJ317" s="210"/>
      <c r="AK317" s="214"/>
      <c r="AL317" s="210"/>
      <c r="AM317" s="160"/>
      <c r="AN317" s="160"/>
    </row>
    <row r="318" spans="1:40" x14ac:dyDescent="0.3">
      <c r="C318" s="42"/>
      <c r="F318" s="184"/>
      <c r="H318" s="184"/>
      <c r="I318" s="184"/>
      <c r="J318" s="237"/>
      <c r="K318" s="237"/>
      <c r="L318" s="123"/>
      <c r="M318" s="123"/>
      <c r="N318" s="160"/>
      <c r="O318" s="160"/>
      <c r="P318" s="123"/>
      <c r="Q318" s="123"/>
      <c r="R318" s="123"/>
      <c r="S318" s="123"/>
      <c r="T318" s="42"/>
      <c r="V318" s="184"/>
      <c r="Y318" s="184"/>
      <c r="Z318" s="237"/>
      <c r="AA318" s="123"/>
      <c r="AB318" s="123"/>
      <c r="AC318" s="160"/>
      <c r="AD318" s="160"/>
      <c r="AE318" s="123"/>
      <c r="AF318" s="123"/>
      <c r="AH318" s="160"/>
      <c r="AI318" s="123"/>
      <c r="AJ318" s="123"/>
      <c r="AL318" s="123"/>
      <c r="AM318" s="160"/>
      <c r="AN318" s="160"/>
    </row>
    <row r="319" spans="1:40" x14ac:dyDescent="0.3">
      <c r="C319" s="42"/>
      <c r="F319" s="184"/>
      <c r="H319" s="184"/>
      <c r="I319" s="184"/>
      <c r="J319" s="193"/>
      <c r="K319" s="193"/>
      <c r="L319" s="123"/>
      <c r="M319" s="123"/>
      <c r="N319" s="160"/>
      <c r="O319" s="160"/>
      <c r="P319" s="123"/>
      <c r="Q319" s="123"/>
      <c r="R319" s="123"/>
      <c r="T319" s="42"/>
      <c r="V319" s="184"/>
      <c r="Y319" s="123"/>
      <c r="Z319" s="193"/>
      <c r="AA319" s="123"/>
      <c r="AB319" s="123"/>
      <c r="AC319" s="160"/>
      <c r="AD319" s="160"/>
      <c r="AE319" s="123"/>
      <c r="AF319" s="123"/>
      <c r="AH319" s="236"/>
      <c r="AI319" s="123"/>
      <c r="AJ319" s="123"/>
      <c r="AL319" s="123"/>
      <c r="AM319" s="160"/>
      <c r="AN319" s="160"/>
    </row>
    <row r="320" spans="1:40" x14ac:dyDescent="0.3">
      <c r="C320" s="42"/>
      <c r="F320" s="184"/>
      <c r="H320" s="184"/>
      <c r="I320" s="184"/>
      <c r="J320" s="193"/>
      <c r="K320" s="193"/>
      <c r="L320" s="123"/>
      <c r="M320" s="123"/>
      <c r="N320" s="160"/>
      <c r="O320" s="160"/>
      <c r="P320" s="123"/>
      <c r="Q320" s="123"/>
      <c r="R320" s="123"/>
      <c r="T320" s="42"/>
      <c r="V320" s="184"/>
      <c r="Y320" s="123"/>
      <c r="Z320" s="193"/>
      <c r="AA320" s="123"/>
      <c r="AB320" s="123"/>
      <c r="AC320" s="160"/>
      <c r="AD320" s="160"/>
      <c r="AE320" s="123"/>
      <c r="AF320" s="123"/>
      <c r="AH320" s="236"/>
      <c r="AI320" s="123"/>
      <c r="AJ320" s="123"/>
      <c r="AL320" s="123"/>
      <c r="AM320" s="160"/>
      <c r="AN320" s="160"/>
    </row>
    <row r="321" spans="3:40" x14ac:dyDescent="0.3">
      <c r="F321" s="210"/>
      <c r="H321" s="210"/>
      <c r="I321" s="210"/>
      <c r="J321" s="213"/>
      <c r="K321" s="213"/>
      <c r="L321" s="210"/>
      <c r="M321" s="210"/>
      <c r="N321" s="210"/>
      <c r="O321" s="210"/>
      <c r="P321" s="210"/>
      <c r="Q321" s="210"/>
      <c r="R321" s="210"/>
      <c r="V321" s="210"/>
      <c r="Y321" s="210"/>
      <c r="Z321" s="213"/>
      <c r="AA321" s="210"/>
      <c r="AB321" s="210"/>
      <c r="AC321" s="210"/>
      <c r="AD321" s="210"/>
      <c r="AE321" s="210"/>
      <c r="AF321" s="210"/>
      <c r="AI321" s="210"/>
      <c r="AJ321" s="210"/>
      <c r="AK321" s="214"/>
      <c r="AL321" s="210"/>
      <c r="AM321" s="160"/>
      <c r="AN321" s="160"/>
    </row>
    <row r="322" spans="3:40" x14ac:dyDescent="0.3">
      <c r="C322" s="42"/>
      <c r="F322" s="123"/>
      <c r="H322" s="123"/>
      <c r="I322" s="123"/>
      <c r="J322" s="219"/>
      <c r="K322" s="219"/>
      <c r="L322" s="123"/>
      <c r="M322" s="123"/>
      <c r="N322" s="160"/>
      <c r="O322" s="160"/>
      <c r="P322" s="123"/>
      <c r="Q322" s="123"/>
      <c r="R322" s="123"/>
      <c r="T322" s="42"/>
      <c r="V322" s="123"/>
      <c r="Y322" s="123"/>
      <c r="Z322" s="219"/>
      <c r="AA322" s="123"/>
      <c r="AB322" s="123"/>
      <c r="AC322" s="160"/>
      <c r="AD322" s="160"/>
      <c r="AE322" s="123"/>
      <c r="AF322" s="123"/>
      <c r="AH322" s="236"/>
      <c r="AI322" s="123"/>
      <c r="AJ322" s="123"/>
      <c r="AL322" s="123"/>
      <c r="AM322" s="160"/>
      <c r="AN322" s="160"/>
    </row>
    <row r="323" spans="3:40" x14ac:dyDescent="0.3">
      <c r="F323" s="210"/>
      <c r="H323" s="210"/>
      <c r="I323" s="210"/>
      <c r="J323" s="213"/>
      <c r="K323" s="213"/>
      <c r="L323" s="210"/>
      <c r="M323" s="210"/>
      <c r="N323" s="210"/>
      <c r="O323" s="210"/>
      <c r="P323" s="210"/>
      <c r="Q323" s="210"/>
      <c r="R323" s="210"/>
      <c r="V323" s="210"/>
      <c r="Y323" s="210"/>
      <c r="Z323" s="213"/>
      <c r="AA323" s="210"/>
      <c r="AB323" s="210"/>
      <c r="AC323" s="210"/>
      <c r="AD323" s="210"/>
      <c r="AE323" s="210"/>
      <c r="AF323" s="210"/>
      <c r="AI323" s="210"/>
      <c r="AJ323" s="210"/>
      <c r="AK323" s="214"/>
      <c r="AL323" s="210"/>
      <c r="AM323" s="160"/>
      <c r="AN323" s="160"/>
    </row>
    <row r="324" spans="3:40" x14ac:dyDescent="0.3">
      <c r="C324" s="42"/>
      <c r="F324" s="123"/>
      <c r="H324" s="123"/>
      <c r="I324" s="123"/>
      <c r="J324" s="219"/>
      <c r="K324" s="219"/>
      <c r="L324" s="123"/>
      <c r="M324" s="123"/>
      <c r="N324" s="160"/>
      <c r="O324" s="160"/>
      <c r="P324" s="123"/>
      <c r="Q324" s="123"/>
      <c r="R324" s="123"/>
      <c r="T324" s="42"/>
      <c r="V324" s="123"/>
      <c r="Y324" s="123"/>
      <c r="Z324" s="219"/>
      <c r="AA324" s="123"/>
      <c r="AB324" s="123"/>
      <c r="AC324" s="160"/>
      <c r="AD324" s="160"/>
      <c r="AE324" s="123"/>
      <c r="AF324" s="123"/>
      <c r="AH324" s="236"/>
      <c r="AI324" s="123"/>
      <c r="AJ324" s="123"/>
      <c r="AL324" s="123"/>
      <c r="AM324" s="160"/>
      <c r="AN324" s="160"/>
    </row>
    <row r="325" spans="3:40" x14ac:dyDescent="0.3">
      <c r="C325" s="42"/>
      <c r="F325" s="123"/>
      <c r="H325" s="184"/>
      <c r="I325" s="184"/>
      <c r="J325" s="227"/>
      <c r="K325" s="227"/>
      <c r="L325" s="123"/>
      <c r="M325" s="123"/>
      <c r="N325" s="160"/>
      <c r="O325" s="160"/>
      <c r="P325" s="123"/>
      <c r="Q325" s="123"/>
      <c r="R325" s="123"/>
      <c r="T325" s="42"/>
      <c r="V325" s="123"/>
      <c r="Y325" s="123"/>
      <c r="Z325" s="212"/>
      <c r="AA325" s="123"/>
      <c r="AB325" s="123"/>
      <c r="AC325" s="160"/>
      <c r="AD325" s="160"/>
      <c r="AE325" s="123"/>
      <c r="AF325" s="123"/>
      <c r="AH325" s="236"/>
      <c r="AI325" s="123"/>
      <c r="AJ325" s="123"/>
      <c r="AL325" s="123"/>
      <c r="AM325" s="160"/>
      <c r="AN325" s="160"/>
    </row>
    <row r="326" spans="3:40" x14ac:dyDescent="0.3">
      <c r="F326" s="210"/>
      <c r="H326" s="210"/>
      <c r="I326" s="210"/>
      <c r="J326" s="213"/>
      <c r="K326" s="213"/>
      <c r="L326" s="210"/>
      <c r="M326" s="210"/>
      <c r="N326" s="210"/>
      <c r="O326" s="210"/>
      <c r="P326" s="210"/>
      <c r="Q326" s="210"/>
      <c r="R326" s="210"/>
      <c r="V326" s="210"/>
      <c r="Y326" s="210"/>
      <c r="Z326" s="213"/>
      <c r="AA326" s="210"/>
      <c r="AB326" s="210"/>
      <c r="AC326" s="210"/>
      <c r="AD326" s="210"/>
      <c r="AE326" s="210"/>
      <c r="AF326" s="210"/>
      <c r="AI326" s="210"/>
      <c r="AJ326" s="210"/>
      <c r="AK326" s="214"/>
      <c r="AL326" s="210"/>
      <c r="AM326" s="160"/>
      <c r="AN326" s="160"/>
    </row>
    <row r="328" spans="3:40" x14ac:dyDescent="0.3">
      <c r="C328" s="42"/>
      <c r="F328" s="123"/>
      <c r="H328" s="123"/>
      <c r="I328" s="123"/>
      <c r="J328" s="213"/>
      <c r="K328" s="213"/>
      <c r="L328" s="123"/>
      <c r="M328" s="123"/>
      <c r="N328" s="160"/>
      <c r="O328" s="160"/>
      <c r="P328" s="123"/>
      <c r="Q328" s="123"/>
      <c r="R328" s="123"/>
      <c r="S328" s="123"/>
      <c r="T328" s="42"/>
      <c r="V328" s="123"/>
      <c r="Y328" s="123"/>
      <c r="Z328" s="213"/>
      <c r="AA328" s="123"/>
      <c r="AB328" s="123"/>
      <c r="AC328" s="160"/>
      <c r="AD328" s="160"/>
      <c r="AE328" s="123"/>
      <c r="AF328" s="123"/>
      <c r="AH328" s="160"/>
      <c r="AI328" s="123"/>
      <c r="AJ328" s="123"/>
      <c r="AL328" s="123"/>
      <c r="AM328" s="160"/>
      <c r="AN328" s="160"/>
    </row>
    <row r="329" spans="3:40" x14ac:dyDescent="0.3">
      <c r="F329" s="210"/>
      <c r="H329" s="210"/>
      <c r="I329" s="210"/>
      <c r="J329" s="213"/>
      <c r="K329" s="213"/>
      <c r="L329" s="210"/>
      <c r="M329" s="210"/>
      <c r="N329" s="210"/>
      <c r="O329" s="210"/>
      <c r="P329" s="210"/>
      <c r="Q329" s="210"/>
      <c r="R329" s="210"/>
      <c r="S329" s="123"/>
      <c r="V329" s="210"/>
      <c r="Y329" s="210"/>
      <c r="Z329" s="213"/>
      <c r="AA329" s="210"/>
      <c r="AB329" s="210"/>
      <c r="AC329" s="210"/>
      <c r="AD329" s="210"/>
      <c r="AE329" s="210"/>
      <c r="AF329" s="210"/>
      <c r="AI329" s="210"/>
      <c r="AJ329" s="210"/>
      <c r="AK329" s="214"/>
      <c r="AL329" s="210"/>
      <c r="AM329" s="160"/>
      <c r="AN329" s="160"/>
    </row>
    <row r="330" spans="3:40" x14ac:dyDescent="0.3">
      <c r="C330" s="42"/>
      <c r="F330" s="184"/>
      <c r="H330" s="184"/>
      <c r="I330" s="184"/>
      <c r="J330" s="213"/>
      <c r="K330" s="213"/>
      <c r="L330" s="123"/>
      <c r="M330" s="123"/>
      <c r="N330" s="160"/>
      <c r="O330" s="160"/>
      <c r="P330" s="123"/>
      <c r="Q330" s="123"/>
      <c r="R330" s="123"/>
      <c r="S330" s="123"/>
      <c r="T330" s="42"/>
      <c r="V330" s="184"/>
      <c r="Y330" s="184"/>
      <c r="Z330" s="213"/>
      <c r="AA330" s="123"/>
      <c r="AB330" s="123"/>
      <c r="AC330" s="160"/>
      <c r="AD330" s="160"/>
      <c r="AE330" s="123"/>
      <c r="AF330" s="123"/>
      <c r="AI330" s="123"/>
      <c r="AJ330" s="123"/>
      <c r="AL330" s="123"/>
      <c r="AM330" s="160"/>
      <c r="AN330" s="160"/>
    </row>
    <row r="332" spans="3:40" x14ac:dyDescent="0.3">
      <c r="C332" s="42"/>
      <c r="F332" s="184"/>
      <c r="H332" s="184"/>
      <c r="I332" s="184"/>
      <c r="J332" s="193"/>
      <c r="K332" s="193"/>
      <c r="L332" s="123"/>
      <c r="M332" s="123"/>
      <c r="N332" s="160"/>
      <c r="O332" s="160"/>
      <c r="R332" s="123"/>
      <c r="T332" s="42"/>
      <c r="V332" s="123"/>
      <c r="Y332" s="184"/>
      <c r="Z332" s="193"/>
      <c r="AA332" s="123"/>
      <c r="AB332" s="123"/>
      <c r="AC332" s="160"/>
      <c r="AD332" s="160"/>
      <c r="AE332" s="123"/>
      <c r="AF332" s="123"/>
      <c r="AH332" s="236"/>
      <c r="AL332" s="123"/>
      <c r="AM332" s="160"/>
      <c r="AN332" s="160"/>
    </row>
    <row r="333" spans="3:40" x14ac:dyDescent="0.3">
      <c r="F333" s="210"/>
      <c r="H333" s="123"/>
      <c r="I333" s="123"/>
      <c r="J333" s="213"/>
      <c r="K333" s="213"/>
      <c r="L333" s="210"/>
      <c r="M333" s="210"/>
      <c r="N333" s="210"/>
      <c r="O333" s="210"/>
      <c r="P333" s="210"/>
      <c r="Q333" s="210"/>
      <c r="R333" s="210"/>
      <c r="V333" s="210"/>
      <c r="Y333" s="123"/>
      <c r="Z333" s="213"/>
      <c r="AA333" s="210"/>
      <c r="AB333" s="210"/>
      <c r="AC333" s="210"/>
      <c r="AD333" s="210"/>
      <c r="AE333" s="210"/>
      <c r="AF333" s="210"/>
      <c r="AI333" s="210"/>
      <c r="AJ333" s="210"/>
      <c r="AK333" s="214"/>
      <c r="AL333" s="210"/>
      <c r="AM333" s="160"/>
      <c r="AN333" s="160"/>
    </row>
    <row r="334" spans="3:40" x14ac:dyDescent="0.3">
      <c r="C334" s="42"/>
      <c r="F334" s="184"/>
      <c r="H334" s="184"/>
      <c r="I334" s="184"/>
      <c r="J334" s="237"/>
      <c r="K334" s="237"/>
      <c r="L334" s="123"/>
      <c r="M334" s="123"/>
      <c r="N334" s="160"/>
      <c r="O334" s="160"/>
      <c r="P334" s="123"/>
      <c r="Q334" s="123"/>
      <c r="R334" s="123"/>
      <c r="S334" s="123"/>
      <c r="T334" s="42"/>
      <c r="V334" s="184"/>
      <c r="Y334" s="184"/>
      <c r="Z334" s="237"/>
      <c r="AA334" s="123"/>
      <c r="AB334" s="123"/>
      <c r="AC334" s="160"/>
      <c r="AD334" s="160"/>
      <c r="AE334" s="123"/>
      <c r="AF334" s="123"/>
      <c r="AH334" s="160"/>
      <c r="AI334" s="123"/>
      <c r="AJ334" s="123"/>
      <c r="AL334" s="123"/>
      <c r="AM334" s="160"/>
      <c r="AN334" s="160"/>
    </row>
    <row r="335" spans="3:40" x14ac:dyDescent="0.3">
      <c r="C335" s="42"/>
      <c r="F335" s="184"/>
      <c r="H335" s="184"/>
      <c r="I335" s="184"/>
      <c r="J335" s="193"/>
      <c r="K335" s="193"/>
      <c r="L335" s="123"/>
      <c r="M335" s="123"/>
      <c r="N335" s="160"/>
      <c r="O335" s="160"/>
      <c r="P335" s="123"/>
      <c r="Q335" s="123"/>
      <c r="R335" s="123"/>
      <c r="T335" s="42"/>
      <c r="V335" s="184"/>
      <c r="Y335" s="123"/>
      <c r="Z335" s="193"/>
      <c r="AA335" s="123"/>
      <c r="AB335" s="123"/>
      <c r="AC335" s="160"/>
      <c r="AD335" s="160"/>
      <c r="AE335" s="123"/>
      <c r="AF335" s="123"/>
      <c r="AH335" s="236"/>
      <c r="AI335" s="123"/>
      <c r="AJ335" s="123"/>
      <c r="AL335" s="123"/>
      <c r="AM335" s="160"/>
      <c r="AN335" s="160"/>
    </row>
    <row r="336" spans="3:40" x14ac:dyDescent="0.3">
      <c r="C336" s="42"/>
      <c r="F336" s="184"/>
      <c r="H336" s="184"/>
      <c r="I336" s="184"/>
      <c r="J336" s="193"/>
      <c r="K336" s="193"/>
      <c r="L336" s="123"/>
      <c r="M336" s="123"/>
      <c r="N336" s="160"/>
      <c r="O336" s="160"/>
      <c r="P336" s="123"/>
      <c r="Q336" s="123"/>
      <c r="R336" s="123"/>
      <c r="T336" s="42"/>
      <c r="V336" s="184"/>
      <c r="Y336" s="123"/>
      <c r="Z336" s="193"/>
      <c r="AA336" s="123"/>
      <c r="AB336" s="123"/>
      <c r="AC336" s="160"/>
      <c r="AD336" s="160"/>
      <c r="AE336" s="123"/>
      <c r="AF336" s="123"/>
      <c r="AH336" s="236"/>
      <c r="AI336" s="123"/>
      <c r="AJ336" s="123"/>
      <c r="AL336" s="123"/>
      <c r="AM336" s="160"/>
      <c r="AN336" s="160"/>
    </row>
    <row r="337" spans="1:40" x14ac:dyDescent="0.3">
      <c r="F337" s="210"/>
      <c r="H337" s="210"/>
      <c r="I337" s="210"/>
      <c r="J337" s="213"/>
      <c r="K337" s="213"/>
      <c r="L337" s="210"/>
      <c r="M337" s="210"/>
      <c r="N337" s="210"/>
      <c r="O337" s="210"/>
      <c r="P337" s="210"/>
      <c r="Q337" s="210"/>
      <c r="R337" s="210"/>
      <c r="V337" s="210"/>
      <c r="Y337" s="210"/>
      <c r="Z337" s="213"/>
      <c r="AA337" s="210"/>
      <c r="AB337" s="210"/>
      <c r="AC337" s="210"/>
      <c r="AD337" s="210"/>
      <c r="AE337" s="210"/>
      <c r="AF337" s="210"/>
      <c r="AI337" s="210"/>
      <c r="AJ337" s="210"/>
      <c r="AK337" s="214"/>
      <c r="AL337" s="210"/>
      <c r="AM337" s="160"/>
      <c r="AN337" s="160"/>
    </row>
    <row r="338" spans="1:40" x14ac:dyDescent="0.3">
      <c r="C338" s="42"/>
      <c r="F338" s="123"/>
      <c r="H338" s="123"/>
      <c r="I338" s="123"/>
      <c r="J338" s="219"/>
      <c r="K338" s="219"/>
      <c r="L338" s="123"/>
      <c r="M338" s="123"/>
      <c r="N338" s="160"/>
      <c r="O338" s="160"/>
      <c r="P338" s="123"/>
      <c r="Q338" s="123"/>
      <c r="R338" s="123"/>
      <c r="T338" s="42"/>
      <c r="V338" s="123"/>
      <c r="Y338" s="123"/>
      <c r="Z338" s="219"/>
      <c r="AA338" s="123"/>
      <c r="AB338" s="123"/>
      <c r="AC338" s="160"/>
      <c r="AD338" s="160"/>
      <c r="AE338" s="123"/>
      <c r="AF338" s="123"/>
      <c r="AH338" s="236"/>
      <c r="AI338" s="123"/>
      <c r="AJ338" s="123"/>
      <c r="AL338" s="123"/>
      <c r="AM338" s="160"/>
      <c r="AN338" s="160"/>
    </row>
    <row r="339" spans="1:40" x14ac:dyDescent="0.3">
      <c r="F339" s="210"/>
      <c r="H339" s="210"/>
      <c r="I339" s="210"/>
      <c r="J339" s="213"/>
      <c r="K339" s="213"/>
      <c r="L339" s="210"/>
      <c r="M339" s="210"/>
      <c r="N339" s="210"/>
      <c r="O339" s="210"/>
      <c r="P339" s="210"/>
      <c r="Q339" s="210"/>
      <c r="R339" s="210"/>
      <c r="V339" s="210"/>
      <c r="Y339" s="210"/>
      <c r="Z339" s="213"/>
      <c r="AA339" s="210"/>
      <c r="AB339" s="210"/>
      <c r="AC339" s="210"/>
      <c r="AD339" s="210"/>
      <c r="AE339" s="210"/>
      <c r="AF339" s="210"/>
      <c r="AI339" s="210"/>
      <c r="AJ339" s="210"/>
      <c r="AK339" s="214"/>
      <c r="AL339" s="210"/>
      <c r="AM339" s="160"/>
      <c r="AN339" s="160"/>
    </row>
    <row r="340" spans="1:40" x14ac:dyDescent="0.3">
      <c r="C340" s="42"/>
      <c r="F340" s="123"/>
      <c r="H340" s="123"/>
      <c r="I340" s="123"/>
      <c r="J340" s="219"/>
      <c r="K340" s="219"/>
      <c r="L340" s="123"/>
      <c r="M340" s="123"/>
      <c r="N340" s="160"/>
      <c r="O340" s="160"/>
      <c r="P340" s="123"/>
      <c r="Q340" s="123"/>
      <c r="R340" s="123"/>
      <c r="T340" s="42"/>
      <c r="V340" s="123"/>
      <c r="Y340" s="123"/>
      <c r="Z340" s="219"/>
      <c r="AA340" s="123"/>
      <c r="AB340" s="123"/>
      <c r="AC340" s="160"/>
      <c r="AD340" s="160"/>
      <c r="AE340" s="123"/>
      <c r="AF340" s="123"/>
      <c r="AH340" s="236"/>
      <c r="AI340" s="123"/>
      <c r="AJ340" s="123"/>
      <c r="AL340" s="123"/>
      <c r="AM340" s="160"/>
      <c r="AN340" s="160"/>
    </row>
    <row r="341" spans="1:40" x14ac:dyDescent="0.3">
      <c r="C341" s="42"/>
      <c r="F341" s="123"/>
      <c r="H341" s="184"/>
      <c r="I341" s="184"/>
      <c r="J341" s="227"/>
      <c r="K341" s="227"/>
      <c r="L341" s="123"/>
      <c r="M341" s="123"/>
      <c r="N341" s="160"/>
      <c r="O341" s="160"/>
      <c r="P341" s="123"/>
      <c r="Q341" s="123"/>
      <c r="R341" s="123"/>
      <c r="T341" s="42"/>
      <c r="V341" s="123"/>
      <c r="Y341" s="123"/>
      <c r="Z341" s="212"/>
      <c r="AA341" s="123"/>
      <c r="AB341" s="123"/>
      <c r="AC341" s="160"/>
      <c r="AD341" s="160"/>
      <c r="AE341" s="123"/>
      <c r="AF341" s="123"/>
      <c r="AH341" s="236"/>
      <c r="AI341" s="123"/>
      <c r="AJ341" s="123"/>
      <c r="AL341" s="123"/>
      <c r="AM341" s="160"/>
      <c r="AN341" s="160"/>
    </row>
    <row r="342" spans="1:40" x14ac:dyDescent="0.3">
      <c r="F342" s="210"/>
      <c r="H342" s="210"/>
      <c r="I342" s="210"/>
      <c r="J342" s="213"/>
      <c r="K342" s="213"/>
      <c r="L342" s="210"/>
      <c r="M342" s="210"/>
      <c r="N342" s="210"/>
      <c r="O342" s="210"/>
      <c r="P342" s="210"/>
      <c r="Q342" s="210"/>
      <c r="R342" s="210"/>
      <c r="V342" s="210"/>
      <c r="Y342" s="210"/>
      <c r="Z342" s="213"/>
      <c r="AA342" s="210"/>
      <c r="AB342" s="210"/>
      <c r="AC342" s="210"/>
      <c r="AD342" s="210"/>
      <c r="AE342" s="210"/>
      <c r="AF342" s="210"/>
      <c r="AI342" s="210"/>
      <c r="AJ342" s="210"/>
      <c r="AK342" s="214"/>
      <c r="AL342" s="210"/>
      <c r="AM342" s="160"/>
      <c r="AN342" s="160"/>
    </row>
    <row r="344" spans="1:40" x14ac:dyDescent="0.3">
      <c r="C344" s="42"/>
      <c r="F344" s="123"/>
      <c r="H344" s="123"/>
      <c r="I344" s="123"/>
      <c r="J344" s="213"/>
      <c r="K344" s="213"/>
      <c r="L344" s="123"/>
      <c r="M344" s="123"/>
      <c r="N344" s="160"/>
      <c r="O344" s="160"/>
      <c r="P344" s="123"/>
      <c r="Q344" s="123"/>
      <c r="R344" s="123"/>
      <c r="S344" s="123"/>
      <c r="T344" s="42"/>
      <c r="V344" s="123"/>
      <c r="Y344" s="123"/>
      <c r="Z344" s="213"/>
      <c r="AA344" s="123"/>
      <c r="AB344" s="123"/>
      <c r="AC344" s="160"/>
      <c r="AD344" s="160"/>
      <c r="AE344" s="123"/>
      <c r="AF344" s="123"/>
      <c r="AH344" s="160"/>
      <c r="AI344" s="123"/>
      <c r="AJ344" s="123"/>
      <c r="AL344" s="123"/>
      <c r="AM344" s="160"/>
      <c r="AN344" s="160"/>
    </row>
    <row r="345" spans="1:40" x14ac:dyDescent="0.3">
      <c r="F345" s="210"/>
      <c r="H345" s="210"/>
      <c r="I345" s="210"/>
      <c r="J345" s="213"/>
      <c r="K345" s="213"/>
      <c r="L345" s="210"/>
      <c r="M345" s="210"/>
      <c r="N345" s="210"/>
      <c r="O345" s="210"/>
      <c r="P345" s="210"/>
      <c r="Q345" s="210"/>
      <c r="R345" s="210"/>
      <c r="S345" s="123"/>
      <c r="V345" s="210"/>
      <c r="Y345" s="210"/>
      <c r="Z345" s="213"/>
      <c r="AA345" s="210"/>
      <c r="AB345" s="210"/>
      <c r="AC345" s="210"/>
      <c r="AD345" s="210"/>
      <c r="AE345" s="210"/>
      <c r="AF345" s="210"/>
      <c r="AI345" s="210"/>
      <c r="AJ345" s="210"/>
      <c r="AK345" s="214"/>
      <c r="AL345" s="210"/>
      <c r="AM345" s="160"/>
      <c r="AN345" s="160"/>
    </row>
    <row r="346" spans="1:40" x14ac:dyDescent="0.3">
      <c r="C346" s="42"/>
      <c r="T346" s="42"/>
    </row>
    <row r="347" spans="1:40" x14ac:dyDescent="0.3">
      <c r="C347" s="42"/>
      <c r="F347" s="123"/>
      <c r="H347" s="123"/>
      <c r="I347" s="123"/>
      <c r="L347" s="123"/>
      <c r="M347" s="123"/>
      <c r="N347" s="160"/>
      <c r="O347" s="160"/>
      <c r="P347" s="184"/>
      <c r="Q347" s="184"/>
      <c r="R347" s="123"/>
      <c r="T347" s="42"/>
      <c r="V347" s="123"/>
      <c r="Y347" s="123"/>
      <c r="AA347" s="123"/>
      <c r="AB347" s="123"/>
      <c r="AC347" s="160"/>
      <c r="AD347" s="160"/>
      <c r="AE347" s="123"/>
      <c r="AF347" s="123"/>
      <c r="AH347" s="160"/>
      <c r="AI347" s="184"/>
      <c r="AJ347" s="184"/>
      <c r="AL347" s="123"/>
      <c r="AM347" s="160"/>
      <c r="AN347" s="160"/>
    </row>
    <row r="348" spans="1:40" x14ac:dyDescent="0.3">
      <c r="F348" s="210"/>
      <c r="H348" s="210"/>
      <c r="I348" s="210"/>
      <c r="J348" s="213"/>
      <c r="K348" s="213"/>
      <c r="L348" s="210"/>
      <c r="M348" s="210"/>
      <c r="N348" s="210"/>
      <c r="O348" s="210"/>
      <c r="P348" s="210"/>
      <c r="Q348" s="210"/>
      <c r="R348" s="210"/>
      <c r="V348" s="210"/>
      <c r="Y348" s="210"/>
      <c r="Z348" s="213"/>
      <c r="AA348" s="210"/>
      <c r="AB348" s="210"/>
      <c r="AC348" s="210"/>
      <c r="AD348" s="210"/>
      <c r="AE348" s="210"/>
      <c r="AF348" s="210"/>
      <c r="AI348" s="210"/>
      <c r="AJ348" s="210"/>
      <c r="AK348" s="214"/>
      <c r="AL348" s="210"/>
    </row>
    <row r="350" spans="1:40" x14ac:dyDescent="0.3">
      <c r="C350" s="42"/>
      <c r="L350" s="123"/>
      <c r="M350" s="123"/>
      <c r="N350" s="123"/>
      <c r="O350" s="123"/>
      <c r="P350" s="123"/>
      <c r="Q350" s="123"/>
      <c r="R350" s="123"/>
      <c r="S350" s="123"/>
      <c r="T350" s="42"/>
      <c r="AA350" s="123"/>
      <c r="AB350" s="123"/>
      <c r="AC350" s="123"/>
      <c r="AD350" s="123"/>
      <c r="AI350" s="123"/>
      <c r="AJ350" s="123"/>
      <c r="AL350" s="123"/>
    </row>
    <row r="351" spans="1:40" x14ac:dyDescent="0.3">
      <c r="A351" s="42"/>
    </row>
    <row r="353" spans="1:40" x14ac:dyDescent="0.3">
      <c r="H353" s="42"/>
      <c r="I353" s="42"/>
      <c r="Y353" s="42"/>
    </row>
    <row r="355" spans="1:40" x14ac:dyDescent="0.3">
      <c r="L355" s="42"/>
      <c r="M355" s="42"/>
      <c r="AA355" s="42"/>
      <c r="AB355" s="42"/>
    </row>
    <row r="356" spans="1:40" x14ac:dyDescent="0.3">
      <c r="R356" s="42"/>
      <c r="AK356" s="206"/>
      <c r="AL356" s="42"/>
    </row>
    <row r="357" spans="1:40" x14ac:dyDescent="0.3">
      <c r="R357" s="42"/>
      <c r="AK357" s="206"/>
      <c r="AL357" s="42"/>
    </row>
    <row r="358" spans="1:40" x14ac:dyDescent="0.3">
      <c r="A358" s="42"/>
      <c r="R358" s="42"/>
      <c r="AK358" s="206"/>
      <c r="AL358" s="42"/>
    </row>
    <row r="359" spans="1:40" x14ac:dyDescent="0.3">
      <c r="L359" s="42"/>
      <c r="M359" s="42"/>
      <c r="AA359" s="42"/>
      <c r="AB359" s="42"/>
    </row>
    <row r="360" spans="1:40" x14ac:dyDescent="0.3">
      <c r="A360" s="135"/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207"/>
      <c r="AH360" s="135"/>
      <c r="AI360" s="135"/>
      <c r="AJ360" s="135"/>
      <c r="AK360" s="207"/>
      <c r="AL360" s="135"/>
      <c r="AM360" s="135"/>
      <c r="AN360" s="135"/>
    </row>
    <row r="361" spans="1:40" x14ac:dyDescent="0.3">
      <c r="L361" s="44"/>
      <c r="M361" s="44"/>
      <c r="N361" s="44"/>
      <c r="O361" s="44"/>
      <c r="R361" s="44"/>
      <c r="AA361" s="44"/>
      <c r="AB361" s="44"/>
      <c r="AC361" s="44"/>
      <c r="AD361" s="44"/>
      <c r="AE361" s="44"/>
      <c r="AF361" s="44"/>
      <c r="AG361" s="168"/>
      <c r="AH361" s="44"/>
      <c r="AK361" s="168"/>
      <c r="AL361" s="44"/>
      <c r="AM361" s="44"/>
      <c r="AN361" s="44"/>
    </row>
    <row r="362" spans="1:40" x14ac:dyDescent="0.3">
      <c r="L362" s="44"/>
      <c r="M362" s="44"/>
      <c r="N362" s="44"/>
      <c r="O362" s="44"/>
      <c r="R362" s="44"/>
      <c r="Z362" s="44"/>
      <c r="AA362" s="44"/>
      <c r="AB362" s="44"/>
      <c r="AC362" s="44"/>
      <c r="AD362" s="44"/>
      <c r="AE362" s="44"/>
      <c r="AF362" s="44"/>
      <c r="AG362" s="168"/>
      <c r="AH362" s="44"/>
      <c r="AK362" s="168"/>
      <c r="AL362" s="44"/>
      <c r="AM362" s="44"/>
      <c r="AN362" s="44"/>
    </row>
    <row r="363" spans="1:40" x14ac:dyDescent="0.3">
      <c r="A363" s="44"/>
      <c r="C363" s="44"/>
      <c r="D363" s="44"/>
      <c r="E363" s="44"/>
      <c r="F363" s="44"/>
      <c r="J363" s="44"/>
      <c r="K363" s="44"/>
      <c r="L363" s="44"/>
      <c r="M363" s="44"/>
      <c r="N363" s="44"/>
      <c r="O363" s="44"/>
      <c r="P363" s="44"/>
      <c r="Q363" s="44"/>
      <c r="R363" s="44"/>
      <c r="T363" s="44"/>
      <c r="U363" s="44"/>
      <c r="V363" s="44"/>
      <c r="Z363" s="44"/>
      <c r="AA363" s="44"/>
      <c r="AB363" s="44"/>
      <c r="AC363" s="44"/>
      <c r="AD363" s="44"/>
      <c r="AE363" s="44"/>
      <c r="AF363" s="44"/>
      <c r="AG363" s="168"/>
      <c r="AH363" s="44"/>
      <c r="AI363" s="44"/>
      <c r="AJ363" s="44"/>
      <c r="AK363" s="168"/>
      <c r="AL363" s="44"/>
      <c r="AM363" s="44"/>
      <c r="AN363" s="44"/>
    </row>
    <row r="364" spans="1:40" x14ac:dyDescent="0.3">
      <c r="A364" s="44"/>
      <c r="C364" s="44"/>
      <c r="D364" s="44"/>
      <c r="E364" s="44"/>
      <c r="F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T364" s="44"/>
      <c r="U364" s="44"/>
      <c r="V364" s="44"/>
      <c r="Y364" s="44"/>
      <c r="Z364" s="44"/>
      <c r="AA364" s="44"/>
      <c r="AB364" s="44"/>
      <c r="AC364" s="44"/>
      <c r="AD364" s="44"/>
      <c r="AE364" s="44"/>
      <c r="AF364" s="44"/>
      <c r="AG364" s="168"/>
      <c r="AH364" s="44"/>
      <c r="AI364" s="44"/>
      <c r="AJ364" s="44"/>
      <c r="AK364" s="168"/>
      <c r="AL364" s="44"/>
      <c r="AM364" s="44"/>
      <c r="AN364" s="44"/>
    </row>
    <row r="365" spans="1:40" x14ac:dyDescent="0.3">
      <c r="C365" s="44"/>
      <c r="D365" s="44"/>
      <c r="E365" s="44"/>
      <c r="F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T365" s="44"/>
      <c r="U365" s="44"/>
      <c r="V365" s="44"/>
      <c r="Y365" s="44"/>
      <c r="Z365" s="44"/>
      <c r="AA365" s="44"/>
      <c r="AB365" s="44"/>
      <c r="AC365" s="44"/>
      <c r="AD365" s="44"/>
      <c r="AE365" s="44"/>
      <c r="AF365" s="44"/>
      <c r="AG365" s="168"/>
      <c r="AH365" s="44"/>
      <c r="AI365" s="44"/>
      <c r="AJ365" s="44"/>
      <c r="AK365" s="168"/>
      <c r="AL365" s="44"/>
      <c r="AM365" s="44"/>
      <c r="AN365" s="44"/>
    </row>
    <row r="366" spans="1:40" x14ac:dyDescent="0.3">
      <c r="A366" s="135"/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207"/>
      <c r="AH366" s="135"/>
      <c r="AI366" s="135"/>
      <c r="AJ366" s="135"/>
      <c r="AK366" s="207"/>
      <c r="AL366" s="135"/>
      <c r="AM366" s="135"/>
      <c r="AN366" s="135"/>
    </row>
    <row r="367" spans="1:40" x14ac:dyDescent="0.3"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Y367" s="44"/>
      <c r="Z367" s="44"/>
      <c r="AA367" s="44"/>
      <c r="AB367" s="44"/>
      <c r="AC367" s="44"/>
      <c r="AD367" s="44"/>
      <c r="AE367" s="44"/>
      <c r="AF367" s="44"/>
      <c r="AG367" s="168"/>
      <c r="AH367" s="44"/>
      <c r="AI367" s="44"/>
      <c r="AJ367" s="44"/>
      <c r="AK367" s="168"/>
      <c r="AL367" s="44"/>
      <c r="AM367" s="44"/>
      <c r="AN367" s="44"/>
    </row>
    <row r="368" spans="1:40" x14ac:dyDescent="0.3">
      <c r="C368" s="42"/>
      <c r="D368" s="42"/>
      <c r="E368" s="42"/>
      <c r="T368" s="42"/>
      <c r="U368" s="42"/>
    </row>
    <row r="369" spans="3:40" x14ac:dyDescent="0.3">
      <c r="D369" s="42"/>
      <c r="E369" s="42"/>
      <c r="U369" s="42"/>
    </row>
    <row r="371" spans="3:40" x14ac:dyDescent="0.3">
      <c r="C371" s="42"/>
      <c r="T371" s="42"/>
    </row>
    <row r="372" spans="3:40" x14ac:dyDescent="0.3">
      <c r="C372" s="42"/>
      <c r="F372" s="184"/>
      <c r="H372" s="184"/>
      <c r="I372" s="184"/>
      <c r="J372" s="238"/>
      <c r="K372" s="238"/>
      <c r="L372" s="123"/>
      <c r="M372" s="123"/>
      <c r="N372" s="160"/>
      <c r="O372" s="160"/>
      <c r="P372" s="123"/>
      <c r="Q372" s="123"/>
      <c r="R372" s="123"/>
      <c r="T372" s="42"/>
      <c r="V372" s="184"/>
      <c r="W372" s="123"/>
      <c r="X372" s="123"/>
      <c r="Y372" s="184"/>
      <c r="Z372" s="238"/>
      <c r="AA372" s="123"/>
      <c r="AB372" s="123"/>
      <c r="AC372" s="160"/>
      <c r="AD372" s="160"/>
      <c r="AE372" s="123"/>
      <c r="AF372" s="123"/>
      <c r="AH372" s="236"/>
      <c r="AI372" s="123"/>
      <c r="AJ372" s="123"/>
      <c r="AL372" s="123"/>
      <c r="AM372" s="160"/>
      <c r="AN372" s="160"/>
    </row>
    <row r="373" spans="3:40" x14ac:dyDescent="0.3">
      <c r="C373" s="42"/>
      <c r="F373" s="123"/>
      <c r="H373" s="123"/>
      <c r="I373" s="123"/>
      <c r="J373" s="213"/>
      <c r="K373" s="213"/>
      <c r="L373" s="123"/>
      <c r="M373" s="123"/>
      <c r="N373" s="160"/>
      <c r="O373" s="160"/>
      <c r="P373" s="123"/>
      <c r="Q373" s="123"/>
      <c r="R373" s="123"/>
      <c r="T373" s="42"/>
      <c r="V373" s="184"/>
      <c r="W373" s="123"/>
      <c r="X373" s="123"/>
      <c r="Y373" s="184"/>
      <c r="Z373" s="213"/>
      <c r="AA373" s="123"/>
      <c r="AB373" s="123"/>
      <c r="AC373" s="160"/>
      <c r="AD373" s="160"/>
      <c r="AE373" s="123"/>
      <c r="AF373" s="123"/>
      <c r="AH373" s="236"/>
      <c r="AI373" s="123"/>
      <c r="AJ373" s="123"/>
      <c r="AL373" s="123"/>
      <c r="AM373" s="160"/>
      <c r="AN373" s="160"/>
    </row>
    <row r="374" spans="3:40" x14ac:dyDescent="0.3">
      <c r="C374" s="42"/>
      <c r="F374" s="184"/>
      <c r="H374" s="184"/>
      <c r="I374" s="184"/>
      <c r="J374" s="238"/>
      <c r="K374" s="238"/>
      <c r="L374" s="123"/>
      <c r="M374" s="123"/>
      <c r="N374" s="160"/>
      <c r="O374" s="160"/>
      <c r="P374" s="123"/>
      <c r="Q374" s="123"/>
      <c r="R374" s="123"/>
      <c r="T374" s="42"/>
      <c r="V374" s="184"/>
      <c r="W374" s="123"/>
      <c r="X374" s="123"/>
      <c r="Y374" s="184"/>
      <c r="Z374" s="238"/>
      <c r="AA374" s="123"/>
      <c r="AB374" s="123"/>
      <c r="AC374" s="160"/>
      <c r="AD374" s="160"/>
      <c r="AE374" s="123"/>
      <c r="AF374" s="123"/>
      <c r="AH374" s="236"/>
      <c r="AI374" s="123"/>
      <c r="AJ374" s="123"/>
      <c r="AL374" s="123"/>
      <c r="AM374" s="160"/>
      <c r="AN374" s="160"/>
    </row>
    <row r="375" spans="3:40" x14ac:dyDescent="0.3">
      <c r="C375" s="42"/>
      <c r="F375" s="184"/>
      <c r="H375" s="184"/>
      <c r="I375" s="184"/>
      <c r="J375" s="238"/>
      <c r="K375" s="238"/>
      <c r="L375" s="123"/>
      <c r="M375" s="123"/>
      <c r="N375" s="160"/>
      <c r="O375" s="160"/>
      <c r="P375" s="123"/>
      <c r="Q375" s="123"/>
      <c r="R375" s="123"/>
      <c r="T375" s="42"/>
      <c r="V375" s="184"/>
      <c r="W375" s="123"/>
      <c r="X375" s="123"/>
      <c r="Y375" s="184"/>
      <c r="Z375" s="238"/>
      <c r="AA375" s="123"/>
      <c r="AB375" s="123"/>
      <c r="AC375" s="160"/>
      <c r="AD375" s="160"/>
      <c r="AE375" s="123"/>
      <c r="AF375" s="123"/>
      <c r="AH375" s="236"/>
      <c r="AI375" s="123"/>
      <c r="AJ375" s="123"/>
      <c r="AL375" s="123"/>
      <c r="AM375" s="160"/>
      <c r="AN375" s="160"/>
    </row>
    <row r="376" spans="3:40" x14ac:dyDescent="0.3">
      <c r="C376" s="42"/>
      <c r="F376" s="184"/>
      <c r="H376" s="184"/>
      <c r="I376" s="184"/>
      <c r="J376" s="238"/>
      <c r="K376" s="238"/>
      <c r="L376" s="123"/>
      <c r="M376" s="123"/>
      <c r="N376" s="160"/>
      <c r="O376" s="160"/>
      <c r="P376" s="123"/>
      <c r="Q376" s="123"/>
      <c r="R376" s="123"/>
      <c r="T376" s="42"/>
      <c r="V376" s="184"/>
      <c r="W376" s="123"/>
      <c r="X376" s="123"/>
      <c r="Y376" s="184"/>
      <c r="Z376" s="238"/>
      <c r="AA376" s="123"/>
      <c r="AB376" s="123"/>
      <c r="AC376" s="160"/>
      <c r="AD376" s="160"/>
      <c r="AE376" s="123"/>
      <c r="AF376" s="123"/>
      <c r="AH376" s="236"/>
      <c r="AI376" s="123"/>
      <c r="AJ376" s="123"/>
      <c r="AL376" s="123"/>
      <c r="AM376" s="160"/>
      <c r="AN376" s="160"/>
    </row>
    <row r="377" spans="3:40" x14ac:dyDescent="0.3">
      <c r="C377" s="42"/>
      <c r="F377" s="123"/>
      <c r="H377" s="123"/>
      <c r="I377" s="123"/>
      <c r="J377" s="238"/>
      <c r="K377" s="238"/>
      <c r="L377" s="123"/>
      <c r="M377" s="123"/>
      <c r="N377" s="160"/>
      <c r="O377" s="160"/>
      <c r="P377" s="123"/>
      <c r="Q377" s="123"/>
      <c r="R377" s="123"/>
      <c r="T377" s="42"/>
      <c r="V377" s="184"/>
      <c r="W377" s="123"/>
      <c r="X377" s="123"/>
      <c r="Y377" s="184"/>
      <c r="Z377" s="238"/>
      <c r="AA377" s="123"/>
      <c r="AB377" s="123"/>
      <c r="AC377" s="160"/>
      <c r="AD377" s="160"/>
      <c r="AE377" s="123"/>
      <c r="AF377" s="123"/>
      <c r="AH377" s="236"/>
      <c r="AI377" s="123"/>
      <c r="AJ377" s="123"/>
      <c r="AL377" s="123"/>
      <c r="AM377" s="160"/>
      <c r="AN377" s="160"/>
    </row>
    <row r="378" spans="3:40" x14ac:dyDescent="0.3">
      <c r="C378" s="42"/>
      <c r="F378" s="123"/>
      <c r="H378" s="123"/>
      <c r="I378" s="123"/>
      <c r="J378" s="238"/>
      <c r="K378" s="238"/>
      <c r="L378" s="123"/>
      <c r="M378" s="123"/>
      <c r="N378" s="160"/>
      <c r="O378" s="160"/>
      <c r="P378" s="123"/>
      <c r="Q378" s="123"/>
      <c r="R378" s="123"/>
      <c r="T378" s="42"/>
      <c r="V378" s="184"/>
      <c r="W378" s="123"/>
      <c r="X378" s="123"/>
      <c r="Y378" s="184"/>
      <c r="Z378" s="238"/>
      <c r="AA378" s="123"/>
      <c r="AB378" s="123"/>
      <c r="AC378" s="160"/>
      <c r="AD378" s="160"/>
      <c r="AE378" s="123"/>
      <c r="AF378" s="123"/>
      <c r="AH378" s="236"/>
      <c r="AI378" s="123"/>
      <c r="AJ378" s="123"/>
      <c r="AL378" s="123"/>
      <c r="AM378" s="160"/>
      <c r="AN378" s="160"/>
    </row>
    <row r="379" spans="3:40" x14ac:dyDescent="0.3">
      <c r="F379" s="241"/>
      <c r="H379" s="242"/>
      <c r="I379" s="242"/>
      <c r="J379" s="238"/>
      <c r="K379" s="238"/>
      <c r="L379" s="241"/>
      <c r="M379" s="241"/>
      <c r="N379" s="210"/>
      <c r="O379" s="210"/>
      <c r="P379" s="241"/>
      <c r="Q379" s="241"/>
      <c r="R379" s="241"/>
      <c r="V379" s="241"/>
      <c r="W379" s="123"/>
      <c r="X379" s="123"/>
      <c r="Y379" s="241"/>
      <c r="Z379" s="238"/>
      <c r="AA379" s="241"/>
      <c r="AB379" s="241"/>
      <c r="AC379" s="243"/>
      <c r="AD379" s="243"/>
      <c r="AE379" s="241"/>
      <c r="AF379" s="241"/>
      <c r="AH379" s="236"/>
      <c r="AI379" s="241"/>
      <c r="AJ379" s="241"/>
      <c r="AK379" s="207"/>
      <c r="AL379" s="241"/>
      <c r="AM379" s="160"/>
      <c r="AN379" s="160"/>
    </row>
    <row r="380" spans="3:40" x14ac:dyDescent="0.3">
      <c r="C380" s="42"/>
      <c r="F380" s="123"/>
      <c r="H380" s="123"/>
      <c r="I380" s="123"/>
      <c r="J380" s="238"/>
      <c r="K380" s="238"/>
      <c r="L380" s="123"/>
      <c r="M380" s="123"/>
      <c r="N380" s="236"/>
      <c r="O380" s="236"/>
      <c r="P380" s="123"/>
      <c r="Q380" s="123"/>
      <c r="R380" s="123"/>
      <c r="T380" s="44"/>
      <c r="V380" s="123"/>
      <c r="W380" s="123"/>
      <c r="X380" s="123"/>
      <c r="Y380" s="123"/>
      <c r="Z380" s="238"/>
      <c r="AA380" s="123"/>
      <c r="AB380" s="123"/>
      <c r="AC380" s="236"/>
      <c r="AD380" s="236"/>
      <c r="AE380" s="123"/>
      <c r="AF380" s="123"/>
      <c r="AH380" s="236"/>
      <c r="AI380" s="123"/>
      <c r="AJ380" s="123"/>
      <c r="AL380" s="123"/>
      <c r="AM380" s="160"/>
      <c r="AN380" s="160"/>
    </row>
    <row r="381" spans="3:40" x14ac:dyDescent="0.3">
      <c r="F381" s="135"/>
      <c r="H381" s="135"/>
      <c r="I381" s="135"/>
      <c r="L381" s="135"/>
      <c r="M381" s="135"/>
      <c r="N381" s="243"/>
      <c r="O381" s="243"/>
      <c r="P381" s="241"/>
      <c r="Q381" s="241"/>
      <c r="R381" s="241"/>
      <c r="V381" s="241"/>
      <c r="Y381" s="241"/>
      <c r="Z381" s="213"/>
      <c r="AA381" s="241"/>
      <c r="AB381" s="241"/>
      <c r="AC381" s="241"/>
      <c r="AD381" s="241"/>
      <c r="AE381" s="241"/>
      <c r="AF381" s="241"/>
      <c r="AI381" s="241"/>
      <c r="AJ381" s="241"/>
      <c r="AK381" s="207"/>
      <c r="AL381" s="241"/>
      <c r="AM381" s="243"/>
      <c r="AN381" s="243"/>
    </row>
    <row r="386" spans="1:40" x14ac:dyDescent="0.3">
      <c r="N386" s="123"/>
      <c r="O386" s="123"/>
      <c r="P386" s="123"/>
      <c r="Q386" s="123"/>
      <c r="R386" s="123"/>
      <c r="V386" s="123"/>
      <c r="Y386" s="123"/>
      <c r="Z386" s="219"/>
      <c r="AA386" s="123"/>
      <c r="AB386" s="123"/>
      <c r="AC386" s="160"/>
      <c r="AD386" s="160"/>
      <c r="AE386" s="123"/>
      <c r="AF386" s="123"/>
      <c r="AH386" s="236"/>
      <c r="AI386" s="123"/>
      <c r="AJ386" s="123"/>
      <c r="AL386" s="123"/>
      <c r="AM386" s="160"/>
      <c r="AN386" s="160"/>
    </row>
    <row r="387" spans="1:40" x14ac:dyDescent="0.3">
      <c r="C387" s="42"/>
      <c r="D387" s="42"/>
      <c r="E387" s="42"/>
      <c r="J387" s="188"/>
      <c r="K387" s="188"/>
      <c r="T387" s="42"/>
      <c r="U387" s="42"/>
      <c r="Z387" s="188"/>
      <c r="AE387" s="123"/>
      <c r="AF387" s="123"/>
      <c r="AI387" s="123"/>
      <c r="AJ387" s="123"/>
      <c r="AL387" s="123"/>
      <c r="AM387" s="160"/>
      <c r="AN387" s="160"/>
    </row>
    <row r="388" spans="1:40" x14ac:dyDescent="0.3">
      <c r="D388" s="42"/>
      <c r="E388" s="42"/>
      <c r="F388" s="123"/>
      <c r="H388" s="123"/>
      <c r="I388" s="123"/>
      <c r="J388" s="238"/>
      <c r="K388" s="238"/>
      <c r="L388" s="123"/>
      <c r="M388" s="123"/>
      <c r="N388" s="160"/>
      <c r="O388" s="160"/>
      <c r="P388" s="123"/>
      <c r="Q388" s="123"/>
      <c r="R388" s="123"/>
      <c r="U388" s="42"/>
      <c r="V388" s="123"/>
      <c r="Y388" s="123"/>
      <c r="Z388" s="238"/>
      <c r="AA388" s="123"/>
      <c r="AB388" s="123"/>
      <c r="AC388" s="160"/>
      <c r="AD388" s="160"/>
      <c r="AE388" s="123"/>
      <c r="AF388" s="123"/>
      <c r="AH388" s="236"/>
      <c r="AI388" s="123"/>
      <c r="AJ388" s="123"/>
      <c r="AL388" s="123"/>
      <c r="AM388" s="160"/>
      <c r="AN388" s="160"/>
    </row>
    <row r="389" spans="1:40" x14ac:dyDescent="0.3">
      <c r="F389" s="123"/>
      <c r="H389" s="123"/>
      <c r="I389" s="123"/>
      <c r="J389" s="213"/>
      <c r="K389" s="213"/>
      <c r="L389" s="123"/>
      <c r="M389" s="123"/>
      <c r="N389" s="123"/>
      <c r="O389" s="123"/>
      <c r="P389" s="123"/>
      <c r="Q389" s="123"/>
      <c r="R389" s="123"/>
      <c r="V389" s="123"/>
      <c r="Y389" s="123"/>
      <c r="Z389" s="213"/>
      <c r="AA389" s="123"/>
      <c r="AB389" s="123"/>
      <c r="AC389" s="123"/>
      <c r="AD389" s="123"/>
      <c r="AE389" s="123"/>
      <c r="AF389" s="123"/>
      <c r="AH389" s="236"/>
      <c r="AI389" s="184"/>
      <c r="AJ389" s="184"/>
      <c r="AL389" s="123"/>
      <c r="AM389" s="160"/>
      <c r="AN389" s="160"/>
    </row>
    <row r="390" spans="1:40" x14ac:dyDescent="0.3">
      <c r="C390" s="42"/>
      <c r="F390" s="184"/>
      <c r="H390" s="184"/>
      <c r="I390" s="184"/>
      <c r="J390" s="212"/>
      <c r="K390" s="212"/>
      <c r="L390" s="123"/>
      <c r="M390" s="123"/>
      <c r="N390" s="160"/>
      <c r="O390" s="160"/>
      <c r="P390" s="123"/>
      <c r="Q390" s="123"/>
      <c r="R390" s="123"/>
      <c r="T390" s="42"/>
      <c r="V390" s="184"/>
      <c r="Y390" s="184"/>
      <c r="Z390" s="212"/>
      <c r="AA390" s="123"/>
      <c r="AB390" s="123"/>
      <c r="AC390" s="160"/>
      <c r="AD390" s="160"/>
      <c r="AE390" s="123"/>
      <c r="AF390" s="123"/>
      <c r="AH390" s="236"/>
      <c r="AI390" s="123"/>
      <c r="AJ390" s="123"/>
      <c r="AL390" s="123"/>
      <c r="AM390" s="160"/>
      <c r="AN390" s="160"/>
    </row>
    <row r="391" spans="1:40" x14ac:dyDescent="0.3">
      <c r="F391" s="135"/>
      <c r="H391" s="135"/>
      <c r="I391" s="135"/>
      <c r="L391" s="135"/>
      <c r="M391" s="135"/>
      <c r="N391" s="135"/>
      <c r="O391" s="135"/>
      <c r="P391" s="135"/>
      <c r="Q391" s="135"/>
      <c r="R391" s="135"/>
      <c r="V391" s="135"/>
      <c r="Y391" s="135"/>
      <c r="AA391" s="135"/>
      <c r="AB391" s="135"/>
      <c r="AC391" s="135"/>
      <c r="AD391" s="135"/>
      <c r="AE391" s="135"/>
      <c r="AF391" s="135"/>
      <c r="AG391" s="207"/>
      <c r="AH391" s="135"/>
      <c r="AI391" s="135"/>
      <c r="AJ391" s="135"/>
      <c r="AK391" s="207"/>
      <c r="AL391" s="135"/>
      <c r="AM391" s="135"/>
      <c r="AN391" s="135"/>
    </row>
    <row r="392" spans="1:40" x14ac:dyDescent="0.3">
      <c r="C392" s="44"/>
      <c r="F392" s="184"/>
      <c r="H392" s="184"/>
      <c r="I392" s="184"/>
      <c r="J392" s="193"/>
      <c r="K392" s="193"/>
      <c r="L392" s="184"/>
      <c r="M392" s="184"/>
      <c r="N392" s="160"/>
      <c r="O392" s="160"/>
      <c r="P392" s="184"/>
      <c r="Q392" s="184"/>
      <c r="R392" s="184"/>
      <c r="T392" s="44"/>
      <c r="V392" s="123"/>
      <c r="Y392" s="123"/>
      <c r="Z392" s="219"/>
      <c r="AA392" s="123"/>
      <c r="AB392" s="123"/>
      <c r="AC392" s="160"/>
      <c r="AD392" s="160"/>
      <c r="AH392" s="236"/>
      <c r="AI392" s="123"/>
      <c r="AJ392" s="123"/>
      <c r="AL392" s="123"/>
      <c r="AM392" s="160"/>
      <c r="AN392" s="160"/>
    </row>
    <row r="393" spans="1:40" x14ac:dyDescent="0.3">
      <c r="F393" s="241"/>
      <c r="H393" s="241"/>
      <c r="I393" s="241"/>
      <c r="J393" s="213"/>
      <c r="K393" s="213"/>
      <c r="L393" s="241"/>
      <c r="M393" s="241"/>
      <c r="N393" s="241"/>
      <c r="O393" s="241"/>
      <c r="P393" s="241"/>
      <c r="Q393" s="241"/>
      <c r="R393" s="241"/>
      <c r="V393" s="135"/>
      <c r="Y393" s="135"/>
      <c r="AA393" s="135"/>
      <c r="AB393" s="135"/>
      <c r="AC393" s="135"/>
      <c r="AD393" s="135"/>
      <c r="AE393" s="135"/>
      <c r="AF393" s="135"/>
      <c r="AG393" s="207"/>
      <c r="AH393" s="135"/>
      <c r="AI393" s="135"/>
      <c r="AJ393" s="135"/>
      <c r="AK393" s="207"/>
      <c r="AL393" s="135"/>
      <c r="AM393" s="135"/>
      <c r="AN393" s="135"/>
    </row>
    <row r="394" spans="1:40" x14ac:dyDescent="0.3">
      <c r="F394" s="184"/>
      <c r="H394" s="184"/>
      <c r="I394" s="184"/>
      <c r="J394" s="237"/>
      <c r="K394" s="237"/>
      <c r="L394" s="123"/>
      <c r="M394" s="123"/>
      <c r="N394" s="160"/>
      <c r="O394" s="160"/>
      <c r="P394" s="123"/>
      <c r="Q394" s="123"/>
      <c r="R394" s="123"/>
    </row>
    <row r="395" spans="1:40" x14ac:dyDescent="0.3">
      <c r="A395" s="42"/>
      <c r="F395" s="184"/>
      <c r="H395" s="184"/>
      <c r="I395" s="184"/>
      <c r="J395" s="193"/>
      <c r="K395" s="193"/>
      <c r="L395" s="123"/>
      <c r="M395" s="123"/>
      <c r="N395" s="160"/>
      <c r="O395" s="160"/>
      <c r="P395" s="123"/>
      <c r="Q395" s="123"/>
      <c r="R395" s="123"/>
    </row>
    <row r="396" spans="1:40" x14ac:dyDescent="0.3">
      <c r="F396" s="184"/>
      <c r="H396" s="184"/>
      <c r="I396" s="184"/>
      <c r="J396" s="193"/>
      <c r="K396" s="193"/>
      <c r="L396" s="123"/>
      <c r="M396" s="123"/>
      <c r="N396" s="160"/>
      <c r="O396" s="160"/>
      <c r="P396" s="123"/>
      <c r="Q396" s="123"/>
      <c r="R396" s="123"/>
    </row>
    <row r="397" spans="1:40" x14ac:dyDescent="0.3">
      <c r="A397" s="42"/>
    </row>
    <row r="400" spans="1:40" x14ac:dyDescent="0.3">
      <c r="H400" s="42"/>
      <c r="I400" s="42"/>
      <c r="Y400" s="42"/>
    </row>
    <row r="402" spans="1:40" x14ac:dyDescent="0.3">
      <c r="L402" s="42"/>
      <c r="M402" s="42"/>
      <c r="AA402" s="42"/>
      <c r="AB402" s="42"/>
    </row>
    <row r="403" spans="1:40" x14ac:dyDescent="0.3">
      <c r="R403" s="42"/>
      <c r="AK403" s="206"/>
      <c r="AL403" s="42"/>
    </row>
    <row r="404" spans="1:40" x14ac:dyDescent="0.3">
      <c r="R404" s="42"/>
      <c r="AK404" s="206"/>
      <c r="AL404" s="42"/>
    </row>
    <row r="405" spans="1:40" x14ac:dyDescent="0.3">
      <c r="A405" s="42"/>
      <c r="R405" s="42"/>
      <c r="AK405" s="206"/>
      <c r="AL405" s="42"/>
    </row>
    <row r="406" spans="1:40" x14ac:dyDescent="0.3">
      <c r="L406" s="42"/>
      <c r="M406" s="42"/>
      <c r="AA406" s="42"/>
      <c r="AB406" s="42"/>
    </row>
    <row r="407" spans="1:40" x14ac:dyDescent="0.3">
      <c r="A407" s="135"/>
      <c r="B407" s="135"/>
      <c r="C407" s="135"/>
      <c r="D407" s="135"/>
      <c r="E407" s="135"/>
      <c r="F407" s="135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207"/>
      <c r="AH407" s="135"/>
      <c r="AI407" s="135"/>
      <c r="AJ407" s="135"/>
      <c r="AK407" s="207"/>
      <c r="AL407" s="135"/>
      <c r="AM407" s="135"/>
      <c r="AN407" s="135"/>
    </row>
    <row r="408" spans="1:40" x14ac:dyDescent="0.3">
      <c r="L408" s="44"/>
      <c r="M408" s="44"/>
      <c r="N408" s="44"/>
      <c r="O408" s="44"/>
      <c r="R408" s="44"/>
      <c r="AA408" s="44"/>
      <c r="AB408" s="44"/>
      <c r="AC408" s="44"/>
      <c r="AD408" s="44"/>
      <c r="AE408" s="44"/>
      <c r="AF408" s="44"/>
      <c r="AG408" s="168"/>
      <c r="AH408" s="44"/>
      <c r="AK408" s="168"/>
      <c r="AL408" s="44"/>
      <c r="AM408" s="44"/>
      <c r="AN408" s="44"/>
    </row>
    <row r="409" spans="1:40" x14ac:dyDescent="0.3">
      <c r="L409" s="44"/>
      <c r="M409" s="44"/>
      <c r="N409" s="44"/>
      <c r="O409" s="44"/>
      <c r="R409" s="44"/>
      <c r="Z409" s="44"/>
      <c r="AA409" s="44"/>
      <c r="AB409" s="44"/>
      <c r="AC409" s="44"/>
      <c r="AD409" s="44"/>
      <c r="AE409" s="44"/>
      <c r="AF409" s="44"/>
      <c r="AG409" s="168"/>
      <c r="AH409" s="44"/>
      <c r="AK409" s="168"/>
      <c r="AL409" s="44"/>
      <c r="AM409" s="44"/>
      <c r="AN409" s="44"/>
    </row>
    <row r="410" spans="1:40" x14ac:dyDescent="0.3">
      <c r="A410" s="44"/>
      <c r="C410" s="44"/>
      <c r="D410" s="44"/>
      <c r="E410" s="44"/>
      <c r="F410" s="44"/>
      <c r="J410" s="44"/>
      <c r="K410" s="44"/>
      <c r="L410" s="44"/>
      <c r="M410" s="44"/>
      <c r="N410" s="44"/>
      <c r="O410" s="44"/>
      <c r="P410" s="44"/>
      <c r="Q410" s="44"/>
      <c r="R410" s="44"/>
      <c r="T410" s="44"/>
      <c r="U410" s="44"/>
      <c r="V410" s="44"/>
      <c r="Z410" s="44"/>
      <c r="AA410" s="44"/>
      <c r="AB410" s="44"/>
      <c r="AC410" s="44"/>
      <c r="AD410" s="44"/>
      <c r="AE410" s="44"/>
      <c r="AF410" s="44"/>
      <c r="AG410" s="168"/>
      <c r="AH410" s="44"/>
      <c r="AI410" s="44"/>
      <c r="AJ410" s="44"/>
      <c r="AK410" s="168"/>
      <c r="AL410" s="44"/>
      <c r="AM410" s="44"/>
      <c r="AN410" s="44"/>
    </row>
    <row r="411" spans="1:40" x14ac:dyDescent="0.3">
      <c r="A411" s="44"/>
      <c r="C411" s="44"/>
      <c r="D411" s="44"/>
      <c r="E411" s="44"/>
      <c r="F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T411" s="44"/>
      <c r="U411" s="44"/>
      <c r="V411" s="44"/>
      <c r="Y411" s="44"/>
      <c r="Z411" s="44"/>
      <c r="AA411" s="44"/>
      <c r="AB411" s="44"/>
      <c r="AC411" s="44"/>
      <c r="AD411" s="44"/>
      <c r="AE411" s="44"/>
      <c r="AF411" s="44"/>
      <c r="AG411" s="168"/>
      <c r="AH411" s="44"/>
      <c r="AI411" s="44"/>
      <c r="AJ411" s="44"/>
      <c r="AK411" s="168"/>
      <c r="AL411" s="44"/>
      <c r="AM411" s="44"/>
      <c r="AN411" s="44"/>
    </row>
    <row r="412" spans="1:40" x14ac:dyDescent="0.3">
      <c r="C412" s="44"/>
      <c r="D412" s="44"/>
      <c r="E412" s="44"/>
      <c r="F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T412" s="44"/>
      <c r="U412" s="44"/>
      <c r="V412" s="44"/>
      <c r="Y412" s="44"/>
      <c r="Z412" s="44"/>
      <c r="AA412" s="44"/>
      <c r="AB412" s="44"/>
      <c r="AC412" s="44"/>
      <c r="AD412" s="44"/>
      <c r="AE412" s="44"/>
      <c r="AF412" s="44"/>
      <c r="AG412" s="168"/>
      <c r="AH412" s="44"/>
      <c r="AI412" s="44"/>
      <c r="AJ412" s="44"/>
      <c r="AK412" s="168"/>
      <c r="AL412" s="44"/>
      <c r="AM412" s="44"/>
      <c r="AN412" s="44"/>
    </row>
    <row r="413" spans="1:40" x14ac:dyDescent="0.3">
      <c r="A413" s="135"/>
      <c r="B413" s="135"/>
      <c r="C413" s="135"/>
      <c r="D413" s="135"/>
      <c r="E413" s="135"/>
      <c r="F413" s="135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207"/>
      <c r="AH413" s="135"/>
      <c r="AI413" s="135"/>
      <c r="AJ413" s="135"/>
      <c r="AK413" s="207"/>
      <c r="AL413" s="135"/>
      <c r="AM413" s="135"/>
      <c r="AN413" s="135"/>
    </row>
    <row r="414" spans="1:40" x14ac:dyDescent="0.3"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Y414" s="44"/>
      <c r="Z414" s="44"/>
      <c r="AA414" s="44"/>
      <c r="AB414" s="44"/>
      <c r="AC414" s="44"/>
      <c r="AD414" s="44"/>
      <c r="AE414" s="44"/>
      <c r="AF414" s="44"/>
      <c r="AG414" s="168"/>
      <c r="AH414" s="44"/>
      <c r="AI414" s="44"/>
      <c r="AJ414" s="44"/>
      <c r="AK414" s="168"/>
      <c r="AL414" s="44"/>
      <c r="AM414" s="44"/>
      <c r="AN414" s="44"/>
    </row>
    <row r="415" spans="1:40" x14ac:dyDescent="0.3">
      <c r="C415" s="42"/>
      <c r="D415" s="42"/>
      <c r="E415" s="42"/>
      <c r="T415" s="42"/>
      <c r="U415" s="42"/>
    </row>
    <row r="417" spans="3:40" x14ac:dyDescent="0.3">
      <c r="C417" s="42"/>
      <c r="T417" s="42"/>
    </row>
    <row r="418" spans="3:40" x14ac:dyDescent="0.3">
      <c r="C418" s="42"/>
      <c r="F418" s="184"/>
      <c r="H418" s="184"/>
      <c r="I418" s="184"/>
      <c r="J418" s="213"/>
      <c r="K418" s="213"/>
      <c r="L418" s="123"/>
      <c r="M418" s="123"/>
      <c r="N418" s="160"/>
      <c r="O418" s="160"/>
      <c r="P418" s="123"/>
      <c r="Q418" s="123"/>
      <c r="R418" s="123"/>
      <c r="T418" s="42"/>
      <c r="V418" s="184"/>
      <c r="Y418" s="184"/>
      <c r="Z418" s="213"/>
      <c r="AA418" s="123"/>
      <c r="AB418" s="123"/>
      <c r="AC418" s="160"/>
      <c r="AD418" s="160"/>
      <c r="AE418" s="123"/>
      <c r="AF418" s="123"/>
      <c r="AH418" s="236"/>
      <c r="AI418" s="123"/>
      <c r="AJ418" s="123"/>
      <c r="AL418" s="123"/>
      <c r="AM418" s="160"/>
      <c r="AN418" s="160"/>
    </row>
    <row r="419" spans="3:40" x14ac:dyDescent="0.3">
      <c r="C419" s="42"/>
      <c r="T419" s="42"/>
    </row>
    <row r="420" spans="3:40" x14ac:dyDescent="0.3">
      <c r="C420" s="42"/>
      <c r="F420" s="184"/>
      <c r="H420" s="184"/>
      <c r="I420" s="184"/>
      <c r="J420" s="238"/>
      <c r="K420" s="238"/>
      <c r="L420" s="123"/>
      <c r="M420" s="123"/>
      <c r="N420" s="160"/>
      <c r="O420" s="160"/>
      <c r="P420" s="123"/>
      <c r="Q420" s="123"/>
      <c r="R420" s="123"/>
      <c r="T420" s="42"/>
      <c r="V420" s="123"/>
      <c r="Y420" s="123"/>
      <c r="Z420" s="238"/>
      <c r="AA420" s="123"/>
      <c r="AB420" s="123"/>
      <c r="AC420" s="160"/>
      <c r="AD420" s="160"/>
      <c r="AE420" s="123"/>
      <c r="AF420" s="123"/>
      <c r="AH420" s="236"/>
      <c r="AI420" s="123"/>
      <c r="AJ420" s="123"/>
      <c r="AL420" s="123"/>
      <c r="AM420" s="160"/>
      <c r="AN420" s="160"/>
    </row>
    <row r="421" spans="3:40" x14ac:dyDescent="0.3">
      <c r="C421" s="42"/>
      <c r="F421" s="184"/>
      <c r="H421" s="184"/>
      <c r="I421" s="184"/>
      <c r="J421" s="238"/>
      <c r="K421" s="238"/>
      <c r="L421" s="123"/>
      <c r="M421" s="123"/>
      <c r="N421" s="160"/>
      <c r="O421" s="160"/>
      <c r="P421" s="123"/>
      <c r="Q421" s="123"/>
      <c r="R421" s="123"/>
      <c r="T421" s="42"/>
      <c r="V421" s="123"/>
      <c r="Y421" s="123"/>
      <c r="Z421" s="238"/>
      <c r="AA421" s="123"/>
      <c r="AB421" s="123"/>
      <c r="AC421" s="160"/>
      <c r="AD421" s="160"/>
      <c r="AE421" s="123"/>
      <c r="AF421" s="123"/>
      <c r="AH421" s="236"/>
      <c r="AI421" s="123"/>
      <c r="AJ421" s="123"/>
      <c r="AL421" s="123"/>
      <c r="AM421" s="160"/>
      <c r="AN421" s="160"/>
    </row>
    <row r="422" spans="3:40" x14ac:dyDescent="0.3">
      <c r="C422" s="42"/>
      <c r="F422" s="184"/>
      <c r="H422" s="184"/>
      <c r="I422" s="184"/>
      <c r="J422" s="238"/>
      <c r="K422" s="238"/>
      <c r="L422" s="123"/>
      <c r="M422" s="123"/>
      <c r="N422" s="160"/>
      <c r="O422" s="160"/>
      <c r="P422" s="123"/>
      <c r="Q422" s="123"/>
      <c r="R422" s="123"/>
      <c r="T422" s="42"/>
      <c r="V422" s="123"/>
      <c r="Y422" s="123"/>
      <c r="Z422" s="238"/>
      <c r="AA422" s="123"/>
      <c r="AB422" s="123"/>
      <c r="AC422" s="160"/>
      <c r="AD422" s="160"/>
      <c r="AE422" s="123"/>
      <c r="AF422" s="123"/>
      <c r="AH422" s="236"/>
      <c r="AI422" s="123"/>
      <c r="AJ422" s="123"/>
      <c r="AL422" s="123"/>
      <c r="AM422" s="160"/>
      <c r="AN422" s="160"/>
    </row>
    <row r="423" spans="3:40" x14ac:dyDescent="0.3">
      <c r="C423" s="42"/>
      <c r="F423" s="184"/>
      <c r="H423" s="184"/>
      <c r="I423" s="184"/>
      <c r="J423" s="238"/>
      <c r="K423" s="238"/>
      <c r="L423" s="123"/>
      <c r="M423" s="123"/>
      <c r="N423" s="160"/>
      <c r="O423" s="160"/>
      <c r="P423" s="123"/>
      <c r="Q423" s="123"/>
      <c r="R423" s="123"/>
      <c r="T423" s="42"/>
      <c r="V423" s="123"/>
      <c r="Y423" s="123"/>
      <c r="Z423" s="238"/>
      <c r="AA423" s="123"/>
      <c r="AB423" s="123"/>
      <c r="AC423" s="160"/>
      <c r="AD423" s="160"/>
      <c r="AE423" s="123"/>
      <c r="AF423" s="123"/>
      <c r="AH423" s="236"/>
      <c r="AI423" s="123"/>
      <c r="AJ423" s="123"/>
      <c r="AL423" s="123"/>
      <c r="AM423" s="160"/>
      <c r="AN423" s="160"/>
    </row>
    <row r="424" spans="3:40" x14ac:dyDescent="0.3">
      <c r="C424" s="42"/>
      <c r="J424" s="188"/>
      <c r="K424" s="188"/>
      <c r="T424" s="42"/>
      <c r="Z424" s="188"/>
    </row>
    <row r="425" spans="3:40" x14ac:dyDescent="0.3">
      <c r="C425" s="42"/>
      <c r="F425" s="184"/>
      <c r="H425" s="184"/>
      <c r="I425" s="184"/>
      <c r="J425" s="238"/>
      <c r="K425" s="238"/>
      <c r="L425" s="123"/>
      <c r="M425" s="123"/>
      <c r="N425" s="160"/>
      <c r="O425" s="160"/>
      <c r="P425" s="123"/>
      <c r="Q425" s="123"/>
      <c r="R425" s="123"/>
      <c r="T425" s="42"/>
      <c r="V425" s="123"/>
      <c r="Y425" s="123"/>
      <c r="Z425" s="238"/>
      <c r="AA425" s="123"/>
      <c r="AB425" s="123"/>
      <c r="AC425" s="160"/>
      <c r="AD425" s="160"/>
      <c r="AE425" s="123"/>
      <c r="AF425" s="123"/>
      <c r="AH425" s="236"/>
      <c r="AI425" s="123"/>
      <c r="AJ425" s="123"/>
      <c r="AL425" s="123"/>
      <c r="AM425" s="160"/>
      <c r="AN425" s="160"/>
    </row>
    <row r="426" spans="3:40" x14ac:dyDescent="0.3">
      <c r="C426" s="42"/>
      <c r="F426" s="184"/>
      <c r="H426" s="184"/>
      <c r="I426" s="184"/>
      <c r="J426" s="238"/>
      <c r="K426" s="238"/>
      <c r="L426" s="123"/>
      <c r="M426" s="123"/>
      <c r="N426" s="160"/>
      <c r="O426" s="160"/>
      <c r="P426" s="123"/>
      <c r="Q426" s="123"/>
      <c r="R426" s="123"/>
      <c r="T426" s="42"/>
      <c r="V426" s="123"/>
      <c r="Y426" s="123"/>
      <c r="Z426" s="238"/>
      <c r="AA426" s="123"/>
      <c r="AB426" s="123"/>
      <c r="AC426" s="160"/>
      <c r="AD426" s="160"/>
      <c r="AE426" s="123"/>
      <c r="AF426" s="123"/>
      <c r="AH426" s="236"/>
      <c r="AI426" s="123"/>
      <c r="AJ426" s="123"/>
      <c r="AL426" s="123"/>
      <c r="AM426" s="160"/>
      <c r="AN426" s="160"/>
    </row>
    <row r="427" spans="3:40" x14ac:dyDescent="0.3">
      <c r="C427" s="42"/>
      <c r="F427" s="184"/>
      <c r="H427" s="184"/>
      <c r="I427" s="184"/>
      <c r="J427" s="238"/>
      <c r="K427" s="238"/>
      <c r="L427" s="123"/>
      <c r="M427" s="123"/>
      <c r="N427" s="160"/>
      <c r="O427" s="160"/>
      <c r="P427" s="123"/>
      <c r="Q427" s="123"/>
      <c r="R427" s="123"/>
      <c r="T427" s="42"/>
      <c r="V427" s="123"/>
      <c r="Y427" s="123"/>
      <c r="Z427" s="238"/>
      <c r="AA427" s="123"/>
      <c r="AB427" s="123"/>
      <c r="AC427" s="160"/>
      <c r="AD427" s="160"/>
      <c r="AE427" s="123"/>
      <c r="AF427" s="123"/>
      <c r="AH427" s="236"/>
      <c r="AI427" s="123"/>
      <c r="AJ427" s="123"/>
      <c r="AL427" s="123"/>
      <c r="AM427" s="160"/>
      <c r="AN427" s="160"/>
    </row>
    <row r="428" spans="3:40" x14ac:dyDescent="0.3">
      <c r="C428" s="42"/>
      <c r="J428" s="188"/>
      <c r="K428" s="188"/>
      <c r="T428" s="42"/>
      <c r="Z428" s="188"/>
    </row>
    <row r="429" spans="3:40" x14ac:dyDescent="0.3">
      <c r="C429" s="42"/>
      <c r="F429" s="184"/>
      <c r="H429" s="184"/>
      <c r="I429" s="184"/>
      <c r="J429" s="238"/>
      <c r="K429" s="238"/>
      <c r="L429" s="123"/>
      <c r="M429" s="123"/>
      <c r="N429" s="160"/>
      <c r="O429" s="160"/>
      <c r="P429" s="123"/>
      <c r="Q429" s="123"/>
      <c r="R429" s="123"/>
      <c r="T429" s="42"/>
      <c r="V429" s="123"/>
      <c r="Y429" s="123"/>
      <c r="Z429" s="238"/>
      <c r="AA429" s="123"/>
      <c r="AB429" s="123"/>
      <c r="AC429" s="160"/>
      <c r="AD429" s="160"/>
      <c r="AE429" s="123"/>
      <c r="AF429" s="123"/>
      <c r="AH429" s="236"/>
      <c r="AI429" s="123"/>
      <c r="AJ429" s="123"/>
      <c r="AL429" s="123"/>
      <c r="AM429" s="160"/>
      <c r="AN429" s="160"/>
    </row>
    <row r="430" spans="3:40" x14ac:dyDescent="0.3">
      <c r="C430" s="42"/>
      <c r="F430" s="184"/>
      <c r="H430" s="184"/>
      <c r="I430" s="184"/>
      <c r="J430" s="238"/>
      <c r="K430" s="238"/>
      <c r="L430" s="123"/>
      <c r="M430" s="123"/>
      <c r="N430" s="160"/>
      <c r="O430" s="160"/>
      <c r="P430" s="123"/>
      <c r="Q430" s="123"/>
      <c r="R430" s="123"/>
      <c r="T430" s="42"/>
      <c r="V430" s="123"/>
      <c r="Y430" s="123"/>
      <c r="Z430" s="238"/>
      <c r="AA430" s="123"/>
      <c r="AB430" s="123"/>
      <c r="AC430" s="160"/>
      <c r="AD430" s="160"/>
      <c r="AE430" s="123"/>
      <c r="AF430" s="123"/>
      <c r="AH430" s="236"/>
      <c r="AI430" s="123"/>
      <c r="AJ430" s="123"/>
      <c r="AL430" s="123"/>
      <c r="AM430" s="160"/>
      <c r="AN430" s="160"/>
    </row>
    <row r="431" spans="3:40" x14ac:dyDescent="0.3">
      <c r="C431" s="42"/>
      <c r="J431" s="188"/>
      <c r="K431" s="188"/>
      <c r="T431" s="42"/>
      <c r="Z431" s="188"/>
    </row>
    <row r="432" spans="3:40" x14ac:dyDescent="0.3">
      <c r="C432" s="42"/>
      <c r="F432" s="184"/>
      <c r="H432" s="184"/>
      <c r="I432" s="184"/>
      <c r="J432" s="238"/>
      <c r="K432" s="238"/>
      <c r="L432" s="123"/>
      <c r="M432" s="123"/>
      <c r="N432" s="160"/>
      <c r="O432" s="160"/>
      <c r="P432" s="123"/>
      <c r="Q432" s="123"/>
      <c r="R432" s="123"/>
      <c r="T432" s="42"/>
      <c r="V432" s="123"/>
      <c r="Y432" s="123"/>
      <c r="Z432" s="238"/>
      <c r="AA432" s="123"/>
      <c r="AB432" s="123"/>
      <c r="AC432" s="160"/>
      <c r="AD432" s="160"/>
      <c r="AE432" s="123"/>
      <c r="AF432" s="123"/>
      <c r="AH432" s="236"/>
      <c r="AI432" s="123"/>
      <c r="AJ432" s="123"/>
      <c r="AL432" s="123"/>
      <c r="AM432" s="160"/>
      <c r="AN432" s="160"/>
    </row>
    <row r="433" spans="3:40" x14ac:dyDescent="0.3">
      <c r="C433" s="42"/>
      <c r="F433" s="184"/>
      <c r="H433" s="184"/>
      <c r="I433" s="184"/>
      <c r="J433" s="238"/>
      <c r="K433" s="238"/>
      <c r="L433" s="123"/>
      <c r="M433" s="123"/>
      <c r="N433" s="160"/>
      <c r="O433" s="160"/>
      <c r="P433" s="123"/>
      <c r="Q433" s="123"/>
      <c r="R433" s="123"/>
      <c r="T433" s="42"/>
      <c r="V433" s="123"/>
      <c r="Y433" s="123"/>
      <c r="Z433" s="238"/>
      <c r="AA433" s="123"/>
      <c r="AB433" s="123"/>
      <c r="AC433" s="160"/>
      <c r="AD433" s="160"/>
      <c r="AE433" s="123"/>
      <c r="AF433" s="123"/>
      <c r="AH433" s="236"/>
      <c r="AI433" s="123"/>
      <c r="AJ433" s="123"/>
      <c r="AL433" s="123"/>
      <c r="AM433" s="160"/>
      <c r="AN433" s="160"/>
    </row>
    <row r="434" spans="3:40" x14ac:dyDescent="0.3">
      <c r="C434" s="42"/>
      <c r="F434" s="184"/>
      <c r="H434" s="184"/>
      <c r="I434" s="184"/>
      <c r="J434" s="238"/>
      <c r="K434" s="238"/>
      <c r="L434" s="123"/>
      <c r="M434" s="123"/>
      <c r="N434" s="160"/>
      <c r="O434" s="160"/>
      <c r="P434" s="123"/>
      <c r="Q434" s="123"/>
      <c r="R434" s="123"/>
      <c r="T434" s="42"/>
      <c r="V434" s="123"/>
      <c r="Y434" s="123"/>
      <c r="Z434" s="238"/>
      <c r="AA434" s="123"/>
      <c r="AB434" s="123"/>
      <c r="AC434" s="160"/>
      <c r="AD434" s="160"/>
      <c r="AE434" s="123"/>
      <c r="AF434" s="123"/>
      <c r="AH434" s="236"/>
      <c r="AI434" s="123"/>
      <c r="AJ434" s="123"/>
      <c r="AL434" s="123"/>
      <c r="AM434" s="160"/>
      <c r="AN434" s="160"/>
    </row>
    <row r="435" spans="3:40" x14ac:dyDescent="0.3">
      <c r="F435" s="210"/>
      <c r="H435" s="210"/>
      <c r="I435" s="210"/>
      <c r="J435" s="238"/>
      <c r="K435" s="238"/>
      <c r="L435" s="210"/>
      <c r="M435" s="210"/>
      <c r="N435" s="210"/>
      <c r="O435" s="210"/>
      <c r="P435" s="210"/>
      <c r="Q435" s="210"/>
      <c r="R435" s="210"/>
      <c r="V435" s="210"/>
      <c r="Y435" s="210"/>
      <c r="Z435" s="238"/>
      <c r="AA435" s="210"/>
      <c r="AB435" s="210"/>
      <c r="AC435" s="210"/>
      <c r="AD435" s="210"/>
      <c r="AE435" s="210"/>
      <c r="AF435" s="210"/>
      <c r="AI435" s="210"/>
      <c r="AJ435" s="210"/>
      <c r="AK435" s="214"/>
      <c r="AL435" s="210"/>
    </row>
    <row r="436" spans="3:40" x14ac:dyDescent="0.3">
      <c r="C436" s="44"/>
      <c r="F436" s="123"/>
      <c r="H436" s="123"/>
      <c r="I436" s="123"/>
      <c r="J436" s="188"/>
      <c r="K436" s="188"/>
      <c r="L436" s="123"/>
      <c r="M436" s="123"/>
      <c r="N436" s="236"/>
      <c r="O436" s="236"/>
      <c r="P436" s="123"/>
      <c r="Q436" s="123"/>
      <c r="R436" s="123"/>
      <c r="T436" s="44"/>
      <c r="V436" s="123"/>
      <c r="Y436" s="123"/>
      <c r="Z436" s="188"/>
      <c r="AA436" s="123"/>
      <c r="AB436" s="123"/>
      <c r="AC436" s="123"/>
      <c r="AD436" s="123"/>
      <c r="AE436" s="123"/>
      <c r="AF436" s="123"/>
      <c r="AH436" s="236"/>
      <c r="AI436" s="123"/>
      <c r="AJ436" s="123"/>
      <c r="AL436" s="123"/>
      <c r="AM436" s="160"/>
      <c r="AN436" s="160"/>
    </row>
    <row r="437" spans="3:40" x14ac:dyDescent="0.3">
      <c r="F437" s="210"/>
      <c r="H437" s="210"/>
      <c r="I437" s="210"/>
      <c r="J437" s="238"/>
      <c r="K437" s="238"/>
      <c r="L437" s="210"/>
      <c r="M437" s="210"/>
      <c r="N437" s="210"/>
      <c r="O437" s="210"/>
      <c r="P437" s="210"/>
      <c r="Q437" s="210"/>
      <c r="R437" s="210"/>
      <c r="V437" s="210"/>
      <c r="Y437" s="210"/>
      <c r="Z437" s="238"/>
      <c r="AA437" s="210"/>
      <c r="AB437" s="210"/>
      <c r="AC437" s="210"/>
      <c r="AD437" s="210"/>
      <c r="AE437" s="210"/>
      <c r="AF437" s="210"/>
      <c r="AI437" s="210"/>
      <c r="AJ437" s="210"/>
      <c r="AK437" s="214"/>
      <c r="AL437" s="210"/>
    </row>
    <row r="438" spans="3:40" x14ac:dyDescent="0.3">
      <c r="C438" s="42"/>
      <c r="J438" s="188"/>
      <c r="K438" s="188"/>
      <c r="T438" s="42"/>
      <c r="Z438" s="188"/>
    </row>
    <row r="439" spans="3:40" x14ac:dyDescent="0.3">
      <c r="C439" s="42"/>
      <c r="J439" s="188"/>
      <c r="K439" s="188"/>
      <c r="T439" s="42"/>
      <c r="Z439" s="188"/>
    </row>
    <row r="440" spans="3:40" x14ac:dyDescent="0.3">
      <c r="C440" s="42"/>
      <c r="F440" s="184"/>
      <c r="H440" s="184"/>
      <c r="I440" s="184"/>
      <c r="J440" s="238"/>
      <c r="K440" s="238"/>
      <c r="L440" s="123"/>
      <c r="M440" s="123"/>
      <c r="N440" s="160"/>
      <c r="O440" s="160"/>
      <c r="P440" s="123"/>
      <c r="Q440" s="123"/>
      <c r="R440" s="123"/>
      <c r="T440" s="42"/>
      <c r="V440" s="123"/>
      <c r="Y440" s="123"/>
      <c r="Z440" s="238"/>
      <c r="AA440" s="123"/>
      <c r="AB440" s="123"/>
      <c r="AC440" s="160"/>
      <c r="AD440" s="160"/>
      <c r="AE440" s="123"/>
      <c r="AF440" s="123"/>
      <c r="AH440" s="236"/>
      <c r="AI440" s="123"/>
      <c r="AJ440" s="123"/>
      <c r="AL440" s="123"/>
      <c r="AM440" s="160"/>
      <c r="AN440" s="160"/>
    </row>
    <row r="441" spans="3:40" x14ac:dyDescent="0.3">
      <c r="C441" s="42"/>
      <c r="F441" s="184"/>
      <c r="H441" s="184"/>
      <c r="I441" s="184"/>
      <c r="J441" s="238"/>
      <c r="K441" s="238"/>
      <c r="L441" s="123"/>
      <c r="M441" s="123"/>
      <c r="N441" s="160"/>
      <c r="O441" s="160"/>
      <c r="P441" s="123"/>
      <c r="Q441" s="123"/>
      <c r="R441" s="123"/>
      <c r="T441" s="42"/>
      <c r="V441" s="123"/>
      <c r="Y441" s="123"/>
      <c r="Z441" s="238"/>
      <c r="AA441" s="123"/>
      <c r="AB441" s="123"/>
      <c r="AC441" s="160"/>
      <c r="AD441" s="160"/>
      <c r="AE441" s="123"/>
      <c r="AF441" s="123"/>
      <c r="AH441" s="236"/>
      <c r="AI441" s="123"/>
      <c r="AJ441" s="123"/>
      <c r="AL441" s="123"/>
      <c r="AM441" s="160"/>
      <c r="AN441" s="160"/>
    </row>
    <row r="442" spans="3:40" x14ac:dyDescent="0.3">
      <c r="C442" s="42"/>
      <c r="F442" s="184"/>
      <c r="H442" s="184"/>
      <c r="I442" s="184"/>
      <c r="J442" s="238"/>
      <c r="K442" s="238"/>
      <c r="L442" s="123"/>
      <c r="M442" s="123"/>
      <c r="N442" s="160"/>
      <c r="O442" s="160"/>
      <c r="P442" s="123"/>
      <c r="Q442" s="123"/>
      <c r="R442" s="123"/>
      <c r="T442" s="42"/>
      <c r="V442" s="123"/>
      <c r="Y442" s="123"/>
      <c r="Z442" s="238"/>
      <c r="AA442" s="123"/>
      <c r="AB442" s="123"/>
      <c r="AC442" s="160"/>
      <c r="AD442" s="160"/>
      <c r="AE442" s="123"/>
      <c r="AF442" s="123"/>
      <c r="AH442" s="236"/>
      <c r="AI442" s="123"/>
      <c r="AJ442" s="123"/>
      <c r="AL442" s="123"/>
      <c r="AM442" s="160"/>
      <c r="AN442" s="160"/>
    </row>
    <row r="443" spans="3:40" x14ac:dyDescent="0.3">
      <c r="C443" s="42"/>
      <c r="F443" s="184"/>
      <c r="H443" s="184"/>
      <c r="I443" s="184"/>
      <c r="J443" s="238"/>
      <c r="K443" s="238"/>
      <c r="L443" s="123"/>
      <c r="M443" s="123"/>
      <c r="N443" s="160"/>
      <c r="O443" s="160"/>
      <c r="P443" s="123"/>
      <c r="Q443" s="123"/>
      <c r="R443" s="123"/>
      <c r="T443" s="42"/>
      <c r="V443" s="123"/>
      <c r="Y443" s="123"/>
      <c r="Z443" s="238"/>
      <c r="AA443" s="123"/>
      <c r="AB443" s="123"/>
      <c r="AC443" s="160"/>
      <c r="AD443" s="160"/>
      <c r="AE443" s="123"/>
      <c r="AF443" s="123"/>
      <c r="AH443" s="236"/>
      <c r="AI443" s="123"/>
      <c r="AJ443" s="123"/>
      <c r="AL443" s="123"/>
      <c r="AM443" s="160"/>
      <c r="AN443" s="160"/>
    </row>
    <row r="444" spans="3:40" x14ac:dyDescent="0.3">
      <c r="C444" s="42"/>
      <c r="F444" s="184"/>
      <c r="H444" s="184"/>
      <c r="I444" s="184"/>
      <c r="J444" s="238"/>
      <c r="K444" s="238"/>
      <c r="L444" s="123"/>
      <c r="M444" s="123"/>
      <c r="N444" s="160"/>
      <c r="O444" s="160"/>
      <c r="P444" s="123"/>
      <c r="Q444" s="123"/>
      <c r="R444" s="123"/>
      <c r="T444" s="42"/>
      <c r="V444" s="123"/>
      <c r="Y444" s="123"/>
      <c r="Z444" s="238"/>
      <c r="AA444" s="123"/>
      <c r="AB444" s="123"/>
      <c r="AC444" s="160"/>
      <c r="AD444" s="160"/>
      <c r="AE444" s="123"/>
      <c r="AF444" s="123"/>
      <c r="AH444" s="236"/>
      <c r="AI444" s="123"/>
      <c r="AJ444" s="123"/>
      <c r="AL444" s="123"/>
      <c r="AM444" s="160"/>
      <c r="AN444" s="160"/>
    </row>
    <row r="445" spans="3:40" x14ac:dyDescent="0.3">
      <c r="C445" s="42"/>
      <c r="F445" s="184"/>
      <c r="H445" s="184"/>
      <c r="I445" s="184"/>
      <c r="J445" s="238"/>
      <c r="K445" s="238"/>
      <c r="L445" s="123"/>
      <c r="M445" s="123"/>
      <c r="N445" s="160"/>
      <c r="O445" s="160"/>
      <c r="P445" s="123"/>
      <c r="Q445" s="123"/>
      <c r="R445" s="123"/>
      <c r="T445" s="42"/>
      <c r="V445" s="123"/>
      <c r="Y445" s="123"/>
      <c r="Z445" s="238"/>
      <c r="AA445" s="123"/>
      <c r="AB445" s="123"/>
      <c r="AC445" s="160"/>
      <c r="AD445" s="160"/>
      <c r="AE445" s="123"/>
      <c r="AF445" s="123"/>
      <c r="AH445" s="236"/>
      <c r="AI445" s="123"/>
      <c r="AJ445" s="123"/>
      <c r="AL445" s="123"/>
      <c r="AM445" s="160"/>
      <c r="AN445" s="160"/>
    </row>
    <row r="446" spans="3:40" x14ac:dyDescent="0.3">
      <c r="C446" s="42"/>
      <c r="F446" s="184"/>
      <c r="H446" s="184"/>
      <c r="I446" s="184"/>
      <c r="J446" s="238"/>
      <c r="K446" s="238"/>
      <c r="L446" s="123"/>
      <c r="M446" s="123"/>
      <c r="N446" s="160"/>
      <c r="O446" s="160"/>
      <c r="P446" s="123"/>
      <c r="Q446" s="123"/>
      <c r="R446" s="123"/>
      <c r="T446" s="42"/>
      <c r="V446" s="123"/>
      <c r="Y446" s="123"/>
      <c r="Z446" s="238"/>
      <c r="AA446" s="123"/>
      <c r="AB446" s="123"/>
      <c r="AC446" s="160"/>
      <c r="AD446" s="160"/>
      <c r="AE446" s="123"/>
      <c r="AF446" s="123"/>
      <c r="AH446" s="236"/>
      <c r="AI446" s="123"/>
      <c r="AJ446" s="123"/>
      <c r="AL446" s="123"/>
      <c r="AM446" s="160"/>
      <c r="AN446" s="160"/>
    </row>
    <row r="447" spans="3:40" x14ac:dyDescent="0.3">
      <c r="C447" s="42"/>
      <c r="J447" s="188"/>
      <c r="K447" s="188"/>
      <c r="T447" s="42"/>
      <c r="Z447" s="188"/>
    </row>
    <row r="448" spans="3:40" x14ac:dyDescent="0.3">
      <c r="C448" s="42"/>
      <c r="F448" s="184"/>
      <c r="H448" s="184"/>
      <c r="I448" s="184"/>
      <c r="J448" s="238"/>
      <c r="K448" s="238"/>
      <c r="L448" s="123"/>
      <c r="M448" s="123"/>
      <c r="N448" s="160"/>
      <c r="O448" s="160"/>
      <c r="P448" s="123"/>
      <c r="Q448" s="123"/>
      <c r="R448" s="123"/>
      <c r="T448" s="42"/>
      <c r="V448" s="123"/>
      <c r="Y448" s="123"/>
      <c r="Z448" s="238"/>
      <c r="AA448" s="123"/>
      <c r="AB448" s="123"/>
      <c r="AC448" s="160"/>
      <c r="AD448" s="160"/>
      <c r="AE448" s="123"/>
      <c r="AF448" s="123"/>
      <c r="AH448" s="236"/>
      <c r="AI448" s="123"/>
      <c r="AJ448" s="123"/>
      <c r="AL448" s="123"/>
      <c r="AM448" s="160"/>
      <c r="AN448" s="160"/>
    </row>
    <row r="449" spans="3:40" x14ac:dyDescent="0.3">
      <c r="C449" s="42"/>
      <c r="F449" s="184"/>
      <c r="H449" s="184"/>
      <c r="I449" s="184"/>
      <c r="J449" s="238"/>
      <c r="K449" s="238"/>
      <c r="L449" s="123"/>
      <c r="M449" s="123"/>
      <c r="N449" s="160"/>
      <c r="O449" s="160"/>
      <c r="P449" s="123"/>
      <c r="Q449" s="123"/>
      <c r="R449" s="123"/>
      <c r="T449" s="42"/>
      <c r="V449" s="123"/>
      <c r="Y449" s="123"/>
      <c r="Z449" s="238"/>
      <c r="AA449" s="123"/>
      <c r="AB449" s="123"/>
      <c r="AC449" s="160"/>
      <c r="AD449" s="160"/>
      <c r="AE449" s="123"/>
      <c r="AF449" s="123"/>
      <c r="AH449" s="236"/>
      <c r="AI449" s="123"/>
      <c r="AJ449" s="123"/>
      <c r="AL449" s="123"/>
      <c r="AM449" s="160"/>
      <c r="AN449" s="160"/>
    </row>
    <row r="450" spans="3:40" x14ac:dyDescent="0.3">
      <c r="C450" s="42"/>
      <c r="F450" s="184"/>
      <c r="H450" s="184"/>
      <c r="I450" s="184"/>
      <c r="J450" s="238"/>
      <c r="K450" s="238"/>
      <c r="L450" s="123"/>
      <c r="M450" s="123"/>
      <c r="N450" s="160"/>
      <c r="O450" s="160"/>
      <c r="P450" s="123"/>
      <c r="Q450" s="123"/>
      <c r="R450" s="123"/>
      <c r="T450" s="42"/>
      <c r="V450" s="123"/>
      <c r="Y450" s="123"/>
      <c r="Z450" s="238"/>
      <c r="AA450" s="123"/>
      <c r="AB450" s="123"/>
      <c r="AC450" s="160"/>
      <c r="AD450" s="160"/>
      <c r="AE450" s="123"/>
      <c r="AF450" s="123"/>
      <c r="AH450" s="236"/>
      <c r="AI450" s="123"/>
      <c r="AJ450" s="123"/>
      <c r="AL450" s="123"/>
      <c r="AM450" s="160"/>
      <c r="AN450" s="160"/>
    </row>
    <row r="451" spans="3:40" x14ac:dyDescent="0.3">
      <c r="C451" s="42"/>
      <c r="F451" s="184"/>
      <c r="H451" s="184"/>
      <c r="I451" s="184"/>
      <c r="J451" s="238"/>
      <c r="K451" s="238"/>
      <c r="L451" s="123"/>
      <c r="M451" s="123"/>
      <c r="N451" s="160"/>
      <c r="O451" s="160"/>
      <c r="P451" s="123"/>
      <c r="Q451" s="123"/>
      <c r="R451" s="123"/>
      <c r="T451" s="42"/>
      <c r="V451" s="123"/>
      <c r="Y451" s="123"/>
      <c r="Z451" s="238"/>
      <c r="AA451" s="123"/>
      <c r="AB451" s="123"/>
      <c r="AC451" s="160"/>
      <c r="AD451" s="160"/>
      <c r="AE451" s="123"/>
      <c r="AF451" s="123"/>
      <c r="AH451" s="236"/>
      <c r="AI451" s="123"/>
      <c r="AJ451" s="123"/>
      <c r="AL451" s="123"/>
      <c r="AM451" s="160"/>
      <c r="AN451" s="160"/>
    </row>
    <row r="452" spans="3:40" x14ac:dyDescent="0.3">
      <c r="C452" s="42"/>
      <c r="J452" s="188"/>
      <c r="K452" s="188"/>
      <c r="T452" s="42"/>
      <c r="Z452" s="188"/>
    </row>
    <row r="453" spans="3:40" x14ac:dyDescent="0.3">
      <c r="C453" s="42"/>
      <c r="F453" s="184"/>
      <c r="H453" s="184"/>
      <c r="I453" s="184"/>
      <c r="J453" s="238"/>
      <c r="K453" s="238"/>
      <c r="L453" s="123"/>
      <c r="M453" s="123"/>
      <c r="N453" s="160"/>
      <c r="O453" s="160"/>
      <c r="P453" s="123"/>
      <c r="Q453" s="123"/>
      <c r="R453" s="123"/>
      <c r="T453" s="42"/>
      <c r="V453" s="123"/>
      <c r="Y453" s="123"/>
      <c r="Z453" s="238"/>
      <c r="AA453" s="123"/>
      <c r="AB453" s="123"/>
      <c r="AC453" s="160"/>
      <c r="AD453" s="160"/>
      <c r="AE453" s="123"/>
      <c r="AF453" s="123"/>
      <c r="AH453" s="236"/>
      <c r="AI453" s="123"/>
      <c r="AJ453" s="123"/>
      <c r="AL453" s="123"/>
      <c r="AM453" s="160"/>
      <c r="AN453" s="160"/>
    </row>
    <row r="454" spans="3:40" x14ac:dyDescent="0.3">
      <c r="C454" s="42"/>
      <c r="F454" s="184"/>
      <c r="H454" s="184"/>
      <c r="I454" s="184"/>
      <c r="J454" s="238"/>
      <c r="K454" s="238"/>
      <c r="L454" s="123"/>
      <c r="M454" s="123"/>
      <c r="N454" s="160"/>
      <c r="O454" s="160"/>
      <c r="P454" s="123"/>
      <c r="Q454" s="123"/>
      <c r="R454" s="123"/>
      <c r="T454" s="42"/>
      <c r="V454" s="123"/>
      <c r="Y454" s="123"/>
      <c r="Z454" s="238"/>
      <c r="AA454" s="123"/>
      <c r="AB454" s="123"/>
      <c r="AC454" s="160"/>
      <c r="AD454" s="160"/>
      <c r="AE454" s="123"/>
      <c r="AF454" s="123"/>
      <c r="AH454" s="236"/>
      <c r="AI454" s="123"/>
      <c r="AJ454" s="123"/>
      <c r="AL454" s="123"/>
      <c r="AM454" s="160"/>
      <c r="AN454" s="160"/>
    </row>
    <row r="455" spans="3:40" x14ac:dyDescent="0.3">
      <c r="C455" s="42"/>
      <c r="F455" s="184"/>
      <c r="H455" s="184"/>
      <c r="I455" s="184"/>
      <c r="J455" s="238"/>
      <c r="K455" s="238"/>
      <c r="L455" s="123"/>
      <c r="M455" s="123"/>
      <c r="N455" s="160"/>
      <c r="O455" s="160"/>
      <c r="P455" s="123"/>
      <c r="Q455" s="123"/>
      <c r="R455" s="123"/>
      <c r="T455" s="42"/>
      <c r="V455" s="123"/>
      <c r="Y455" s="123"/>
      <c r="Z455" s="238"/>
      <c r="AA455" s="123"/>
      <c r="AB455" s="123"/>
      <c r="AC455" s="160"/>
      <c r="AD455" s="160"/>
      <c r="AE455" s="123"/>
      <c r="AF455" s="123"/>
      <c r="AH455" s="236"/>
      <c r="AI455" s="123"/>
      <c r="AJ455" s="123"/>
      <c r="AL455" s="123"/>
      <c r="AM455" s="160"/>
      <c r="AN455" s="160"/>
    </row>
    <row r="456" spans="3:40" x14ac:dyDescent="0.3">
      <c r="C456" s="42"/>
      <c r="F456" s="184"/>
      <c r="H456" s="184"/>
      <c r="I456" s="184"/>
      <c r="J456" s="238"/>
      <c r="K456" s="238"/>
      <c r="L456" s="123"/>
      <c r="M456" s="123"/>
      <c r="N456" s="160"/>
      <c r="O456" s="160"/>
      <c r="P456" s="123"/>
      <c r="Q456" s="123"/>
      <c r="R456" s="123"/>
      <c r="T456" s="42"/>
      <c r="V456" s="123"/>
      <c r="Y456" s="123"/>
      <c r="Z456" s="238"/>
      <c r="AA456" s="123"/>
      <c r="AB456" s="123"/>
      <c r="AC456" s="160"/>
      <c r="AD456" s="160"/>
      <c r="AE456" s="123"/>
      <c r="AF456" s="123"/>
      <c r="AH456" s="236"/>
      <c r="AI456" s="123"/>
      <c r="AJ456" s="123"/>
      <c r="AL456" s="123"/>
      <c r="AM456" s="160"/>
      <c r="AN456" s="160"/>
    </row>
    <row r="457" spans="3:40" x14ac:dyDescent="0.3">
      <c r="C457" s="42"/>
      <c r="F457" s="184"/>
      <c r="H457" s="184"/>
      <c r="I457" s="184"/>
      <c r="J457" s="238"/>
      <c r="K457" s="238"/>
      <c r="L457" s="123"/>
      <c r="M457" s="123"/>
      <c r="N457" s="160"/>
      <c r="O457" s="160"/>
      <c r="P457" s="123"/>
      <c r="Q457" s="123"/>
      <c r="R457" s="123"/>
      <c r="T457" s="42"/>
      <c r="V457" s="123"/>
      <c r="Y457" s="123"/>
      <c r="Z457" s="238"/>
      <c r="AA457" s="123"/>
      <c r="AB457" s="123"/>
      <c r="AC457" s="160"/>
      <c r="AD457" s="160"/>
      <c r="AE457" s="123"/>
      <c r="AF457" s="123"/>
      <c r="AH457" s="236"/>
      <c r="AI457" s="123"/>
      <c r="AJ457" s="123"/>
      <c r="AL457" s="123"/>
      <c r="AM457" s="160"/>
      <c r="AN457" s="160"/>
    </row>
    <row r="458" spans="3:40" x14ac:dyDescent="0.3">
      <c r="F458" s="210"/>
      <c r="H458" s="210"/>
      <c r="I458" s="210"/>
      <c r="J458" s="213"/>
      <c r="K458" s="213"/>
      <c r="L458" s="210"/>
      <c r="M458" s="210"/>
      <c r="N458" s="210"/>
      <c r="O458" s="210"/>
      <c r="P458" s="210"/>
      <c r="Q458" s="210"/>
      <c r="R458" s="210"/>
      <c r="V458" s="210"/>
      <c r="Y458" s="210"/>
      <c r="Z458" s="238"/>
      <c r="AA458" s="210"/>
      <c r="AB458" s="210"/>
      <c r="AC458" s="210"/>
      <c r="AD458" s="210"/>
      <c r="AE458" s="210"/>
      <c r="AF458" s="210"/>
      <c r="AI458" s="210"/>
      <c r="AJ458" s="210"/>
      <c r="AK458" s="214"/>
      <c r="AL458" s="210"/>
    </row>
    <row r="459" spans="3:40" x14ac:dyDescent="0.3">
      <c r="C459" s="42"/>
      <c r="F459" s="123"/>
      <c r="H459" s="123"/>
      <c r="I459" s="123"/>
      <c r="L459" s="123"/>
      <c r="M459" s="123"/>
      <c r="N459" s="236"/>
      <c r="O459" s="236"/>
      <c r="P459" s="123"/>
      <c r="Q459" s="123"/>
      <c r="R459" s="123"/>
      <c r="T459" s="42"/>
      <c r="V459" s="123"/>
      <c r="Y459" s="123"/>
      <c r="AA459" s="123"/>
      <c r="AB459" s="123"/>
      <c r="AC459" s="160"/>
      <c r="AD459" s="160"/>
      <c r="AE459" s="123"/>
      <c r="AF459" s="123"/>
      <c r="AH459" s="236"/>
      <c r="AI459" s="123"/>
      <c r="AJ459" s="123"/>
      <c r="AL459" s="123"/>
      <c r="AM459" s="160"/>
      <c r="AN459" s="160"/>
    </row>
    <row r="460" spans="3:40" x14ac:dyDescent="0.3">
      <c r="F460" s="210"/>
      <c r="H460" s="210"/>
      <c r="I460" s="210"/>
      <c r="J460" s="213"/>
      <c r="K460" s="213"/>
      <c r="L460" s="210"/>
      <c r="M460" s="210"/>
      <c r="N460" s="210"/>
      <c r="O460" s="210"/>
      <c r="P460" s="210"/>
      <c r="Q460" s="210"/>
      <c r="R460" s="210"/>
      <c r="V460" s="210"/>
      <c r="Y460" s="210"/>
      <c r="Z460" s="213"/>
      <c r="AA460" s="210"/>
      <c r="AB460" s="210"/>
      <c r="AC460" s="210"/>
      <c r="AD460" s="210"/>
      <c r="AE460" s="210"/>
      <c r="AF460" s="210"/>
      <c r="AI460" s="210"/>
      <c r="AJ460" s="210"/>
      <c r="AK460" s="214"/>
      <c r="AL460" s="210"/>
    </row>
    <row r="461" spans="3:40" x14ac:dyDescent="0.3">
      <c r="C461" s="42"/>
      <c r="T461" s="42"/>
    </row>
    <row r="462" spans="3:40" x14ac:dyDescent="0.3">
      <c r="C462" s="42"/>
      <c r="F462" s="184"/>
      <c r="H462" s="184"/>
      <c r="I462" s="184"/>
      <c r="J462" s="193"/>
      <c r="K462" s="193"/>
      <c r="L462" s="123"/>
      <c r="M462" s="123"/>
      <c r="N462" s="160"/>
      <c r="O462" s="160"/>
      <c r="P462" s="123"/>
      <c r="Q462" s="123"/>
      <c r="R462" s="123"/>
      <c r="T462" s="42"/>
      <c r="V462" s="123"/>
      <c r="Y462" s="123"/>
      <c r="Z462" s="193"/>
      <c r="AA462" s="123"/>
      <c r="AB462" s="123"/>
      <c r="AC462" s="160"/>
      <c r="AD462" s="160"/>
      <c r="AE462" s="123"/>
      <c r="AF462" s="123"/>
      <c r="AH462" s="236"/>
      <c r="AI462" s="123"/>
      <c r="AJ462" s="123"/>
      <c r="AL462" s="123"/>
      <c r="AM462" s="160"/>
      <c r="AN462" s="160"/>
    </row>
    <row r="463" spans="3:40" x14ac:dyDescent="0.3">
      <c r="C463" s="42"/>
      <c r="F463" s="184"/>
      <c r="H463" s="184"/>
      <c r="I463" s="184"/>
      <c r="J463" s="193"/>
      <c r="K463" s="193"/>
      <c r="L463" s="123"/>
      <c r="M463" s="123"/>
      <c r="N463" s="160"/>
      <c r="O463" s="160"/>
      <c r="P463" s="123"/>
      <c r="Q463" s="123"/>
      <c r="R463" s="123"/>
      <c r="T463" s="42"/>
      <c r="V463" s="123"/>
      <c r="Y463" s="123"/>
      <c r="Z463" s="193"/>
      <c r="AA463" s="123"/>
      <c r="AB463" s="123"/>
      <c r="AC463" s="160"/>
      <c r="AD463" s="160"/>
      <c r="AE463" s="123"/>
      <c r="AF463" s="123"/>
      <c r="AH463" s="236"/>
      <c r="AI463" s="123"/>
      <c r="AJ463" s="123"/>
      <c r="AL463" s="123"/>
      <c r="AM463" s="160"/>
      <c r="AN463" s="160"/>
    </row>
    <row r="464" spans="3:40" x14ac:dyDescent="0.3">
      <c r="F464" s="210"/>
      <c r="H464" s="123"/>
      <c r="I464" s="123"/>
      <c r="J464" s="213"/>
      <c r="K464" s="213"/>
      <c r="L464" s="210"/>
      <c r="M464" s="210"/>
      <c r="N464" s="210"/>
      <c r="O464" s="210"/>
      <c r="P464" s="210"/>
      <c r="Q464" s="210"/>
      <c r="R464" s="210"/>
      <c r="V464" s="210"/>
      <c r="Y464" s="123"/>
      <c r="Z464" s="213"/>
      <c r="AA464" s="210"/>
      <c r="AB464" s="210"/>
      <c r="AC464" s="210"/>
      <c r="AD464" s="210"/>
      <c r="AE464" s="210"/>
      <c r="AF464" s="210"/>
      <c r="AI464" s="210"/>
      <c r="AJ464" s="210"/>
      <c r="AK464" s="214"/>
      <c r="AL464" s="210"/>
    </row>
    <row r="465" spans="1:40" x14ac:dyDescent="0.3">
      <c r="F465" s="123"/>
      <c r="H465" s="123"/>
      <c r="I465" s="123"/>
      <c r="J465" s="213"/>
      <c r="K465" s="213"/>
      <c r="L465" s="123"/>
      <c r="M465" s="123"/>
      <c r="N465" s="123"/>
      <c r="O465" s="123"/>
      <c r="P465" s="123"/>
      <c r="Q465" s="123"/>
      <c r="R465" s="123"/>
      <c r="V465" s="123"/>
      <c r="Y465" s="123"/>
      <c r="Z465" s="213"/>
      <c r="AA465" s="123"/>
      <c r="AB465" s="123"/>
      <c r="AC465" s="123"/>
      <c r="AD465" s="123"/>
      <c r="AE465" s="123"/>
      <c r="AF465" s="123"/>
      <c r="AI465" s="123"/>
      <c r="AJ465" s="123"/>
      <c r="AL465" s="123"/>
    </row>
    <row r="466" spans="1:40" x14ac:dyDescent="0.3">
      <c r="C466" s="42"/>
      <c r="F466" s="123"/>
      <c r="H466" s="123"/>
      <c r="I466" s="123"/>
      <c r="L466" s="123"/>
      <c r="M466" s="123"/>
      <c r="N466" s="160"/>
      <c r="O466" s="160"/>
      <c r="P466" s="123"/>
      <c r="Q466" s="123"/>
      <c r="R466" s="123"/>
      <c r="T466" s="42"/>
      <c r="V466" s="123"/>
      <c r="Y466" s="123"/>
      <c r="AA466" s="123"/>
      <c r="AB466" s="123"/>
      <c r="AC466" s="160"/>
      <c r="AD466" s="160"/>
      <c r="AE466" s="123"/>
      <c r="AF466" s="123"/>
      <c r="AH466" s="236"/>
      <c r="AI466" s="184"/>
      <c r="AJ466" s="184"/>
      <c r="AL466" s="123"/>
      <c r="AM466" s="160"/>
      <c r="AN466" s="160"/>
    </row>
    <row r="467" spans="1:40" x14ac:dyDescent="0.3">
      <c r="F467" s="210"/>
      <c r="H467" s="210"/>
      <c r="I467" s="210"/>
      <c r="J467" s="213"/>
      <c r="K467" s="213"/>
      <c r="L467" s="210"/>
      <c r="M467" s="210"/>
      <c r="N467" s="210"/>
      <c r="O467" s="210"/>
      <c r="P467" s="210"/>
      <c r="Q467" s="210"/>
      <c r="R467" s="210"/>
      <c r="V467" s="210"/>
      <c r="Y467" s="210"/>
      <c r="Z467" s="213"/>
      <c r="AA467" s="210"/>
      <c r="AB467" s="210"/>
      <c r="AC467" s="210"/>
      <c r="AD467" s="210"/>
      <c r="AE467" s="210"/>
      <c r="AF467" s="210"/>
      <c r="AI467" s="210"/>
      <c r="AJ467" s="210"/>
      <c r="AK467" s="214"/>
      <c r="AL467" s="210"/>
    </row>
    <row r="469" spans="1:40" x14ac:dyDescent="0.3">
      <c r="A469" s="42"/>
      <c r="T469" s="42"/>
    </row>
    <row r="470" spans="1:40" x14ac:dyDescent="0.3">
      <c r="A470" s="42"/>
      <c r="T470" s="42"/>
    </row>
    <row r="471" spans="1:40" x14ac:dyDescent="0.3">
      <c r="A471" s="42"/>
      <c r="T471" s="42"/>
    </row>
    <row r="472" spans="1:40" x14ac:dyDescent="0.3">
      <c r="A472" s="42"/>
      <c r="T472" s="42"/>
    </row>
    <row r="473" spans="1:40" x14ac:dyDescent="0.3">
      <c r="A473" s="42"/>
      <c r="T473" s="42"/>
    </row>
    <row r="474" spans="1:40" x14ac:dyDescent="0.3">
      <c r="A474" s="42"/>
      <c r="T474" s="42"/>
    </row>
    <row r="475" spans="1:40" x14ac:dyDescent="0.3">
      <c r="A475" s="42"/>
      <c r="T475" s="42"/>
    </row>
    <row r="476" spans="1:40" x14ac:dyDescent="0.3">
      <c r="A476" s="42"/>
      <c r="T476" s="42"/>
    </row>
    <row r="477" spans="1:40" x14ac:dyDescent="0.3">
      <c r="A477" s="42"/>
      <c r="T477" s="42"/>
    </row>
    <row r="479" spans="1:40" x14ac:dyDescent="0.3">
      <c r="A479" s="42"/>
    </row>
    <row r="481" spans="1:40" x14ac:dyDescent="0.3">
      <c r="H481" s="42"/>
      <c r="I481" s="42"/>
      <c r="Y481" s="42"/>
    </row>
    <row r="483" spans="1:40" x14ac:dyDescent="0.3">
      <c r="L483" s="42"/>
      <c r="M483" s="42"/>
      <c r="AA483" s="42"/>
      <c r="AB483" s="42"/>
    </row>
    <row r="484" spans="1:40" x14ac:dyDescent="0.3">
      <c r="R484" s="42"/>
      <c r="AK484" s="206"/>
      <c r="AL484" s="42"/>
    </row>
    <row r="485" spans="1:40" x14ac:dyDescent="0.3">
      <c r="R485" s="42"/>
      <c r="AK485" s="206"/>
      <c r="AL485" s="42"/>
    </row>
    <row r="486" spans="1:40" x14ac:dyDescent="0.3">
      <c r="A486" s="42"/>
      <c r="R486" s="42"/>
      <c r="AK486" s="206"/>
      <c r="AL486" s="42"/>
    </row>
    <row r="487" spans="1:40" x14ac:dyDescent="0.3">
      <c r="L487" s="42"/>
      <c r="M487" s="42"/>
      <c r="AA487" s="42"/>
      <c r="AB487" s="42"/>
    </row>
    <row r="488" spans="1:40" x14ac:dyDescent="0.3">
      <c r="A488" s="135"/>
      <c r="B488" s="135"/>
      <c r="C488" s="135"/>
      <c r="D488" s="135"/>
      <c r="E488" s="135"/>
      <c r="F488" s="135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207"/>
      <c r="AH488" s="135"/>
      <c r="AI488" s="135"/>
      <c r="AJ488" s="135"/>
      <c r="AK488" s="207"/>
      <c r="AL488" s="135"/>
      <c r="AM488" s="135"/>
      <c r="AN488" s="135"/>
    </row>
    <row r="489" spans="1:40" x14ac:dyDescent="0.3">
      <c r="L489" s="44"/>
      <c r="M489" s="44"/>
      <c r="N489" s="44"/>
      <c r="O489" s="44"/>
      <c r="R489" s="44"/>
      <c r="AA489" s="44"/>
      <c r="AB489" s="44"/>
      <c r="AC489" s="44"/>
      <c r="AD489" s="44"/>
      <c r="AE489" s="44"/>
      <c r="AF489" s="44"/>
      <c r="AG489" s="168"/>
      <c r="AH489" s="44"/>
      <c r="AK489" s="168"/>
      <c r="AL489" s="44"/>
      <c r="AM489" s="44"/>
      <c r="AN489" s="44"/>
    </row>
    <row r="490" spans="1:40" x14ac:dyDescent="0.3">
      <c r="L490" s="44"/>
      <c r="M490" s="44"/>
      <c r="N490" s="44"/>
      <c r="O490" s="44"/>
      <c r="R490" s="44"/>
      <c r="Z490" s="44"/>
      <c r="AA490" s="44"/>
      <c r="AB490" s="44"/>
      <c r="AC490" s="44"/>
      <c r="AD490" s="44"/>
      <c r="AE490" s="44"/>
      <c r="AF490" s="44"/>
      <c r="AG490" s="168"/>
      <c r="AH490" s="44"/>
      <c r="AK490" s="168"/>
      <c r="AL490" s="44"/>
      <c r="AM490" s="44"/>
      <c r="AN490" s="44"/>
    </row>
    <row r="491" spans="1:40" x14ac:dyDescent="0.3">
      <c r="A491" s="44"/>
      <c r="C491" s="44"/>
      <c r="D491" s="44"/>
      <c r="E491" s="44"/>
      <c r="F491" s="44"/>
      <c r="J491" s="44"/>
      <c r="K491" s="44"/>
      <c r="L491" s="44"/>
      <c r="M491" s="44"/>
      <c r="N491" s="44"/>
      <c r="O491" s="44"/>
      <c r="P491" s="44"/>
      <c r="Q491" s="44"/>
      <c r="R491" s="44"/>
      <c r="T491" s="44"/>
      <c r="U491" s="44"/>
      <c r="V491" s="44"/>
      <c r="Z491" s="44"/>
      <c r="AA491" s="44"/>
      <c r="AB491" s="44"/>
      <c r="AC491" s="44"/>
      <c r="AD491" s="44"/>
      <c r="AE491" s="44"/>
      <c r="AF491" s="44"/>
      <c r="AG491" s="168"/>
      <c r="AH491" s="44"/>
      <c r="AI491" s="44"/>
      <c r="AJ491" s="44"/>
      <c r="AK491" s="168"/>
      <c r="AL491" s="44"/>
      <c r="AM491" s="44"/>
      <c r="AN491" s="44"/>
    </row>
    <row r="492" spans="1:40" x14ac:dyDescent="0.3">
      <c r="A492" s="44"/>
      <c r="C492" s="44"/>
      <c r="D492" s="44"/>
      <c r="E492" s="44"/>
      <c r="F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T492" s="44"/>
      <c r="U492" s="44"/>
      <c r="V492" s="44"/>
      <c r="Y492" s="44"/>
      <c r="Z492" s="44"/>
      <c r="AA492" s="44"/>
      <c r="AB492" s="44"/>
      <c r="AC492" s="44"/>
      <c r="AD492" s="44"/>
      <c r="AE492" s="44"/>
      <c r="AF492" s="44"/>
      <c r="AG492" s="168"/>
      <c r="AH492" s="44"/>
      <c r="AI492" s="44"/>
      <c r="AJ492" s="44"/>
      <c r="AK492" s="168"/>
      <c r="AL492" s="44"/>
      <c r="AM492" s="44"/>
      <c r="AN492" s="44"/>
    </row>
    <row r="493" spans="1:40" x14ac:dyDescent="0.3">
      <c r="C493" s="44"/>
      <c r="D493" s="44"/>
      <c r="E493" s="44"/>
      <c r="F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T493" s="44"/>
      <c r="U493" s="44"/>
      <c r="V493" s="44"/>
      <c r="Y493" s="44"/>
      <c r="Z493" s="44"/>
      <c r="AA493" s="44"/>
      <c r="AB493" s="44"/>
      <c r="AC493" s="44"/>
      <c r="AD493" s="44"/>
      <c r="AE493" s="44"/>
      <c r="AF493" s="44"/>
      <c r="AG493" s="168"/>
      <c r="AH493" s="44"/>
      <c r="AI493" s="44"/>
      <c r="AJ493" s="44"/>
      <c r="AK493" s="168"/>
      <c r="AL493" s="44"/>
      <c r="AM493" s="44"/>
      <c r="AN493" s="44"/>
    </row>
    <row r="494" spans="1:40" x14ac:dyDescent="0.3">
      <c r="A494" s="135"/>
      <c r="B494" s="135"/>
      <c r="C494" s="135"/>
      <c r="D494" s="135"/>
      <c r="E494" s="135"/>
      <c r="F494" s="135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207"/>
      <c r="AH494" s="135"/>
      <c r="AI494" s="135"/>
      <c r="AJ494" s="135"/>
      <c r="AK494" s="207"/>
      <c r="AL494" s="135"/>
      <c r="AM494" s="135"/>
      <c r="AN494" s="135"/>
    </row>
    <row r="495" spans="1:40" x14ac:dyDescent="0.3"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Y495" s="44"/>
      <c r="Z495" s="44"/>
      <c r="AA495" s="44"/>
      <c r="AB495" s="44"/>
      <c r="AC495" s="44"/>
      <c r="AD495" s="44"/>
      <c r="AE495" s="44"/>
      <c r="AF495" s="44"/>
      <c r="AG495" s="168"/>
      <c r="AH495" s="44"/>
      <c r="AI495" s="44"/>
      <c r="AJ495" s="44"/>
      <c r="AK495" s="168"/>
      <c r="AL495" s="44"/>
      <c r="AM495" s="44"/>
      <c r="AN495" s="44"/>
    </row>
    <row r="496" spans="1:40" x14ac:dyDescent="0.3">
      <c r="C496" s="42"/>
      <c r="D496" s="42"/>
      <c r="E496" s="42"/>
      <c r="T496" s="42"/>
      <c r="U496" s="42"/>
    </row>
    <row r="497" spans="3:40" x14ac:dyDescent="0.3">
      <c r="D497" s="42"/>
      <c r="E497" s="42"/>
      <c r="U497" s="42"/>
    </row>
    <row r="499" spans="3:40" x14ac:dyDescent="0.3">
      <c r="C499" s="42"/>
      <c r="F499" s="123"/>
      <c r="J499" s="209"/>
      <c r="K499" s="209"/>
      <c r="L499" s="123"/>
      <c r="M499" s="123"/>
      <c r="R499" s="123"/>
      <c r="T499" s="42"/>
      <c r="V499" s="123"/>
      <c r="Z499" s="209"/>
      <c r="AA499" s="123"/>
      <c r="AB499" s="123"/>
      <c r="AH499" s="123"/>
      <c r="AL499" s="123"/>
    </row>
    <row r="500" spans="3:40" x14ac:dyDescent="0.3">
      <c r="C500" s="42"/>
      <c r="F500" s="123"/>
      <c r="R500" s="123"/>
      <c r="T500" s="42"/>
      <c r="V500" s="123"/>
      <c r="AH500" s="123"/>
      <c r="AL500" s="123"/>
    </row>
    <row r="501" spans="3:40" x14ac:dyDescent="0.3">
      <c r="AI501" s="123"/>
      <c r="AJ501" s="123"/>
      <c r="AL501" s="123"/>
      <c r="AM501" s="160"/>
      <c r="AN501" s="160"/>
    </row>
    <row r="502" spans="3:40" x14ac:dyDescent="0.3">
      <c r="C502" s="42"/>
      <c r="F502" s="184"/>
      <c r="H502" s="184"/>
      <c r="I502" s="184"/>
      <c r="J502" s="237"/>
      <c r="K502" s="237"/>
      <c r="L502" s="123"/>
      <c r="M502" s="123"/>
      <c r="N502" s="160"/>
      <c r="O502" s="160"/>
      <c r="P502" s="123"/>
      <c r="Q502" s="123"/>
      <c r="R502" s="123"/>
      <c r="T502" s="42"/>
      <c r="V502" s="123"/>
      <c r="Y502" s="123"/>
      <c r="Z502" s="237"/>
      <c r="AA502" s="123"/>
      <c r="AB502" s="123"/>
      <c r="AC502" s="160"/>
      <c r="AD502" s="160"/>
      <c r="AE502" s="123"/>
      <c r="AF502" s="123"/>
      <c r="AH502" s="236"/>
      <c r="AI502" s="123"/>
      <c r="AJ502" s="123"/>
      <c r="AL502" s="123"/>
      <c r="AM502" s="160"/>
      <c r="AN502" s="160"/>
    </row>
    <row r="503" spans="3:40" x14ac:dyDescent="0.3">
      <c r="F503" s="123"/>
      <c r="H503" s="123"/>
      <c r="I503" s="123"/>
      <c r="J503" s="219"/>
      <c r="K503" s="219"/>
      <c r="L503" s="123"/>
      <c r="M503" s="123"/>
      <c r="P503" s="123"/>
      <c r="Q503" s="123"/>
      <c r="R503" s="123"/>
      <c r="V503" s="123"/>
      <c r="Y503" s="123"/>
      <c r="Z503" s="219"/>
      <c r="AA503" s="123"/>
      <c r="AB503" s="123"/>
      <c r="AI503" s="123"/>
      <c r="AJ503" s="123"/>
      <c r="AL503" s="123"/>
      <c r="AM503" s="160"/>
      <c r="AN503" s="160"/>
    </row>
    <row r="504" spans="3:40" x14ac:dyDescent="0.3">
      <c r="F504" s="123"/>
      <c r="R504" s="123"/>
      <c r="V504" s="123"/>
      <c r="AL504" s="123"/>
      <c r="AM504" s="160"/>
      <c r="AN504" s="160"/>
    </row>
    <row r="505" spans="3:40" x14ac:dyDescent="0.3">
      <c r="C505" s="42"/>
      <c r="F505" s="123"/>
      <c r="J505" s="209"/>
      <c r="K505" s="209"/>
      <c r="L505" s="123"/>
      <c r="M505" s="123"/>
      <c r="N505" s="160"/>
      <c r="O505" s="160"/>
      <c r="R505" s="123"/>
      <c r="T505" s="42"/>
      <c r="V505" s="123"/>
      <c r="Z505" s="209"/>
      <c r="AA505" s="123"/>
      <c r="AB505" s="123"/>
      <c r="AC505" s="160"/>
      <c r="AD505" s="160"/>
      <c r="AL505" s="123"/>
      <c r="AM505" s="160"/>
      <c r="AN505" s="160"/>
    </row>
    <row r="506" spans="3:40" x14ac:dyDescent="0.3">
      <c r="C506" s="42"/>
      <c r="F506" s="123"/>
      <c r="H506" s="123"/>
      <c r="I506" s="123"/>
      <c r="J506" s="209"/>
      <c r="K506" s="209"/>
      <c r="L506" s="123"/>
      <c r="M506" s="123"/>
      <c r="N506" s="160"/>
      <c r="O506" s="160"/>
      <c r="P506" s="123"/>
      <c r="Q506" s="123"/>
      <c r="R506" s="123"/>
      <c r="T506" s="42"/>
      <c r="V506" s="123"/>
      <c r="Y506" s="123"/>
      <c r="Z506" s="209"/>
      <c r="AA506" s="123"/>
      <c r="AB506" s="123"/>
      <c r="AC506" s="160"/>
      <c r="AD506" s="160"/>
      <c r="AI506" s="123"/>
      <c r="AJ506" s="123"/>
      <c r="AL506" s="123"/>
      <c r="AM506" s="160"/>
      <c r="AN506" s="160"/>
    </row>
    <row r="507" spans="3:40" x14ac:dyDescent="0.3">
      <c r="C507" s="42"/>
      <c r="T507" s="42"/>
      <c r="AM507" s="160"/>
      <c r="AN507" s="160"/>
    </row>
    <row r="508" spans="3:40" x14ac:dyDescent="0.3">
      <c r="C508" s="42"/>
      <c r="T508" s="42"/>
      <c r="AM508" s="160"/>
      <c r="AN508" s="160"/>
    </row>
    <row r="509" spans="3:40" x14ac:dyDescent="0.3">
      <c r="AM509" s="160"/>
      <c r="AN509" s="160"/>
    </row>
    <row r="510" spans="3:40" x14ac:dyDescent="0.3">
      <c r="C510" s="42"/>
      <c r="F510" s="184"/>
      <c r="H510" s="184"/>
      <c r="I510" s="184"/>
      <c r="J510" s="237"/>
      <c r="K510" s="237"/>
      <c r="L510" s="123"/>
      <c r="M510" s="123"/>
      <c r="N510" s="160"/>
      <c r="O510" s="160"/>
      <c r="P510" s="123"/>
      <c r="Q510" s="123"/>
      <c r="R510" s="123"/>
      <c r="T510" s="42"/>
      <c r="V510" s="123"/>
      <c r="Y510" s="123"/>
      <c r="Z510" s="237"/>
      <c r="AA510" s="123"/>
      <c r="AB510" s="123"/>
      <c r="AC510" s="160"/>
      <c r="AD510" s="160"/>
      <c r="AE510" s="123"/>
      <c r="AF510" s="123"/>
      <c r="AH510" s="236"/>
      <c r="AI510" s="123"/>
      <c r="AJ510" s="123"/>
      <c r="AL510" s="123"/>
      <c r="AM510" s="160"/>
      <c r="AN510" s="160"/>
    </row>
    <row r="511" spans="3:40" x14ac:dyDescent="0.3">
      <c r="F511" s="210"/>
      <c r="H511" s="210"/>
      <c r="I511" s="210"/>
      <c r="J511" s="213"/>
      <c r="K511" s="213"/>
      <c r="L511" s="210"/>
      <c r="M511" s="210"/>
      <c r="N511" s="210"/>
      <c r="O511" s="210"/>
      <c r="P511" s="210"/>
      <c r="Q511" s="210"/>
      <c r="R511" s="210"/>
      <c r="V511" s="210"/>
      <c r="Y511" s="210"/>
      <c r="Z511" s="213"/>
      <c r="AA511" s="210"/>
      <c r="AB511" s="210"/>
      <c r="AC511" s="210"/>
      <c r="AD511" s="210"/>
      <c r="AE511" s="210"/>
      <c r="AF511" s="210"/>
      <c r="AI511" s="210"/>
      <c r="AJ511" s="210"/>
      <c r="AK511" s="214"/>
      <c r="AL511" s="210"/>
      <c r="AM511" s="160"/>
      <c r="AN511" s="160"/>
    </row>
    <row r="512" spans="3:40" x14ac:dyDescent="0.3">
      <c r="H512" s="123"/>
      <c r="I512" s="123"/>
      <c r="Y512" s="123"/>
      <c r="AM512" s="160"/>
      <c r="AN512" s="160"/>
    </row>
    <row r="513" spans="1:40" x14ac:dyDescent="0.3">
      <c r="C513" s="42"/>
      <c r="F513" s="123"/>
      <c r="H513" s="123"/>
      <c r="I513" s="123"/>
      <c r="L513" s="123"/>
      <c r="M513" s="123"/>
      <c r="N513" s="160"/>
      <c r="O513" s="160"/>
      <c r="P513" s="184"/>
      <c r="Q513" s="184"/>
      <c r="R513" s="123"/>
      <c r="T513" s="42"/>
      <c r="V513" s="123"/>
      <c r="Y513" s="123"/>
      <c r="AA513" s="123"/>
      <c r="AB513" s="123"/>
      <c r="AC513" s="160"/>
      <c r="AD513" s="160"/>
      <c r="AE513" s="123"/>
      <c r="AF513" s="123"/>
      <c r="AH513" s="236"/>
      <c r="AI513" s="184"/>
      <c r="AJ513" s="184"/>
      <c r="AL513" s="123"/>
      <c r="AM513" s="160"/>
      <c r="AN513" s="160"/>
    </row>
    <row r="514" spans="1:40" x14ac:dyDescent="0.3">
      <c r="F514" s="210"/>
      <c r="H514" s="210"/>
      <c r="I514" s="210"/>
      <c r="J514" s="213"/>
      <c r="K514" s="213"/>
      <c r="L514" s="210"/>
      <c r="M514" s="210"/>
      <c r="N514" s="210"/>
      <c r="O514" s="210"/>
      <c r="P514" s="210"/>
      <c r="Q514" s="210"/>
      <c r="R514" s="210"/>
      <c r="V514" s="210"/>
      <c r="Y514" s="210"/>
      <c r="Z514" s="213"/>
      <c r="AA514" s="210"/>
      <c r="AB514" s="210"/>
      <c r="AC514" s="210"/>
      <c r="AD514" s="210"/>
      <c r="AE514" s="210"/>
      <c r="AF514" s="210"/>
      <c r="AI514" s="210"/>
      <c r="AJ514" s="210"/>
      <c r="AK514" s="214"/>
      <c r="AL514" s="210"/>
      <c r="AM514" s="160"/>
      <c r="AN514" s="160"/>
    </row>
    <row r="516" spans="1:40" x14ac:dyDescent="0.3">
      <c r="F516" s="123"/>
      <c r="H516" s="123"/>
      <c r="I516" s="123"/>
      <c r="J516" s="219"/>
      <c r="K516" s="219"/>
      <c r="L516" s="123"/>
      <c r="M516" s="123"/>
      <c r="N516" s="123"/>
      <c r="O516" s="123"/>
      <c r="P516" s="123"/>
      <c r="Q516" s="123"/>
      <c r="R516" s="123"/>
      <c r="V516" s="123"/>
      <c r="Y516" s="123"/>
      <c r="Z516" s="219"/>
      <c r="AA516" s="123"/>
      <c r="AB516" s="123"/>
      <c r="AC516" s="123"/>
      <c r="AD516" s="123"/>
      <c r="AE516" s="123"/>
      <c r="AF516" s="123"/>
      <c r="AH516" s="123"/>
      <c r="AI516" s="123"/>
      <c r="AJ516" s="123"/>
      <c r="AL516" s="123"/>
    </row>
    <row r="517" spans="1:40" x14ac:dyDescent="0.3">
      <c r="A517" s="42"/>
    </row>
    <row r="519" spans="1:40" x14ac:dyDescent="0.3">
      <c r="H519" s="42"/>
      <c r="I519" s="42"/>
      <c r="Y519" s="42"/>
    </row>
    <row r="521" spans="1:40" x14ac:dyDescent="0.3">
      <c r="L521" s="42"/>
      <c r="M521" s="42"/>
      <c r="AA521" s="42"/>
      <c r="AB521" s="42"/>
    </row>
    <row r="522" spans="1:40" x14ac:dyDescent="0.3">
      <c r="R522" s="42"/>
      <c r="AK522" s="206"/>
      <c r="AL522" s="42"/>
    </row>
    <row r="523" spans="1:40" x14ac:dyDescent="0.3">
      <c r="R523" s="42"/>
      <c r="AK523" s="206"/>
      <c r="AL523" s="42"/>
    </row>
    <row r="524" spans="1:40" x14ac:dyDescent="0.3">
      <c r="A524" s="42"/>
      <c r="R524" s="42"/>
      <c r="AK524" s="206"/>
      <c r="AL524" s="42"/>
    </row>
    <row r="525" spans="1:40" x14ac:dyDescent="0.3">
      <c r="L525" s="42"/>
      <c r="M525" s="42"/>
      <c r="AA525" s="42"/>
      <c r="AB525" s="42"/>
    </row>
    <row r="526" spans="1:40" x14ac:dyDescent="0.3">
      <c r="A526" s="135"/>
      <c r="B526" s="135"/>
      <c r="C526" s="135"/>
      <c r="D526" s="135"/>
      <c r="E526" s="135"/>
      <c r="F526" s="135"/>
      <c r="G526" s="135"/>
      <c r="H526" s="135"/>
      <c r="I526" s="135"/>
      <c r="J526" s="135"/>
      <c r="K526" s="135"/>
      <c r="L526" s="135"/>
      <c r="M526" s="135"/>
      <c r="N526" s="135"/>
      <c r="O526" s="135"/>
      <c r="P526" s="135"/>
      <c r="Q526" s="135"/>
      <c r="R526" s="135"/>
      <c r="T526" s="135"/>
      <c r="U526" s="135"/>
      <c r="V526" s="135"/>
      <c r="W526" s="135"/>
      <c r="X526" s="135"/>
      <c r="Y526" s="135"/>
      <c r="Z526" s="135"/>
      <c r="AA526" s="135"/>
      <c r="AB526" s="135"/>
      <c r="AC526" s="135"/>
      <c r="AD526" s="135"/>
      <c r="AE526" s="135"/>
      <c r="AF526" s="135"/>
      <c r="AG526" s="207"/>
      <c r="AH526" s="135"/>
      <c r="AI526" s="135"/>
      <c r="AJ526" s="135"/>
      <c r="AK526" s="207"/>
      <c r="AL526" s="135"/>
      <c r="AM526" s="135"/>
      <c r="AN526" s="135"/>
    </row>
    <row r="527" spans="1:40" x14ac:dyDescent="0.3">
      <c r="L527" s="44"/>
      <c r="M527" s="44"/>
      <c r="N527" s="44"/>
      <c r="O527" s="44"/>
      <c r="R527" s="44"/>
      <c r="AA527" s="44"/>
      <c r="AB527" s="44"/>
      <c r="AC527" s="44"/>
      <c r="AD527" s="44"/>
      <c r="AE527" s="44"/>
      <c r="AF527" s="44"/>
      <c r="AG527" s="168"/>
      <c r="AH527" s="44"/>
      <c r="AK527" s="168"/>
      <c r="AL527" s="44"/>
      <c r="AM527" s="44"/>
      <c r="AN527" s="44"/>
    </row>
    <row r="528" spans="1:40" x14ac:dyDescent="0.3">
      <c r="L528" s="44"/>
      <c r="M528" s="44"/>
      <c r="N528" s="44"/>
      <c r="O528" s="44"/>
      <c r="R528" s="44"/>
      <c r="Z528" s="44"/>
      <c r="AA528" s="44"/>
      <c r="AB528" s="44"/>
      <c r="AC528" s="44"/>
      <c r="AD528" s="44"/>
      <c r="AE528" s="44"/>
      <c r="AF528" s="44"/>
      <c r="AG528" s="168"/>
      <c r="AH528" s="44"/>
      <c r="AK528" s="168"/>
      <c r="AL528" s="44"/>
      <c r="AM528" s="44"/>
      <c r="AN528" s="44"/>
    </row>
    <row r="529" spans="1:40" x14ac:dyDescent="0.3">
      <c r="A529" s="44"/>
      <c r="C529" s="44"/>
      <c r="D529" s="44"/>
      <c r="E529" s="44"/>
      <c r="F529" s="44"/>
      <c r="J529" s="44"/>
      <c r="K529" s="44"/>
      <c r="L529" s="44"/>
      <c r="M529" s="44"/>
      <c r="N529" s="44"/>
      <c r="O529" s="44"/>
      <c r="P529" s="44"/>
      <c r="Q529" s="44"/>
      <c r="R529" s="44"/>
      <c r="T529" s="44"/>
      <c r="U529" s="44"/>
      <c r="V529" s="44"/>
      <c r="Z529" s="44"/>
      <c r="AA529" s="44"/>
      <c r="AB529" s="44"/>
      <c r="AC529" s="44"/>
      <c r="AD529" s="44"/>
      <c r="AE529" s="44"/>
      <c r="AF529" s="44"/>
      <c r="AG529" s="168"/>
      <c r="AH529" s="44"/>
      <c r="AI529" s="44"/>
      <c r="AJ529" s="44"/>
      <c r="AK529" s="168"/>
      <c r="AL529" s="44"/>
      <c r="AM529" s="44"/>
      <c r="AN529" s="44"/>
    </row>
    <row r="530" spans="1:40" x14ac:dyDescent="0.3">
      <c r="A530" s="44"/>
      <c r="C530" s="44"/>
      <c r="D530" s="44"/>
      <c r="E530" s="44"/>
      <c r="F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T530" s="44"/>
      <c r="U530" s="44"/>
      <c r="V530" s="44"/>
      <c r="Y530" s="44"/>
      <c r="Z530" s="44"/>
      <c r="AA530" s="44"/>
      <c r="AB530" s="44"/>
      <c r="AC530" s="44"/>
      <c r="AD530" s="44"/>
      <c r="AE530" s="44"/>
      <c r="AF530" s="44"/>
      <c r="AG530" s="168"/>
      <c r="AH530" s="44"/>
      <c r="AI530" s="44"/>
      <c r="AJ530" s="44"/>
      <c r="AK530" s="168"/>
      <c r="AL530" s="44"/>
      <c r="AM530" s="44"/>
      <c r="AN530" s="44"/>
    </row>
    <row r="531" spans="1:40" x14ac:dyDescent="0.3">
      <c r="C531" s="44"/>
      <c r="D531" s="44"/>
      <c r="E531" s="44"/>
      <c r="F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T531" s="44"/>
      <c r="U531" s="44"/>
      <c r="V531" s="44"/>
      <c r="Y531" s="44"/>
      <c r="Z531" s="44"/>
      <c r="AA531" s="44"/>
      <c r="AB531" s="44"/>
      <c r="AC531" s="44"/>
      <c r="AD531" s="44"/>
      <c r="AE531" s="44"/>
      <c r="AF531" s="44"/>
      <c r="AG531" s="168"/>
      <c r="AH531" s="44"/>
      <c r="AI531" s="44"/>
      <c r="AJ531" s="44"/>
      <c r="AK531" s="168"/>
      <c r="AL531" s="44"/>
      <c r="AM531" s="44"/>
      <c r="AN531" s="44"/>
    </row>
    <row r="532" spans="1:40" x14ac:dyDescent="0.3">
      <c r="A532" s="135"/>
      <c r="B532" s="135"/>
      <c r="C532" s="135"/>
      <c r="D532" s="135"/>
      <c r="E532" s="135"/>
      <c r="F532" s="135"/>
      <c r="G532" s="135"/>
      <c r="H532" s="135"/>
      <c r="I532" s="135"/>
      <c r="J532" s="135"/>
      <c r="K532" s="135"/>
      <c r="L532" s="135"/>
      <c r="M532" s="135"/>
      <c r="N532" s="135"/>
      <c r="O532" s="135"/>
      <c r="P532" s="135"/>
      <c r="Q532" s="135"/>
      <c r="R532" s="135"/>
      <c r="T532" s="135"/>
      <c r="U532" s="135"/>
      <c r="V532" s="135"/>
      <c r="W532" s="135"/>
      <c r="X532" s="135"/>
      <c r="Y532" s="135"/>
      <c r="Z532" s="135"/>
      <c r="AA532" s="135"/>
      <c r="AB532" s="135"/>
      <c r="AC532" s="135"/>
      <c r="AD532" s="135"/>
      <c r="AE532" s="135"/>
      <c r="AF532" s="135"/>
      <c r="AG532" s="207"/>
      <c r="AH532" s="135"/>
      <c r="AI532" s="135"/>
      <c r="AJ532" s="135"/>
      <c r="AK532" s="207"/>
      <c r="AL532" s="135"/>
      <c r="AM532" s="135"/>
      <c r="AN532" s="135"/>
    </row>
    <row r="533" spans="1:40" x14ac:dyDescent="0.3"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Y533" s="44"/>
      <c r="Z533" s="44"/>
      <c r="AA533" s="44"/>
      <c r="AB533" s="44"/>
      <c r="AC533" s="44"/>
      <c r="AD533" s="44"/>
      <c r="AE533" s="44"/>
      <c r="AF533" s="44"/>
      <c r="AG533" s="168"/>
      <c r="AH533" s="44"/>
      <c r="AI533" s="44"/>
      <c r="AJ533" s="44"/>
      <c r="AK533" s="168"/>
      <c r="AL533" s="44"/>
      <c r="AM533" s="44"/>
      <c r="AN533" s="44"/>
    </row>
    <row r="534" spans="1:40" x14ac:dyDescent="0.3">
      <c r="C534" s="42"/>
      <c r="D534" s="42"/>
      <c r="E534" s="42"/>
      <c r="T534" s="42"/>
      <c r="U534" s="42"/>
      <c r="V534" s="123"/>
      <c r="W534" s="123"/>
      <c r="X534" s="123"/>
      <c r="Y534" s="123"/>
      <c r="Z534" s="237"/>
    </row>
    <row r="536" spans="1:40" x14ac:dyDescent="0.3">
      <c r="C536" s="42"/>
      <c r="T536" s="42"/>
      <c r="V536" s="123"/>
      <c r="W536" s="123"/>
      <c r="X536" s="123"/>
      <c r="Y536" s="123"/>
      <c r="Z536" s="237"/>
    </row>
    <row r="537" spans="1:40" x14ac:dyDescent="0.3">
      <c r="C537" s="42"/>
      <c r="F537" s="184"/>
      <c r="H537" s="184"/>
      <c r="I537" s="184"/>
      <c r="J537" s="238"/>
      <c r="K537" s="238"/>
      <c r="L537" s="123"/>
      <c r="M537" s="123"/>
      <c r="N537" s="160"/>
      <c r="O537" s="160"/>
      <c r="P537" s="123"/>
      <c r="Q537" s="123"/>
      <c r="R537" s="123"/>
      <c r="T537" s="42"/>
      <c r="V537" s="123"/>
      <c r="W537" s="123"/>
      <c r="X537" s="123"/>
      <c r="Y537" s="123"/>
      <c r="Z537" s="238"/>
      <c r="AA537" s="123"/>
      <c r="AB537" s="123"/>
      <c r="AC537" s="160"/>
      <c r="AD537" s="160"/>
      <c r="AE537" s="123"/>
      <c r="AF537" s="123"/>
      <c r="AH537" s="236"/>
      <c r="AI537" s="123"/>
      <c r="AJ537" s="123"/>
      <c r="AL537" s="123"/>
      <c r="AM537" s="160"/>
      <c r="AN537" s="160"/>
    </row>
    <row r="538" spans="1:40" x14ac:dyDescent="0.3">
      <c r="C538" s="42"/>
      <c r="F538" s="184"/>
      <c r="H538" s="184"/>
      <c r="I538" s="184"/>
      <c r="J538" s="238"/>
      <c r="K538" s="238"/>
      <c r="L538" s="123"/>
      <c r="M538" s="123"/>
      <c r="N538" s="160"/>
      <c r="O538" s="160"/>
      <c r="P538" s="123"/>
      <c r="Q538" s="123"/>
      <c r="R538" s="123"/>
      <c r="T538" s="42"/>
      <c r="V538" s="123"/>
      <c r="W538" s="123"/>
      <c r="X538" s="123"/>
      <c r="Y538" s="123"/>
      <c r="Z538" s="238"/>
      <c r="AA538" s="123"/>
      <c r="AB538" s="123"/>
      <c r="AC538" s="160"/>
      <c r="AD538" s="160"/>
      <c r="AE538" s="123"/>
      <c r="AF538" s="123"/>
      <c r="AH538" s="236"/>
      <c r="AI538" s="123"/>
      <c r="AJ538" s="123"/>
      <c r="AL538" s="123"/>
      <c r="AM538" s="160"/>
      <c r="AN538" s="160"/>
    </row>
    <row r="539" spans="1:40" x14ac:dyDescent="0.3">
      <c r="C539" s="42"/>
      <c r="F539" s="184"/>
      <c r="H539" s="184"/>
      <c r="I539" s="184"/>
      <c r="J539" s="238"/>
      <c r="K539" s="238"/>
      <c r="L539" s="123"/>
      <c r="M539" s="123"/>
      <c r="N539" s="160"/>
      <c r="O539" s="160"/>
      <c r="P539" s="123"/>
      <c r="Q539" s="123"/>
      <c r="R539" s="123"/>
      <c r="T539" s="42"/>
      <c r="V539" s="123"/>
      <c r="W539" s="123"/>
      <c r="X539" s="123"/>
      <c r="Y539" s="123"/>
      <c r="Z539" s="238"/>
      <c r="AA539" s="123"/>
      <c r="AB539" s="123"/>
      <c r="AC539" s="160"/>
      <c r="AD539" s="160"/>
      <c r="AE539" s="123"/>
      <c r="AF539" s="123"/>
      <c r="AH539" s="236"/>
      <c r="AI539" s="123"/>
      <c r="AJ539" s="123"/>
      <c r="AL539" s="123"/>
      <c r="AM539" s="160"/>
      <c r="AN539" s="160"/>
    </row>
    <row r="540" spans="1:40" x14ac:dyDescent="0.3">
      <c r="C540" s="42"/>
      <c r="F540" s="184"/>
      <c r="H540" s="184"/>
      <c r="I540" s="184"/>
      <c r="J540" s="238"/>
      <c r="K540" s="238"/>
      <c r="L540" s="123"/>
      <c r="M540" s="123"/>
      <c r="N540" s="160"/>
      <c r="O540" s="160"/>
      <c r="P540" s="123"/>
      <c r="Q540" s="123"/>
      <c r="R540" s="123"/>
      <c r="T540" s="42"/>
      <c r="V540" s="123"/>
      <c r="W540" s="123"/>
      <c r="X540" s="123"/>
      <c r="Y540" s="123"/>
      <c r="Z540" s="238"/>
      <c r="AA540" s="123"/>
      <c r="AB540" s="123"/>
      <c r="AC540" s="160"/>
      <c r="AD540" s="160"/>
      <c r="AE540" s="123"/>
      <c r="AF540" s="123"/>
      <c r="AH540" s="236"/>
      <c r="AI540" s="123"/>
      <c r="AJ540" s="123"/>
      <c r="AL540" s="123"/>
      <c r="AM540" s="160"/>
      <c r="AN540" s="160"/>
    </row>
    <row r="541" spans="1:40" x14ac:dyDescent="0.3">
      <c r="J541" s="188"/>
      <c r="K541" s="188"/>
      <c r="V541" s="123"/>
      <c r="W541" s="123"/>
      <c r="X541" s="123"/>
      <c r="Y541" s="123"/>
      <c r="Z541" s="238"/>
    </row>
    <row r="542" spans="1:40" x14ac:dyDescent="0.3">
      <c r="C542" s="42"/>
      <c r="F542" s="184"/>
      <c r="H542" s="184"/>
      <c r="I542" s="184"/>
      <c r="J542" s="238"/>
      <c r="K542" s="238"/>
      <c r="L542" s="123"/>
      <c r="M542" s="123"/>
      <c r="N542" s="160"/>
      <c r="O542" s="160"/>
      <c r="P542" s="123"/>
      <c r="Q542" s="123"/>
      <c r="R542" s="123"/>
      <c r="T542" s="42"/>
      <c r="V542" s="123"/>
      <c r="W542" s="123"/>
      <c r="X542" s="123"/>
      <c r="Y542" s="123"/>
      <c r="Z542" s="238"/>
      <c r="AA542" s="123"/>
      <c r="AB542" s="123"/>
      <c r="AC542" s="160"/>
      <c r="AD542" s="160"/>
      <c r="AE542" s="123"/>
      <c r="AF542" s="123"/>
      <c r="AH542" s="236"/>
      <c r="AI542" s="123"/>
      <c r="AJ542" s="123"/>
      <c r="AL542" s="123"/>
      <c r="AM542" s="236"/>
      <c r="AN542" s="236"/>
    </row>
    <row r="543" spans="1:40" x14ac:dyDescent="0.3">
      <c r="C543" s="42"/>
      <c r="J543" s="188"/>
      <c r="K543" s="188"/>
      <c r="T543" s="42"/>
      <c r="V543" s="123"/>
      <c r="W543" s="123"/>
      <c r="X543" s="123"/>
      <c r="Y543" s="123"/>
      <c r="Z543" s="238"/>
    </row>
    <row r="544" spans="1:40" x14ac:dyDescent="0.3">
      <c r="C544" s="42"/>
      <c r="F544" s="184"/>
      <c r="H544" s="184"/>
      <c r="I544" s="184"/>
      <c r="J544" s="238"/>
      <c r="K544" s="238"/>
      <c r="L544" s="123"/>
      <c r="M544" s="123"/>
      <c r="N544" s="160"/>
      <c r="O544" s="160"/>
      <c r="P544" s="123"/>
      <c r="Q544" s="123"/>
      <c r="R544" s="123"/>
      <c r="T544" s="42"/>
      <c r="V544" s="123"/>
      <c r="W544" s="123"/>
      <c r="X544" s="123"/>
      <c r="Y544" s="123"/>
      <c r="Z544" s="238"/>
      <c r="AA544" s="123"/>
      <c r="AB544" s="123"/>
      <c r="AC544" s="160"/>
      <c r="AD544" s="160"/>
      <c r="AE544" s="123"/>
      <c r="AF544" s="123"/>
      <c r="AH544" s="236"/>
      <c r="AI544" s="123"/>
      <c r="AJ544" s="123"/>
      <c r="AL544" s="123"/>
      <c r="AM544" s="236"/>
      <c r="AN544" s="236"/>
    </row>
    <row r="545" spans="1:40" x14ac:dyDescent="0.3">
      <c r="J545" s="188"/>
      <c r="K545" s="188"/>
      <c r="Z545" s="188"/>
    </row>
    <row r="546" spans="1:40" x14ac:dyDescent="0.3">
      <c r="C546" s="42"/>
      <c r="J546" s="188"/>
      <c r="K546" s="188"/>
      <c r="T546" s="42"/>
      <c r="V546" s="123"/>
      <c r="W546" s="123"/>
      <c r="X546" s="123"/>
      <c r="Y546" s="123"/>
      <c r="Z546" s="238"/>
    </row>
    <row r="547" spans="1:40" x14ac:dyDescent="0.3">
      <c r="C547" s="42"/>
      <c r="F547" s="184"/>
      <c r="H547" s="184"/>
      <c r="I547" s="184"/>
      <c r="J547" s="238"/>
      <c r="K547" s="238"/>
      <c r="L547" s="123"/>
      <c r="M547" s="123"/>
      <c r="N547" s="160"/>
      <c r="O547" s="160"/>
      <c r="P547" s="123"/>
      <c r="Q547" s="123"/>
      <c r="R547" s="123"/>
      <c r="T547" s="42"/>
      <c r="V547" s="123"/>
      <c r="W547" s="123"/>
      <c r="X547" s="123"/>
      <c r="Y547" s="123"/>
      <c r="Z547" s="238"/>
      <c r="AA547" s="123"/>
      <c r="AB547" s="123"/>
      <c r="AC547" s="160"/>
      <c r="AD547" s="160"/>
      <c r="AE547" s="123"/>
      <c r="AF547" s="123"/>
      <c r="AH547" s="236"/>
      <c r="AI547" s="123"/>
      <c r="AJ547" s="123"/>
      <c r="AL547" s="123"/>
      <c r="AM547" s="236"/>
      <c r="AN547" s="236"/>
    </row>
    <row r="548" spans="1:40" x14ac:dyDescent="0.3">
      <c r="C548" s="42"/>
      <c r="F548" s="184"/>
      <c r="H548" s="184"/>
      <c r="I548" s="184"/>
      <c r="J548" s="238"/>
      <c r="K548" s="238"/>
      <c r="L548" s="123"/>
      <c r="M548" s="123"/>
      <c r="N548" s="160"/>
      <c r="O548" s="160"/>
      <c r="P548" s="123"/>
      <c r="Q548" s="123"/>
      <c r="R548" s="123"/>
      <c r="T548" s="42"/>
      <c r="V548" s="123"/>
      <c r="W548" s="123"/>
      <c r="X548" s="123"/>
      <c r="Y548" s="123"/>
      <c r="Z548" s="238"/>
      <c r="AA548" s="123"/>
      <c r="AB548" s="123"/>
      <c r="AC548" s="160"/>
      <c r="AD548" s="160"/>
      <c r="AE548" s="123"/>
      <c r="AF548" s="123"/>
      <c r="AH548" s="236"/>
      <c r="AI548" s="123"/>
      <c r="AJ548" s="123"/>
      <c r="AL548" s="123"/>
      <c r="AM548" s="236"/>
      <c r="AN548" s="236"/>
    </row>
    <row r="549" spans="1:40" x14ac:dyDescent="0.3">
      <c r="F549" s="210"/>
      <c r="H549" s="210"/>
      <c r="I549" s="210"/>
      <c r="J549" s="238"/>
      <c r="K549" s="238"/>
      <c r="L549" s="210"/>
      <c r="M549" s="210"/>
      <c r="N549" s="210"/>
      <c r="O549" s="210"/>
      <c r="P549" s="210"/>
      <c r="Q549" s="210"/>
      <c r="R549" s="210"/>
      <c r="V549" s="210"/>
      <c r="Y549" s="210"/>
      <c r="Z549" s="213"/>
      <c r="AA549" s="210"/>
      <c r="AB549" s="210"/>
      <c r="AC549" s="210"/>
      <c r="AD549" s="210"/>
      <c r="AE549" s="210"/>
      <c r="AF549" s="210"/>
      <c r="AI549" s="210"/>
      <c r="AJ549" s="210"/>
      <c r="AK549" s="214"/>
      <c r="AL549" s="210"/>
    </row>
    <row r="550" spans="1:40" x14ac:dyDescent="0.3">
      <c r="C550" s="42"/>
      <c r="F550" s="123"/>
      <c r="H550" s="123"/>
      <c r="I550" s="123"/>
      <c r="L550" s="123"/>
      <c r="M550" s="123"/>
      <c r="N550" s="160"/>
      <c r="O550" s="160"/>
      <c r="P550" s="184"/>
      <c r="Q550" s="184"/>
      <c r="R550" s="123"/>
      <c r="T550" s="42"/>
      <c r="V550" s="123"/>
      <c r="W550" s="123"/>
      <c r="X550" s="123"/>
      <c r="Y550" s="123"/>
      <c r="Z550" s="237"/>
      <c r="AA550" s="123"/>
      <c r="AB550" s="123"/>
      <c r="AC550" s="160"/>
      <c r="AD550" s="160"/>
      <c r="AE550" s="123"/>
      <c r="AF550" s="123"/>
      <c r="AH550" s="236"/>
      <c r="AI550" s="184"/>
      <c r="AJ550" s="184"/>
      <c r="AL550" s="123"/>
      <c r="AM550" s="236"/>
      <c r="AN550" s="236"/>
    </row>
    <row r="551" spans="1:40" x14ac:dyDescent="0.3">
      <c r="F551" s="210"/>
      <c r="H551" s="210"/>
      <c r="I551" s="210"/>
      <c r="J551" s="213"/>
      <c r="K551" s="213"/>
      <c r="L551" s="210"/>
      <c r="M551" s="210"/>
      <c r="N551" s="210"/>
      <c r="O551" s="210"/>
      <c r="P551" s="210"/>
      <c r="Q551" s="210"/>
      <c r="R551" s="210"/>
      <c r="V551" s="210"/>
      <c r="Y551" s="210"/>
      <c r="Z551" s="213"/>
      <c r="AA551" s="210"/>
      <c r="AB551" s="210"/>
      <c r="AC551" s="210"/>
      <c r="AD551" s="210"/>
      <c r="AE551" s="210"/>
      <c r="AF551" s="210"/>
      <c r="AI551" s="210"/>
      <c r="AJ551" s="210"/>
      <c r="AK551" s="214"/>
      <c r="AL551" s="210"/>
    </row>
    <row r="554" spans="1:40" x14ac:dyDescent="0.3">
      <c r="A554" s="42"/>
    </row>
    <row r="556" spans="1:40" x14ac:dyDescent="0.3">
      <c r="H556" s="42"/>
      <c r="I556" s="42"/>
      <c r="Y556" s="42"/>
    </row>
    <row r="558" spans="1:40" x14ac:dyDescent="0.3">
      <c r="L558" s="42"/>
      <c r="M558" s="42"/>
      <c r="AA558" s="42"/>
      <c r="AB558" s="42"/>
    </row>
    <row r="559" spans="1:40" x14ac:dyDescent="0.3">
      <c r="R559" s="42"/>
      <c r="AK559" s="206"/>
      <c r="AL559" s="42"/>
    </row>
    <row r="560" spans="1:40" x14ac:dyDescent="0.3">
      <c r="R560" s="42"/>
      <c r="AK560" s="206"/>
      <c r="AL560" s="42"/>
    </row>
    <row r="561" spans="1:40" x14ac:dyDescent="0.3">
      <c r="A561" s="42"/>
      <c r="R561" s="42"/>
      <c r="AK561" s="206"/>
      <c r="AL561" s="42"/>
    </row>
    <row r="562" spans="1:40" x14ac:dyDescent="0.3">
      <c r="L562" s="42"/>
      <c r="M562" s="42"/>
      <c r="AA562" s="42"/>
      <c r="AB562" s="42"/>
    </row>
    <row r="563" spans="1:40" x14ac:dyDescent="0.3">
      <c r="A563" s="135"/>
      <c r="B563" s="135"/>
      <c r="C563" s="135"/>
      <c r="D563" s="135"/>
      <c r="E563" s="135"/>
      <c r="F563" s="135"/>
      <c r="G563" s="135"/>
      <c r="H563" s="135"/>
      <c r="I563" s="135"/>
      <c r="J563" s="135"/>
      <c r="K563" s="135"/>
      <c r="L563" s="135"/>
      <c r="M563" s="135"/>
      <c r="N563" s="135"/>
      <c r="O563" s="135"/>
      <c r="P563" s="135"/>
      <c r="Q563" s="135"/>
      <c r="R563" s="135"/>
      <c r="T563" s="135"/>
      <c r="U563" s="135"/>
      <c r="V563" s="135"/>
      <c r="W563" s="135"/>
      <c r="X563" s="135"/>
      <c r="Y563" s="135"/>
      <c r="Z563" s="135"/>
      <c r="AA563" s="135"/>
      <c r="AB563" s="135"/>
      <c r="AC563" s="135"/>
      <c r="AD563" s="135"/>
      <c r="AE563" s="135"/>
      <c r="AF563" s="135"/>
      <c r="AG563" s="207"/>
      <c r="AH563" s="135"/>
      <c r="AI563" s="135"/>
      <c r="AJ563" s="135"/>
      <c r="AK563" s="207"/>
      <c r="AL563" s="135"/>
      <c r="AM563" s="135"/>
      <c r="AN563" s="135"/>
    </row>
    <row r="564" spans="1:40" x14ac:dyDescent="0.3">
      <c r="L564" s="44"/>
      <c r="M564" s="44"/>
      <c r="N564" s="44"/>
      <c r="O564" s="44"/>
      <c r="R564" s="44"/>
      <c r="AA564" s="44"/>
      <c r="AB564" s="44"/>
      <c r="AC564" s="44"/>
      <c r="AD564" s="44"/>
      <c r="AE564" s="44"/>
      <c r="AF564" s="44"/>
      <c r="AG564" s="168"/>
      <c r="AH564" s="44"/>
      <c r="AK564" s="168"/>
      <c r="AL564" s="44"/>
      <c r="AM564" s="44"/>
      <c r="AN564" s="44"/>
    </row>
    <row r="565" spans="1:40" x14ac:dyDescent="0.3">
      <c r="L565" s="44"/>
      <c r="M565" s="44"/>
      <c r="N565" s="44"/>
      <c r="O565" s="44"/>
      <c r="R565" s="44"/>
      <c r="Z565" s="44"/>
      <c r="AA565" s="44"/>
      <c r="AB565" s="44"/>
      <c r="AC565" s="44"/>
      <c r="AD565" s="44"/>
      <c r="AE565" s="44"/>
      <c r="AF565" s="44"/>
      <c r="AG565" s="168"/>
      <c r="AH565" s="44"/>
      <c r="AK565" s="168"/>
      <c r="AL565" s="44"/>
      <c r="AM565" s="44"/>
      <c r="AN565" s="44"/>
    </row>
    <row r="566" spans="1:40" x14ac:dyDescent="0.3">
      <c r="A566" s="44"/>
      <c r="C566" s="44"/>
      <c r="D566" s="44"/>
      <c r="E566" s="44"/>
      <c r="F566" s="44"/>
      <c r="J566" s="44"/>
      <c r="K566" s="44"/>
      <c r="L566" s="44"/>
      <c r="M566" s="44"/>
      <c r="N566" s="44"/>
      <c r="O566" s="44"/>
      <c r="P566" s="44"/>
      <c r="Q566" s="44"/>
      <c r="R566" s="44"/>
      <c r="T566" s="44"/>
      <c r="U566" s="44"/>
      <c r="V566" s="44"/>
      <c r="Z566" s="44"/>
      <c r="AA566" s="44"/>
      <c r="AB566" s="44"/>
      <c r="AC566" s="44"/>
      <c r="AD566" s="44"/>
      <c r="AE566" s="44"/>
      <c r="AF566" s="44"/>
      <c r="AG566" s="168"/>
      <c r="AH566" s="44"/>
      <c r="AI566" s="44"/>
      <c r="AJ566" s="44"/>
      <c r="AK566" s="168"/>
      <c r="AL566" s="44"/>
      <c r="AM566" s="44"/>
      <c r="AN566" s="44"/>
    </row>
    <row r="567" spans="1:40" x14ac:dyDescent="0.3">
      <c r="A567" s="44"/>
      <c r="C567" s="44"/>
      <c r="D567" s="44"/>
      <c r="E567" s="44"/>
      <c r="F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T567" s="44"/>
      <c r="U567" s="44"/>
      <c r="V567" s="44"/>
      <c r="Y567" s="44"/>
      <c r="Z567" s="44"/>
      <c r="AA567" s="44"/>
      <c r="AB567" s="44"/>
      <c r="AC567" s="44"/>
      <c r="AD567" s="44"/>
      <c r="AE567" s="44"/>
      <c r="AF567" s="44"/>
      <c r="AG567" s="168"/>
      <c r="AH567" s="44"/>
      <c r="AI567" s="44"/>
      <c r="AJ567" s="44"/>
      <c r="AK567" s="168"/>
      <c r="AL567" s="44"/>
      <c r="AM567" s="44"/>
      <c r="AN567" s="44"/>
    </row>
    <row r="568" spans="1:40" x14ac:dyDescent="0.3">
      <c r="C568" s="44"/>
      <c r="D568" s="44"/>
      <c r="E568" s="44"/>
      <c r="F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T568" s="44"/>
      <c r="U568" s="44"/>
      <c r="V568" s="44"/>
      <c r="Y568" s="44"/>
      <c r="Z568" s="44"/>
      <c r="AA568" s="44"/>
      <c r="AB568" s="44"/>
      <c r="AC568" s="44"/>
      <c r="AD568" s="44"/>
      <c r="AE568" s="44"/>
      <c r="AF568" s="44"/>
      <c r="AG568" s="168"/>
      <c r="AH568" s="44"/>
      <c r="AI568" s="44"/>
      <c r="AJ568" s="44"/>
      <c r="AK568" s="168"/>
      <c r="AL568" s="44"/>
      <c r="AM568" s="44"/>
      <c r="AN568" s="44"/>
    </row>
    <row r="569" spans="1:40" x14ac:dyDescent="0.3">
      <c r="A569" s="135"/>
      <c r="B569" s="135"/>
      <c r="C569" s="135"/>
      <c r="D569" s="135"/>
      <c r="E569" s="135"/>
      <c r="F569" s="135"/>
      <c r="G569" s="135"/>
      <c r="H569" s="135"/>
      <c r="I569" s="135"/>
      <c r="J569" s="135"/>
      <c r="K569" s="135"/>
      <c r="L569" s="135"/>
      <c r="M569" s="135"/>
      <c r="N569" s="135"/>
      <c r="O569" s="135"/>
      <c r="P569" s="135"/>
      <c r="Q569" s="135"/>
      <c r="R569" s="135"/>
      <c r="T569" s="135"/>
      <c r="U569" s="135"/>
      <c r="V569" s="135"/>
      <c r="W569" s="135"/>
      <c r="X569" s="135"/>
      <c r="Y569" s="135"/>
      <c r="Z569" s="135"/>
      <c r="AA569" s="135"/>
      <c r="AB569" s="135"/>
      <c r="AC569" s="135"/>
      <c r="AD569" s="135"/>
      <c r="AE569" s="135"/>
      <c r="AF569" s="135"/>
      <c r="AG569" s="207"/>
      <c r="AH569" s="135"/>
      <c r="AI569" s="135"/>
      <c r="AJ569" s="135"/>
      <c r="AK569" s="207"/>
      <c r="AL569" s="135"/>
      <c r="AM569" s="135"/>
      <c r="AN569" s="135"/>
    </row>
    <row r="570" spans="1:40" x14ac:dyDescent="0.3"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Y570" s="44"/>
      <c r="Z570" s="44"/>
      <c r="AA570" s="44"/>
      <c r="AB570" s="44"/>
      <c r="AC570" s="44"/>
      <c r="AD570" s="44"/>
      <c r="AE570" s="44"/>
      <c r="AF570" s="44"/>
      <c r="AG570" s="168"/>
      <c r="AH570" s="44"/>
      <c r="AI570" s="44"/>
      <c r="AJ570" s="44"/>
      <c r="AK570" s="168"/>
      <c r="AL570" s="44"/>
      <c r="AM570" s="44"/>
      <c r="AN570" s="44"/>
    </row>
    <row r="571" spans="1:40" x14ac:dyDescent="0.3">
      <c r="C571" s="42"/>
      <c r="D571" s="42"/>
      <c r="E571" s="42"/>
      <c r="T571" s="42"/>
      <c r="U571" s="42"/>
    </row>
    <row r="573" spans="1:40" x14ac:dyDescent="0.3">
      <c r="C573" s="42"/>
      <c r="T573" s="42"/>
    </row>
    <row r="574" spans="1:40" x14ac:dyDescent="0.3">
      <c r="C574" s="42"/>
      <c r="T574" s="42"/>
    </row>
    <row r="575" spans="1:40" x14ac:dyDescent="0.3">
      <c r="C575" s="42"/>
      <c r="F575" s="184"/>
      <c r="H575" s="184"/>
      <c r="I575" s="184"/>
      <c r="J575" s="238"/>
      <c r="K575" s="238"/>
      <c r="L575" s="123"/>
      <c r="M575" s="123"/>
      <c r="N575" s="160"/>
      <c r="O575" s="160"/>
      <c r="P575" s="123"/>
      <c r="Q575" s="123"/>
      <c r="R575" s="123"/>
      <c r="T575" s="42"/>
      <c r="V575" s="123"/>
      <c r="W575" s="123"/>
      <c r="X575" s="123"/>
      <c r="Y575" s="123"/>
      <c r="Z575" s="238"/>
      <c r="AA575" s="123"/>
      <c r="AB575" s="123"/>
      <c r="AC575" s="160"/>
      <c r="AD575" s="160"/>
      <c r="AE575" s="123"/>
      <c r="AF575" s="123"/>
      <c r="AH575" s="236"/>
      <c r="AI575" s="123"/>
      <c r="AJ575" s="123"/>
      <c r="AL575" s="123"/>
      <c r="AM575" s="236"/>
      <c r="AN575" s="236"/>
    </row>
    <row r="576" spans="1:40" x14ac:dyDescent="0.3">
      <c r="C576" s="42"/>
      <c r="F576" s="123"/>
      <c r="H576" s="123"/>
      <c r="I576" s="123"/>
      <c r="J576" s="188"/>
      <c r="K576" s="188"/>
      <c r="L576" s="123"/>
      <c r="M576" s="123"/>
      <c r="N576" s="160"/>
      <c r="O576" s="160"/>
      <c r="P576" s="123"/>
      <c r="Q576" s="123"/>
      <c r="R576" s="123"/>
      <c r="T576" s="42"/>
      <c r="V576" s="123"/>
      <c r="W576" s="123"/>
      <c r="X576" s="123"/>
      <c r="Y576" s="123"/>
      <c r="Z576" s="188"/>
      <c r="AA576" s="123"/>
      <c r="AB576" s="123"/>
      <c r="AC576" s="160"/>
      <c r="AD576" s="160"/>
      <c r="AE576" s="123"/>
      <c r="AF576" s="123"/>
      <c r="AH576" s="236"/>
      <c r="AI576" s="123"/>
      <c r="AJ576" s="123"/>
      <c r="AL576" s="123"/>
      <c r="AM576" s="236"/>
      <c r="AN576" s="236"/>
    </row>
    <row r="577" spans="3:40" x14ac:dyDescent="0.3">
      <c r="C577" s="42"/>
      <c r="F577" s="123"/>
      <c r="H577" s="123"/>
      <c r="I577" s="123"/>
      <c r="J577" s="188"/>
      <c r="K577" s="188"/>
      <c r="L577" s="123"/>
      <c r="M577" s="123"/>
      <c r="N577" s="160"/>
      <c r="O577" s="160"/>
      <c r="P577" s="123"/>
      <c r="Q577" s="123"/>
      <c r="R577" s="123"/>
      <c r="T577" s="42"/>
      <c r="V577" s="123"/>
      <c r="W577" s="123"/>
      <c r="X577" s="123"/>
      <c r="Y577" s="123"/>
      <c r="Z577" s="188"/>
      <c r="AA577" s="123"/>
      <c r="AB577" s="123"/>
      <c r="AC577" s="160"/>
      <c r="AD577" s="160"/>
      <c r="AE577" s="123"/>
      <c r="AF577" s="123"/>
      <c r="AH577" s="236"/>
      <c r="AI577" s="123"/>
      <c r="AJ577" s="123"/>
      <c r="AL577" s="123"/>
      <c r="AM577" s="236"/>
      <c r="AN577" s="236"/>
    </row>
    <row r="578" spans="3:40" x14ac:dyDescent="0.3">
      <c r="C578" s="42"/>
      <c r="F578" s="123"/>
      <c r="H578" s="123"/>
      <c r="I578" s="123"/>
      <c r="J578" s="188"/>
      <c r="K578" s="188"/>
      <c r="T578" s="42"/>
      <c r="V578" s="123"/>
      <c r="Z578" s="188"/>
    </row>
    <row r="579" spans="3:40" x14ac:dyDescent="0.3">
      <c r="C579" s="42"/>
      <c r="F579" s="184"/>
      <c r="H579" s="184"/>
      <c r="I579" s="184"/>
      <c r="J579" s="238"/>
      <c r="K579" s="238"/>
      <c r="L579" s="123"/>
      <c r="M579" s="123"/>
      <c r="N579" s="160"/>
      <c r="O579" s="160"/>
      <c r="P579" s="123"/>
      <c r="Q579" s="123"/>
      <c r="R579" s="123"/>
      <c r="T579" s="42"/>
      <c r="V579" s="123"/>
      <c r="W579" s="123"/>
      <c r="X579" s="123"/>
      <c r="Y579" s="123"/>
      <c r="Z579" s="238"/>
      <c r="AA579" s="123"/>
      <c r="AB579" s="123"/>
      <c r="AC579" s="160"/>
      <c r="AD579" s="160"/>
      <c r="AE579" s="123"/>
      <c r="AF579" s="123"/>
      <c r="AH579" s="236"/>
      <c r="AI579" s="123"/>
      <c r="AJ579" s="123"/>
      <c r="AL579" s="123"/>
      <c r="AM579" s="236"/>
      <c r="AN579" s="236"/>
    </row>
    <row r="580" spans="3:40" x14ac:dyDescent="0.3">
      <c r="C580" s="42"/>
      <c r="F580" s="123"/>
      <c r="H580" s="123"/>
      <c r="I580" s="123"/>
      <c r="J580" s="188"/>
      <c r="K580" s="188"/>
      <c r="T580" s="42"/>
      <c r="V580" s="123"/>
      <c r="W580" s="123"/>
      <c r="X580" s="123"/>
      <c r="Y580" s="123"/>
      <c r="Z580" s="188"/>
      <c r="AC580" s="160"/>
      <c r="AD580" s="160"/>
      <c r="AE580" s="123"/>
      <c r="AF580" s="123"/>
      <c r="AH580" s="236"/>
      <c r="AI580" s="123"/>
      <c r="AJ580" s="123"/>
      <c r="AL580" s="123"/>
      <c r="AM580" s="236"/>
      <c r="AN580" s="236"/>
    </row>
    <row r="581" spans="3:40" x14ac:dyDescent="0.3">
      <c r="C581" s="42"/>
      <c r="F581" s="184"/>
      <c r="H581" s="184"/>
      <c r="I581" s="184"/>
      <c r="J581" s="238"/>
      <c r="K581" s="238"/>
      <c r="L581" s="123"/>
      <c r="M581" s="123"/>
      <c r="N581" s="160"/>
      <c r="O581" s="160"/>
      <c r="P581" s="123"/>
      <c r="Q581" s="123"/>
      <c r="R581" s="123"/>
      <c r="T581" s="42"/>
      <c r="V581" s="123"/>
      <c r="W581" s="123"/>
      <c r="X581" s="123"/>
      <c r="Y581" s="123"/>
      <c r="Z581" s="238"/>
      <c r="AA581" s="123"/>
      <c r="AB581" s="123"/>
      <c r="AC581" s="160"/>
      <c r="AD581" s="160"/>
      <c r="AE581" s="123"/>
      <c r="AF581" s="123"/>
      <c r="AH581" s="236"/>
      <c r="AI581" s="123"/>
      <c r="AJ581" s="123"/>
      <c r="AL581" s="123"/>
      <c r="AM581" s="236"/>
      <c r="AN581" s="236"/>
    </row>
    <row r="582" spans="3:40" x14ac:dyDescent="0.3">
      <c r="C582" s="42"/>
      <c r="F582" s="123"/>
      <c r="H582" s="123"/>
      <c r="I582" s="123"/>
      <c r="J582" s="188"/>
      <c r="K582" s="188"/>
      <c r="L582" s="123"/>
      <c r="M582" s="123"/>
      <c r="N582" s="160"/>
      <c r="O582" s="160"/>
      <c r="P582" s="123"/>
      <c r="Q582" s="123"/>
      <c r="R582" s="123"/>
      <c r="T582" s="42"/>
      <c r="V582" s="123"/>
      <c r="W582" s="123"/>
      <c r="X582" s="123"/>
      <c r="Y582" s="123"/>
      <c r="Z582" s="188"/>
      <c r="AA582" s="123"/>
      <c r="AB582" s="123"/>
      <c r="AC582" s="160"/>
      <c r="AD582" s="160"/>
      <c r="AE582" s="123"/>
      <c r="AF582" s="123"/>
      <c r="AH582" s="236"/>
      <c r="AI582" s="123"/>
      <c r="AJ582" s="123"/>
      <c r="AL582" s="123"/>
      <c r="AM582" s="236"/>
      <c r="AN582" s="236"/>
    </row>
    <row r="583" spans="3:40" x14ac:dyDescent="0.3">
      <c r="F583" s="123"/>
      <c r="H583" s="123"/>
      <c r="I583" s="123"/>
      <c r="J583" s="188"/>
      <c r="K583" s="188"/>
      <c r="Z583" s="188"/>
    </row>
    <row r="584" spans="3:40" x14ac:dyDescent="0.3">
      <c r="C584" s="42"/>
      <c r="F584" s="123"/>
      <c r="H584" s="184"/>
      <c r="I584" s="184"/>
      <c r="J584" s="238"/>
      <c r="K584" s="238"/>
      <c r="L584" s="123"/>
      <c r="M584" s="123"/>
      <c r="N584" s="160"/>
      <c r="O584" s="160"/>
      <c r="P584" s="123"/>
      <c r="Q584" s="123"/>
      <c r="R584" s="123"/>
      <c r="T584" s="42"/>
      <c r="V584" s="123"/>
      <c r="W584" s="123"/>
      <c r="X584" s="123"/>
      <c r="Y584" s="123"/>
      <c r="Z584" s="238"/>
      <c r="AA584" s="123"/>
      <c r="AB584" s="123"/>
      <c r="AC584" s="160"/>
      <c r="AD584" s="160"/>
      <c r="AE584" s="123"/>
      <c r="AF584" s="123"/>
      <c r="AH584" s="236"/>
      <c r="AI584" s="123"/>
      <c r="AJ584" s="123"/>
      <c r="AL584" s="123"/>
      <c r="AM584" s="236"/>
      <c r="AN584" s="236"/>
    </row>
    <row r="585" spans="3:40" x14ac:dyDescent="0.3">
      <c r="F585" s="210"/>
      <c r="H585" s="210"/>
      <c r="I585" s="210"/>
      <c r="J585" s="238"/>
      <c r="K585" s="238"/>
      <c r="L585" s="210"/>
      <c r="M585" s="210"/>
      <c r="N585" s="210"/>
      <c r="O585" s="210"/>
      <c r="P585" s="210"/>
      <c r="Q585" s="210"/>
      <c r="R585" s="210"/>
      <c r="V585" s="210"/>
      <c r="Y585" s="210"/>
      <c r="Z585" s="238"/>
      <c r="AA585" s="210"/>
      <c r="AB585" s="210"/>
      <c r="AC585" s="210"/>
      <c r="AD585" s="210"/>
      <c r="AE585" s="210"/>
      <c r="AF585" s="210"/>
      <c r="AI585" s="210"/>
      <c r="AJ585" s="210"/>
      <c r="AK585" s="214"/>
      <c r="AL585" s="210"/>
    </row>
    <row r="586" spans="3:40" x14ac:dyDescent="0.3">
      <c r="C586" s="42"/>
      <c r="F586" s="123"/>
      <c r="H586" s="123"/>
      <c r="I586" s="123"/>
      <c r="J586" s="188"/>
      <c r="K586" s="188"/>
      <c r="L586" s="123"/>
      <c r="M586" s="123"/>
      <c r="P586" s="123"/>
      <c r="Q586" s="123"/>
      <c r="R586" s="123"/>
      <c r="T586" s="42"/>
      <c r="V586" s="123"/>
      <c r="Y586" s="123"/>
      <c r="Z586" s="188"/>
      <c r="AA586" s="123"/>
      <c r="AB586" s="123"/>
      <c r="AC586" s="236"/>
      <c r="AD586" s="236"/>
      <c r="AE586" s="123"/>
      <c r="AF586" s="123"/>
      <c r="AH586" s="236"/>
      <c r="AI586" s="123"/>
      <c r="AJ586" s="123"/>
      <c r="AL586" s="123"/>
      <c r="AM586" s="236"/>
      <c r="AN586" s="236"/>
    </row>
    <row r="587" spans="3:40" x14ac:dyDescent="0.3">
      <c r="F587" s="210"/>
      <c r="H587" s="210"/>
      <c r="I587" s="210"/>
      <c r="J587" s="238"/>
      <c r="K587" s="238"/>
      <c r="L587" s="210"/>
      <c r="M587" s="210"/>
      <c r="N587" s="210"/>
      <c r="O587" s="210"/>
      <c r="P587" s="210"/>
      <c r="Q587" s="210"/>
      <c r="R587" s="210"/>
      <c r="V587" s="210"/>
      <c r="Y587" s="210"/>
      <c r="Z587" s="238"/>
      <c r="AA587" s="210"/>
      <c r="AB587" s="210"/>
      <c r="AC587" s="210"/>
      <c r="AD587" s="210"/>
      <c r="AE587" s="210"/>
      <c r="AF587" s="210"/>
      <c r="AI587" s="210"/>
      <c r="AJ587" s="210"/>
      <c r="AK587" s="214"/>
      <c r="AL587" s="210"/>
    </row>
    <row r="588" spans="3:40" x14ac:dyDescent="0.3">
      <c r="J588" s="188"/>
      <c r="K588" s="188"/>
      <c r="Z588" s="188"/>
    </row>
    <row r="589" spans="3:40" x14ac:dyDescent="0.3">
      <c r="C589" s="42"/>
      <c r="J589" s="188"/>
      <c r="K589" s="188"/>
      <c r="T589" s="42"/>
      <c r="Z589" s="188"/>
    </row>
    <row r="590" spans="3:40" x14ac:dyDescent="0.3">
      <c r="C590" s="42"/>
      <c r="J590" s="188"/>
      <c r="K590" s="188"/>
      <c r="T590" s="42"/>
      <c r="Z590" s="188"/>
    </row>
    <row r="591" spans="3:40" x14ac:dyDescent="0.3">
      <c r="C591" s="42"/>
      <c r="F591" s="184"/>
      <c r="H591" s="184"/>
      <c r="I591" s="184"/>
      <c r="J591" s="238"/>
      <c r="K591" s="238"/>
      <c r="L591" s="123"/>
      <c r="M591" s="123"/>
      <c r="N591" s="160"/>
      <c r="O591" s="160"/>
      <c r="P591" s="123"/>
      <c r="Q591" s="123"/>
      <c r="R591" s="123"/>
      <c r="T591" s="42"/>
      <c r="V591" s="123"/>
      <c r="W591" s="123"/>
      <c r="X591" s="123"/>
      <c r="Y591" s="123"/>
      <c r="Z591" s="238"/>
      <c r="AA591" s="123"/>
      <c r="AB591" s="123"/>
      <c r="AC591" s="160"/>
      <c r="AD591" s="160"/>
      <c r="AE591" s="123"/>
      <c r="AF591" s="123"/>
      <c r="AH591" s="236"/>
      <c r="AI591" s="123"/>
      <c r="AJ591" s="123"/>
      <c r="AL591" s="123"/>
      <c r="AM591" s="236"/>
      <c r="AN591" s="236"/>
    </row>
    <row r="592" spans="3:40" x14ac:dyDescent="0.3">
      <c r="C592" s="42"/>
      <c r="J592" s="188"/>
      <c r="K592" s="188"/>
      <c r="T592" s="42"/>
      <c r="Z592" s="188"/>
    </row>
    <row r="593" spans="1:40" x14ac:dyDescent="0.3">
      <c r="C593" s="42"/>
      <c r="F593" s="184"/>
      <c r="H593" s="184"/>
      <c r="I593" s="184"/>
      <c r="J593" s="238"/>
      <c r="K593" s="238"/>
      <c r="L593" s="123"/>
      <c r="M593" s="123"/>
      <c r="N593" s="160"/>
      <c r="O593" s="160"/>
      <c r="P593" s="123"/>
      <c r="Q593" s="123"/>
      <c r="R593" s="123"/>
      <c r="T593" s="42"/>
      <c r="V593" s="123"/>
      <c r="W593" s="123"/>
      <c r="X593" s="123"/>
      <c r="Y593" s="123"/>
      <c r="Z593" s="238"/>
      <c r="AA593" s="123"/>
      <c r="AB593" s="123"/>
      <c r="AC593" s="160"/>
      <c r="AD593" s="160"/>
      <c r="AE593" s="123"/>
      <c r="AF593" s="123"/>
      <c r="AH593" s="236"/>
      <c r="AI593" s="123"/>
      <c r="AJ593" s="123"/>
      <c r="AL593" s="123"/>
      <c r="AM593" s="236"/>
      <c r="AN593" s="236"/>
    </row>
    <row r="594" spans="1:40" x14ac:dyDescent="0.3">
      <c r="F594" s="210"/>
      <c r="H594" s="210"/>
      <c r="I594" s="210"/>
      <c r="J594" s="238"/>
      <c r="K594" s="238"/>
      <c r="L594" s="210"/>
      <c r="M594" s="210"/>
      <c r="N594" s="210"/>
      <c r="O594" s="210"/>
      <c r="P594" s="210"/>
      <c r="Q594" s="210"/>
      <c r="R594" s="210"/>
      <c r="V594" s="210"/>
      <c r="Y594" s="210"/>
      <c r="Z594" s="238"/>
      <c r="AA594" s="210"/>
      <c r="AB594" s="210"/>
      <c r="AC594" s="210"/>
      <c r="AD594" s="210"/>
      <c r="AE594" s="210"/>
      <c r="AF594" s="210"/>
      <c r="AI594" s="210"/>
      <c r="AJ594" s="210"/>
      <c r="AK594" s="214"/>
      <c r="AL594" s="210"/>
    </row>
    <row r="595" spans="1:40" x14ac:dyDescent="0.3">
      <c r="C595" s="42"/>
      <c r="F595" s="123"/>
      <c r="H595" s="123"/>
      <c r="I595" s="123"/>
      <c r="J595" s="188"/>
      <c r="K595" s="188"/>
      <c r="L595" s="123"/>
      <c r="M595" s="123"/>
      <c r="N595" s="236"/>
      <c r="O595" s="236"/>
      <c r="P595" s="123"/>
      <c r="Q595" s="123"/>
      <c r="R595" s="123"/>
      <c r="T595" s="42"/>
      <c r="V595" s="123"/>
      <c r="Y595" s="123"/>
      <c r="Z595" s="188"/>
      <c r="AA595" s="123"/>
      <c r="AB595" s="123"/>
      <c r="AC595" s="236"/>
      <c r="AD595" s="236"/>
      <c r="AE595" s="123"/>
      <c r="AF595" s="123"/>
      <c r="AH595" s="236"/>
      <c r="AI595" s="123"/>
      <c r="AJ595" s="123"/>
      <c r="AL595" s="123"/>
      <c r="AM595" s="236"/>
      <c r="AN595" s="236"/>
    </row>
    <row r="596" spans="1:40" x14ac:dyDescent="0.3">
      <c r="F596" s="210"/>
      <c r="H596" s="210"/>
      <c r="I596" s="210"/>
      <c r="J596" s="238"/>
      <c r="K596" s="238"/>
      <c r="L596" s="210"/>
      <c r="M596" s="210"/>
      <c r="N596" s="210"/>
      <c r="O596" s="210"/>
      <c r="P596" s="210"/>
      <c r="Q596" s="210"/>
      <c r="R596" s="210"/>
      <c r="V596" s="210"/>
      <c r="Y596" s="210"/>
      <c r="Z596" s="213"/>
      <c r="AA596" s="210"/>
      <c r="AB596" s="210"/>
      <c r="AC596" s="210"/>
      <c r="AD596" s="210"/>
      <c r="AE596" s="210"/>
      <c r="AF596" s="210"/>
      <c r="AI596" s="210"/>
      <c r="AJ596" s="210"/>
      <c r="AK596" s="214"/>
      <c r="AL596" s="210"/>
    </row>
    <row r="597" spans="1:40" x14ac:dyDescent="0.3">
      <c r="J597" s="188"/>
      <c r="K597" s="188"/>
    </row>
    <row r="598" spans="1:40" x14ac:dyDescent="0.3">
      <c r="C598" s="42"/>
      <c r="F598" s="123"/>
      <c r="H598" s="123"/>
      <c r="I598" s="123"/>
      <c r="J598" s="188"/>
      <c r="K598" s="188"/>
      <c r="L598" s="123"/>
      <c r="M598" s="123"/>
      <c r="N598" s="160"/>
      <c r="O598" s="160"/>
      <c r="P598" s="184"/>
      <c r="Q598" s="184"/>
      <c r="R598" s="123"/>
      <c r="T598" s="42"/>
      <c r="V598" s="123"/>
      <c r="Y598" s="123"/>
      <c r="AA598" s="123"/>
      <c r="AB598" s="123"/>
      <c r="AC598" s="236"/>
      <c r="AD598" s="236"/>
      <c r="AE598" s="123"/>
      <c r="AF598" s="123"/>
      <c r="AH598" s="236"/>
      <c r="AI598" s="184"/>
      <c r="AJ598" s="184"/>
      <c r="AL598" s="123"/>
      <c r="AM598" s="236"/>
      <c r="AN598" s="236"/>
    </row>
    <row r="599" spans="1:40" x14ac:dyDescent="0.3">
      <c r="F599" s="210"/>
      <c r="H599" s="210"/>
      <c r="I599" s="210"/>
      <c r="J599" s="238"/>
      <c r="K599" s="238"/>
      <c r="L599" s="210"/>
      <c r="M599" s="210"/>
      <c r="N599" s="210"/>
      <c r="O599" s="210"/>
      <c r="P599" s="210"/>
      <c r="Q599" s="210"/>
      <c r="R599" s="210"/>
      <c r="V599" s="210"/>
      <c r="Y599" s="210"/>
      <c r="Z599" s="213"/>
      <c r="AA599" s="210"/>
      <c r="AB599" s="210"/>
      <c r="AC599" s="210"/>
      <c r="AD599" s="210"/>
      <c r="AE599" s="210"/>
      <c r="AF599" s="210"/>
      <c r="AI599" s="210"/>
      <c r="AJ599" s="210"/>
      <c r="AK599" s="214"/>
      <c r="AL599" s="210"/>
    </row>
    <row r="602" spans="1:40" x14ac:dyDescent="0.3">
      <c r="A602" s="42"/>
    </row>
    <row r="604" spans="1:40" x14ac:dyDescent="0.3">
      <c r="H604" s="42"/>
      <c r="I604" s="42"/>
      <c r="Y604" s="42"/>
    </row>
    <row r="606" spans="1:40" x14ac:dyDescent="0.3">
      <c r="L606" s="42"/>
      <c r="M606" s="42"/>
      <c r="AA606" s="42"/>
      <c r="AB606" s="42"/>
    </row>
    <row r="607" spans="1:40" x14ac:dyDescent="0.3">
      <c r="R607" s="42"/>
      <c r="AK607" s="206"/>
      <c r="AL607" s="42"/>
    </row>
    <row r="608" spans="1:40" x14ac:dyDescent="0.3">
      <c r="R608" s="42"/>
      <c r="AK608" s="206"/>
      <c r="AL608" s="42"/>
    </row>
    <row r="609" spans="1:40" x14ac:dyDescent="0.3">
      <c r="A609" s="42"/>
      <c r="R609" s="42"/>
      <c r="AK609" s="206"/>
      <c r="AL609" s="42"/>
    </row>
    <row r="610" spans="1:40" x14ac:dyDescent="0.3">
      <c r="L610" s="42"/>
      <c r="M610" s="42"/>
      <c r="AA610" s="42"/>
      <c r="AB610" s="42"/>
    </row>
    <row r="611" spans="1:40" x14ac:dyDescent="0.3">
      <c r="A611" s="135"/>
      <c r="B611" s="135"/>
      <c r="C611" s="135"/>
      <c r="D611" s="135"/>
      <c r="E611" s="135"/>
      <c r="F611" s="135"/>
      <c r="G611" s="135"/>
      <c r="H611" s="135"/>
      <c r="I611" s="135"/>
      <c r="J611" s="135"/>
      <c r="K611" s="135"/>
      <c r="L611" s="135"/>
      <c r="M611" s="135"/>
      <c r="N611" s="135"/>
      <c r="O611" s="135"/>
      <c r="P611" s="135"/>
      <c r="Q611" s="135"/>
      <c r="R611" s="135"/>
      <c r="T611" s="135"/>
      <c r="U611" s="135"/>
      <c r="V611" s="135"/>
      <c r="W611" s="135"/>
      <c r="X611" s="135"/>
      <c r="Y611" s="135"/>
      <c r="Z611" s="135"/>
      <c r="AA611" s="135"/>
      <c r="AB611" s="135"/>
      <c r="AC611" s="135"/>
      <c r="AD611" s="135"/>
      <c r="AE611" s="135"/>
      <c r="AF611" s="135"/>
      <c r="AG611" s="207"/>
      <c r="AH611" s="135"/>
      <c r="AI611" s="135"/>
      <c r="AJ611" s="135"/>
      <c r="AK611" s="207"/>
      <c r="AL611" s="135"/>
      <c r="AM611" s="135"/>
      <c r="AN611" s="135"/>
    </row>
    <row r="612" spans="1:40" x14ac:dyDescent="0.3">
      <c r="L612" s="44"/>
      <c r="M612" s="44"/>
      <c r="N612" s="44"/>
      <c r="O612" s="44"/>
      <c r="R612" s="44"/>
      <c r="AA612" s="44"/>
      <c r="AB612" s="44"/>
      <c r="AC612" s="44"/>
      <c r="AD612" s="44"/>
      <c r="AE612" s="44"/>
      <c r="AF612" s="44"/>
      <c r="AG612" s="168"/>
      <c r="AH612" s="44"/>
      <c r="AK612" s="168"/>
      <c r="AL612" s="44"/>
      <c r="AM612" s="44"/>
      <c r="AN612" s="44"/>
    </row>
    <row r="613" spans="1:40" x14ac:dyDescent="0.3">
      <c r="L613" s="44"/>
      <c r="M613" s="44"/>
      <c r="N613" s="44"/>
      <c r="O613" s="44"/>
      <c r="R613" s="44"/>
      <c r="Z613" s="44"/>
      <c r="AA613" s="44"/>
      <c r="AB613" s="44"/>
      <c r="AC613" s="44"/>
      <c r="AD613" s="44"/>
      <c r="AE613" s="44"/>
      <c r="AF613" s="44"/>
      <c r="AG613" s="168"/>
      <c r="AH613" s="44"/>
      <c r="AK613" s="168"/>
      <c r="AL613" s="44"/>
      <c r="AM613" s="44"/>
      <c r="AN613" s="44"/>
    </row>
    <row r="614" spans="1:40" x14ac:dyDescent="0.3">
      <c r="A614" s="44"/>
      <c r="C614" s="44"/>
      <c r="D614" s="44"/>
      <c r="E614" s="44"/>
      <c r="F614" s="44"/>
      <c r="J614" s="44"/>
      <c r="K614" s="44"/>
      <c r="L614" s="44"/>
      <c r="M614" s="44"/>
      <c r="N614" s="44"/>
      <c r="O614" s="44"/>
      <c r="P614" s="44"/>
      <c r="Q614" s="44"/>
      <c r="R614" s="44"/>
      <c r="T614" s="44"/>
      <c r="U614" s="44"/>
      <c r="V614" s="44"/>
      <c r="Z614" s="44"/>
      <c r="AA614" s="44"/>
      <c r="AB614" s="44"/>
      <c r="AC614" s="44"/>
      <c r="AD614" s="44"/>
      <c r="AE614" s="44"/>
      <c r="AF614" s="44"/>
      <c r="AG614" s="168"/>
      <c r="AH614" s="44"/>
      <c r="AI614" s="44"/>
      <c r="AJ614" s="44"/>
      <c r="AK614" s="168"/>
      <c r="AL614" s="44"/>
      <c r="AM614" s="44"/>
      <c r="AN614" s="44"/>
    </row>
    <row r="615" spans="1:40" x14ac:dyDescent="0.3">
      <c r="A615" s="44"/>
      <c r="C615" s="44"/>
      <c r="D615" s="44"/>
      <c r="E615" s="44"/>
      <c r="F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T615" s="44"/>
      <c r="U615" s="44"/>
      <c r="V615" s="44"/>
      <c r="Y615" s="44"/>
      <c r="Z615" s="44"/>
      <c r="AA615" s="44"/>
      <c r="AB615" s="44"/>
      <c r="AC615" s="44"/>
      <c r="AD615" s="44"/>
      <c r="AE615" s="44"/>
      <c r="AF615" s="44"/>
      <c r="AG615" s="168"/>
      <c r="AH615" s="44"/>
      <c r="AI615" s="44"/>
      <c r="AJ615" s="44"/>
      <c r="AK615" s="168"/>
      <c r="AL615" s="44"/>
      <c r="AM615" s="44"/>
      <c r="AN615" s="44"/>
    </row>
    <row r="616" spans="1:40" x14ac:dyDescent="0.3">
      <c r="C616" s="44"/>
      <c r="D616" s="44"/>
      <c r="E616" s="44"/>
      <c r="F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T616" s="44"/>
      <c r="U616" s="44"/>
      <c r="V616" s="44"/>
      <c r="Y616" s="44"/>
      <c r="Z616" s="44"/>
      <c r="AA616" s="44"/>
      <c r="AB616" s="44"/>
      <c r="AC616" s="44"/>
      <c r="AD616" s="44"/>
      <c r="AE616" s="44"/>
      <c r="AF616" s="44"/>
      <c r="AG616" s="168"/>
      <c r="AH616" s="44"/>
      <c r="AI616" s="44"/>
      <c r="AJ616" s="44"/>
      <c r="AK616" s="168"/>
      <c r="AL616" s="44"/>
      <c r="AM616" s="44"/>
      <c r="AN616" s="44"/>
    </row>
    <row r="617" spans="1:40" x14ac:dyDescent="0.3">
      <c r="A617" s="135"/>
      <c r="B617" s="135"/>
      <c r="C617" s="135"/>
      <c r="D617" s="135"/>
      <c r="E617" s="135"/>
      <c r="F617" s="135"/>
      <c r="G617" s="135"/>
      <c r="H617" s="135"/>
      <c r="I617" s="135"/>
      <c r="J617" s="135"/>
      <c r="K617" s="135"/>
      <c r="L617" s="135"/>
      <c r="M617" s="135"/>
      <c r="N617" s="135"/>
      <c r="O617" s="135"/>
      <c r="P617" s="135"/>
      <c r="Q617" s="135"/>
      <c r="R617" s="135"/>
      <c r="T617" s="135"/>
      <c r="U617" s="135"/>
      <c r="V617" s="135"/>
      <c r="W617" s="135"/>
      <c r="X617" s="135"/>
      <c r="Y617" s="135"/>
      <c r="Z617" s="135"/>
      <c r="AA617" s="135"/>
      <c r="AB617" s="135"/>
      <c r="AC617" s="135"/>
      <c r="AD617" s="135"/>
      <c r="AE617" s="135"/>
      <c r="AF617" s="135"/>
      <c r="AG617" s="207"/>
      <c r="AH617" s="135"/>
      <c r="AI617" s="135"/>
      <c r="AJ617" s="135"/>
      <c r="AK617" s="207"/>
      <c r="AL617" s="135"/>
      <c r="AM617" s="135"/>
      <c r="AN617" s="135"/>
    </row>
    <row r="618" spans="1:40" x14ac:dyDescent="0.3"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Y618" s="44"/>
      <c r="Z618" s="44"/>
      <c r="AA618" s="44"/>
      <c r="AB618" s="44"/>
      <c r="AC618" s="44"/>
      <c r="AD618" s="44"/>
      <c r="AE618" s="44"/>
      <c r="AF618" s="44"/>
      <c r="AG618" s="168"/>
      <c r="AH618" s="44"/>
      <c r="AI618" s="44"/>
      <c r="AJ618" s="44"/>
      <c r="AK618" s="168"/>
      <c r="AL618" s="44"/>
      <c r="AM618" s="44"/>
      <c r="AN618" s="44"/>
    </row>
    <row r="619" spans="1:40" x14ac:dyDescent="0.3">
      <c r="C619" s="42"/>
      <c r="D619" s="42"/>
      <c r="E619" s="42"/>
      <c r="T619" s="42"/>
      <c r="U619" s="42"/>
    </row>
    <row r="621" spans="1:40" x14ac:dyDescent="0.3">
      <c r="C621" s="42"/>
      <c r="D621" s="42"/>
      <c r="E621" s="42"/>
      <c r="T621" s="42"/>
      <c r="U621" s="42"/>
    </row>
    <row r="622" spans="1:40" x14ac:dyDescent="0.3">
      <c r="C622" s="42"/>
      <c r="T622" s="42"/>
    </row>
    <row r="623" spans="1:40" x14ac:dyDescent="0.3">
      <c r="C623" s="42"/>
      <c r="T623" s="42"/>
    </row>
    <row r="624" spans="1:40" x14ac:dyDescent="0.3">
      <c r="C624" s="42"/>
      <c r="F624" s="184"/>
      <c r="H624" s="184"/>
      <c r="I624" s="184"/>
      <c r="J624" s="238"/>
      <c r="K624" s="238"/>
      <c r="L624" s="123"/>
      <c r="M624" s="123"/>
      <c r="N624" s="160"/>
      <c r="O624" s="160"/>
      <c r="P624" s="123"/>
      <c r="Q624" s="123"/>
      <c r="R624" s="123"/>
      <c r="T624" s="42"/>
      <c r="V624" s="123"/>
      <c r="W624" s="123"/>
      <c r="X624" s="123"/>
      <c r="Y624" s="123"/>
      <c r="Z624" s="238"/>
      <c r="AA624" s="123"/>
      <c r="AB624" s="123"/>
      <c r="AC624" s="160"/>
      <c r="AD624" s="160"/>
      <c r="AE624" s="123"/>
      <c r="AF624" s="123"/>
      <c r="AH624" s="236"/>
      <c r="AI624" s="123"/>
      <c r="AJ624" s="123"/>
      <c r="AL624" s="123"/>
      <c r="AM624" s="160"/>
      <c r="AN624" s="160"/>
    </row>
    <row r="625" spans="3:40" x14ac:dyDescent="0.3">
      <c r="C625" s="42"/>
      <c r="J625" s="188"/>
      <c r="K625" s="188"/>
      <c r="T625" s="42"/>
      <c r="V625" s="123"/>
      <c r="W625" s="123"/>
      <c r="X625" s="123"/>
      <c r="Y625" s="123"/>
      <c r="Z625" s="238"/>
    </row>
    <row r="626" spans="3:40" x14ac:dyDescent="0.3">
      <c r="C626" s="42"/>
      <c r="F626" s="184"/>
      <c r="H626" s="184"/>
      <c r="I626" s="184"/>
      <c r="J626" s="238"/>
      <c r="K626" s="238"/>
      <c r="L626" s="123"/>
      <c r="M626" s="123"/>
      <c r="N626" s="160"/>
      <c r="O626" s="160"/>
      <c r="P626" s="123"/>
      <c r="Q626" s="123"/>
      <c r="R626" s="123"/>
      <c r="T626" s="42"/>
      <c r="V626" s="123"/>
      <c r="W626" s="123"/>
      <c r="X626" s="123"/>
      <c r="Y626" s="123"/>
      <c r="Z626" s="238"/>
      <c r="AA626" s="123"/>
      <c r="AB626" s="123"/>
      <c r="AC626" s="160"/>
      <c r="AD626" s="160"/>
      <c r="AE626" s="123"/>
      <c r="AF626" s="123"/>
      <c r="AH626" s="236"/>
      <c r="AI626" s="123"/>
      <c r="AJ626" s="123"/>
      <c r="AL626" s="123"/>
      <c r="AM626" s="160"/>
      <c r="AN626" s="160"/>
    </row>
    <row r="627" spans="3:40" x14ac:dyDescent="0.3">
      <c r="C627" s="42"/>
      <c r="J627" s="188"/>
      <c r="K627" s="188"/>
      <c r="T627" s="42"/>
      <c r="V627" s="123"/>
      <c r="W627" s="123"/>
      <c r="X627" s="123"/>
      <c r="Y627" s="123"/>
      <c r="Z627" s="238"/>
    </row>
    <row r="628" spans="3:40" x14ac:dyDescent="0.3">
      <c r="C628" s="42"/>
      <c r="F628" s="184"/>
      <c r="H628" s="184"/>
      <c r="I628" s="184"/>
      <c r="J628" s="238"/>
      <c r="K628" s="238"/>
      <c r="L628" s="123"/>
      <c r="M628" s="123"/>
      <c r="N628" s="160"/>
      <c r="O628" s="160"/>
      <c r="P628" s="123"/>
      <c r="Q628" s="123"/>
      <c r="R628" s="123"/>
      <c r="T628" s="42"/>
      <c r="V628" s="123"/>
      <c r="W628" s="123"/>
      <c r="X628" s="123"/>
      <c r="Y628" s="123"/>
      <c r="Z628" s="238"/>
      <c r="AA628" s="123"/>
      <c r="AB628" s="123"/>
      <c r="AC628" s="160"/>
      <c r="AD628" s="160"/>
      <c r="AE628" s="123"/>
      <c r="AF628" s="123"/>
      <c r="AH628" s="236"/>
      <c r="AI628" s="123"/>
      <c r="AJ628" s="123"/>
      <c r="AL628" s="123"/>
      <c r="AM628" s="160"/>
      <c r="AN628" s="160"/>
    </row>
    <row r="629" spans="3:40" x14ac:dyDescent="0.3">
      <c r="C629" s="42"/>
      <c r="J629" s="188"/>
      <c r="K629" s="188"/>
      <c r="T629" s="42"/>
      <c r="V629" s="123"/>
      <c r="W629" s="123"/>
      <c r="X629" s="123"/>
      <c r="Y629" s="123"/>
      <c r="Z629" s="238"/>
    </row>
    <row r="630" spans="3:40" x14ac:dyDescent="0.3">
      <c r="C630" s="42"/>
      <c r="F630" s="184"/>
      <c r="H630" s="184"/>
      <c r="I630" s="184"/>
      <c r="J630" s="238"/>
      <c r="K630" s="238"/>
      <c r="L630" s="123"/>
      <c r="M630" s="123"/>
      <c r="N630" s="160"/>
      <c r="O630" s="160"/>
      <c r="P630" s="123"/>
      <c r="Q630" s="123"/>
      <c r="R630" s="123"/>
      <c r="T630" s="42"/>
      <c r="V630" s="123"/>
      <c r="W630" s="123"/>
      <c r="X630" s="123"/>
      <c r="Y630" s="123"/>
      <c r="Z630" s="238"/>
      <c r="AA630" s="123"/>
      <c r="AB630" s="123"/>
      <c r="AC630" s="160"/>
      <c r="AD630" s="160"/>
      <c r="AE630" s="123"/>
      <c r="AF630" s="123"/>
      <c r="AH630" s="236"/>
      <c r="AI630" s="123"/>
      <c r="AJ630" s="123"/>
      <c r="AL630" s="123"/>
      <c r="AM630" s="160"/>
      <c r="AN630" s="160"/>
    </row>
    <row r="631" spans="3:40" x14ac:dyDescent="0.3">
      <c r="C631" s="42"/>
      <c r="J631" s="188"/>
      <c r="K631" s="188"/>
      <c r="T631" s="42"/>
      <c r="V631" s="123"/>
      <c r="W631" s="123"/>
      <c r="X631" s="123"/>
      <c r="Y631" s="123"/>
      <c r="Z631" s="238"/>
    </row>
    <row r="632" spans="3:40" x14ac:dyDescent="0.3">
      <c r="C632" s="42"/>
      <c r="F632" s="184"/>
      <c r="H632" s="184"/>
      <c r="I632" s="184"/>
      <c r="J632" s="238"/>
      <c r="K632" s="238"/>
      <c r="L632" s="123"/>
      <c r="M632" s="123"/>
      <c r="N632" s="160"/>
      <c r="O632" s="160"/>
      <c r="P632" s="123"/>
      <c r="Q632" s="123"/>
      <c r="R632" s="123"/>
      <c r="T632" s="42"/>
      <c r="V632" s="123"/>
      <c r="W632" s="123"/>
      <c r="X632" s="123"/>
      <c r="Y632" s="123"/>
      <c r="Z632" s="238"/>
      <c r="AA632" s="123"/>
      <c r="AB632" s="123"/>
      <c r="AC632" s="160"/>
      <c r="AD632" s="160"/>
      <c r="AE632" s="123"/>
      <c r="AF632" s="123"/>
      <c r="AH632" s="236"/>
      <c r="AI632" s="123"/>
      <c r="AJ632" s="123"/>
      <c r="AL632" s="123"/>
      <c r="AM632" s="160"/>
      <c r="AN632" s="160"/>
    </row>
    <row r="633" spans="3:40" x14ac:dyDescent="0.3">
      <c r="C633" s="42"/>
      <c r="J633" s="188"/>
      <c r="K633" s="188"/>
      <c r="T633" s="42"/>
      <c r="V633" s="123"/>
      <c r="W633" s="123"/>
      <c r="X633" s="123"/>
      <c r="Y633" s="123"/>
      <c r="Z633" s="238"/>
    </row>
    <row r="634" spans="3:40" x14ac:dyDescent="0.3">
      <c r="C634" s="42"/>
      <c r="F634" s="184"/>
      <c r="H634" s="184"/>
      <c r="I634" s="184"/>
      <c r="J634" s="238"/>
      <c r="K634" s="238"/>
      <c r="L634" s="123"/>
      <c r="M634" s="123"/>
      <c r="N634" s="160"/>
      <c r="O634" s="160"/>
      <c r="P634" s="123"/>
      <c r="Q634" s="123"/>
      <c r="R634" s="123"/>
      <c r="T634" s="42"/>
      <c r="V634" s="123"/>
      <c r="W634" s="123"/>
      <c r="X634" s="123"/>
      <c r="Y634" s="123"/>
      <c r="Z634" s="238"/>
      <c r="AA634" s="123"/>
      <c r="AB634" s="123"/>
      <c r="AC634" s="160"/>
      <c r="AD634" s="160"/>
      <c r="AE634" s="123"/>
      <c r="AF634" s="123"/>
      <c r="AH634" s="236"/>
      <c r="AI634" s="123"/>
      <c r="AJ634" s="123"/>
      <c r="AL634" s="123"/>
      <c r="AM634" s="160"/>
      <c r="AN634" s="160"/>
    </row>
    <row r="635" spans="3:40" x14ac:dyDescent="0.3">
      <c r="F635" s="210"/>
      <c r="H635" s="210"/>
      <c r="I635" s="210"/>
      <c r="J635" s="238"/>
      <c r="K635" s="238"/>
      <c r="L635" s="210"/>
      <c r="M635" s="210"/>
      <c r="N635" s="210"/>
      <c r="O635" s="210"/>
      <c r="P635" s="210"/>
      <c r="Q635" s="210"/>
      <c r="R635" s="210"/>
      <c r="V635" s="210"/>
      <c r="Y635" s="210"/>
      <c r="Z635" s="238"/>
      <c r="AA635" s="210"/>
      <c r="AB635" s="210"/>
      <c r="AC635" s="210"/>
      <c r="AD635" s="210"/>
      <c r="AE635" s="210"/>
      <c r="AF635" s="210"/>
      <c r="AI635" s="210"/>
      <c r="AJ635" s="210"/>
      <c r="AK635" s="214"/>
      <c r="AL635" s="210"/>
      <c r="AM635" s="160"/>
      <c r="AN635" s="160"/>
    </row>
    <row r="636" spans="3:40" x14ac:dyDescent="0.3">
      <c r="C636" s="42"/>
      <c r="F636" s="123"/>
      <c r="H636" s="123"/>
      <c r="I636" s="123"/>
      <c r="J636" s="188"/>
      <c r="K636" s="188"/>
      <c r="L636" s="123"/>
      <c r="M636" s="123"/>
      <c r="N636" s="160"/>
      <c r="O636" s="160"/>
      <c r="P636" s="184"/>
      <c r="Q636" s="184"/>
      <c r="R636" s="123"/>
      <c r="T636" s="42"/>
      <c r="V636" s="123"/>
      <c r="W636" s="123"/>
      <c r="X636" s="123"/>
      <c r="Y636" s="123"/>
      <c r="Z636" s="238"/>
      <c r="AA636" s="123"/>
      <c r="AB636" s="123"/>
      <c r="AC636" s="160"/>
      <c r="AD636" s="160"/>
      <c r="AE636" s="123"/>
      <c r="AF636" s="123"/>
      <c r="AH636" s="236"/>
      <c r="AI636" s="184"/>
      <c r="AJ636" s="184"/>
      <c r="AL636" s="123"/>
      <c r="AM636" s="160"/>
      <c r="AN636" s="160"/>
    </row>
    <row r="637" spans="3:40" x14ac:dyDescent="0.3">
      <c r="F637" s="210"/>
      <c r="H637" s="210"/>
      <c r="I637" s="210"/>
      <c r="J637" s="238"/>
      <c r="K637" s="238"/>
      <c r="L637" s="210"/>
      <c r="M637" s="210"/>
      <c r="N637" s="210"/>
      <c r="O637" s="210"/>
      <c r="P637" s="210"/>
      <c r="Q637" s="210"/>
      <c r="R637" s="210"/>
      <c r="V637" s="210"/>
      <c r="Y637" s="210"/>
      <c r="Z637" s="238"/>
      <c r="AA637" s="210"/>
      <c r="AB637" s="210"/>
      <c r="AC637" s="210"/>
      <c r="AD637" s="210"/>
      <c r="AE637" s="210"/>
      <c r="AF637" s="210"/>
      <c r="AI637" s="210"/>
      <c r="AJ637" s="210"/>
      <c r="AK637" s="214"/>
      <c r="AL637" s="210"/>
    </row>
    <row r="638" spans="3:40" x14ac:dyDescent="0.3">
      <c r="C638" s="42"/>
      <c r="D638" s="42"/>
      <c r="E638" s="42"/>
      <c r="J638" s="188"/>
      <c r="K638" s="188"/>
      <c r="T638" s="42"/>
      <c r="U638" s="42"/>
      <c r="V638" s="123"/>
      <c r="W638" s="123"/>
      <c r="X638" s="123"/>
      <c r="Y638" s="123"/>
      <c r="Z638" s="238"/>
    </row>
    <row r="639" spans="3:40" x14ac:dyDescent="0.3">
      <c r="C639" s="42"/>
      <c r="J639" s="188"/>
      <c r="K639" s="188"/>
      <c r="T639" s="42"/>
      <c r="V639" s="123"/>
      <c r="W639" s="123"/>
      <c r="X639" s="123"/>
      <c r="Y639" s="123"/>
      <c r="Z639" s="238"/>
    </row>
    <row r="640" spans="3:40" x14ac:dyDescent="0.3">
      <c r="C640" s="42"/>
      <c r="J640" s="188"/>
      <c r="K640" s="188"/>
      <c r="T640" s="42"/>
      <c r="V640" s="123"/>
      <c r="W640" s="123"/>
      <c r="X640" s="123"/>
      <c r="Y640" s="123"/>
      <c r="Z640" s="238"/>
    </row>
    <row r="641" spans="3:40" x14ac:dyDescent="0.3">
      <c r="C641" s="42"/>
      <c r="F641" s="184"/>
      <c r="H641" s="184"/>
      <c r="I641" s="184"/>
      <c r="J641" s="238"/>
      <c r="K641" s="238"/>
      <c r="L641" s="123"/>
      <c r="M641" s="123"/>
      <c r="N641" s="160"/>
      <c r="O641" s="160"/>
      <c r="P641" s="123"/>
      <c r="Q641" s="123"/>
      <c r="R641" s="123"/>
      <c r="T641" s="42"/>
      <c r="V641" s="123"/>
      <c r="W641" s="123"/>
      <c r="X641" s="123"/>
      <c r="Y641" s="123"/>
      <c r="Z641" s="238"/>
      <c r="AA641" s="123"/>
      <c r="AB641" s="123"/>
      <c r="AC641" s="160"/>
      <c r="AD641" s="160"/>
      <c r="AE641" s="123"/>
      <c r="AF641" s="123"/>
      <c r="AH641" s="236"/>
      <c r="AI641" s="123"/>
      <c r="AJ641" s="123"/>
      <c r="AL641" s="123"/>
      <c r="AM641" s="160"/>
      <c r="AN641" s="160"/>
    </row>
    <row r="642" spans="3:40" x14ac:dyDescent="0.3">
      <c r="C642" s="42"/>
      <c r="J642" s="188"/>
      <c r="K642" s="188"/>
      <c r="T642" s="42"/>
      <c r="V642" s="123"/>
      <c r="W642" s="123"/>
      <c r="X642" s="123"/>
      <c r="Y642" s="123"/>
      <c r="Z642" s="238"/>
    </row>
    <row r="643" spans="3:40" x14ac:dyDescent="0.3">
      <c r="C643" s="42"/>
      <c r="F643" s="184"/>
      <c r="H643" s="184"/>
      <c r="I643" s="184"/>
      <c r="J643" s="238"/>
      <c r="K643" s="238"/>
      <c r="L643" s="123"/>
      <c r="M643" s="123"/>
      <c r="N643" s="160"/>
      <c r="O643" s="160"/>
      <c r="P643" s="123"/>
      <c r="Q643" s="123"/>
      <c r="R643" s="123"/>
      <c r="T643" s="42"/>
      <c r="V643" s="123"/>
      <c r="W643" s="123"/>
      <c r="X643" s="123"/>
      <c r="Y643" s="123"/>
      <c r="Z643" s="238"/>
      <c r="AA643" s="123"/>
      <c r="AB643" s="123"/>
      <c r="AC643" s="160"/>
      <c r="AD643" s="160"/>
      <c r="AE643" s="123"/>
      <c r="AF643" s="123"/>
      <c r="AH643" s="236"/>
      <c r="AI643" s="123"/>
      <c r="AJ643" s="123"/>
      <c r="AL643" s="123"/>
      <c r="AM643" s="160"/>
      <c r="AN643" s="160"/>
    </row>
    <row r="644" spans="3:40" x14ac:dyDescent="0.3">
      <c r="F644" s="210"/>
      <c r="H644" s="210"/>
      <c r="I644" s="210"/>
      <c r="J644" s="238"/>
      <c r="K644" s="238"/>
      <c r="L644" s="210"/>
      <c r="M644" s="210"/>
      <c r="N644" s="210"/>
      <c r="O644" s="210"/>
      <c r="P644" s="210"/>
      <c r="Q644" s="210"/>
      <c r="R644" s="210"/>
      <c r="V644" s="210"/>
      <c r="Y644" s="210"/>
      <c r="Z644" s="213"/>
      <c r="AA644" s="210"/>
      <c r="AB644" s="210"/>
      <c r="AC644" s="210"/>
      <c r="AD644" s="210"/>
      <c r="AE644" s="210"/>
      <c r="AF644" s="210"/>
      <c r="AI644" s="210"/>
      <c r="AJ644" s="210"/>
      <c r="AK644" s="214"/>
      <c r="AL644" s="210"/>
    </row>
    <row r="645" spans="3:40" x14ac:dyDescent="0.3">
      <c r="C645" s="42"/>
      <c r="F645" s="123"/>
      <c r="H645" s="123"/>
      <c r="I645" s="123"/>
      <c r="L645" s="123"/>
      <c r="M645" s="123"/>
      <c r="N645" s="160"/>
      <c r="O645" s="160"/>
      <c r="P645" s="184"/>
      <c r="Q645" s="184"/>
      <c r="R645" s="123"/>
      <c r="T645" s="42"/>
      <c r="V645" s="123"/>
      <c r="W645" s="123"/>
      <c r="X645" s="123"/>
      <c r="Y645" s="123"/>
      <c r="Z645" s="237"/>
      <c r="AA645" s="123"/>
      <c r="AB645" s="123"/>
      <c r="AC645" s="160"/>
      <c r="AD645" s="160"/>
      <c r="AE645" s="123"/>
      <c r="AF645" s="123"/>
      <c r="AH645" s="236"/>
      <c r="AI645" s="184"/>
      <c r="AJ645" s="184"/>
      <c r="AL645" s="123"/>
      <c r="AM645" s="160"/>
      <c r="AN645" s="160"/>
    </row>
    <row r="646" spans="3:40" x14ac:dyDescent="0.3">
      <c r="F646" s="210"/>
      <c r="H646" s="210"/>
      <c r="I646" s="210"/>
      <c r="J646" s="213"/>
      <c r="K646" s="213"/>
      <c r="L646" s="210"/>
      <c r="M646" s="210"/>
      <c r="N646" s="210"/>
      <c r="O646" s="210"/>
      <c r="P646" s="210"/>
      <c r="Q646" s="210"/>
      <c r="R646" s="210"/>
      <c r="V646" s="210"/>
      <c r="Y646" s="210"/>
      <c r="Z646" s="213"/>
      <c r="AA646" s="210"/>
      <c r="AB646" s="210"/>
      <c r="AC646" s="210"/>
      <c r="AD646" s="210"/>
      <c r="AE646" s="210"/>
      <c r="AF646" s="210"/>
      <c r="AI646" s="210"/>
      <c r="AJ646" s="210"/>
      <c r="AK646" s="214"/>
      <c r="AL646" s="210"/>
    </row>
    <row r="647" spans="3:40" x14ac:dyDescent="0.3">
      <c r="C647" s="42"/>
      <c r="D647" s="42"/>
      <c r="E647" s="42"/>
      <c r="T647" s="42"/>
      <c r="U647" s="42"/>
      <c r="V647" s="123"/>
      <c r="W647" s="123"/>
      <c r="X647" s="123"/>
      <c r="Y647" s="123"/>
      <c r="Z647" s="237"/>
    </row>
    <row r="648" spans="3:40" x14ac:dyDescent="0.3">
      <c r="C648" s="42"/>
      <c r="T648" s="42"/>
      <c r="V648" s="123"/>
      <c r="W648" s="123"/>
      <c r="X648" s="123"/>
      <c r="Y648" s="123"/>
      <c r="Z648" s="237"/>
    </row>
    <row r="649" spans="3:40" x14ac:dyDescent="0.3">
      <c r="C649" s="42"/>
      <c r="F649" s="184"/>
      <c r="H649" s="184"/>
      <c r="I649" s="184"/>
      <c r="J649" s="237"/>
      <c r="K649" s="237"/>
      <c r="L649" s="123"/>
      <c r="M649" s="123"/>
      <c r="N649" s="160"/>
      <c r="O649" s="160"/>
      <c r="P649" s="123"/>
      <c r="Q649" s="123"/>
      <c r="R649" s="123"/>
      <c r="T649" s="42"/>
      <c r="V649" s="123"/>
      <c r="W649" s="123"/>
      <c r="X649" s="123"/>
      <c r="Y649" s="123"/>
      <c r="Z649" s="237"/>
      <c r="AA649" s="123"/>
      <c r="AB649" s="123"/>
      <c r="AC649" s="160"/>
      <c r="AD649" s="160"/>
      <c r="AE649" s="123"/>
      <c r="AF649" s="123"/>
      <c r="AH649" s="236"/>
      <c r="AI649" s="123"/>
      <c r="AJ649" s="123"/>
      <c r="AL649" s="123"/>
      <c r="AM649" s="160"/>
      <c r="AN649" s="160"/>
    </row>
    <row r="650" spans="3:40" x14ac:dyDescent="0.3">
      <c r="C650" s="42"/>
      <c r="T650" s="42"/>
      <c r="V650" s="123"/>
      <c r="W650" s="123"/>
      <c r="X650" s="123"/>
      <c r="Y650" s="123"/>
      <c r="Z650" s="237"/>
    </row>
    <row r="651" spans="3:40" x14ac:dyDescent="0.3">
      <c r="C651" s="42"/>
      <c r="F651" s="184"/>
      <c r="H651" s="184"/>
      <c r="I651" s="184"/>
      <c r="J651" s="237"/>
      <c r="K651" s="237"/>
      <c r="L651" s="123"/>
      <c r="M651" s="123"/>
      <c r="N651" s="160"/>
      <c r="O651" s="160"/>
      <c r="P651" s="123"/>
      <c r="Q651" s="123"/>
      <c r="R651" s="123"/>
      <c r="T651" s="42"/>
      <c r="V651" s="123"/>
      <c r="W651" s="123"/>
      <c r="X651" s="123"/>
      <c r="Y651" s="123"/>
      <c r="Z651" s="237"/>
      <c r="AA651" s="123"/>
      <c r="AB651" s="123"/>
      <c r="AC651" s="160"/>
      <c r="AD651" s="160"/>
      <c r="AE651" s="123"/>
      <c r="AF651" s="123"/>
      <c r="AH651" s="236"/>
      <c r="AI651" s="123"/>
      <c r="AJ651" s="123"/>
      <c r="AL651" s="123"/>
      <c r="AM651" s="160"/>
      <c r="AN651" s="160"/>
    </row>
    <row r="652" spans="3:40" x14ac:dyDescent="0.3">
      <c r="C652" s="42"/>
      <c r="T652" s="42"/>
      <c r="V652" s="123"/>
      <c r="W652" s="123"/>
      <c r="X652" s="123"/>
      <c r="Y652" s="123"/>
      <c r="Z652" s="237"/>
    </row>
    <row r="653" spans="3:40" x14ac:dyDescent="0.3">
      <c r="C653" s="42"/>
      <c r="F653" s="184"/>
      <c r="H653" s="184"/>
      <c r="I653" s="184"/>
      <c r="J653" s="237"/>
      <c r="K653" s="237"/>
      <c r="L653" s="123"/>
      <c r="M653" s="123"/>
      <c r="N653" s="160"/>
      <c r="O653" s="160"/>
      <c r="P653" s="123"/>
      <c r="Q653" s="123"/>
      <c r="R653" s="123"/>
      <c r="T653" s="42"/>
      <c r="V653" s="123"/>
      <c r="W653" s="123"/>
      <c r="X653" s="123"/>
      <c r="Y653" s="123"/>
      <c r="Z653" s="237"/>
      <c r="AA653" s="123"/>
      <c r="AB653" s="123"/>
      <c r="AC653" s="160"/>
      <c r="AD653" s="160"/>
      <c r="AE653" s="123"/>
      <c r="AF653" s="123"/>
      <c r="AH653" s="236"/>
      <c r="AI653" s="123"/>
      <c r="AJ653" s="123"/>
      <c r="AL653" s="123"/>
      <c r="AM653" s="160"/>
      <c r="AN653" s="160"/>
    </row>
    <row r="654" spans="3:40" x14ac:dyDescent="0.3">
      <c r="C654" s="42"/>
      <c r="T654" s="42"/>
      <c r="V654" s="123"/>
      <c r="W654" s="123"/>
      <c r="X654" s="123"/>
      <c r="Y654" s="123"/>
      <c r="Z654" s="237"/>
    </row>
    <row r="655" spans="3:40" x14ac:dyDescent="0.3">
      <c r="C655" s="42"/>
      <c r="F655" s="184"/>
      <c r="H655" s="184"/>
      <c r="I655" s="184"/>
      <c r="J655" s="237"/>
      <c r="K655" s="237"/>
      <c r="L655" s="123"/>
      <c r="M655" s="123"/>
      <c r="N655" s="160"/>
      <c r="O655" s="160"/>
      <c r="P655" s="123"/>
      <c r="Q655" s="123"/>
      <c r="R655" s="123"/>
      <c r="T655" s="42"/>
      <c r="V655" s="123"/>
      <c r="W655" s="123"/>
      <c r="X655" s="123"/>
      <c r="Y655" s="123"/>
      <c r="Z655" s="237"/>
      <c r="AA655" s="123"/>
      <c r="AB655" s="123"/>
      <c r="AC655" s="160"/>
      <c r="AD655" s="160"/>
      <c r="AE655" s="123"/>
      <c r="AF655" s="123"/>
      <c r="AH655" s="236"/>
      <c r="AI655" s="123"/>
      <c r="AJ655" s="123"/>
      <c r="AL655" s="123"/>
      <c r="AM655" s="160"/>
      <c r="AN655" s="160"/>
    </row>
    <row r="656" spans="3:40" x14ac:dyDescent="0.3">
      <c r="F656" s="210"/>
      <c r="H656" s="210"/>
      <c r="I656" s="210"/>
      <c r="J656" s="213"/>
      <c r="K656" s="213"/>
      <c r="L656" s="210"/>
      <c r="M656" s="210"/>
      <c r="N656" s="210"/>
      <c r="O656" s="210"/>
      <c r="P656" s="210"/>
      <c r="Q656" s="210"/>
      <c r="R656" s="210"/>
      <c r="V656" s="210"/>
      <c r="Y656" s="210"/>
      <c r="Z656" s="213"/>
      <c r="AA656" s="210"/>
      <c r="AB656" s="210"/>
      <c r="AC656" s="210"/>
      <c r="AD656" s="210"/>
      <c r="AE656" s="210"/>
      <c r="AF656" s="210"/>
      <c r="AI656" s="210"/>
      <c r="AJ656" s="210"/>
      <c r="AK656" s="214"/>
      <c r="AL656" s="210"/>
    </row>
    <row r="657" spans="1:40" x14ac:dyDescent="0.3">
      <c r="C657" s="42"/>
      <c r="F657" s="123"/>
      <c r="H657" s="123"/>
      <c r="I657" s="123"/>
      <c r="L657" s="123"/>
      <c r="M657" s="123"/>
      <c r="N657" s="160"/>
      <c r="O657" s="160"/>
      <c r="P657" s="184"/>
      <c r="Q657" s="184"/>
      <c r="R657" s="123"/>
      <c r="T657" s="42"/>
      <c r="V657" s="123"/>
      <c r="W657" s="123"/>
      <c r="X657" s="123"/>
      <c r="Y657" s="123"/>
      <c r="Z657" s="237"/>
      <c r="AA657" s="123"/>
      <c r="AB657" s="123"/>
      <c r="AC657" s="160"/>
      <c r="AD657" s="160"/>
      <c r="AE657" s="123"/>
      <c r="AF657" s="123"/>
      <c r="AH657" s="236"/>
      <c r="AI657" s="184"/>
      <c r="AJ657" s="184"/>
      <c r="AL657" s="123"/>
      <c r="AM657" s="160"/>
      <c r="AN657" s="160"/>
    </row>
    <row r="658" spans="1:40" x14ac:dyDescent="0.3">
      <c r="F658" s="210"/>
      <c r="H658" s="210"/>
      <c r="I658" s="210"/>
      <c r="J658" s="213"/>
      <c r="K658" s="213"/>
      <c r="L658" s="210"/>
      <c r="M658" s="210"/>
      <c r="N658" s="210"/>
      <c r="O658" s="210"/>
      <c r="P658" s="210"/>
      <c r="Q658" s="210"/>
      <c r="R658" s="210"/>
      <c r="V658" s="210"/>
      <c r="Y658" s="210"/>
      <c r="Z658" s="213"/>
      <c r="AA658" s="210"/>
      <c r="AB658" s="210"/>
      <c r="AC658" s="210"/>
      <c r="AD658" s="210"/>
      <c r="AE658" s="210"/>
      <c r="AF658" s="210"/>
      <c r="AI658" s="210"/>
      <c r="AJ658" s="210"/>
      <c r="AK658" s="214"/>
      <c r="AL658" s="210"/>
    </row>
    <row r="659" spans="1:40" x14ac:dyDescent="0.3">
      <c r="C659" s="42"/>
      <c r="F659" s="123"/>
      <c r="H659" s="123"/>
      <c r="I659" s="123"/>
      <c r="L659" s="123"/>
      <c r="M659" s="123"/>
      <c r="N659" s="160"/>
      <c r="O659" s="160"/>
      <c r="P659" s="123"/>
      <c r="Q659" s="123"/>
      <c r="R659" s="123"/>
      <c r="T659" s="42"/>
      <c r="V659" s="123"/>
      <c r="W659" s="123"/>
      <c r="X659" s="123"/>
      <c r="Y659" s="123"/>
      <c r="AA659" s="123"/>
      <c r="AB659" s="123"/>
      <c r="AC659" s="160"/>
      <c r="AD659" s="160"/>
      <c r="AE659" s="123"/>
      <c r="AF659" s="123"/>
      <c r="AH659" s="236"/>
      <c r="AI659" s="123"/>
      <c r="AJ659" s="123"/>
      <c r="AL659" s="123"/>
      <c r="AM659" s="236"/>
      <c r="AN659" s="236"/>
    </row>
    <row r="660" spans="1:40" x14ac:dyDescent="0.3">
      <c r="F660" s="210"/>
      <c r="H660" s="210"/>
      <c r="I660" s="210"/>
      <c r="J660" s="213"/>
      <c r="K660" s="213"/>
      <c r="L660" s="210"/>
      <c r="M660" s="210"/>
      <c r="N660" s="210"/>
      <c r="O660" s="210"/>
      <c r="P660" s="210"/>
      <c r="Q660" s="210"/>
      <c r="R660" s="210"/>
      <c r="V660" s="210"/>
      <c r="Y660" s="210"/>
      <c r="Z660" s="213"/>
      <c r="AA660" s="210"/>
      <c r="AB660" s="210"/>
      <c r="AC660" s="210"/>
      <c r="AD660" s="210"/>
      <c r="AE660" s="210"/>
      <c r="AF660" s="210"/>
      <c r="AI660" s="210"/>
      <c r="AJ660" s="210"/>
      <c r="AK660" s="214"/>
      <c r="AL660" s="210"/>
    </row>
    <row r="663" spans="1:40" x14ac:dyDescent="0.3">
      <c r="A663" s="42"/>
    </row>
    <row r="665" spans="1:40" x14ac:dyDescent="0.3">
      <c r="H665" s="42"/>
      <c r="I665" s="42"/>
      <c r="Y665" s="42"/>
    </row>
    <row r="667" spans="1:40" x14ac:dyDescent="0.3">
      <c r="L667" s="42"/>
      <c r="M667" s="42"/>
      <c r="AA667" s="42"/>
      <c r="AB667" s="42"/>
    </row>
    <row r="668" spans="1:40" x14ac:dyDescent="0.3">
      <c r="R668" s="42"/>
      <c r="AK668" s="206"/>
      <c r="AL668" s="42"/>
    </row>
    <row r="669" spans="1:40" x14ac:dyDescent="0.3">
      <c r="R669" s="42"/>
      <c r="AK669" s="206"/>
      <c r="AL669" s="42"/>
    </row>
    <row r="670" spans="1:40" x14ac:dyDescent="0.3">
      <c r="A670" s="42"/>
      <c r="R670" s="42"/>
      <c r="AK670" s="206"/>
      <c r="AL670" s="42"/>
    </row>
    <row r="671" spans="1:40" x14ac:dyDescent="0.3">
      <c r="L671" s="42"/>
      <c r="M671" s="42"/>
      <c r="AA671" s="42"/>
      <c r="AB671" s="42"/>
    </row>
    <row r="672" spans="1:40" x14ac:dyDescent="0.3">
      <c r="A672" s="135"/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207"/>
      <c r="AH672" s="135"/>
      <c r="AI672" s="135"/>
      <c r="AJ672" s="135"/>
      <c r="AK672" s="207"/>
      <c r="AL672" s="135"/>
      <c r="AM672" s="135"/>
      <c r="AN672" s="135"/>
    </row>
    <row r="673" spans="1:40" x14ac:dyDescent="0.3">
      <c r="L673" s="44"/>
      <c r="M673" s="44"/>
      <c r="N673" s="44"/>
      <c r="O673" s="44"/>
      <c r="R673" s="44"/>
      <c r="AA673" s="44"/>
      <c r="AB673" s="44"/>
      <c r="AC673" s="44"/>
      <c r="AD673" s="44"/>
      <c r="AE673" s="44"/>
      <c r="AF673" s="44"/>
      <c r="AG673" s="168"/>
      <c r="AH673" s="44"/>
      <c r="AK673" s="168"/>
      <c r="AL673" s="44"/>
      <c r="AM673" s="44"/>
      <c r="AN673" s="44"/>
    </row>
    <row r="674" spans="1:40" x14ac:dyDescent="0.3">
      <c r="L674" s="44"/>
      <c r="M674" s="44"/>
      <c r="N674" s="44"/>
      <c r="O674" s="44"/>
      <c r="R674" s="44"/>
      <c r="Z674" s="44"/>
      <c r="AA674" s="44"/>
      <c r="AB674" s="44"/>
      <c r="AC674" s="44"/>
      <c r="AD674" s="44"/>
      <c r="AE674" s="44"/>
      <c r="AF674" s="44"/>
      <c r="AG674" s="168"/>
      <c r="AH674" s="44"/>
      <c r="AK674" s="168"/>
      <c r="AL674" s="44"/>
      <c r="AM674" s="44"/>
      <c r="AN674" s="44"/>
    </row>
    <row r="675" spans="1:40" x14ac:dyDescent="0.3">
      <c r="A675" s="44"/>
      <c r="C675" s="44"/>
      <c r="D675" s="44"/>
      <c r="E675" s="44"/>
      <c r="F675" s="44"/>
      <c r="J675" s="44"/>
      <c r="K675" s="44"/>
      <c r="L675" s="44"/>
      <c r="M675" s="44"/>
      <c r="N675" s="44"/>
      <c r="O675" s="44"/>
      <c r="P675" s="44"/>
      <c r="Q675" s="44"/>
      <c r="R675" s="44"/>
      <c r="T675" s="44"/>
      <c r="U675" s="44"/>
      <c r="V675" s="44"/>
      <c r="Z675" s="44"/>
      <c r="AA675" s="44"/>
      <c r="AB675" s="44"/>
      <c r="AC675" s="44"/>
      <c r="AD675" s="44"/>
      <c r="AE675" s="44"/>
      <c r="AF675" s="44"/>
      <c r="AG675" s="168"/>
      <c r="AH675" s="44"/>
      <c r="AI675" s="44"/>
      <c r="AJ675" s="44"/>
      <c r="AK675" s="168"/>
      <c r="AL675" s="44"/>
      <c r="AM675" s="44"/>
      <c r="AN675" s="44"/>
    </row>
    <row r="676" spans="1:40" x14ac:dyDescent="0.3">
      <c r="A676" s="44"/>
      <c r="C676" s="44"/>
      <c r="D676" s="44"/>
      <c r="E676" s="44"/>
      <c r="F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T676" s="44"/>
      <c r="U676" s="44"/>
      <c r="V676" s="44"/>
      <c r="Y676" s="44"/>
      <c r="Z676" s="44"/>
      <c r="AA676" s="44"/>
      <c r="AB676" s="44"/>
      <c r="AC676" s="44"/>
      <c r="AD676" s="44"/>
      <c r="AE676" s="44"/>
      <c r="AF676" s="44"/>
      <c r="AG676" s="168"/>
      <c r="AH676" s="44"/>
      <c r="AI676" s="44"/>
      <c r="AJ676" s="44"/>
      <c r="AK676" s="168"/>
      <c r="AL676" s="44"/>
      <c r="AM676" s="44"/>
      <c r="AN676" s="44"/>
    </row>
    <row r="677" spans="1:40" x14ac:dyDescent="0.3">
      <c r="C677" s="44"/>
      <c r="D677" s="44"/>
      <c r="E677" s="44"/>
      <c r="F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T677" s="44"/>
      <c r="U677" s="44"/>
      <c r="V677" s="44"/>
      <c r="Y677" s="44"/>
      <c r="Z677" s="44"/>
      <c r="AA677" s="44"/>
      <c r="AB677" s="44"/>
      <c r="AC677" s="44"/>
      <c r="AD677" s="44"/>
      <c r="AE677" s="44"/>
      <c r="AF677" s="44"/>
      <c r="AG677" s="168"/>
      <c r="AH677" s="44"/>
      <c r="AI677" s="44"/>
      <c r="AJ677" s="44"/>
      <c r="AK677" s="168"/>
      <c r="AL677" s="44"/>
      <c r="AM677" s="44"/>
      <c r="AN677" s="44"/>
    </row>
    <row r="678" spans="1:40" x14ac:dyDescent="0.3">
      <c r="A678" s="135"/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207"/>
      <c r="AH678" s="135"/>
      <c r="AI678" s="135"/>
      <c r="AJ678" s="135"/>
      <c r="AK678" s="207"/>
      <c r="AL678" s="135"/>
      <c r="AM678" s="135"/>
      <c r="AN678" s="135"/>
    </row>
    <row r="679" spans="1:40" x14ac:dyDescent="0.3"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Y679" s="44"/>
      <c r="Z679" s="44"/>
      <c r="AA679" s="44"/>
      <c r="AB679" s="44"/>
      <c r="AC679" s="44"/>
      <c r="AD679" s="44"/>
      <c r="AE679" s="44"/>
      <c r="AF679" s="44"/>
      <c r="AG679" s="168"/>
      <c r="AH679" s="44"/>
      <c r="AI679" s="44"/>
      <c r="AJ679" s="44"/>
      <c r="AK679" s="168"/>
      <c r="AL679" s="44"/>
      <c r="AM679" s="44"/>
      <c r="AN679" s="44"/>
    </row>
    <row r="680" spans="1:40" x14ac:dyDescent="0.3">
      <c r="C680" s="42"/>
      <c r="D680" s="42"/>
      <c r="E680" s="42"/>
      <c r="F680" s="123"/>
      <c r="H680" s="123"/>
      <c r="I680" s="123"/>
      <c r="J680" s="219"/>
      <c r="K680" s="219"/>
      <c r="L680" s="123"/>
      <c r="M680" s="123"/>
      <c r="N680" s="219"/>
      <c r="O680" s="219"/>
      <c r="P680" s="123"/>
      <c r="Q680" s="123"/>
      <c r="R680" s="123"/>
      <c r="T680" s="42"/>
      <c r="U680" s="42"/>
      <c r="V680" s="123"/>
      <c r="Y680" s="123"/>
      <c r="Z680" s="219"/>
      <c r="AA680" s="123"/>
      <c r="AB680" s="123"/>
      <c r="AC680" s="219"/>
      <c r="AD680" s="219"/>
      <c r="AE680" s="123"/>
      <c r="AF680" s="123"/>
      <c r="AH680" s="236"/>
      <c r="AI680" s="123"/>
      <c r="AJ680" s="123"/>
      <c r="AL680" s="123"/>
      <c r="AM680" s="160"/>
      <c r="AN680" s="160"/>
    </row>
    <row r="681" spans="1:40" x14ac:dyDescent="0.3">
      <c r="F681" s="210"/>
      <c r="H681" s="210"/>
      <c r="I681" s="210"/>
      <c r="J681" s="213"/>
      <c r="K681" s="213"/>
      <c r="L681" s="210"/>
      <c r="M681" s="210"/>
      <c r="N681" s="210"/>
      <c r="O681" s="210"/>
      <c r="P681" s="210"/>
      <c r="Q681" s="210"/>
      <c r="R681" s="210"/>
      <c r="V681" s="210"/>
      <c r="Y681" s="210"/>
      <c r="Z681" s="213"/>
      <c r="AA681" s="210"/>
      <c r="AB681" s="210"/>
      <c r="AC681" s="210"/>
      <c r="AD681" s="210"/>
      <c r="AE681" s="210"/>
      <c r="AF681" s="210"/>
      <c r="AI681" s="210"/>
      <c r="AJ681" s="210"/>
      <c r="AK681" s="214"/>
      <c r="AL681" s="210"/>
      <c r="AM681" s="160"/>
      <c r="AN681" s="160"/>
    </row>
    <row r="682" spans="1:40" x14ac:dyDescent="0.3">
      <c r="C682" s="42"/>
      <c r="F682" s="123"/>
      <c r="H682" s="123"/>
      <c r="I682" s="123"/>
      <c r="J682" s="219"/>
      <c r="K682" s="219"/>
      <c r="L682" s="123"/>
      <c r="M682" s="123"/>
      <c r="N682" s="219"/>
      <c r="O682" s="219"/>
      <c r="P682" s="123"/>
      <c r="Q682" s="123"/>
      <c r="R682" s="123"/>
      <c r="T682" s="42"/>
      <c r="V682" s="123"/>
      <c r="Y682" s="123"/>
      <c r="Z682" s="219"/>
      <c r="AA682" s="123"/>
      <c r="AB682" s="123"/>
      <c r="AC682" s="219"/>
      <c r="AD682" s="219"/>
      <c r="AE682" s="123"/>
      <c r="AF682" s="123"/>
      <c r="AH682" s="236"/>
      <c r="AI682" s="123"/>
      <c r="AJ682" s="123"/>
      <c r="AL682" s="123"/>
      <c r="AM682" s="160"/>
      <c r="AN682" s="160"/>
    </row>
    <row r="683" spans="1:40" x14ac:dyDescent="0.3">
      <c r="F683" s="123"/>
      <c r="H683" s="123"/>
      <c r="I683" s="123"/>
      <c r="J683" s="219"/>
      <c r="K683" s="219"/>
      <c r="L683" s="123"/>
      <c r="M683" s="123"/>
      <c r="N683" s="219"/>
      <c r="O683" s="219"/>
      <c r="P683" s="123"/>
      <c r="Q683" s="123"/>
      <c r="R683" s="123"/>
      <c r="V683" s="123"/>
      <c r="Y683" s="123"/>
      <c r="Z683" s="219"/>
      <c r="AA683" s="123"/>
      <c r="AB683" s="123"/>
      <c r="AC683" s="219"/>
      <c r="AD683" s="219"/>
      <c r="AH683" s="236"/>
      <c r="AI683" s="123"/>
      <c r="AJ683" s="123"/>
      <c r="AL683" s="123"/>
      <c r="AM683" s="160"/>
      <c r="AN683" s="160"/>
    </row>
    <row r="684" spans="1:40" x14ac:dyDescent="0.3">
      <c r="C684" s="42"/>
      <c r="D684" s="42"/>
      <c r="E684" s="42"/>
      <c r="F684" s="123"/>
      <c r="H684" s="123"/>
      <c r="I684" s="123"/>
      <c r="J684" s="219"/>
      <c r="K684" s="219"/>
      <c r="L684" s="123"/>
      <c r="M684" s="123"/>
      <c r="N684" s="219"/>
      <c r="O684" s="219"/>
      <c r="P684" s="123"/>
      <c r="Q684" s="123"/>
      <c r="R684" s="123"/>
      <c r="T684" s="42"/>
      <c r="U684" s="42"/>
      <c r="V684" s="123"/>
      <c r="Y684" s="123"/>
      <c r="Z684" s="219"/>
      <c r="AA684" s="123"/>
      <c r="AB684" s="123"/>
      <c r="AC684" s="219"/>
      <c r="AD684" s="219"/>
      <c r="AE684" s="123"/>
      <c r="AF684" s="123"/>
      <c r="AH684" s="236"/>
      <c r="AI684" s="123"/>
      <c r="AJ684" s="123"/>
      <c r="AL684" s="123"/>
      <c r="AM684" s="160"/>
      <c r="AN684" s="160"/>
    </row>
    <row r="685" spans="1:40" x14ac:dyDescent="0.3">
      <c r="C685" s="42"/>
      <c r="D685" s="42"/>
      <c r="E685" s="42"/>
      <c r="F685" s="123"/>
      <c r="H685" s="123"/>
      <c r="I685" s="123"/>
      <c r="J685" s="219"/>
      <c r="K685" s="219"/>
      <c r="L685" s="123"/>
      <c r="M685" s="123"/>
      <c r="N685" s="219"/>
      <c r="O685" s="219"/>
      <c r="P685" s="123"/>
      <c r="Q685" s="123"/>
      <c r="R685" s="123"/>
      <c r="T685" s="42"/>
      <c r="U685" s="42"/>
      <c r="V685" s="123"/>
      <c r="Y685" s="123"/>
      <c r="Z685" s="219"/>
      <c r="AA685" s="123"/>
      <c r="AB685" s="123"/>
      <c r="AC685" s="219"/>
      <c r="AD685" s="219"/>
      <c r="AE685" s="123"/>
      <c r="AF685" s="123"/>
      <c r="AH685" s="236"/>
      <c r="AI685" s="123"/>
      <c r="AJ685" s="123"/>
      <c r="AL685" s="123"/>
      <c r="AM685" s="160"/>
      <c r="AN685" s="160"/>
    </row>
    <row r="686" spans="1:40" x14ac:dyDescent="0.3">
      <c r="C686" s="42"/>
      <c r="D686" s="42"/>
      <c r="E686" s="42"/>
      <c r="F686" s="123"/>
      <c r="H686" s="123"/>
      <c r="I686" s="123"/>
      <c r="J686" s="219"/>
      <c r="K686" s="219"/>
      <c r="L686" s="123"/>
      <c r="M686" s="123"/>
      <c r="N686" s="219"/>
      <c r="O686" s="219"/>
      <c r="P686" s="123"/>
      <c r="Q686" s="123"/>
      <c r="R686" s="123"/>
      <c r="T686" s="42"/>
      <c r="U686" s="42"/>
      <c r="V686" s="123"/>
      <c r="Y686" s="123"/>
      <c r="Z686" s="219"/>
      <c r="AA686" s="123"/>
      <c r="AB686" s="123"/>
      <c r="AC686" s="219"/>
      <c r="AD686" s="219"/>
      <c r="AE686" s="123"/>
      <c r="AF686" s="123"/>
      <c r="AH686" s="236"/>
      <c r="AI686" s="123"/>
      <c r="AJ686" s="123"/>
      <c r="AL686" s="123"/>
      <c r="AM686" s="160"/>
      <c r="AN686" s="160"/>
    </row>
    <row r="687" spans="1:40" x14ac:dyDescent="0.3">
      <c r="C687" s="42"/>
      <c r="D687" s="42"/>
      <c r="E687" s="42"/>
      <c r="F687" s="123"/>
      <c r="H687" s="123"/>
      <c r="I687" s="123"/>
      <c r="J687" s="219"/>
      <c r="K687" s="219"/>
      <c r="L687" s="123"/>
      <c r="M687" s="123"/>
      <c r="N687" s="219"/>
      <c r="O687" s="219"/>
      <c r="P687" s="123"/>
      <c r="Q687" s="123"/>
      <c r="R687" s="123"/>
      <c r="T687" s="42"/>
      <c r="U687" s="42"/>
      <c r="V687" s="123"/>
      <c r="Y687" s="123"/>
      <c r="Z687" s="219"/>
      <c r="AA687" s="123"/>
      <c r="AB687" s="123"/>
      <c r="AC687" s="219"/>
      <c r="AD687" s="219"/>
      <c r="AE687" s="123"/>
      <c r="AF687" s="123"/>
      <c r="AH687" s="236"/>
      <c r="AI687" s="123"/>
      <c r="AJ687" s="123"/>
      <c r="AL687" s="123"/>
      <c r="AM687" s="160"/>
      <c r="AN687" s="160"/>
    </row>
    <row r="688" spans="1:40" x14ac:dyDescent="0.3">
      <c r="C688" s="42"/>
      <c r="D688" s="42"/>
      <c r="E688" s="42"/>
      <c r="F688" s="123"/>
      <c r="H688" s="123"/>
      <c r="I688" s="123"/>
      <c r="J688" s="219"/>
      <c r="K688" s="219"/>
      <c r="L688" s="123"/>
      <c r="M688" s="123"/>
      <c r="N688" s="219"/>
      <c r="O688" s="219"/>
      <c r="P688" s="123"/>
      <c r="Q688" s="123"/>
      <c r="R688" s="123"/>
      <c r="T688" s="42"/>
      <c r="U688" s="42"/>
      <c r="V688" s="123"/>
      <c r="Y688" s="123"/>
      <c r="Z688" s="219"/>
      <c r="AA688" s="123"/>
      <c r="AB688" s="123"/>
      <c r="AC688" s="219"/>
      <c r="AD688" s="219"/>
      <c r="AE688" s="123"/>
      <c r="AF688" s="123"/>
      <c r="AH688" s="236"/>
      <c r="AI688" s="123"/>
      <c r="AJ688" s="123"/>
      <c r="AL688" s="123"/>
      <c r="AM688" s="160"/>
      <c r="AN688" s="160"/>
    </row>
    <row r="689" spans="3:40" x14ac:dyDescent="0.3">
      <c r="C689" s="42"/>
      <c r="D689" s="42"/>
      <c r="E689" s="42"/>
      <c r="F689" s="123"/>
      <c r="H689" s="123"/>
      <c r="I689" s="123"/>
      <c r="J689" s="219"/>
      <c r="K689" s="219"/>
      <c r="L689" s="123"/>
      <c r="M689" s="123"/>
      <c r="N689" s="219"/>
      <c r="O689" s="219"/>
      <c r="P689" s="123"/>
      <c r="Q689" s="123"/>
      <c r="R689" s="123"/>
      <c r="T689" s="42"/>
      <c r="U689" s="42"/>
      <c r="V689" s="123"/>
      <c r="Y689" s="123"/>
      <c r="Z689" s="219"/>
      <c r="AA689" s="123"/>
      <c r="AB689" s="123"/>
      <c r="AC689" s="219"/>
      <c r="AD689" s="219"/>
      <c r="AE689" s="123"/>
      <c r="AF689" s="123"/>
      <c r="AH689" s="236"/>
      <c r="AI689" s="123"/>
      <c r="AJ689" s="123"/>
      <c r="AL689" s="123"/>
      <c r="AM689" s="160"/>
      <c r="AN689" s="160"/>
    </row>
    <row r="690" spans="3:40" x14ac:dyDescent="0.3">
      <c r="F690" s="210"/>
      <c r="H690" s="210"/>
      <c r="I690" s="210"/>
      <c r="J690" s="213"/>
      <c r="K690" s="213"/>
      <c r="L690" s="210"/>
      <c r="M690" s="210"/>
      <c r="N690" s="210"/>
      <c r="O690" s="210"/>
      <c r="P690" s="210"/>
      <c r="Q690" s="210"/>
      <c r="R690" s="210"/>
      <c r="V690" s="210"/>
      <c r="Y690" s="210"/>
      <c r="Z690" s="213"/>
      <c r="AA690" s="210"/>
      <c r="AB690" s="210"/>
      <c r="AC690" s="210"/>
      <c r="AD690" s="210"/>
      <c r="AE690" s="210"/>
      <c r="AF690" s="210"/>
      <c r="AI690" s="210"/>
      <c r="AJ690" s="210"/>
      <c r="AK690" s="214"/>
      <c r="AL690" s="210"/>
      <c r="AM690" s="160"/>
      <c r="AN690" s="160"/>
    </row>
    <row r="691" spans="3:40" x14ac:dyDescent="0.3">
      <c r="C691" s="42"/>
      <c r="F691" s="123"/>
      <c r="H691" s="123"/>
      <c r="I691" s="123"/>
      <c r="J691" s="219"/>
      <c r="K691" s="219"/>
      <c r="L691" s="123"/>
      <c r="M691" s="123"/>
      <c r="N691" s="219"/>
      <c r="O691" s="219"/>
      <c r="P691" s="123"/>
      <c r="Q691" s="123"/>
      <c r="R691" s="123"/>
      <c r="T691" s="42"/>
      <c r="V691" s="123"/>
      <c r="Y691" s="123"/>
      <c r="Z691" s="219"/>
      <c r="AA691" s="123"/>
      <c r="AB691" s="123"/>
      <c r="AC691" s="219"/>
      <c r="AD691" s="219"/>
      <c r="AE691" s="123"/>
      <c r="AF691" s="123"/>
      <c r="AH691" s="236"/>
      <c r="AI691" s="123"/>
      <c r="AJ691" s="123"/>
      <c r="AL691" s="123"/>
      <c r="AM691" s="160"/>
      <c r="AN691" s="160"/>
    </row>
    <row r="692" spans="3:40" x14ac:dyDescent="0.3">
      <c r="F692" s="123"/>
      <c r="H692" s="123"/>
      <c r="I692" s="123"/>
      <c r="J692" s="219"/>
      <c r="K692" s="219"/>
      <c r="L692" s="123"/>
      <c r="M692" s="123"/>
      <c r="N692" s="219"/>
      <c r="O692" s="219"/>
      <c r="P692" s="123"/>
      <c r="Q692" s="123"/>
      <c r="R692" s="123"/>
      <c r="V692" s="123"/>
      <c r="Y692" s="123"/>
      <c r="Z692" s="219"/>
      <c r="AA692" s="123"/>
      <c r="AB692" s="123"/>
      <c r="AC692" s="219"/>
      <c r="AD692" s="219"/>
      <c r="AH692" s="236"/>
      <c r="AI692" s="123"/>
      <c r="AJ692" s="123"/>
      <c r="AL692" s="123"/>
      <c r="AM692" s="160"/>
      <c r="AN692" s="160"/>
    </row>
    <row r="693" spans="3:40" x14ac:dyDescent="0.3">
      <c r="C693" s="42"/>
      <c r="D693" s="42"/>
      <c r="E693" s="42"/>
      <c r="F693" s="123"/>
      <c r="H693" s="123"/>
      <c r="I693" s="123"/>
      <c r="J693" s="219"/>
      <c r="K693" s="219"/>
      <c r="L693" s="123"/>
      <c r="M693" s="123"/>
      <c r="N693" s="219"/>
      <c r="O693" s="219"/>
      <c r="P693" s="123"/>
      <c r="Q693" s="123"/>
      <c r="R693" s="123"/>
      <c r="T693" s="42"/>
      <c r="U693" s="42"/>
      <c r="V693" s="123"/>
      <c r="Y693" s="123"/>
      <c r="Z693" s="219"/>
      <c r="AA693" s="123"/>
      <c r="AB693" s="123"/>
      <c r="AC693" s="219"/>
      <c r="AD693" s="219"/>
      <c r="AE693" s="123"/>
      <c r="AF693" s="123"/>
      <c r="AH693" s="236"/>
      <c r="AI693" s="123"/>
      <c r="AJ693" s="123"/>
      <c r="AL693" s="123"/>
      <c r="AM693" s="160"/>
      <c r="AN693" s="160"/>
    </row>
    <row r="694" spans="3:40" x14ac:dyDescent="0.3">
      <c r="F694" s="210"/>
      <c r="H694" s="210"/>
      <c r="I694" s="210"/>
      <c r="J694" s="213"/>
      <c r="K694" s="213"/>
      <c r="L694" s="210"/>
      <c r="M694" s="210"/>
      <c r="N694" s="210"/>
      <c r="O694" s="210"/>
      <c r="P694" s="210"/>
      <c r="Q694" s="210"/>
      <c r="R694" s="210"/>
      <c r="V694" s="210"/>
      <c r="Y694" s="210"/>
      <c r="Z694" s="213"/>
      <c r="AA694" s="210"/>
      <c r="AB694" s="210"/>
      <c r="AC694" s="210"/>
      <c r="AD694" s="210"/>
      <c r="AE694" s="210"/>
      <c r="AF694" s="210"/>
      <c r="AI694" s="210"/>
      <c r="AJ694" s="210"/>
      <c r="AK694" s="214"/>
      <c r="AL694" s="210"/>
      <c r="AM694" s="160"/>
      <c r="AN694" s="160"/>
    </row>
    <row r="695" spans="3:40" x14ac:dyDescent="0.3">
      <c r="C695" s="42"/>
      <c r="F695" s="123"/>
      <c r="H695" s="123"/>
      <c r="I695" s="123"/>
      <c r="J695" s="219"/>
      <c r="K695" s="219"/>
      <c r="L695" s="123"/>
      <c r="M695" s="123"/>
      <c r="N695" s="219"/>
      <c r="O695" s="219"/>
      <c r="P695" s="123"/>
      <c r="Q695" s="123"/>
      <c r="R695" s="123"/>
      <c r="T695" s="42"/>
      <c r="V695" s="123"/>
      <c r="Y695" s="123"/>
      <c r="Z695" s="219"/>
      <c r="AA695" s="123"/>
      <c r="AB695" s="123"/>
      <c r="AC695" s="219"/>
      <c r="AD695" s="219"/>
      <c r="AE695" s="123"/>
      <c r="AF695" s="123"/>
      <c r="AH695" s="236"/>
      <c r="AI695" s="123"/>
      <c r="AJ695" s="123"/>
      <c r="AL695" s="123"/>
      <c r="AM695" s="160"/>
      <c r="AN695" s="160"/>
    </row>
    <row r="696" spans="3:40" x14ac:dyDescent="0.3">
      <c r="F696" s="123"/>
      <c r="H696" s="123"/>
      <c r="I696" s="123"/>
      <c r="J696" s="219"/>
      <c r="K696" s="219"/>
      <c r="L696" s="123"/>
      <c r="M696" s="123"/>
      <c r="N696" s="219"/>
      <c r="O696" s="219"/>
      <c r="P696" s="123"/>
      <c r="Q696" s="123"/>
      <c r="R696" s="123"/>
      <c r="V696" s="123"/>
      <c r="Y696" s="123"/>
      <c r="Z696" s="219"/>
      <c r="AA696" s="123"/>
      <c r="AB696" s="123"/>
      <c r="AC696" s="219"/>
      <c r="AD696" s="219"/>
      <c r="AH696" s="236"/>
      <c r="AI696" s="123"/>
      <c r="AJ696" s="123"/>
      <c r="AL696" s="123"/>
      <c r="AM696" s="160"/>
      <c r="AN696" s="160"/>
    </row>
    <row r="697" spans="3:40" x14ac:dyDescent="0.3">
      <c r="C697" s="42"/>
      <c r="D697" s="42"/>
      <c r="E697" s="42"/>
      <c r="F697" s="123"/>
      <c r="H697" s="123"/>
      <c r="I697" s="123"/>
      <c r="J697" s="219"/>
      <c r="K697" s="219"/>
      <c r="L697" s="123"/>
      <c r="M697" s="123"/>
      <c r="N697" s="219"/>
      <c r="O697" s="219"/>
      <c r="P697" s="123"/>
      <c r="Q697" s="123"/>
      <c r="R697" s="123"/>
      <c r="T697" s="42"/>
      <c r="U697" s="42"/>
      <c r="V697" s="123"/>
      <c r="Y697" s="123"/>
      <c r="Z697" s="219"/>
      <c r="AA697" s="123"/>
      <c r="AB697" s="123"/>
      <c r="AC697" s="219"/>
      <c r="AD697" s="219"/>
      <c r="AE697" s="123"/>
      <c r="AF697" s="123"/>
      <c r="AH697" s="236"/>
      <c r="AI697" s="123"/>
      <c r="AJ697" s="123"/>
      <c r="AL697" s="123"/>
      <c r="AM697" s="160"/>
      <c r="AN697" s="160"/>
    </row>
    <row r="698" spans="3:40" x14ac:dyDescent="0.3">
      <c r="C698" s="42"/>
      <c r="D698" s="42"/>
      <c r="E698" s="42"/>
      <c r="F698" s="123"/>
      <c r="G698" s="123"/>
      <c r="H698" s="123"/>
      <c r="I698" s="123"/>
      <c r="J698" s="219"/>
      <c r="K698" s="219"/>
      <c r="L698" s="123"/>
      <c r="M698" s="123"/>
      <c r="N698" s="219"/>
      <c r="O698" s="219"/>
      <c r="P698" s="123"/>
      <c r="Q698" s="123"/>
      <c r="R698" s="123"/>
      <c r="T698" s="42"/>
      <c r="U698" s="42"/>
      <c r="V698" s="123"/>
      <c r="W698" s="123"/>
      <c r="X698" s="123"/>
      <c r="Y698" s="123"/>
      <c r="Z698" s="219"/>
      <c r="AA698" s="123"/>
      <c r="AB698" s="123"/>
      <c r="AC698" s="219"/>
      <c r="AD698" s="219"/>
      <c r="AE698" s="123"/>
      <c r="AF698" s="123"/>
      <c r="AH698" s="236"/>
      <c r="AI698" s="123"/>
      <c r="AJ698" s="123"/>
      <c r="AL698" s="123"/>
      <c r="AM698" s="160"/>
      <c r="AN698" s="160"/>
    </row>
    <row r="699" spans="3:40" x14ac:dyDescent="0.3">
      <c r="C699" s="42"/>
      <c r="D699" s="42"/>
      <c r="E699" s="42"/>
      <c r="F699" s="123"/>
      <c r="G699" s="123"/>
      <c r="H699" s="123"/>
      <c r="I699" s="123"/>
      <c r="J699" s="219"/>
      <c r="K699" s="219"/>
      <c r="L699" s="123"/>
      <c r="M699" s="123"/>
      <c r="N699" s="219"/>
      <c r="O699" s="219"/>
      <c r="P699" s="123"/>
      <c r="Q699" s="123"/>
      <c r="R699" s="123"/>
      <c r="T699" s="42"/>
      <c r="U699" s="42"/>
      <c r="V699" s="123"/>
      <c r="W699" s="123"/>
      <c r="X699" s="123"/>
      <c r="Y699" s="123"/>
      <c r="Z699" s="219"/>
      <c r="AA699" s="123"/>
      <c r="AB699" s="123"/>
      <c r="AC699" s="219"/>
      <c r="AD699" s="219"/>
      <c r="AE699" s="123"/>
      <c r="AF699" s="123"/>
      <c r="AH699" s="236"/>
      <c r="AI699" s="123"/>
      <c r="AJ699" s="123"/>
      <c r="AL699" s="123"/>
      <c r="AM699" s="160"/>
      <c r="AN699" s="160"/>
    </row>
    <row r="700" spans="3:40" x14ac:dyDescent="0.3">
      <c r="C700" s="42"/>
      <c r="D700" s="42"/>
      <c r="E700" s="42"/>
      <c r="F700" s="123"/>
      <c r="H700" s="123"/>
      <c r="I700" s="123"/>
      <c r="J700" s="219"/>
      <c r="K700" s="219"/>
      <c r="L700" s="123"/>
      <c r="M700" s="123"/>
      <c r="N700" s="219"/>
      <c r="O700" s="219"/>
      <c r="P700" s="123"/>
      <c r="Q700" s="123"/>
      <c r="R700" s="123"/>
      <c r="T700" s="42"/>
      <c r="U700" s="42"/>
      <c r="V700" s="123"/>
      <c r="Y700" s="123"/>
      <c r="Z700" s="219"/>
      <c r="AA700" s="123"/>
      <c r="AB700" s="123"/>
      <c r="AC700" s="219"/>
      <c r="AD700" s="219"/>
      <c r="AE700" s="123"/>
      <c r="AF700" s="123"/>
      <c r="AH700" s="236"/>
      <c r="AI700" s="123"/>
      <c r="AJ700" s="123"/>
      <c r="AL700" s="123"/>
      <c r="AM700" s="160"/>
      <c r="AN700" s="160"/>
    </row>
    <row r="701" spans="3:40" x14ac:dyDescent="0.3">
      <c r="C701" s="42"/>
      <c r="D701" s="42"/>
      <c r="E701" s="42"/>
      <c r="F701" s="123"/>
      <c r="H701" s="123"/>
      <c r="I701" s="123"/>
      <c r="J701" s="219"/>
      <c r="K701" s="219"/>
      <c r="L701" s="123"/>
      <c r="M701" s="123"/>
      <c r="N701" s="219"/>
      <c r="O701" s="219"/>
      <c r="P701" s="123"/>
      <c r="Q701" s="123"/>
      <c r="R701" s="123"/>
      <c r="T701" s="42"/>
      <c r="U701" s="42"/>
      <c r="V701" s="123"/>
      <c r="Y701" s="123"/>
      <c r="Z701" s="219"/>
      <c r="AA701" s="123"/>
      <c r="AB701" s="123"/>
      <c r="AC701" s="219"/>
      <c r="AD701" s="219"/>
      <c r="AE701" s="123"/>
      <c r="AF701" s="123"/>
      <c r="AH701" s="236"/>
      <c r="AI701" s="123"/>
      <c r="AJ701" s="123"/>
      <c r="AL701" s="123"/>
      <c r="AM701" s="160"/>
      <c r="AN701" s="160"/>
    </row>
    <row r="702" spans="3:40" x14ac:dyDescent="0.3">
      <c r="C702" s="42"/>
      <c r="D702" s="42"/>
      <c r="E702" s="42"/>
      <c r="F702" s="123"/>
      <c r="H702" s="123"/>
      <c r="I702" s="123"/>
      <c r="J702" s="219"/>
      <c r="K702" s="219"/>
      <c r="L702" s="123"/>
      <c r="M702" s="123"/>
      <c r="N702" s="219"/>
      <c r="O702" s="219"/>
      <c r="P702" s="123"/>
      <c r="Q702" s="123"/>
      <c r="R702" s="123"/>
      <c r="T702" s="42"/>
      <c r="U702" s="42"/>
      <c r="V702" s="123"/>
      <c r="Y702" s="123"/>
      <c r="Z702" s="219"/>
      <c r="AA702" s="123"/>
      <c r="AB702" s="123"/>
      <c r="AC702" s="219"/>
      <c r="AD702" s="219"/>
      <c r="AE702" s="123"/>
      <c r="AF702" s="123"/>
      <c r="AH702" s="236"/>
      <c r="AI702" s="123"/>
      <c r="AJ702" s="123"/>
      <c r="AL702" s="123"/>
      <c r="AM702" s="160"/>
      <c r="AN702" s="160"/>
    </row>
    <row r="703" spans="3:40" x14ac:dyDescent="0.3">
      <c r="C703" s="42"/>
      <c r="D703" s="42"/>
      <c r="E703" s="42"/>
      <c r="F703" s="123"/>
      <c r="H703" s="123"/>
      <c r="I703" s="123"/>
      <c r="J703" s="219"/>
      <c r="K703" s="219"/>
      <c r="L703" s="123"/>
      <c r="M703" s="123"/>
      <c r="N703" s="219"/>
      <c r="O703" s="219"/>
      <c r="P703" s="123"/>
      <c r="Q703" s="123"/>
      <c r="R703" s="123"/>
      <c r="T703" s="42"/>
      <c r="U703" s="42"/>
      <c r="V703" s="123"/>
      <c r="Y703" s="123"/>
      <c r="Z703" s="219"/>
      <c r="AA703" s="123"/>
      <c r="AB703" s="123"/>
      <c r="AC703" s="219"/>
      <c r="AD703" s="219"/>
      <c r="AE703" s="123"/>
      <c r="AF703" s="123"/>
      <c r="AH703" s="236"/>
      <c r="AI703" s="123"/>
      <c r="AJ703" s="123"/>
      <c r="AL703" s="123"/>
      <c r="AM703" s="160"/>
      <c r="AN703" s="160"/>
    </row>
    <row r="704" spans="3:40" x14ac:dyDescent="0.3">
      <c r="F704" s="210"/>
      <c r="H704" s="210"/>
      <c r="I704" s="210"/>
      <c r="J704" s="213"/>
      <c r="K704" s="213"/>
      <c r="L704" s="210"/>
      <c r="M704" s="210"/>
      <c r="N704" s="210"/>
      <c r="O704" s="210"/>
      <c r="P704" s="210"/>
      <c r="Q704" s="210"/>
      <c r="R704" s="210"/>
      <c r="V704" s="210"/>
      <c r="Y704" s="210"/>
      <c r="Z704" s="213"/>
      <c r="AA704" s="210"/>
      <c r="AB704" s="210"/>
      <c r="AC704" s="210"/>
      <c r="AD704" s="210"/>
      <c r="AE704" s="210"/>
      <c r="AF704" s="210"/>
      <c r="AI704" s="210"/>
      <c r="AJ704" s="210"/>
      <c r="AK704" s="214"/>
      <c r="AL704" s="210"/>
      <c r="AM704" s="160"/>
      <c r="AN704" s="160"/>
    </row>
    <row r="705" spans="3:40" x14ac:dyDescent="0.3">
      <c r="C705" s="42"/>
      <c r="F705" s="123"/>
      <c r="H705" s="123"/>
      <c r="I705" s="123"/>
      <c r="J705" s="219"/>
      <c r="K705" s="219"/>
      <c r="L705" s="123"/>
      <c r="M705" s="123"/>
      <c r="N705" s="219"/>
      <c r="O705" s="219"/>
      <c r="P705" s="123"/>
      <c r="Q705" s="123"/>
      <c r="R705" s="123"/>
      <c r="T705" s="42"/>
      <c r="V705" s="123"/>
      <c r="Y705" s="123"/>
      <c r="Z705" s="219"/>
      <c r="AA705" s="123"/>
      <c r="AB705" s="123"/>
      <c r="AC705" s="219"/>
      <c r="AD705" s="219"/>
      <c r="AE705" s="123"/>
      <c r="AF705" s="123"/>
      <c r="AH705" s="236"/>
      <c r="AI705" s="123"/>
      <c r="AJ705" s="123"/>
      <c r="AL705" s="123"/>
      <c r="AM705" s="160"/>
      <c r="AN705" s="160"/>
    </row>
    <row r="706" spans="3:40" x14ac:dyDescent="0.3">
      <c r="V706" s="123"/>
      <c r="Y706" s="123"/>
      <c r="Z706" s="213"/>
      <c r="AA706" s="123"/>
      <c r="AB706" s="123"/>
      <c r="AC706" s="123"/>
      <c r="AD706" s="123"/>
      <c r="AE706" s="123"/>
      <c r="AF706" s="123"/>
      <c r="AI706" s="123"/>
      <c r="AJ706" s="123"/>
      <c r="AL706" s="123"/>
      <c r="AM706" s="160"/>
      <c r="AN706" s="160"/>
    </row>
    <row r="707" spans="3:40" x14ac:dyDescent="0.3">
      <c r="C707" s="42"/>
      <c r="D707" s="42"/>
      <c r="E707" s="42"/>
      <c r="L707" s="123"/>
      <c r="M707" s="123"/>
      <c r="N707" s="219"/>
      <c r="O707" s="219"/>
      <c r="R707" s="123"/>
      <c r="T707" s="42"/>
      <c r="U707" s="42"/>
      <c r="AA707" s="123"/>
      <c r="AB707" s="123"/>
      <c r="AC707" s="219"/>
      <c r="AD707" s="219"/>
      <c r="AE707" s="123"/>
      <c r="AF707" s="123"/>
      <c r="AH707" s="236"/>
      <c r="AL707" s="123"/>
      <c r="AM707" s="160"/>
      <c r="AN707" s="160"/>
    </row>
    <row r="708" spans="3:40" x14ac:dyDescent="0.3">
      <c r="D708" s="42"/>
      <c r="E708" s="42"/>
      <c r="F708" s="184"/>
      <c r="H708" s="184"/>
      <c r="I708" s="184"/>
      <c r="J708" s="219"/>
      <c r="K708" s="219"/>
      <c r="L708" s="123"/>
      <c r="M708" s="123"/>
      <c r="N708" s="219"/>
      <c r="O708" s="219"/>
      <c r="P708" s="184"/>
      <c r="Q708" s="184"/>
      <c r="R708" s="123"/>
      <c r="U708" s="42"/>
      <c r="V708" s="123"/>
      <c r="Y708" s="123"/>
      <c r="Z708" s="219"/>
      <c r="AA708" s="123"/>
      <c r="AB708" s="123"/>
      <c r="AC708" s="219"/>
      <c r="AD708" s="219"/>
      <c r="AE708" s="123"/>
      <c r="AF708" s="123"/>
      <c r="AH708" s="236"/>
      <c r="AI708" s="123"/>
      <c r="AJ708" s="123"/>
      <c r="AL708" s="123"/>
      <c r="AM708" s="160"/>
      <c r="AN708" s="160"/>
    </row>
    <row r="709" spans="3:40" x14ac:dyDescent="0.3">
      <c r="F709" s="210"/>
      <c r="H709" s="210"/>
      <c r="I709" s="210"/>
      <c r="J709" s="213"/>
      <c r="K709" s="213"/>
      <c r="L709" s="210"/>
      <c r="M709" s="210"/>
      <c r="N709" s="210"/>
      <c r="O709" s="210"/>
      <c r="P709" s="210"/>
      <c r="Q709" s="210"/>
      <c r="R709" s="210"/>
      <c r="V709" s="210"/>
      <c r="Y709" s="210"/>
      <c r="Z709" s="213"/>
      <c r="AA709" s="210"/>
      <c r="AB709" s="210"/>
      <c r="AC709" s="210"/>
      <c r="AD709" s="210"/>
      <c r="AE709" s="210"/>
      <c r="AF709" s="210"/>
      <c r="AI709" s="210"/>
      <c r="AJ709" s="210"/>
      <c r="AK709" s="214"/>
      <c r="AL709" s="210"/>
      <c r="AM709" s="160"/>
      <c r="AN709" s="160"/>
    </row>
    <row r="710" spans="3:40" x14ac:dyDescent="0.3">
      <c r="C710" s="42"/>
      <c r="F710" s="123"/>
      <c r="H710" s="123"/>
      <c r="I710" s="123"/>
      <c r="J710" s="219"/>
      <c r="K710" s="219"/>
      <c r="L710" s="123"/>
      <c r="M710" s="123"/>
      <c r="N710" s="219"/>
      <c r="O710" s="219"/>
      <c r="P710" s="123"/>
      <c r="Q710" s="123"/>
      <c r="R710" s="123"/>
      <c r="T710" s="42"/>
      <c r="V710" s="123"/>
      <c r="Y710" s="123"/>
      <c r="Z710" s="219"/>
      <c r="AA710" s="123"/>
      <c r="AB710" s="123"/>
      <c r="AC710" s="219"/>
      <c r="AD710" s="219"/>
      <c r="AE710" s="123"/>
      <c r="AF710" s="123"/>
      <c r="AH710" s="236"/>
      <c r="AI710" s="123"/>
      <c r="AJ710" s="123"/>
      <c r="AL710" s="123"/>
      <c r="AM710" s="160"/>
      <c r="AN710" s="160"/>
    </row>
    <row r="711" spans="3:40" x14ac:dyDescent="0.3">
      <c r="F711" s="123"/>
      <c r="H711" s="123"/>
      <c r="I711" s="123"/>
      <c r="J711" s="219"/>
      <c r="K711" s="219"/>
      <c r="L711" s="123"/>
      <c r="M711" s="123"/>
      <c r="N711" s="219"/>
      <c r="O711" s="219"/>
      <c r="P711" s="123"/>
      <c r="Q711" s="123"/>
      <c r="R711" s="123"/>
      <c r="V711" s="123"/>
      <c r="Y711" s="123"/>
      <c r="Z711" s="219"/>
      <c r="AA711" s="123"/>
      <c r="AB711" s="123"/>
      <c r="AC711" s="219"/>
      <c r="AD711" s="219"/>
      <c r="AH711" s="236"/>
      <c r="AI711" s="123"/>
      <c r="AJ711" s="123"/>
      <c r="AL711" s="123"/>
      <c r="AM711" s="160"/>
      <c r="AN711" s="160"/>
    </row>
    <row r="712" spans="3:40" x14ac:dyDescent="0.3">
      <c r="D712" s="42"/>
      <c r="E712" s="42"/>
      <c r="F712" s="123"/>
      <c r="H712" s="123"/>
      <c r="I712" s="123"/>
      <c r="J712" s="219"/>
      <c r="K712" s="219"/>
      <c r="L712" s="184"/>
      <c r="M712" s="184"/>
      <c r="N712" s="219"/>
      <c r="O712" s="219"/>
      <c r="P712" s="123"/>
      <c r="Q712" s="123"/>
      <c r="R712" s="123"/>
      <c r="U712" s="42"/>
      <c r="V712" s="123"/>
      <c r="Y712" s="123"/>
      <c r="Z712" s="219"/>
      <c r="AA712" s="184"/>
      <c r="AB712" s="184"/>
      <c r="AC712" s="219"/>
      <c r="AD712" s="219"/>
      <c r="AE712" s="123"/>
      <c r="AF712" s="123"/>
      <c r="AH712" s="236"/>
      <c r="AI712" s="123"/>
      <c r="AJ712" s="123"/>
      <c r="AL712" s="123"/>
      <c r="AM712" s="160"/>
      <c r="AN712" s="160"/>
    </row>
    <row r="713" spans="3:40" x14ac:dyDescent="0.3">
      <c r="D713" s="42"/>
      <c r="E713" s="42"/>
      <c r="F713" s="123"/>
      <c r="H713" s="123"/>
      <c r="I713" s="123"/>
      <c r="J713" s="219"/>
      <c r="K713" s="219"/>
      <c r="L713" s="184"/>
      <c r="M713" s="184"/>
      <c r="N713" s="219"/>
      <c r="O713" s="219"/>
      <c r="P713" s="123"/>
      <c r="Q713" s="123"/>
      <c r="R713" s="123"/>
      <c r="U713" s="42"/>
      <c r="V713" s="123"/>
      <c r="Y713" s="123"/>
      <c r="Z713" s="219"/>
      <c r="AA713" s="184"/>
      <c r="AB713" s="184"/>
      <c r="AC713" s="219"/>
      <c r="AD713" s="219"/>
      <c r="AE713" s="123"/>
      <c r="AF713" s="123"/>
      <c r="AH713" s="236"/>
      <c r="AI713" s="123"/>
      <c r="AJ713" s="123"/>
      <c r="AL713" s="123"/>
      <c r="AM713" s="160"/>
      <c r="AN713" s="160"/>
    </row>
    <row r="714" spans="3:40" x14ac:dyDescent="0.3">
      <c r="D714" s="42"/>
      <c r="E714" s="42"/>
      <c r="F714" s="123"/>
      <c r="H714" s="123"/>
      <c r="I714" s="123"/>
      <c r="J714" s="219"/>
      <c r="K714" s="219"/>
      <c r="L714" s="184"/>
      <c r="M714" s="184"/>
      <c r="N714" s="219"/>
      <c r="O714" s="219"/>
      <c r="P714" s="123"/>
      <c r="Q714" s="123"/>
      <c r="R714" s="123"/>
      <c r="U714" s="42"/>
      <c r="V714" s="123"/>
      <c r="Y714" s="123"/>
      <c r="Z714" s="219"/>
      <c r="AA714" s="184"/>
      <c r="AB714" s="184"/>
      <c r="AC714" s="219"/>
      <c r="AD714" s="219"/>
      <c r="AE714" s="123"/>
      <c r="AF714" s="123"/>
      <c r="AH714" s="236"/>
      <c r="AI714" s="123"/>
      <c r="AJ714" s="123"/>
      <c r="AL714" s="123"/>
      <c r="AM714" s="160"/>
      <c r="AN714" s="160"/>
    </row>
    <row r="715" spans="3:40" x14ac:dyDescent="0.3">
      <c r="F715" s="210"/>
      <c r="H715" s="210"/>
      <c r="I715" s="210"/>
      <c r="J715" s="213"/>
      <c r="K715" s="213"/>
      <c r="L715" s="210"/>
      <c r="M715" s="210"/>
      <c r="N715" s="210"/>
      <c r="O715" s="210"/>
      <c r="P715" s="210"/>
      <c r="Q715" s="210"/>
      <c r="R715" s="210"/>
      <c r="V715" s="210"/>
      <c r="Y715" s="210"/>
      <c r="Z715" s="213"/>
      <c r="AA715" s="210"/>
      <c r="AB715" s="210"/>
      <c r="AC715" s="210"/>
      <c r="AD715" s="210"/>
      <c r="AE715" s="210"/>
      <c r="AF715" s="210"/>
      <c r="AI715" s="210"/>
      <c r="AJ715" s="210"/>
      <c r="AK715" s="214"/>
      <c r="AL715" s="210"/>
      <c r="AM715" s="160"/>
      <c r="AN715" s="160"/>
    </row>
    <row r="716" spans="3:40" x14ac:dyDescent="0.3">
      <c r="C716" s="42"/>
      <c r="F716" s="123"/>
      <c r="H716" s="123"/>
      <c r="I716" s="123"/>
      <c r="J716" s="219"/>
      <c r="K716" s="219"/>
      <c r="L716" s="123"/>
      <c r="M716" s="123"/>
      <c r="N716" s="219"/>
      <c r="O716" s="219"/>
      <c r="P716" s="123"/>
      <c r="Q716" s="123"/>
      <c r="R716" s="123"/>
      <c r="T716" s="42"/>
      <c r="V716" s="123"/>
      <c r="Y716" s="123"/>
      <c r="Z716" s="219"/>
      <c r="AA716" s="123"/>
      <c r="AB716" s="123"/>
      <c r="AC716" s="219"/>
      <c r="AD716" s="219"/>
      <c r="AE716" s="123"/>
      <c r="AF716" s="123"/>
      <c r="AH716" s="236"/>
      <c r="AI716" s="123"/>
      <c r="AJ716" s="123"/>
      <c r="AL716" s="123"/>
      <c r="AM716" s="160"/>
      <c r="AN716" s="160"/>
    </row>
    <row r="717" spans="3:40" x14ac:dyDescent="0.3">
      <c r="F717" s="123"/>
      <c r="H717" s="123"/>
      <c r="I717" s="123"/>
      <c r="J717" s="219"/>
      <c r="K717" s="219"/>
      <c r="L717" s="123"/>
      <c r="M717" s="123"/>
      <c r="N717" s="219"/>
      <c r="O717" s="219"/>
      <c r="P717" s="123"/>
      <c r="Q717" s="123"/>
      <c r="R717" s="123"/>
      <c r="V717" s="123"/>
      <c r="Y717" s="123"/>
      <c r="Z717" s="219"/>
      <c r="AA717" s="123"/>
      <c r="AB717" s="123"/>
      <c r="AC717" s="219"/>
      <c r="AD717" s="219"/>
      <c r="AH717" s="236"/>
      <c r="AI717" s="123"/>
      <c r="AJ717" s="123"/>
      <c r="AL717" s="123"/>
      <c r="AM717" s="160"/>
      <c r="AN717" s="160"/>
    </row>
    <row r="718" spans="3:40" x14ac:dyDescent="0.3">
      <c r="C718" s="42"/>
      <c r="F718" s="123"/>
      <c r="H718" s="123"/>
      <c r="I718" s="123"/>
      <c r="J718" s="219"/>
      <c r="K718" s="219"/>
      <c r="L718" s="123"/>
      <c r="M718" s="123"/>
      <c r="N718" s="219"/>
      <c r="O718" s="219"/>
      <c r="P718" s="123"/>
      <c r="Q718" s="123"/>
      <c r="R718" s="123"/>
      <c r="T718" s="42"/>
      <c r="V718" s="123"/>
      <c r="Y718" s="123"/>
      <c r="Z718" s="219"/>
      <c r="AA718" s="123"/>
      <c r="AB718" s="123"/>
      <c r="AC718" s="219"/>
      <c r="AD718" s="219"/>
      <c r="AE718" s="123"/>
      <c r="AF718" s="123"/>
      <c r="AH718" s="236"/>
      <c r="AI718" s="123"/>
      <c r="AJ718" s="123"/>
      <c r="AL718" s="123"/>
      <c r="AM718" s="160"/>
      <c r="AN718" s="160"/>
    </row>
    <row r="719" spans="3:40" x14ac:dyDescent="0.3">
      <c r="F719" s="210"/>
      <c r="H719" s="210"/>
      <c r="I719" s="210"/>
      <c r="J719" s="213"/>
      <c r="K719" s="213"/>
      <c r="L719" s="210"/>
      <c r="M719" s="210"/>
      <c r="N719" s="210"/>
      <c r="O719" s="210"/>
      <c r="P719" s="210"/>
      <c r="Q719" s="210"/>
      <c r="R719" s="210"/>
      <c r="V719" s="210"/>
      <c r="Y719" s="210"/>
      <c r="Z719" s="213"/>
      <c r="AA719" s="210"/>
      <c r="AB719" s="210"/>
      <c r="AC719" s="210"/>
      <c r="AD719" s="210"/>
      <c r="AE719" s="210"/>
      <c r="AF719" s="210"/>
      <c r="AI719" s="210"/>
      <c r="AJ719" s="210"/>
      <c r="AK719" s="214"/>
      <c r="AL719" s="210"/>
    </row>
    <row r="721" spans="1:20" x14ac:dyDescent="0.3">
      <c r="C721" s="42"/>
      <c r="L721" s="123"/>
      <c r="M721" s="123"/>
      <c r="P721" s="123"/>
      <c r="Q721" s="123"/>
      <c r="R721" s="123"/>
      <c r="T721" s="42"/>
    </row>
    <row r="722" spans="1:20" x14ac:dyDescent="0.3">
      <c r="A722" s="42"/>
      <c r="L722" s="123"/>
      <c r="M722" s="123"/>
      <c r="P722" s="123"/>
      <c r="Q722" s="123"/>
      <c r="R722" s="123"/>
    </row>
    <row r="723" spans="1:20" x14ac:dyDescent="0.3">
      <c r="L723" s="123"/>
      <c r="M723" s="123"/>
      <c r="P723" s="123"/>
      <c r="Q723" s="123"/>
      <c r="R723" s="123"/>
    </row>
    <row r="724" spans="1:20" x14ac:dyDescent="0.3">
      <c r="L724" s="123"/>
      <c r="M724" s="123"/>
      <c r="P724" s="123"/>
      <c r="Q724" s="123"/>
      <c r="R724" s="123"/>
    </row>
    <row r="725" spans="1:20" x14ac:dyDescent="0.3">
      <c r="L725" s="123"/>
      <c r="M725" s="123"/>
      <c r="P725" s="123"/>
      <c r="Q725" s="123"/>
      <c r="R725" s="123"/>
    </row>
    <row r="726" spans="1:20" x14ac:dyDescent="0.3">
      <c r="L726" s="123"/>
      <c r="M726" s="123"/>
      <c r="P726" s="123"/>
      <c r="Q726" s="123"/>
      <c r="R726" s="123"/>
    </row>
    <row r="727" spans="1:20" x14ac:dyDescent="0.3">
      <c r="L727" s="123"/>
      <c r="M727" s="123"/>
      <c r="P727" s="123"/>
      <c r="Q727" s="123"/>
      <c r="R727" s="123"/>
    </row>
    <row r="760" spans="49:49" x14ac:dyDescent="0.3">
      <c r="AW760" s="123"/>
    </row>
    <row r="761" spans="49:49" x14ac:dyDescent="0.3">
      <c r="AW761" s="123"/>
    </row>
    <row r="762" spans="49:49" x14ac:dyDescent="0.3">
      <c r="AW762" s="123"/>
    </row>
    <row r="763" spans="49:49" x14ac:dyDescent="0.3">
      <c r="AW763" s="123"/>
    </row>
    <row r="764" spans="49:49" x14ac:dyDescent="0.3">
      <c r="AW764" s="123"/>
    </row>
    <row r="765" spans="49:49" x14ac:dyDescent="0.3">
      <c r="AW765" s="123"/>
    </row>
    <row r="768" spans="49:49" x14ac:dyDescent="0.3">
      <c r="AW768" s="123"/>
    </row>
    <row r="769" spans="49:49" x14ac:dyDescent="0.3">
      <c r="AW769" s="123"/>
    </row>
    <row r="770" spans="49:49" x14ac:dyDescent="0.3">
      <c r="AW770" s="123"/>
    </row>
    <row r="771" spans="49:49" x14ac:dyDescent="0.3">
      <c r="AW771" s="123"/>
    </row>
    <row r="772" spans="49:49" x14ac:dyDescent="0.3">
      <c r="AW772" s="123"/>
    </row>
    <row r="773" spans="49:49" x14ac:dyDescent="0.3">
      <c r="AW773" s="123"/>
    </row>
    <row r="774" spans="49:49" x14ac:dyDescent="0.3">
      <c r="AW774" s="123"/>
    </row>
    <row r="775" spans="49:49" x14ac:dyDescent="0.3">
      <c r="AW775" s="123"/>
    </row>
    <row r="778" spans="49:49" x14ac:dyDescent="0.3">
      <c r="AW778" s="123"/>
    </row>
    <row r="779" spans="49:49" x14ac:dyDescent="0.3">
      <c r="AW779" s="123"/>
    </row>
    <row r="782" spans="49:49" x14ac:dyDescent="0.3">
      <c r="AW782" s="123"/>
    </row>
    <row r="783" spans="49:49" x14ac:dyDescent="0.3">
      <c r="AW783" s="123"/>
    </row>
    <row r="784" spans="49:49" x14ac:dyDescent="0.3">
      <c r="AW784" s="123"/>
    </row>
    <row r="785" spans="45:57" x14ac:dyDescent="0.3">
      <c r="AW785" s="123"/>
    </row>
    <row r="793" spans="45:57" x14ac:dyDescent="0.3">
      <c r="AY793" s="42"/>
    </row>
    <row r="794" spans="45:57" x14ac:dyDescent="0.3">
      <c r="AY794" s="42"/>
    </row>
    <row r="795" spans="45:57" x14ac:dyDescent="0.3">
      <c r="BD795" s="42"/>
    </row>
    <row r="796" spans="45:57" x14ac:dyDescent="0.3">
      <c r="BD796" s="42"/>
    </row>
    <row r="797" spans="45:57" x14ac:dyDescent="0.3">
      <c r="AS797" s="42"/>
      <c r="BD797" s="42"/>
    </row>
    <row r="799" spans="45:57" x14ac:dyDescent="0.3">
      <c r="AS799" s="135"/>
      <c r="AT799" s="135"/>
      <c r="AU799" s="135"/>
      <c r="AV799" s="135"/>
      <c r="AW799" s="135"/>
      <c r="AX799" s="135"/>
      <c r="AY799" s="135"/>
      <c r="AZ799" s="135"/>
      <c r="BA799" s="135"/>
      <c r="BB799" s="135"/>
      <c r="BC799" s="135"/>
      <c r="BD799" s="135"/>
      <c r="BE799" s="135"/>
    </row>
    <row r="800" spans="45:57" x14ac:dyDescent="0.3">
      <c r="AX800" s="42"/>
    </row>
    <row r="801" spans="45:69" x14ac:dyDescent="0.3">
      <c r="AX801" s="135"/>
      <c r="AY801" s="135"/>
      <c r="AZ801" s="135"/>
      <c r="BA801" s="135"/>
      <c r="BC801" s="44"/>
      <c r="BD801" s="44"/>
    </row>
    <row r="802" spans="45:69" x14ac:dyDescent="0.3">
      <c r="AV802" s="44"/>
      <c r="AW802" s="44"/>
      <c r="AZ802" s="44"/>
      <c r="BA802" s="44"/>
      <c r="BC802" s="44"/>
      <c r="BD802" s="44"/>
      <c r="BE802" s="44"/>
      <c r="BG802" s="135"/>
      <c r="BH802" s="42"/>
      <c r="BK802" s="135"/>
      <c r="BM802" s="135"/>
      <c r="BN802" s="42"/>
      <c r="BQ802" s="135"/>
    </row>
    <row r="803" spans="45:69" x14ac:dyDescent="0.3"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H803" s="44"/>
      <c r="BI803" s="44"/>
      <c r="BJ803" s="44"/>
      <c r="BN803" s="44"/>
      <c r="BO803" s="44"/>
      <c r="BP803" s="44"/>
    </row>
    <row r="804" spans="45:69" x14ac:dyDescent="0.3">
      <c r="AS804" s="44"/>
      <c r="AU804" s="42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G804" s="44"/>
      <c r="BH804" s="44"/>
      <c r="BI804" s="44"/>
      <c r="BJ804" s="44"/>
      <c r="BK804" s="44"/>
      <c r="BM804" s="44"/>
      <c r="BN804" s="44"/>
      <c r="BO804" s="44"/>
      <c r="BP804" s="44"/>
      <c r="BQ804" s="44"/>
    </row>
    <row r="805" spans="45:69" x14ac:dyDescent="0.3">
      <c r="AS805" s="44"/>
      <c r="AU805" s="42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G805" s="44"/>
      <c r="BH805" s="44"/>
      <c r="BI805" s="44"/>
      <c r="BJ805" s="44"/>
      <c r="BK805" s="44"/>
      <c r="BM805" s="44"/>
      <c r="BN805" s="44"/>
      <c r="BO805" s="44"/>
      <c r="BP805" s="44"/>
      <c r="BQ805" s="44"/>
    </row>
    <row r="806" spans="45:69" x14ac:dyDescent="0.3">
      <c r="AS806" s="135"/>
      <c r="AT806" s="135"/>
      <c r="AU806" s="135"/>
      <c r="AV806" s="135"/>
      <c r="AW806" s="135"/>
      <c r="AX806" s="135"/>
      <c r="AY806" s="135"/>
      <c r="AZ806" s="135"/>
      <c r="BA806" s="135"/>
      <c r="BB806" s="135"/>
      <c r="BC806" s="135"/>
      <c r="BD806" s="135"/>
      <c r="BE806" s="135"/>
      <c r="BG806" s="135"/>
      <c r="BH806" s="135"/>
      <c r="BI806" s="135"/>
      <c r="BJ806" s="135"/>
      <c r="BK806" s="135"/>
      <c r="BM806" s="135"/>
      <c r="BN806" s="135"/>
      <c r="BO806" s="135"/>
      <c r="BP806" s="135"/>
      <c r="BQ806" s="135"/>
    </row>
    <row r="807" spans="45:69" x14ac:dyDescent="0.3"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</row>
    <row r="808" spans="45:69" x14ac:dyDescent="0.3">
      <c r="AU808" s="42"/>
      <c r="AV808" s="44"/>
      <c r="AY808" s="219"/>
    </row>
    <row r="809" spans="45:69" x14ac:dyDescent="0.3">
      <c r="AV809" s="44"/>
      <c r="AW809" s="123"/>
      <c r="AX809" s="188"/>
      <c r="AY809" s="188"/>
      <c r="AZ809" s="188"/>
      <c r="BA809" s="160"/>
      <c r="BB809" s="188"/>
      <c r="BC809" s="219"/>
      <c r="BD809" s="219"/>
      <c r="BE809" s="160"/>
      <c r="BG809" s="188"/>
      <c r="BH809" s="188"/>
      <c r="BI809" s="188"/>
      <c r="BJ809" s="188"/>
      <c r="BK809" s="188"/>
      <c r="BM809" s="188"/>
      <c r="BN809" s="188"/>
      <c r="BO809" s="188"/>
      <c r="BP809" s="188"/>
      <c r="BQ809" s="188"/>
    </row>
    <row r="810" spans="45:69" x14ac:dyDescent="0.3">
      <c r="AV810" s="44"/>
      <c r="AW810" s="123"/>
      <c r="AX810" s="188"/>
      <c r="AY810" s="188"/>
      <c r="AZ810" s="188"/>
      <c r="BA810" s="160"/>
      <c r="BB810" s="188"/>
      <c r="BC810" s="219"/>
      <c r="BD810" s="219"/>
      <c r="BE810" s="160"/>
      <c r="BG810" s="188"/>
      <c r="BH810" s="188"/>
      <c r="BI810" s="188"/>
      <c r="BJ810" s="188"/>
      <c r="BK810" s="188"/>
      <c r="BM810" s="188"/>
      <c r="BN810" s="188"/>
      <c r="BO810" s="188"/>
      <c r="BP810" s="188"/>
      <c r="BQ810" s="188"/>
    </row>
    <row r="811" spans="45:69" x14ac:dyDescent="0.3">
      <c r="AV811" s="44"/>
      <c r="AW811" s="123"/>
      <c r="AX811" s="188"/>
      <c r="AY811" s="188"/>
      <c r="AZ811" s="188"/>
      <c r="BA811" s="160"/>
      <c r="BB811" s="188"/>
      <c r="BC811" s="219"/>
      <c r="BD811" s="219"/>
      <c r="BE811" s="160"/>
      <c r="BG811" s="188"/>
      <c r="BH811" s="188"/>
      <c r="BI811" s="188"/>
      <c r="BJ811" s="188"/>
      <c r="BK811" s="188"/>
      <c r="BM811" s="188"/>
      <c r="BN811" s="188"/>
      <c r="BO811" s="188"/>
      <c r="BP811" s="188"/>
      <c r="BQ811" s="188"/>
    </row>
    <row r="812" spans="45:69" x14ac:dyDescent="0.3">
      <c r="AV812" s="44"/>
      <c r="AW812" s="123"/>
      <c r="AX812" s="188"/>
      <c r="AY812" s="188"/>
      <c r="AZ812" s="188"/>
      <c r="BA812" s="160"/>
      <c r="BB812" s="188"/>
      <c r="BC812" s="219"/>
      <c r="BD812" s="219"/>
      <c r="BE812" s="160"/>
      <c r="BG812" s="188"/>
      <c r="BH812" s="188"/>
      <c r="BI812" s="188"/>
      <c r="BJ812" s="188"/>
      <c r="BK812" s="188"/>
      <c r="BM812" s="188"/>
      <c r="BN812" s="188"/>
      <c r="BO812" s="188"/>
      <c r="BP812" s="188"/>
      <c r="BQ812" s="188"/>
    </row>
    <row r="813" spans="45:69" x14ac:dyDescent="0.3">
      <c r="AV813" s="44"/>
      <c r="AW813" s="123"/>
      <c r="AX813" s="188"/>
      <c r="AY813" s="188"/>
      <c r="AZ813" s="188"/>
      <c r="BA813" s="160"/>
      <c r="BB813" s="188"/>
      <c r="BC813" s="219"/>
      <c r="BD813" s="219"/>
      <c r="BE813" s="160"/>
      <c r="BG813" s="188"/>
      <c r="BH813" s="188"/>
      <c r="BI813" s="188"/>
      <c r="BJ813" s="188"/>
      <c r="BK813" s="188"/>
      <c r="BM813" s="188"/>
      <c r="BN813" s="188"/>
      <c r="BO813" s="188"/>
      <c r="BP813" s="188"/>
      <c r="BQ813" s="188"/>
    </row>
    <row r="814" spans="45:69" x14ac:dyDescent="0.3">
      <c r="AV814" s="44"/>
      <c r="AW814" s="123"/>
      <c r="AX814" s="188"/>
      <c r="AY814" s="188"/>
      <c r="AZ814" s="188"/>
      <c r="BA814" s="160"/>
      <c r="BB814" s="188"/>
      <c r="BC814" s="219"/>
      <c r="BD814" s="219"/>
      <c r="BE814" s="160"/>
      <c r="BG814" s="188"/>
      <c r="BH814" s="188"/>
      <c r="BI814" s="188"/>
      <c r="BJ814" s="188"/>
      <c r="BK814" s="188"/>
      <c r="BM814" s="188"/>
      <c r="BN814" s="188"/>
      <c r="BO814" s="188"/>
      <c r="BP814" s="188"/>
      <c r="BQ814" s="188"/>
    </row>
    <row r="815" spans="45:69" x14ac:dyDescent="0.3">
      <c r="AV815" s="44"/>
      <c r="AW815" s="123"/>
      <c r="AX815" s="188"/>
      <c r="AY815" s="188"/>
      <c r="AZ815" s="188"/>
      <c r="BA815" s="160"/>
      <c r="BB815" s="188"/>
      <c r="BC815" s="219"/>
      <c r="BD815" s="219"/>
      <c r="BE815" s="160"/>
      <c r="BG815" s="188"/>
      <c r="BH815" s="188"/>
      <c r="BI815" s="188"/>
      <c r="BJ815" s="188"/>
      <c r="BK815" s="188"/>
      <c r="BM815" s="188"/>
      <c r="BN815" s="188"/>
      <c r="BO815" s="188"/>
      <c r="BP815" s="188"/>
      <c r="BQ815" s="188"/>
    </row>
    <row r="816" spans="45:69" x14ac:dyDescent="0.3">
      <c r="AY816" s="219"/>
      <c r="AZ816" s="188"/>
      <c r="BA816" s="160"/>
      <c r="BB816" s="188"/>
      <c r="BC816" s="219"/>
      <c r="BD816" s="219"/>
      <c r="BE816" s="160"/>
      <c r="BK816" s="188"/>
      <c r="BQ816" s="188"/>
    </row>
    <row r="817" spans="45:69" x14ac:dyDescent="0.3">
      <c r="AV817" s="44"/>
      <c r="AY817" s="219"/>
      <c r="AZ817" s="188"/>
      <c r="BA817" s="160"/>
      <c r="BB817" s="188"/>
      <c r="BC817" s="219"/>
      <c r="BD817" s="219"/>
      <c r="BE817" s="160"/>
      <c r="BK817" s="188"/>
      <c r="BQ817" s="188"/>
    </row>
    <row r="818" spans="45:69" x14ac:dyDescent="0.3">
      <c r="AV818" s="44"/>
      <c r="AW818" s="123"/>
      <c r="AX818" s="188"/>
      <c r="AY818" s="188"/>
      <c r="AZ818" s="188"/>
      <c r="BA818" s="160"/>
      <c r="BB818" s="188"/>
      <c r="BC818" s="219"/>
      <c r="BD818" s="219"/>
      <c r="BE818" s="160"/>
      <c r="BG818" s="188"/>
      <c r="BH818" s="188"/>
      <c r="BI818" s="188"/>
      <c r="BJ818" s="188"/>
      <c r="BK818" s="188"/>
      <c r="BM818" s="188"/>
      <c r="BN818" s="188"/>
      <c r="BO818" s="188"/>
      <c r="BP818" s="188"/>
      <c r="BQ818" s="188"/>
    </row>
    <row r="819" spans="45:69" x14ac:dyDescent="0.3">
      <c r="AV819" s="44"/>
      <c r="AW819" s="123"/>
      <c r="AX819" s="188"/>
      <c r="AY819" s="188"/>
      <c r="AZ819" s="188"/>
      <c r="BA819" s="160"/>
      <c r="BB819" s="188"/>
      <c r="BC819" s="219"/>
      <c r="BD819" s="219"/>
      <c r="BE819" s="160"/>
      <c r="BG819" s="188"/>
      <c r="BH819" s="188"/>
      <c r="BI819" s="188"/>
      <c r="BJ819" s="188"/>
      <c r="BK819" s="188"/>
      <c r="BM819" s="188"/>
      <c r="BN819" s="188"/>
      <c r="BO819" s="188"/>
      <c r="BP819" s="188"/>
      <c r="BQ819" s="188"/>
    </row>
    <row r="820" spans="45:69" x14ac:dyDescent="0.3">
      <c r="AV820" s="44"/>
      <c r="AW820" s="123"/>
      <c r="AX820" s="188"/>
      <c r="AY820" s="188"/>
      <c r="AZ820" s="188"/>
      <c r="BA820" s="160"/>
      <c r="BB820" s="188"/>
      <c r="BC820" s="219"/>
      <c r="BD820" s="219"/>
      <c r="BE820" s="160"/>
      <c r="BG820" s="188"/>
      <c r="BH820" s="188"/>
      <c r="BI820" s="188"/>
      <c r="BJ820" s="188"/>
      <c r="BK820" s="188"/>
      <c r="BM820" s="188"/>
      <c r="BN820" s="188"/>
      <c r="BO820" s="188"/>
      <c r="BP820" s="188"/>
      <c r="BQ820" s="188"/>
    </row>
    <row r="821" spans="45:69" x14ac:dyDescent="0.3">
      <c r="AV821" s="44"/>
      <c r="AW821" s="123"/>
      <c r="AX821" s="188"/>
      <c r="AY821" s="188"/>
      <c r="AZ821" s="188"/>
      <c r="BA821" s="160"/>
      <c r="BB821" s="188"/>
      <c r="BC821" s="219"/>
      <c r="BD821" s="219"/>
      <c r="BE821" s="160"/>
      <c r="BG821" s="188"/>
      <c r="BH821" s="188"/>
      <c r="BI821" s="188"/>
      <c r="BJ821" s="188"/>
      <c r="BK821" s="188"/>
      <c r="BM821" s="188"/>
      <c r="BN821" s="188"/>
      <c r="BO821" s="188"/>
      <c r="BP821" s="188"/>
      <c r="BQ821" s="188"/>
    </row>
    <row r="822" spans="45:69" x14ac:dyDescent="0.3">
      <c r="AV822" s="44"/>
      <c r="AW822" s="123"/>
      <c r="AX822" s="188"/>
      <c r="AY822" s="188"/>
      <c r="AZ822" s="188"/>
      <c r="BA822" s="160"/>
      <c r="BB822" s="188"/>
      <c r="BC822" s="219"/>
      <c r="BD822" s="219"/>
      <c r="BE822" s="160"/>
      <c r="BG822" s="188"/>
      <c r="BH822" s="188"/>
      <c r="BI822" s="188"/>
      <c r="BJ822" s="188"/>
      <c r="BK822" s="188"/>
      <c r="BM822" s="188"/>
      <c r="BN822" s="188"/>
      <c r="BO822" s="188"/>
      <c r="BP822" s="188"/>
      <c r="BQ822" s="188"/>
    </row>
    <row r="823" spans="45:69" x14ac:dyDescent="0.3">
      <c r="AV823" s="44"/>
      <c r="AW823" s="123"/>
      <c r="AX823" s="188"/>
      <c r="AY823" s="188"/>
      <c r="AZ823" s="188"/>
      <c r="BA823" s="160"/>
      <c r="BB823" s="188"/>
      <c r="BC823" s="219"/>
      <c r="BD823" s="219"/>
      <c r="BE823" s="160"/>
      <c r="BG823" s="188"/>
      <c r="BH823" s="188"/>
      <c r="BI823" s="188"/>
      <c r="BJ823" s="188"/>
      <c r="BK823" s="188"/>
      <c r="BM823" s="188"/>
      <c r="BN823" s="188"/>
      <c r="BO823" s="188"/>
      <c r="BP823" s="188"/>
      <c r="BQ823" s="188"/>
    </row>
    <row r="824" spans="45:69" x14ac:dyDescent="0.3">
      <c r="AV824" s="44"/>
      <c r="AW824" s="123"/>
      <c r="AX824" s="188"/>
      <c r="AY824" s="188"/>
      <c r="AZ824" s="188"/>
      <c r="BA824" s="160"/>
      <c r="BB824" s="188"/>
      <c r="BC824" s="219"/>
      <c r="BD824" s="219"/>
      <c r="BE824" s="160"/>
      <c r="BG824" s="188"/>
      <c r="BH824" s="188"/>
      <c r="BI824" s="188"/>
      <c r="BJ824" s="188"/>
      <c r="BK824" s="188"/>
      <c r="BM824" s="188"/>
      <c r="BN824" s="188"/>
      <c r="BO824" s="188"/>
      <c r="BP824" s="188"/>
      <c r="BQ824" s="188"/>
    </row>
    <row r="825" spans="45:69" x14ac:dyDescent="0.3">
      <c r="AV825" s="44"/>
      <c r="AW825" s="123"/>
      <c r="AX825" s="188"/>
      <c r="AY825" s="188"/>
      <c r="AZ825" s="188"/>
      <c r="BA825" s="160"/>
      <c r="BB825" s="188"/>
      <c r="BC825" s="219"/>
      <c r="BD825" s="219"/>
      <c r="BE825" s="160"/>
      <c r="BG825" s="188"/>
      <c r="BH825" s="188"/>
      <c r="BI825" s="188"/>
      <c r="BJ825" s="188"/>
      <c r="BK825" s="188"/>
      <c r="BM825" s="188"/>
      <c r="BN825" s="188"/>
      <c r="BO825" s="188"/>
      <c r="BP825" s="188"/>
      <c r="BQ825" s="188"/>
    </row>
    <row r="826" spans="45:69" x14ac:dyDescent="0.3">
      <c r="AY826" s="219"/>
      <c r="AZ826" s="188"/>
      <c r="BA826" s="160"/>
      <c r="BB826" s="188"/>
      <c r="BC826" s="219"/>
      <c r="BD826" s="219"/>
      <c r="BE826" s="160"/>
      <c r="BK826" s="188"/>
      <c r="BQ826" s="188"/>
    </row>
    <row r="827" spans="45:69" x14ac:dyDescent="0.3">
      <c r="AU827" s="42"/>
      <c r="AZ827" s="188"/>
      <c r="BB827" s="188"/>
      <c r="BG827" s="188"/>
      <c r="BH827" s="188"/>
      <c r="BJ827" s="188"/>
      <c r="BK827" s="188"/>
    </row>
    <row r="828" spans="45:69" x14ac:dyDescent="0.3">
      <c r="AZ828" s="188"/>
      <c r="BB828" s="188"/>
    </row>
    <row r="829" spans="45:69" x14ac:dyDescent="0.3">
      <c r="AS829" s="42"/>
      <c r="AZ829" s="188"/>
      <c r="BB829" s="188"/>
      <c r="BI829" s="188"/>
    </row>
    <row r="830" spans="45:69" x14ac:dyDescent="0.3">
      <c r="AZ830" s="188"/>
      <c r="BB830" s="188"/>
    </row>
    <row r="831" spans="45:69" x14ac:dyDescent="0.3">
      <c r="AY831" s="188"/>
      <c r="BB831" s="188"/>
    </row>
    <row r="832" spans="45:69" x14ac:dyDescent="0.3">
      <c r="AY832" s="42"/>
      <c r="AZ832" s="188"/>
      <c r="BB832" s="188"/>
    </row>
    <row r="833" spans="45:75" x14ac:dyDescent="0.3">
      <c r="AY833" s="42"/>
      <c r="AZ833" s="188"/>
      <c r="BB833" s="188"/>
    </row>
    <row r="834" spans="45:75" x14ac:dyDescent="0.3">
      <c r="AZ834" s="188"/>
      <c r="BB834" s="188"/>
      <c r="BD834" s="42"/>
    </row>
    <row r="835" spans="45:75" x14ac:dyDescent="0.3">
      <c r="AZ835" s="188"/>
      <c r="BB835" s="188"/>
      <c r="BD835" s="42"/>
    </row>
    <row r="836" spans="45:75" x14ac:dyDescent="0.3">
      <c r="AS836" s="42"/>
      <c r="AZ836" s="188"/>
      <c r="BB836" s="188"/>
      <c r="BD836" s="42"/>
    </row>
    <row r="837" spans="45:75" x14ac:dyDescent="0.3">
      <c r="AZ837" s="188"/>
      <c r="BB837" s="188"/>
    </row>
    <row r="838" spans="45:75" x14ac:dyDescent="0.3">
      <c r="AS838" s="135"/>
      <c r="AT838" s="135"/>
      <c r="AU838" s="135"/>
      <c r="AV838" s="135"/>
      <c r="AW838" s="135"/>
      <c r="AX838" s="135"/>
      <c r="AY838" s="135"/>
      <c r="AZ838" s="244"/>
      <c r="BA838" s="135"/>
      <c r="BB838" s="244"/>
      <c r="BC838" s="135"/>
      <c r="BD838" s="135"/>
      <c r="BE838" s="135"/>
    </row>
    <row r="839" spans="45:75" x14ac:dyDescent="0.3">
      <c r="AX839" s="42"/>
      <c r="AZ839" s="188"/>
      <c r="BB839" s="188"/>
    </row>
    <row r="840" spans="45:75" x14ac:dyDescent="0.3">
      <c r="AX840" s="135"/>
      <c r="AY840" s="135"/>
      <c r="AZ840" s="244"/>
      <c r="BA840" s="135"/>
      <c r="BB840" s="188"/>
      <c r="BC840" s="44"/>
      <c r="BD840" s="44"/>
    </row>
    <row r="841" spans="45:75" x14ac:dyDescent="0.3">
      <c r="AV841" s="44"/>
      <c r="AW841" s="44"/>
      <c r="AZ841" s="245"/>
      <c r="BA841" s="44"/>
      <c r="BB841" s="188"/>
      <c r="BC841" s="44"/>
      <c r="BD841" s="44"/>
      <c r="BE841" s="44"/>
      <c r="BG841" s="135"/>
      <c r="BH841" s="135"/>
      <c r="BI841" s="42"/>
      <c r="BM841" s="135"/>
      <c r="BN841" s="135"/>
      <c r="BP841" s="135"/>
      <c r="BQ841" s="135"/>
      <c r="BR841" s="42"/>
      <c r="BV841" s="135"/>
      <c r="BW841" s="135"/>
    </row>
    <row r="842" spans="45:75" x14ac:dyDescent="0.3">
      <c r="AV842" s="44"/>
      <c r="AW842" s="44"/>
      <c r="AX842" s="44"/>
      <c r="AY842" s="44"/>
      <c r="AZ842" s="245"/>
      <c r="BA842" s="44"/>
      <c r="BB842" s="245"/>
      <c r="BC842" s="44"/>
      <c r="BD842" s="44"/>
      <c r="BE842" s="44"/>
      <c r="BH842" s="44"/>
      <c r="BI842" s="44"/>
      <c r="BJ842" s="44"/>
      <c r="BK842" s="44"/>
      <c r="BL842" s="44"/>
      <c r="BM842" s="44"/>
      <c r="BQ842" s="44"/>
      <c r="BR842" s="44"/>
      <c r="BS842" s="44"/>
      <c r="BT842" s="44"/>
      <c r="BU842" s="44"/>
      <c r="BV842" s="44"/>
    </row>
    <row r="843" spans="45:75" x14ac:dyDescent="0.3">
      <c r="AS843" s="44"/>
      <c r="AU843" s="42"/>
      <c r="AV843" s="44"/>
      <c r="AW843" s="44"/>
      <c r="AX843" s="44"/>
      <c r="AY843" s="44"/>
      <c r="AZ843" s="245"/>
      <c r="BA843" s="44"/>
      <c r="BB843" s="245"/>
      <c r="BC843" s="44"/>
      <c r="BD843" s="44"/>
      <c r="BE843" s="44"/>
      <c r="BG843" s="44"/>
      <c r="BH843" s="44"/>
      <c r="BI843" s="44"/>
      <c r="BJ843" s="44"/>
      <c r="BK843" s="44"/>
      <c r="BL843" s="44"/>
      <c r="BM843" s="44"/>
      <c r="BN843" s="44"/>
      <c r="BP843" s="44"/>
      <c r="BQ843" s="44"/>
      <c r="BR843" s="44"/>
      <c r="BS843" s="44"/>
      <c r="BT843" s="44"/>
      <c r="BU843" s="44"/>
      <c r="BV843" s="44"/>
      <c r="BW843" s="44"/>
    </row>
    <row r="844" spans="45:75" x14ac:dyDescent="0.3">
      <c r="AS844" s="44"/>
      <c r="AU844" s="42"/>
      <c r="AV844" s="44"/>
      <c r="AW844" s="44"/>
      <c r="AX844" s="44"/>
      <c r="AY844" s="44"/>
      <c r="AZ844" s="245"/>
      <c r="BA844" s="44"/>
      <c r="BB844" s="245"/>
      <c r="BC844" s="44"/>
      <c r="BD844" s="44"/>
      <c r="BE844" s="44"/>
      <c r="BG844" s="44"/>
      <c r="BH844" s="44"/>
      <c r="BI844" s="44"/>
      <c r="BJ844" s="44"/>
      <c r="BK844" s="44"/>
      <c r="BL844" s="44"/>
      <c r="BM844" s="44"/>
      <c r="BN844" s="44"/>
      <c r="BP844" s="44"/>
      <c r="BQ844" s="44"/>
      <c r="BR844" s="44"/>
      <c r="BS844" s="44"/>
      <c r="BT844" s="44"/>
      <c r="BU844" s="44"/>
      <c r="BV844" s="44"/>
      <c r="BW844" s="44"/>
    </row>
    <row r="845" spans="45:75" x14ac:dyDescent="0.3">
      <c r="AS845" s="135"/>
      <c r="AT845" s="135"/>
      <c r="AU845" s="135"/>
      <c r="AV845" s="135"/>
      <c r="AW845" s="135"/>
      <c r="AX845" s="135"/>
      <c r="AY845" s="135"/>
      <c r="AZ845" s="244"/>
      <c r="BA845" s="135"/>
      <c r="BB845" s="244"/>
      <c r="BC845" s="135"/>
      <c r="BD845" s="135"/>
      <c r="BE845" s="135"/>
      <c r="BG845" s="135"/>
      <c r="BH845" s="135"/>
      <c r="BI845" s="135"/>
      <c r="BJ845" s="135"/>
      <c r="BK845" s="135"/>
      <c r="BL845" s="135"/>
      <c r="BM845" s="135"/>
      <c r="BN845" s="135"/>
      <c r="BP845" s="135"/>
      <c r="BQ845" s="135"/>
      <c r="BR845" s="135"/>
      <c r="BS845" s="135"/>
      <c r="BT845" s="135"/>
      <c r="BU845" s="135"/>
      <c r="BV845" s="135"/>
      <c r="BW845" s="135"/>
    </row>
    <row r="846" spans="45:75" x14ac:dyDescent="0.3">
      <c r="AV846" s="44"/>
      <c r="AW846" s="44"/>
      <c r="AX846" s="44"/>
      <c r="AY846" s="44"/>
      <c r="AZ846" s="245"/>
      <c r="BA846" s="44"/>
      <c r="BB846" s="245"/>
      <c r="BC846" s="44"/>
      <c r="BD846" s="44"/>
      <c r="BE846" s="44"/>
      <c r="BG846" s="188"/>
      <c r="BH846" s="188"/>
      <c r="BI846" s="188"/>
      <c r="BJ846" s="188"/>
      <c r="BK846" s="188"/>
      <c r="BL846" s="188"/>
      <c r="BM846" s="188"/>
      <c r="BN846" s="188"/>
      <c r="BO846" s="188"/>
      <c r="BP846" s="188"/>
      <c r="BQ846" s="188"/>
      <c r="BR846" s="188"/>
      <c r="BS846" s="188"/>
      <c r="BT846" s="188"/>
      <c r="BU846" s="188"/>
      <c r="BV846" s="188"/>
      <c r="BW846" s="188"/>
    </row>
    <row r="847" spans="45:75" x14ac:dyDescent="0.3">
      <c r="AU847" s="42"/>
      <c r="AW847" s="123"/>
      <c r="AX847" s="188"/>
      <c r="AY847" s="188"/>
      <c r="AZ847" s="188"/>
      <c r="BA847" s="236"/>
      <c r="BB847" s="188"/>
      <c r="BC847" s="188"/>
      <c r="BD847" s="188"/>
      <c r="BE847" s="236"/>
      <c r="BG847" s="188"/>
      <c r="BH847" s="188"/>
      <c r="BI847" s="188"/>
      <c r="BJ847" s="188"/>
      <c r="BK847" s="188"/>
      <c r="BL847" s="188"/>
      <c r="BM847" s="188"/>
      <c r="BN847" s="188"/>
      <c r="BO847" s="188"/>
      <c r="BP847" s="188"/>
      <c r="BQ847" s="188"/>
      <c r="BR847" s="188"/>
      <c r="BS847" s="188"/>
      <c r="BT847" s="188"/>
      <c r="BU847" s="188"/>
      <c r="BV847" s="188"/>
      <c r="BW847" s="188"/>
    </row>
    <row r="848" spans="45:75" x14ac:dyDescent="0.3">
      <c r="AW848" s="123"/>
      <c r="AX848" s="188"/>
      <c r="AY848" s="188"/>
      <c r="AZ848" s="188"/>
      <c r="BA848" s="236"/>
      <c r="BB848" s="188"/>
      <c r="BC848" s="188"/>
      <c r="BD848" s="188"/>
      <c r="BE848" s="236"/>
      <c r="BG848" s="188"/>
      <c r="BH848" s="188"/>
      <c r="BI848" s="188"/>
      <c r="BJ848" s="188"/>
      <c r="BK848" s="188"/>
      <c r="BL848" s="188"/>
      <c r="BM848" s="188"/>
      <c r="BN848" s="188"/>
      <c r="BO848" s="188"/>
      <c r="BP848" s="188"/>
      <c r="BQ848" s="188"/>
      <c r="BR848" s="188"/>
      <c r="BS848" s="188"/>
      <c r="BT848" s="188"/>
      <c r="BU848" s="188"/>
      <c r="BV848" s="188"/>
      <c r="BW848" s="188"/>
    </row>
    <row r="849" spans="49:75" x14ac:dyDescent="0.3">
      <c r="AW849" s="123"/>
      <c r="AX849" s="188"/>
      <c r="AY849" s="188"/>
      <c r="AZ849" s="188"/>
      <c r="BA849" s="236"/>
      <c r="BB849" s="188"/>
      <c r="BC849" s="188"/>
      <c r="BD849" s="188"/>
      <c r="BE849" s="236"/>
      <c r="BG849" s="188"/>
      <c r="BH849" s="188"/>
      <c r="BI849" s="188"/>
      <c r="BJ849" s="188"/>
      <c r="BK849" s="188"/>
      <c r="BL849" s="188"/>
      <c r="BM849" s="188"/>
      <c r="BN849" s="188"/>
      <c r="BO849" s="188"/>
      <c r="BP849" s="188"/>
      <c r="BQ849" s="188"/>
      <c r="BR849" s="188"/>
      <c r="BS849" s="188"/>
      <c r="BT849" s="188"/>
      <c r="BU849" s="188"/>
      <c r="BV849" s="188"/>
      <c r="BW849" s="188"/>
    </row>
    <row r="850" spans="49:75" x14ac:dyDescent="0.3">
      <c r="AW850" s="123"/>
      <c r="AX850" s="188"/>
      <c r="AY850" s="188"/>
      <c r="AZ850" s="188"/>
      <c r="BA850" s="236"/>
      <c r="BB850" s="188"/>
      <c r="BC850" s="188"/>
      <c r="BD850" s="188"/>
      <c r="BE850" s="236"/>
      <c r="BG850" s="188"/>
      <c r="BH850" s="188"/>
      <c r="BI850" s="188"/>
      <c r="BJ850" s="188"/>
      <c r="BK850" s="188"/>
      <c r="BL850" s="188"/>
      <c r="BM850" s="188"/>
      <c r="BN850" s="188"/>
      <c r="BO850" s="188"/>
      <c r="BP850" s="188"/>
      <c r="BQ850" s="188"/>
      <c r="BR850" s="188"/>
      <c r="BS850" s="188"/>
      <c r="BT850" s="188"/>
      <c r="BU850" s="188"/>
      <c r="BV850" s="188"/>
      <c r="BW850" s="188"/>
    </row>
    <row r="851" spans="49:75" x14ac:dyDescent="0.3">
      <c r="AW851" s="123"/>
      <c r="AX851" s="188"/>
      <c r="AY851" s="188"/>
      <c r="AZ851" s="188"/>
      <c r="BA851" s="236"/>
      <c r="BB851" s="188"/>
      <c r="BC851" s="188"/>
      <c r="BD851" s="188"/>
      <c r="BE851" s="236"/>
      <c r="BG851" s="188"/>
      <c r="BH851" s="188"/>
      <c r="BI851" s="188"/>
      <c r="BJ851" s="188"/>
      <c r="BK851" s="188"/>
      <c r="BL851" s="188"/>
      <c r="BM851" s="188"/>
      <c r="BN851" s="188"/>
      <c r="BO851" s="188"/>
      <c r="BP851" s="188"/>
      <c r="BQ851" s="188"/>
      <c r="BR851" s="188"/>
      <c r="BS851" s="188"/>
      <c r="BT851" s="188"/>
      <c r="BU851" s="188"/>
      <c r="BV851" s="188"/>
      <c r="BW851" s="188"/>
    </row>
    <row r="852" spans="49:75" x14ac:dyDescent="0.3">
      <c r="AW852" s="123"/>
      <c r="AX852" s="188"/>
      <c r="AY852" s="188"/>
      <c r="AZ852" s="188"/>
      <c r="BA852" s="236"/>
      <c r="BB852" s="188"/>
      <c r="BC852" s="188"/>
      <c r="BD852" s="188"/>
      <c r="BE852" s="236"/>
      <c r="BG852" s="188"/>
      <c r="BH852" s="188"/>
      <c r="BI852" s="188"/>
      <c r="BJ852" s="188"/>
      <c r="BK852" s="188"/>
      <c r="BL852" s="188"/>
      <c r="BM852" s="188"/>
      <c r="BN852" s="188"/>
      <c r="BO852" s="188"/>
      <c r="BP852" s="188"/>
      <c r="BQ852" s="188"/>
      <c r="BR852" s="188"/>
      <c r="BS852" s="188"/>
      <c r="BT852" s="188"/>
      <c r="BU852" s="188"/>
      <c r="BV852" s="188"/>
      <c r="BW852" s="188"/>
    </row>
    <row r="853" spans="49:75" x14ac:dyDescent="0.3">
      <c r="AW853" s="123"/>
      <c r="AX853" s="188"/>
      <c r="AY853" s="188"/>
      <c r="AZ853" s="188"/>
      <c r="BA853" s="236"/>
      <c r="BB853" s="188"/>
      <c r="BC853" s="188"/>
      <c r="BD853" s="188"/>
      <c r="BE853" s="236"/>
      <c r="BG853" s="188"/>
      <c r="BH853" s="188"/>
      <c r="BI853" s="188"/>
      <c r="BJ853" s="188"/>
      <c r="BK853" s="188"/>
      <c r="BL853" s="188"/>
      <c r="BM853" s="188"/>
      <c r="BN853" s="188"/>
      <c r="BO853" s="188"/>
      <c r="BP853" s="188"/>
      <c r="BQ853" s="188"/>
      <c r="BR853" s="188"/>
      <c r="BS853" s="188"/>
      <c r="BT853" s="188"/>
      <c r="BU853" s="188"/>
      <c r="BV853" s="188"/>
      <c r="BW853" s="188"/>
    </row>
    <row r="854" spans="49:75" x14ac:dyDescent="0.3">
      <c r="AW854" s="123"/>
      <c r="AX854" s="188"/>
      <c r="AY854" s="188"/>
      <c r="AZ854" s="188"/>
      <c r="BA854" s="236"/>
      <c r="BB854" s="188"/>
      <c r="BC854" s="188"/>
      <c r="BD854" s="188"/>
      <c r="BE854" s="236"/>
      <c r="BG854" s="188"/>
      <c r="BH854" s="188"/>
      <c r="BI854" s="188"/>
      <c r="BJ854" s="188"/>
      <c r="BK854" s="188"/>
      <c r="BL854" s="188"/>
      <c r="BM854" s="188"/>
      <c r="BN854" s="188"/>
      <c r="BO854" s="188"/>
      <c r="BP854" s="188"/>
      <c r="BQ854" s="188"/>
      <c r="BR854" s="188"/>
      <c r="BS854" s="188"/>
      <c r="BT854" s="188"/>
      <c r="BU854" s="188"/>
      <c r="BV854" s="188"/>
      <c r="BW854" s="188"/>
    </row>
    <row r="855" spans="49:75" x14ac:dyDescent="0.3">
      <c r="AW855" s="123"/>
      <c r="AX855" s="188"/>
      <c r="AY855" s="188"/>
      <c r="AZ855" s="188"/>
      <c r="BA855" s="236"/>
      <c r="BB855" s="188"/>
      <c r="BC855" s="188"/>
      <c r="BD855" s="188"/>
      <c r="BE855" s="236"/>
      <c r="BG855" s="188"/>
      <c r="BH855" s="188"/>
      <c r="BI855" s="188"/>
      <c r="BJ855" s="188"/>
      <c r="BK855" s="188"/>
      <c r="BL855" s="188"/>
      <c r="BM855" s="188"/>
      <c r="BN855" s="188"/>
      <c r="BO855" s="188"/>
      <c r="BP855" s="188"/>
      <c r="BQ855" s="188"/>
      <c r="BR855" s="188"/>
      <c r="BS855" s="188"/>
      <c r="BT855" s="188"/>
      <c r="BU855" s="188"/>
      <c r="BV855" s="188"/>
      <c r="BW855" s="188"/>
    </row>
    <row r="856" spans="49:75" x14ac:dyDescent="0.3">
      <c r="AW856" s="123"/>
      <c r="AX856" s="188"/>
      <c r="AY856" s="188"/>
      <c r="AZ856" s="188"/>
      <c r="BA856" s="236"/>
      <c r="BB856" s="188"/>
      <c r="BC856" s="188"/>
      <c r="BD856" s="188"/>
      <c r="BE856" s="236"/>
      <c r="BG856" s="188"/>
      <c r="BH856" s="188"/>
      <c r="BI856" s="188"/>
      <c r="BJ856" s="188"/>
      <c r="BK856" s="188"/>
      <c r="BL856" s="188"/>
      <c r="BM856" s="188"/>
      <c r="BN856" s="188"/>
      <c r="BO856" s="188"/>
      <c r="BP856" s="188"/>
      <c r="BQ856" s="188"/>
      <c r="BR856" s="188"/>
      <c r="BS856" s="188"/>
      <c r="BT856" s="188"/>
      <c r="BU856" s="188"/>
      <c r="BV856" s="188"/>
      <c r="BW856" s="188"/>
    </row>
    <row r="857" spans="49:75" x14ac:dyDescent="0.3">
      <c r="AW857" s="123"/>
      <c r="AX857" s="188"/>
      <c r="AY857" s="188"/>
      <c r="AZ857" s="188"/>
      <c r="BA857" s="236"/>
      <c r="BB857" s="188"/>
      <c r="BC857" s="188"/>
      <c r="BD857" s="188"/>
      <c r="BE857" s="236"/>
      <c r="BG857" s="188"/>
      <c r="BH857" s="188"/>
      <c r="BI857" s="188"/>
      <c r="BJ857" s="188"/>
      <c r="BK857" s="188"/>
      <c r="BL857" s="188"/>
      <c r="BM857" s="188"/>
      <c r="BN857" s="188"/>
      <c r="BO857" s="188"/>
      <c r="BP857" s="188"/>
      <c r="BQ857" s="188"/>
      <c r="BR857" s="188"/>
      <c r="BS857" s="188"/>
      <c r="BT857" s="188"/>
      <c r="BU857" s="188"/>
      <c r="BV857" s="188"/>
      <c r="BW857" s="188"/>
    </row>
    <row r="858" spans="49:75" x14ac:dyDescent="0.3">
      <c r="AW858" s="123"/>
      <c r="AX858" s="188"/>
      <c r="AY858" s="188"/>
      <c r="AZ858" s="188"/>
      <c r="BA858" s="236"/>
      <c r="BB858" s="188"/>
      <c r="BC858" s="188"/>
      <c r="BD858" s="188"/>
      <c r="BE858" s="236"/>
      <c r="BG858" s="188"/>
      <c r="BH858" s="188"/>
      <c r="BI858" s="188"/>
      <c r="BJ858" s="188"/>
      <c r="BK858" s="188"/>
      <c r="BL858" s="188"/>
      <c r="BM858" s="188"/>
      <c r="BN858" s="188"/>
      <c r="BO858" s="188"/>
      <c r="BP858" s="188"/>
      <c r="BQ858" s="188"/>
      <c r="BR858" s="188"/>
      <c r="BS858" s="188"/>
      <c r="BT858" s="188"/>
      <c r="BU858" s="188"/>
      <c r="BV858" s="188"/>
      <c r="BW858" s="188"/>
    </row>
    <row r="859" spans="49:75" x14ac:dyDescent="0.3">
      <c r="AW859" s="123"/>
      <c r="AX859" s="188"/>
      <c r="AY859" s="188"/>
      <c r="AZ859" s="188"/>
      <c r="BA859" s="236"/>
      <c r="BB859" s="188"/>
      <c r="BC859" s="188"/>
      <c r="BD859" s="188"/>
      <c r="BE859" s="236"/>
      <c r="BG859" s="188"/>
      <c r="BH859" s="188"/>
      <c r="BI859" s="188"/>
      <c r="BJ859" s="188"/>
      <c r="BK859" s="188"/>
      <c r="BL859" s="188"/>
      <c r="BM859" s="188"/>
      <c r="BN859" s="188"/>
      <c r="BO859" s="188"/>
      <c r="BP859" s="188"/>
      <c r="BQ859" s="188"/>
      <c r="BR859" s="188"/>
      <c r="BS859" s="188"/>
      <c r="BT859" s="188"/>
      <c r="BU859" s="188"/>
      <c r="BV859" s="188"/>
      <c r="BW859" s="188"/>
    </row>
    <row r="860" spans="49:75" x14ac:dyDescent="0.3">
      <c r="AW860" s="123"/>
      <c r="AX860" s="188"/>
      <c r="AY860" s="188"/>
      <c r="AZ860" s="188"/>
      <c r="BA860" s="236"/>
      <c r="BB860" s="188"/>
      <c r="BC860" s="188"/>
      <c r="BD860" s="188"/>
      <c r="BE860" s="236"/>
      <c r="BG860" s="188"/>
      <c r="BH860" s="188"/>
      <c r="BI860" s="188"/>
      <c r="BJ860" s="188"/>
      <c r="BK860" s="188"/>
      <c r="BL860" s="188"/>
      <c r="BM860" s="188"/>
      <c r="BN860" s="188"/>
      <c r="BO860" s="188"/>
      <c r="BP860" s="188"/>
      <c r="BQ860" s="188"/>
      <c r="BR860" s="188"/>
      <c r="BS860" s="188"/>
      <c r="BT860" s="188"/>
      <c r="BU860" s="188"/>
      <c r="BV860" s="188"/>
      <c r="BW860" s="188"/>
    </row>
    <row r="861" spans="49:75" x14ac:dyDescent="0.3">
      <c r="AW861" s="123"/>
      <c r="AX861" s="188"/>
      <c r="AY861" s="188"/>
      <c r="AZ861" s="188"/>
      <c r="BA861" s="236"/>
      <c r="BB861" s="188"/>
      <c r="BC861" s="188"/>
      <c r="BD861" s="188"/>
      <c r="BE861" s="236"/>
      <c r="BG861" s="188"/>
      <c r="BH861" s="188"/>
      <c r="BI861" s="188"/>
      <c r="BJ861" s="188"/>
      <c r="BK861" s="188"/>
      <c r="BL861" s="188"/>
      <c r="BM861" s="188"/>
      <c r="BN861" s="188"/>
      <c r="BO861" s="188"/>
      <c r="BP861" s="188"/>
      <c r="BQ861" s="188"/>
      <c r="BR861" s="188"/>
      <c r="BS861" s="188"/>
      <c r="BT861" s="188"/>
      <c r="BU861" s="188"/>
      <c r="BV861" s="188"/>
      <c r="BW861" s="188"/>
    </row>
    <row r="862" spans="49:75" x14ac:dyDescent="0.3">
      <c r="AW862" s="123"/>
      <c r="AX862" s="188"/>
      <c r="AY862" s="188"/>
      <c r="AZ862" s="188"/>
      <c r="BA862" s="236"/>
      <c r="BB862" s="188"/>
      <c r="BC862" s="188"/>
      <c r="BD862" s="188"/>
      <c r="BE862" s="236"/>
      <c r="BG862" s="188"/>
      <c r="BH862" s="188"/>
      <c r="BI862" s="188"/>
      <c r="BJ862" s="188"/>
      <c r="BK862" s="188"/>
      <c r="BL862" s="188"/>
      <c r="BM862" s="188"/>
      <c r="BN862" s="188"/>
      <c r="BO862" s="188"/>
      <c r="BP862" s="188"/>
      <c r="BQ862" s="188"/>
      <c r="BR862" s="188"/>
      <c r="BS862" s="188"/>
      <c r="BT862" s="188"/>
      <c r="BU862" s="188"/>
      <c r="BV862" s="188"/>
      <c r="BW862" s="188"/>
    </row>
    <row r="863" spans="49:75" x14ac:dyDescent="0.3">
      <c r="AW863" s="123"/>
      <c r="AX863" s="188"/>
      <c r="AY863" s="188"/>
      <c r="AZ863" s="188"/>
      <c r="BA863" s="236"/>
      <c r="BB863" s="188"/>
      <c r="BC863" s="188"/>
      <c r="BD863" s="188"/>
      <c r="BE863" s="236"/>
      <c r="BG863" s="188"/>
      <c r="BH863" s="188"/>
      <c r="BI863" s="188"/>
      <c r="BJ863" s="188"/>
      <c r="BK863" s="188"/>
      <c r="BL863" s="188"/>
      <c r="BM863" s="188"/>
      <c r="BN863" s="188"/>
      <c r="BO863" s="188"/>
      <c r="BP863" s="188"/>
      <c r="BQ863" s="188"/>
      <c r="BR863" s="188"/>
      <c r="BS863" s="188"/>
      <c r="BT863" s="188"/>
      <c r="BU863" s="188"/>
      <c r="BV863" s="188"/>
      <c r="BW863" s="188"/>
    </row>
    <row r="864" spans="49:75" x14ac:dyDescent="0.3">
      <c r="AW864" s="123"/>
      <c r="AX864" s="188"/>
      <c r="AY864" s="188"/>
      <c r="AZ864" s="188"/>
      <c r="BA864" s="236"/>
      <c r="BB864" s="188"/>
      <c r="BC864" s="188"/>
      <c r="BD864" s="188"/>
      <c r="BE864" s="236"/>
      <c r="BG864" s="188"/>
      <c r="BH864" s="188"/>
      <c r="BI864" s="188"/>
      <c r="BJ864" s="188"/>
      <c r="BK864" s="188"/>
      <c r="BL864" s="188"/>
      <c r="BM864" s="188"/>
      <c r="BN864" s="188"/>
      <c r="BO864" s="188"/>
      <c r="BP864" s="188"/>
      <c r="BQ864" s="188"/>
      <c r="BR864" s="188"/>
      <c r="BS864" s="188"/>
      <c r="BT864" s="188"/>
      <c r="BU864" s="188"/>
      <c r="BV864" s="188"/>
      <c r="BW864" s="188"/>
    </row>
    <row r="865" spans="45:75" x14ac:dyDescent="0.3">
      <c r="AW865" s="123"/>
      <c r="AX865" s="188"/>
      <c r="AY865" s="188"/>
      <c r="AZ865" s="188"/>
      <c r="BA865" s="236"/>
      <c r="BB865" s="188"/>
      <c r="BC865" s="188"/>
      <c r="BD865" s="188"/>
      <c r="BE865" s="236"/>
      <c r="BG865" s="188"/>
      <c r="BH865" s="188"/>
      <c r="BI865" s="188"/>
      <c r="BJ865" s="188"/>
      <c r="BK865" s="188"/>
      <c r="BL865" s="188"/>
      <c r="BM865" s="188"/>
      <c r="BN865" s="188"/>
      <c r="BO865" s="188"/>
      <c r="BP865" s="188"/>
      <c r="BQ865" s="188"/>
      <c r="BR865" s="188"/>
      <c r="BS865" s="188"/>
      <c r="BT865" s="188"/>
      <c r="BU865" s="188"/>
      <c r="BV865" s="188"/>
      <c r="BW865" s="188"/>
    </row>
    <row r="866" spans="45:75" x14ac:dyDescent="0.3">
      <c r="AW866" s="123"/>
      <c r="AX866" s="188"/>
      <c r="AY866" s="188"/>
      <c r="AZ866" s="188"/>
      <c r="BA866" s="236"/>
      <c r="BB866" s="188"/>
      <c r="BC866" s="188"/>
      <c r="BD866" s="188"/>
      <c r="BE866" s="236"/>
      <c r="BG866" s="188"/>
      <c r="BH866" s="188"/>
      <c r="BI866" s="188"/>
      <c r="BJ866" s="188"/>
      <c r="BK866" s="188"/>
      <c r="BL866" s="188"/>
      <c r="BM866" s="188"/>
      <c r="BN866" s="188"/>
      <c r="BO866" s="188"/>
      <c r="BP866" s="188"/>
      <c r="BQ866" s="188"/>
      <c r="BR866" s="188"/>
      <c r="BS866" s="188"/>
      <c r="BT866" s="188"/>
      <c r="BU866" s="188"/>
      <c r="BV866" s="188"/>
      <c r="BW866" s="188"/>
    </row>
    <row r="867" spans="45:75" x14ac:dyDescent="0.3">
      <c r="AW867" s="123"/>
      <c r="AX867" s="188"/>
      <c r="AY867" s="188"/>
      <c r="AZ867" s="188"/>
      <c r="BA867" s="236"/>
      <c r="BB867" s="188"/>
      <c r="BC867" s="188"/>
      <c r="BD867" s="188"/>
      <c r="BE867" s="236"/>
      <c r="BG867" s="188"/>
      <c r="BH867" s="188"/>
      <c r="BI867" s="188"/>
      <c r="BJ867" s="188"/>
      <c r="BK867" s="188"/>
      <c r="BL867" s="188"/>
      <c r="BM867" s="188"/>
      <c r="BN867" s="188"/>
      <c r="BO867" s="188"/>
      <c r="BP867" s="188"/>
      <c r="BQ867" s="188"/>
      <c r="BR867" s="188"/>
      <c r="BS867" s="188"/>
      <c r="BT867" s="188"/>
      <c r="BU867" s="188"/>
      <c r="BV867" s="188"/>
      <c r="BW867" s="188"/>
    </row>
    <row r="868" spans="45:75" x14ac:dyDescent="0.3">
      <c r="AW868" s="123"/>
      <c r="AX868" s="188"/>
      <c r="AY868" s="188"/>
      <c r="AZ868" s="188"/>
      <c r="BA868" s="236"/>
      <c r="BB868" s="188"/>
      <c r="BC868" s="188"/>
      <c r="BD868" s="188"/>
      <c r="BE868" s="236"/>
      <c r="BG868" s="135"/>
      <c r="BH868" s="135"/>
      <c r="BI868" s="42"/>
      <c r="BM868" s="135"/>
      <c r="BN868" s="135"/>
      <c r="BO868" s="188"/>
      <c r="BP868" s="135"/>
      <c r="BQ868" s="135"/>
      <c r="BR868" s="42"/>
      <c r="BV868" s="135"/>
      <c r="BW868" s="135"/>
    </row>
    <row r="869" spans="45:75" x14ac:dyDescent="0.3">
      <c r="AU869" s="42"/>
      <c r="AV869" s="44"/>
      <c r="AW869" s="123"/>
      <c r="AX869" s="188"/>
      <c r="AY869" s="188"/>
      <c r="AZ869" s="188"/>
      <c r="BA869" s="236"/>
      <c r="BB869" s="188"/>
      <c r="BC869" s="188"/>
      <c r="BD869" s="188"/>
      <c r="BE869" s="236"/>
      <c r="BG869" s="245"/>
      <c r="BH869" s="188"/>
      <c r="BI869" s="188"/>
      <c r="BJ869" s="188"/>
      <c r="BK869" s="245"/>
      <c r="BL869" s="246"/>
      <c r="BM869" s="188"/>
      <c r="BN869" s="245"/>
      <c r="BO869" s="188"/>
      <c r="BP869" s="245"/>
      <c r="BQ869" s="188"/>
      <c r="BR869" s="188"/>
      <c r="BS869" s="188"/>
      <c r="BT869" s="245"/>
      <c r="BU869" s="246"/>
      <c r="BV869" s="188"/>
      <c r="BW869" s="245"/>
    </row>
    <row r="870" spans="45:75" x14ac:dyDescent="0.3">
      <c r="AV870" s="44"/>
      <c r="AW870" s="123"/>
      <c r="AX870" s="188"/>
      <c r="AY870" s="188"/>
      <c r="AZ870" s="188"/>
      <c r="BA870" s="236"/>
      <c r="BB870" s="188"/>
      <c r="BC870" s="188"/>
      <c r="BD870" s="188"/>
      <c r="BE870" s="236"/>
      <c r="BG870" s="188"/>
      <c r="BH870" s="188"/>
      <c r="BI870" s="188"/>
      <c r="BJ870" s="188"/>
      <c r="BK870" s="188"/>
      <c r="BL870" s="246"/>
      <c r="BM870" s="188"/>
      <c r="BN870" s="188"/>
      <c r="BO870" s="188"/>
      <c r="BP870" s="188"/>
      <c r="BQ870" s="188"/>
      <c r="BR870" s="188"/>
      <c r="BS870" s="188"/>
      <c r="BT870" s="188"/>
      <c r="BU870" s="246"/>
      <c r="BV870" s="188"/>
      <c r="BW870" s="188"/>
    </row>
    <row r="871" spans="45:75" x14ac:dyDescent="0.3">
      <c r="AV871" s="44"/>
      <c r="AW871" s="123"/>
      <c r="AX871" s="188"/>
      <c r="AY871" s="188"/>
      <c r="AZ871" s="188"/>
      <c r="BA871" s="236"/>
      <c r="BB871" s="188"/>
      <c r="BC871" s="188"/>
      <c r="BD871" s="188"/>
      <c r="BE871" s="236"/>
      <c r="BG871" s="188"/>
      <c r="BH871" s="188"/>
      <c r="BI871" s="188"/>
      <c r="BJ871" s="188"/>
      <c r="BK871" s="188"/>
      <c r="BL871" s="246"/>
      <c r="BM871" s="188"/>
      <c r="BN871" s="188"/>
      <c r="BO871" s="188"/>
      <c r="BP871" s="188"/>
      <c r="BQ871" s="188"/>
      <c r="BR871" s="188"/>
      <c r="BS871" s="188"/>
      <c r="BT871" s="188"/>
      <c r="BU871" s="246"/>
      <c r="BV871" s="188"/>
      <c r="BW871" s="188"/>
    </row>
    <row r="872" spans="45:75" x14ac:dyDescent="0.3">
      <c r="AV872" s="44"/>
      <c r="AW872" s="123"/>
      <c r="AX872" s="188"/>
      <c r="AY872" s="188"/>
      <c r="AZ872" s="188"/>
      <c r="BA872" s="236"/>
      <c r="BB872" s="188"/>
      <c r="BC872" s="188"/>
      <c r="BD872" s="188"/>
      <c r="BE872" s="236"/>
      <c r="BG872" s="188"/>
      <c r="BH872" s="188"/>
      <c r="BI872" s="188"/>
      <c r="BJ872" s="188"/>
      <c r="BK872" s="188"/>
      <c r="BL872" s="246"/>
      <c r="BM872" s="188"/>
      <c r="BN872" s="188"/>
      <c r="BO872" s="188"/>
      <c r="BP872" s="188"/>
      <c r="BQ872" s="188"/>
      <c r="BR872" s="188"/>
      <c r="BS872" s="188"/>
      <c r="BT872" s="188"/>
      <c r="BU872" s="246"/>
      <c r="BV872" s="188"/>
      <c r="BW872" s="188"/>
    </row>
    <row r="873" spans="45:75" x14ac:dyDescent="0.3">
      <c r="AX873" s="188"/>
      <c r="AY873" s="188"/>
      <c r="AZ873" s="188"/>
      <c r="BA873" s="236"/>
      <c r="BB873" s="188"/>
      <c r="BC873" s="188"/>
      <c r="BD873" s="188"/>
      <c r="BE873" s="236"/>
      <c r="BG873" s="188"/>
      <c r="BH873" s="188"/>
      <c r="BI873" s="188"/>
      <c r="BJ873" s="188"/>
      <c r="BK873" s="188"/>
      <c r="BL873" s="188"/>
      <c r="BM873" s="188"/>
      <c r="BN873" s="188"/>
      <c r="BO873" s="188"/>
      <c r="BP873" s="188"/>
      <c r="BQ873" s="188"/>
      <c r="BR873" s="188"/>
      <c r="BS873" s="188"/>
      <c r="BT873" s="188"/>
      <c r="BU873" s="188"/>
      <c r="BV873" s="188"/>
    </row>
    <row r="874" spans="45:75" x14ac:dyDescent="0.3">
      <c r="AU874" s="42"/>
    </row>
    <row r="875" spans="45:75" x14ac:dyDescent="0.3">
      <c r="AU875" s="42"/>
      <c r="AZ875" s="188"/>
      <c r="BA875" s="236"/>
      <c r="BB875" s="188"/>
      <c r="BC875" s="188"/>
      <c r="BD875" s="188"/>
      <c r="BE875" s="236"/>
      <c r="BG875" s="188"/>
      <c r="BH875" s="188"/>
      <c r="BI875" s="188"/>
      <c r="BJ875" s="188"/>
      <c r="BK875" s="188"/>
      <c r="BL875" s="188"/>
      <c r="BM875" s="188"/>
      <c r="BN875" s="188"/>
      <c r="BO875" s="188"/>
      <c r="BP875" s="188"/>
      <c r="BQ875" s="188"/>
      <c r="BR875" s="188"/>
      <c r="BS875" s="188"/>
      <c r="BT875" s="188"/>
      <c r="BU875" s="188"/>
      <c r="BV875" s="188"/>
    </row>
    <row r="876" spans="45:75" x14ac:dyDescent="0.3">
      <c r="AS876" s="42"/>
      <c r="AZ876" s="188"/>
      <c r="BB876" s="188"/>
    </row>
    <row r="877" spans="45:75" x14ac:dyDescent="0.3">
      <c r="AZ877" s="188"/>
      <c r="BB877" s="188"/>
      <c r="BO877" s="188"/>
      <c r="BP877" s="188"/>
      <c r="BQ877" s="188"/>
      <c r="BR877" s="188"/>
      <c r="BS877" s="188"/>
      <c r="BT877" s="188"/>
      <c r="BU877" s="188"/>
      <c r="BV877" s="188"/>
    </row>
    <row r="878" spans="45:75" x14ac:dyDescent="0.3">
      <c r="AY878" s="188"/>
      <c r="AZ878" s="188"/>
      <c r="BB878" s="188"/>
      <c r="BO878" s="188"/>
      <c r="BP878" s="188"/>
      <c r="BQ878" s="188"/>
      <c r="BR878" s="188"/>
      <c r="BS878" s="188"/>
      <c r="BT878" s="188"/>
      <c r="BU878" s="188"/>
      <c r="BV878" s="188"/>
    </row>
    <row r="879" spans="45:75" x14ac:dyDescent="0.3">
      <c r="AY879" s="42"/>
      <c r="AZ879" s="188"/>
      <c r="BB879" s="188"/>
      <c r="BO879" s="188"/>
      <c r="BP879" s="188"/>
      <c r="BQ879" s="188"/>
      <c r="BR879" s="188"/>
      <c r="BS879" s="188"/>
      <c r="BT879" s="188"/>
      <c r="BU879" s="188"/>
      <c r="BV879" s="188"/>
    </row>
    <row r="880" spans="45:75" x14ac:dyDescent="0.3">
      <c r="AY880" s="42"/>
      <c r="AZ880" s="188"/>
      <c r="BB880" s="188"/>
      <c r="BO880" s="188"/>
      <c r="BP880" s="188"/>
      <c r="BQ880" s="188"/>
      <c r="BR880" s="188"/>
      <c r="BS880" s="188"/>
      <c r="BT880" s="188"/>
      <c r="BU880" s="188"/>
      <c r="BV880" s="188"/>
    </row>
    <row r="881" spans="45:74" x14ac:dyDescent="0.3">
      <c r="AZ881" s="188"/>
      <c r="BB881" s="188"/>
      <c r="BD881" s="42"/>
      <c r="BO881" s="188"/>
      <c r="BP881" s="188"/>
      <c r="BQ881" s="188"/>
      <c r="BR881" s="188"/>
      <c r="BS881" s="188"/>
      <c r="BT881" s="188"/>
      <c r="BU881" s="188"/>
      <c r="BV881" s="188"/>
    </row>
    <row r="882" spans="45:74" x14ac:dyDescent="0.3">
      <c r="AZ882" s="188"/>
      <c r="BB882" s="188"/>
      <c r="BD882" s="42"/>
      <c r="BO882" s="188"/>
      <c r="BP882" s="188"/>
      <c r="BQ882" s="188"/>
      <c r="BR882" s="188"/>
      <c r="BS882" s="188"/>
      <c r="BT882" s="188"/>
      <c r="BU882" s="188"/>
      <c r="BV882" s="188"/>
    </row>
    <row r="883" spans="45:74" x14ac:dyDescent="0.3">
      <c r="AS883" s="42"/>
      <c r="AZ883" s="188"/>
      <c r="BB883" s="188"/>
      <c r="BD883" s="42"/>
      <c r="BO883" s="188"/>
      <c r="BP883" s="188"/>
      <c r="BQ883" s="188"/>
      <c r="BR883" s="188"/>
      <c r="BS883" s="188"/>
      <c r="BT883" s="188"/>
      <c r="BU883" s="188"/>
      <c r="BV883" s="188"/>
    </row>
    <row r="884" spans="45:74" x14ac:dyDescent="0.3">
      <c r="AZ884" s="188"/>
      <c r="BB884" s="188"/>
      <c r="BO884" s="188"/>
      <c r="BP884" s="188"/>
      <c r="BQ884" s="188"/>
      <c r="BR884" s="188"/>
      <c r="BS884" s="188"/>
      <c r="BT884" s="188"/>
      <c r="BU884" s="188"/>
      <c r="BV884" s="188"/>
    </row>
    <row r="885" spans="45:74" x14ac:dyDescent="0.3">
      <c r="AS885" s="135"/>
      <c r="AT885" s="135"/>
      <c r="AU885" s="135"/>
      <c r="AV885" s="135"/>
      <c r="AW885" s="135"/>
      <c r="AX885" s="135"/>
      <c r="AY885" s="135"/>
      <c r="AZ885" s="244"/>
      <c r="BA885" s="135"/>
      <c r="BB885" s="244"/>
      <c r="BC885" s="135"/>
      <c r="BD885" s="135"/>
      <c r="BE885" s="135"/>
      <c r="BO885" s="188"/>
      <c r="BP885" s="188"/>
      <c r="BQ885" s="188"/>
      <c r="BR885" s="188"/>
      <c r="BS885" s="188"/>
      <c r="BT885" s="188"/>
      <c r="BU885" s="188"/>
      <c r="BV885" s="188"/>
    </row>
    <row r="886" spans="45:74" x14ac:dyDescent="0.3">
      <c r="AX886" s="42"/>
      <c r="AZ886" s="188"/>
      <c r="BB886" s="188"/>
      <c r="BO886" s="188"/>
      <c r="BP886" s="188"/>
      <c r="BQ886" s="188"/>
      <c r="BR886" s="188"/>
      <c r="BS886" s="188"/>
      <c r="BT886" s="188"/>
      <c r="BU886" s="188"/>
      <c r="BV886" s="188"/>
    </row>
    <row r="887" spans="45:74" x14ac:dyDescent="0.3">
      <c r="AX887" s="135"/>
      <c r="AY887" s="135"/>
      <c r="AZ887" s="244"/>
      <c r="BA887" s="135"/>
      <c r="BB887" s="188"/>
      <c r="BC887" s="44"/>
      <c r="BD887" s="44"/>
      <c r="BO887" s="188"/>
      <c r="BP887" s="188"/>
      <c r="BQ887" s="188"/>
      <c r="BR887" s="188"/>
      <c r="BS887" s="188"/>
      <c r="BT887" s="188"/>
      <c r="BU887" s="188"/>
      <c r="BV887" s="188"/>
    </row>
    <row r="888" spans="45:74" x14ac:dyDescent="0.3">
      <c r="AV888" s="44"/>
      <c r="AW888" s="44"/>
      <c r="AZ888" s="245"/>
      <c r="BA888" s="44"/>
      <c r="BB888" s="188"/>
      <c r="BC888" s="44"/>
      <c r="BD888" s="44"/>
      <c r="BE888" s="44"/>
      <c r="BG888" s="135"/>
      <c r="BH888" s="42"/>
      <c r="BK888" s="135"/>
      <c r="BM888" s="135"/>
      <c r="BN888" s="42"/>
      <c r="BQ888" s="135"/>
    </row>
    <row r="889" spans="45:74" x14ac:dyDescent="0.3">
      <c r="AV889" s="44"/>
      <c r="AW889" s="44"/>
      <c r="AX889" s="44"/>
      <c r="AY889" s="44"/>
      <c r="AZ889" s="245"/>
      <c r="BA889" s="44"/>
      <c r="BB889" s="245"/>
      <c r="BC889" s="44"/>
      <c r="BD889" s="44"/>
      <c r="BE889" s="44"/>
      <c r="BH889" s="44"/>
      <c r="BI889" s="44"/>
      <c r="BN889" s="44"/>
      <c r="BO889" s="44"/>
    </row>
    <row r="890" spans="45:74" x14ac:dyDescent="0.3">
      <c r="AS890" s="44"/>
      <c r="AU890" s="42"/>
      <c r="AV890" s="44"/>
      <c r="AW890" s="44"/>
      <c r="AX890" s="44"/>
      <c r="AY890" s="44"/>
      <c r="AZ890" s="245"/>
      <c r="BA890" s="44"/>
      <c r="BB890" s="245"/>
      <c r="BC890" s="44"/>
      <c r="BD890" s="44"/>
      <c r="BE890" s="44"/>
      <c r="BG890" s="44"/>
      <c r="BH890" s="44"/>
      <c r="BI890" s="44"/>
      <c r="BJ890" s="44"/>
      <c r="BK890" s="44"/>
      <c r="BM890" s="44"/>
      <c r="BN890" s="44"/>
      <c r="BO890" s="44"/>
      <c r="BP890" s="44"/>
      <c r="BQ890" s="44"/>
    </row>
    <row r="891" spans="45:74" x14ac:dyDescent="0.3">
      <c r="AS891" s="44"/>
      <c r="AU891" s="42"/>
      <c r="AV891" s="44"/>
      <c r="AW891" s="44"/>
      <c r="AX891" s="44"/>
      <c r="AY891" s="44"/>
      <c r="AZ891" s="245"/>
      <c r="BA891" s="44"/>
      <c r="BB891" s="245"/>
      <c r="BC891" s="44"/>
      <c r="BD891" s="44"/>
      <c r="BE891" s="44"/>
      <c r="BG891" s="44"/>
      <c r="BH891" s="44"/>
      <c r="BI891" s="44"/>
      <c r="BJ891" s="44"/>
      <c r="BK891" s="44"/>
      <c r="BM891" s="44"/>
      <c r="BN891" s="44"/>
      <c r="BO891" s="44"/>
      <c r="BP891" s="44"/>
      <c r="BQ891" s="44"/>
    </row>
    <row r="892" spans="45:74" x14ac:dyDescent="0.3">
      <c r="AS892" s="135"/>
      <c r="AT892" s="135"/>
      <c r="AU892" s="135"/>
      <c r="AV892" s="135"/>
      <c r="AW892" s="135"/>
      <c r="AX892" s="135"/>
      <c r="AY892" s="135"/>
      <c r="AZ892" s="244"/>
      <c r="BA892" s="135"/>
      <c r="BB892" s="244"/>
      <c r="BC892" s="135"/>
      <c r="BD892" s="135"/>
      <c r="BE892" s="135"/>
      <c r="BG892" s="135"/>
      <c r="BH892" s="135"/>
      <c r="BI892" s="135"/>
      <c r="BJ892" s="135"/>
      <c r="BK892" s="135"/>
      <c r="BM892" s="135"/>
      <c r="BN892" s="135"/>
      <c r="BO892" s="135"/>
      <c r="BP892" s="135"/>
      <c r="BQ892" s="135"/>
    </row>
    <row r="893" spans="45:74" x14ac:dyDescent="0.3">
      <c r="AV893" s="44"/>
      <c r="AW893" s="44"/>
      <c r="AX893" s="44"/>
      <c r="AY893" s="44"/>
      <c r="AZ893" s="245"/>
      <c r="BA893" s="44"/>
      <c r="BB893" s="245"/>
      <c r="BC893" s="44"/>
      <c r="BD893" s="44"/>
      <c r="BE893" s="44"/>
      <c r="BG893" s="188"/>
      <c r="BH893" s="188"/>
      <c r="BI893" s="188"/>
      <c r="BJ893" s="188"/>
      <c r="BK893" s="188"/>
      <c r="BL893" s="188"/>
      <c r="BM893" s="188"/>
      <c r="BN893" s="188"/>
      <c r="BO893" s="188"/>
      <c r="BP893" s="188"/>
      <c r="BQ893" s="188"/>
    </row>
    <row r="894" spans="45:74" x14ac:dyDescent="0.3">
      <c r="AT894" s="42"/>
      <c r="AV894" s="123"/>
      <c r="AW894" s="123"/>
      <c r="AX894" s="188"/>
      <c r="AY894" s="188"/>
      <c r="AZ894" s="188"/>
      <c r="BA894" s="236"/>
      <c r="BB894" s="188"/>
      <c r="BC894" s="188"/>
      <c r="BD894" s="188"/>
      <c r="BE894" s="236"/>
      <c r="BG894" s="188"/>
      <c r="BH894" s="188"/>
      <c r="BI894" s="188"/>
      <c r="BJ894" s="188"/>
      <c r="BK894" s="188"/>
      <c r="BL894" s="188"/>
      <c r="BM894" s="188"/>
      <c r="BN894" s="188"/>
      <c r="BO894" s="188"/>
      <c r="BP894" s="188"/>
      <c r="BQ894" s="188"/>
      <c r="BR894" s="188"/>
      <c r="BS894" s="188"/>
    </row>
    <row r="895" spans="45:74" x14ac:dyDescent="0.3">
      <c r="AV895" s="123"/>
      <c r="AW895" s="123"/>
      <c r="AX895" s="188"/>
      <c r="AY895" s="188"/>
      <c r="AZ895" s="188"/>
      <c r="BA895" s="236"/>
      <c r="BB895" s="188"/>
      <c r="BC895" s="188"/>
      <c r="BD895" s="188"/>
      <c r="BE895" s="236"/>
      <c r="BG895" s="188"/>
      <c r="BH895" s="188"/>
      <c r="BI895" s="188"/>
      <c r="BJ895" s="188"/>
      <c r="BK895" s="188"/>
      <c r="BL895" s="188"/>
      <c r="BM895" s="188"/>
      <c r="BN895" s="188"/>
      <c r="BO895" s="188"/>
      <c r="BP895" s="188"/>
      <c r="BQ895" s="188"/>
      <c r="BR895" s="188"/>
      <c r="BS895" s="188"/>
    </row>
    <row r="896" spans="45:74" x14ac:dyDescent="0.3">
      <c r="AV896" s="123"/>
      <c r="AW896" s="123"/>
      <c r="AX896" s="188"/>
      <c r="AY896" s="188"/>
      <c r="AZ896" s="188"/>
      <c r="BA896" s="236"/>
      <c r="BB896" s="188"/>
      <c r="BC896" s="188"/>
      <c r="BD896" s="188"/>
      <c r="BE896" s="236"/>
      <c r="BG896" s="188"/>
      <c r="BH896" s="188"/>
      <c r="BI896" s="188"/>
      <c r="BJ896" s="188"/>
      <c r="BK896" s="188"/>
      <c r="BL896" s="188"/>
      <c r="BM896" s="188"/>
      <c r="BN896" s="188"/>
      <c r="BO896" s="188"/>
      <c r="BP896" s="188"/>
      <c r="BQ896" s="188"/>
      <c r="BR896" s="188"/>
      <c r="BS896" s="188"/>
    </row>
    <row r="897" spans="48:71" x14ac:dyDescent="0.3">
      <c r="AV897" s="123"/>
      <c r="AW897" s="123"/>
      <c r="AX897" s="188"/>
      <c r="AY897" s="188"/>
      <c r="AZ897" s="188"/>
      <c r="BA897" s="236"/>
      <c r="BB897" s="188"/>
      <c r="BC897" s="188"/>
      <c r="BD897" s="188"/>
      <c r="BE897" s="236"/>
      <c r="BG897" s="188"/>
      <c r="BH897" s="188"/>
      <c r="BI897" s="188"/>
      <c r="BJ897" s="188"/>
      <c r="BK897" s="188"/>
      <c r="BL897" s="188"/>
      <c r="BM897" s="188"/>
      <c r="BN897" s="188"/>
      <c r="BO897" s="188"/>
      <c r="BP897" s="188"/>
      <c r="BQ897" s="188"/>
      <c r="BR897" s="188"/>
      <c r="BS897" s="188"/>
    </row>
    <row r="898" spans="48:71" x14ac:dyDescent="0.3">
      <c r="AV898" s="123"/>
      <c r="AW898" s="123"/>
      <c r="AX898" s="188"/>
      <c r="AY898" s="188"/>
      <c r="AZ898" s="188"/>
      <c r="BA898" s="236"/>
      <c r="BB898" s="188"/>
      <c r="BC898" s="188"/>
      <c r="BD898" s="188"/>
      <c r="BE898" s="236"/>
      <c r="BG898" s="188"/>
      <c r="BH898" s="188"/>
      <c r="BI898" s="188"/>
      <c r="BJ898" s="188"/>
      <c r="BK898" s="188"/>
      <c r="BL898" s="188"/>
      <c r="BM898" s="188"/>
      <c r="BN898" s="188"/>
      <c r="BO898" s="188"/>
      <c r="BP898" s="188"/>
      <c r="BQ898" s="188"/>
      <c r="BR898" s="188"/>
      <c r="BS898" s="188"/>
    </row>
    <row r="899" spans="48:71" x14ac:dyDescent="0.3">
      <c r="AV899" s="123"/>
      <c r="AW899" s="123"/>
      <c r="AX899" s="188"/>
      <c r="AY899" s="188"/>
      <c r="AZ899" s="188"/>
      <c r="BA899" s="236"/>
      <c r="BB899" s="188"/>
      <c r="BC899" s="188"/>
      <c r="BD899" s="188"/>
      <c r="BE899" s="236"/>
      <c r="BG899" s="188"/>
      <c r="BH899" s="188"/>
      <c r="BI899" s="188"/>
      <c r="BJ899" s="188"/>
      <c r="BK899" s="188"/>
      <c r="BL899" s="188"/>
      <c r="BM899" s="188"/>
      <c r="BN899" s="188"/>
      <c r="BO899" s="188"/>
      <c r="BP899" s="188"/>
      <c r="BQ899" s="188"/>
      <c r="BR899" s="188"/>
      <c r="BS899" s="188"/>
    </row>
    <row r="900" spans="48:71" x14ac:dyDescent="0.3">
      <c r="AV900" s="123"/>
      <c r="AW900" s="123"/>
      <c r="AX900" s="188"/>
      <c r="AY900" s="188"/>
      <c r="AZ900" s="188"/>
      <c r="BA900" s="236"/>
      <c r="BB900" s="188"/>
      <c r="BC900" s="188"/>
      <c r="BD900" s="188"/>
      <c r="BE900" s="236"/>
      <c r="BG900" s="188"/>
      <c r="BH900" s="188"/>
      <c r="BI900" s="188"/>
      <c r="BJ900" s="188"/>
      <c r="BK900" s="188"/>
      <c r="BL900" s="188"/>
      <c r="BM900" s="188"/>
      <c r="BN900" s="188"/>
      <c r="BO900" s="188"/>
      <c r="BP900" s="188"/>
      <c r="BQ900" s="188"/>
      <c r="BR900" s="188"/>
      <c r="BS900" s="188"/>
    </row>
    <row r="901" spans="48:71" x14ac:dyDescent="0.3">
      <c r="AV901" s="123"/>
      <c r="AW901" s="123"/>
      <c r="AX901" s="188"/>
      <c r="AY901" s="188"/>
      <c r="AZ901" s="188"/>
      <c r="BA901" s="236"/>
      <c r="BB901" s="188"/>
      <c r="BC901" s="188"/>
      <c r="BD901" s="188"/>
      <c r="BE901" s="236"/>
      <c r="BG901" s="188"/>
      <c r="BH901" s="188"/>
      <c r="BI901" s="188"/>
      <c r="BJ901" s="188"/>
      <c r="BK901" s="188"/>
      <c r="BL901" s="188"/>
      <c r="BM901" s="188"/>
      <c r="BN901" s="188"/>
      <c r="BO901" s="188"/>
      <c r="BP901" s="188"/>
      <c r="BQ901" s="188"/>
      <c r="BR901" s="188"/>
      <c r="BS901" s="188"/>
    </row>
    <row r="902" spans="48:71" x14ac:dyDescent="0.3">
      <c r="AV902" s="123"/>
      <c r="AW902" s="123"/>
      <c r="AX902" s="188"/>
      <c r="AY902" s="188"/>
      <c r="AZ902" s="188"/>
      <c r="BA902" s="236"/>
      <c r="BB902" s="188"/>
      <c r="BC902" s="188"/>
      <c r="BD902" s="188"/>
      <c r="BE902" s="236"/>
      <c r="BG902" s="188"/>
      <c r="BH902" s="188"/>
      <c r="BI902" s="188"/>
      <c r="BJ902" s="188"/>
      <c r="BK902" s="188"/>
      <c r="BL902" s="188"/>
      <c r="BM902" s="188"/>
      <c r="BN902" s="188"/>
      <c r="BO902" s="188"/>
      <c r="BP902" s="188"/>
      <c r="BQ902" s="188"/>
      <c r="BR902" s="188"/>
      <c r="BS902" s="188"/>
    </row>
    <row r="903" spans="48:71" x14ac:dyDescent="0.3">
      <c r="AV903" s="123"/>
      <c r="AW903" s="123"/>
      <c r="AX903" s="188"/>
      <c r="AY903" s="188"/>
      <c r="AZ903" s="188"/>
      <c r="BA903" s="236"/>
      <c r="BB903" s="188"/>
      <c r="BC903" s="188"/>
      <c r="BD903" s="188"/>
      <c r="BE903" s="236"/>
      <c r="BG903" s="188"/>
      <c r="BH903" s="188"/>
      <c r="BI903" s="188"/>
      <c r="BJ903" s="188"/>
      <c r="BK903" s="188"/>
      <c r="BL903" s="188"/>
      <c r="BM903" s="188"/>
      <c r="BN903" s="188"/>
      <c r="BO903" s="188"/>
      <c r="BP903" s="188"/>
      <c r="BQ903" s="188"/>
      <c r="BR903" s="188"/>
      <c r="BS903" s="188"/>
    </row>
    <row r="904" spans="48:71" x14ac:dyDescent="0.3">
      <c r="AV904" s="123"/>
      <c r="AW904" s="123"/>
      <c r="AX904" s="188"/>
      <c r="AY904" s="188"/>
      <c r="AZ904" s="188"/>
      <c r="BA904" s="236"/>
      <c r="BB904" s="188"/>
      <c r="BC904" s="188"/>
      <c r="BD904" s="188"/>
      <c r="BE904" s="236"/>
      <c r="BG904" s="188"/>
      <c r="BH904" s="188"/>
      <c r="BI904" s="188"/>
      <c r="BJ904" s="188"/>
      <c r="BK904" s="188"/>
      <c r="BL904" s="188"/>
      <c r="BM904" s="188"/>
      <c r="BN904" s="188"/>
      <c r="BO904" s="188"/>
      <c r="BP904" s="188"/>
      <c r="BQ904" s="188"/>
      <c r="BR904" s="188"/>
      <c r="BS904" s="188"/>
    </row>
    <row r="905" spans="48:71" x14ac:dyDescent="0.3">
      <c r="AV905" s="123"/>
      <c r="AW905" s="123"/>
      <c r="AX905" s="188"/>
      <c r="AY905" s="188"/>
      <c r="AZ905" s="188"/>
      <c r="BA905" s="236"/>
      <c r="BB905" s="188"/>
      <c r="BC905" s="188"/>
      <c r="BD905" s="188"/>
      <c r="BE905" s="236"/>
      <c r="BG905" s="188"/>
      <c r="BH905" s="188"/>
      <c r="BI905" s="188"/>
      <c r="BJ905" s="188"/>
      <c r="BK905" s="188"/>
      <c r="BL905" s="188"/>
      <c r="BM905" s="188"/>
      <c r="BN905" s="188"/>
      <c r="BO905" s="188"/>
      <c r="BP905" s="188"/>
      <c r="BQ905" s="188"/>
      <c r="BR905" s="188"/>
      <c r="BS905" s="188"/>
    </row>
    <row r="906" spans="48:71" x14ac:dyDescent="0.3">
      <c r="AV906" s="123"/>
      <c r="AW906" s="123"/>
      <c r="AX906" s="188"/>
      <c r="AY906" s="188"/>
      <c r="AZ906" s="188"/>
      <c r="BA906" s="236"/>
      <c r="BB906" s="188"/>
      <c r="BC906" s="188"/>
      <c r="BD906" s="188"/>
      <c r="BE906" s="236"/>
      <c r="BG906" s="188"/>
      <c r="BH906" s="188"/>
      <c r="BI906" s="188"/>
      <c r="BJ906" s="188"/>
      <c r="BK906" s="188"/>
      <c r="BL906" s="188"/>
      <c r="BM906" s="188"/>
      <c r="BN906" s="188"/>
      <c r="BO906" s="188"/>
      <c r="BP906" s="188"/>
      <c r="BQ906" s="188"/>
      <c r="BR906" s="188"/>
      <c r="BS906" s="188"/>
    </row>
    <row r="907" spans="48:71" x14ac:dyDescent="0.3">
      <c r="AV907" s="123"/>
      <c r="AW907" s="123"/>
      <c r="AX907" s="188"/>
      <c r="AY907" s="188"/>
      <c r="AZ907" s="188"/>
      <c r="BA907" s="236"/>
      <c r="BB907" s="188"/>
      <c r="BC907" s="188"/>
      <c r="BD907" s="188"/>
      <c r="BE907" s="236"/>
      <c r="BG907" s="188"/>
      <c r="BH907" s="188"/>
      <c r="BI907" s="188"/>
      <c r="BJ907" s="188"/>
      <c r="BK907" s="188"/>
      <c r="BL907" s="188"/>
      <c r="BM907" s="188"/>
      <c r="BN907" s="188"/>
      <c r="BO907" s="188"/>
      <c r="BP907" s="188"/>
      <c r="BQ907" s="188"/>
      <c r="BR907" s="188"/>
      <c r="BS907" s="188"/>
    </row>
    <row r="908" spans="48:71" x14ac:dyDescent="0.3">
      <c r="AV908" s="123"/>
      <c r="AW908" s="123"/>
      <c r="AX908" s="188"/>
      <c r="AY908" s="188"/>
      <c r="AZ908" s="188"/>
      <c r="BA908" s="236"/>
      <c r="BB908" s="188"/>
      <c r="BC908" s="188"/>
      <c r="BD908" s="188"/>
      <c r="BE908" s="236"/>
      <c r="BG908" s="188"/>
      <c r="BH908" s="188"/>
      <c r="BI908" s="188"/>
      <c r="BJ908" s="188"/>
      <c r="BK908" s="188"/>
      <c r="BL908" s="188"/>
      <c r="BM908" s="188"/>
      <c r="BN908" s="188"/>
      <c r="BO908" s="188"/>
      <c r="BP908" s="188"/>
      <c r="BQ908" s="188"/>
      <c r="BR908" s="188"/>
      <c r="BS908" s="188"/>
    </row>
    <row r="909" spans="48:71" x14ac:dyDescent="0.3">
      <c r="AV909" s="123"/>
      <c r="AW909" s="123"/>
      <c r="AX909" s="188"/>
      <c r="AY909" s="188"/>
      <c r="AZ909" s="188"/>
      <c r="BA909" s="236"/>
      <c r="BB909" s="188"/>
      <c r="BC909" s="188"/>
      <c r="BD909" s="188"/>
      <c r="BE909" s="236"/>
      <c r="BG909" s="188"/>
      <c r="BH909" s="188"/>
      <c r="BI909" s="188"/>
      <c r="BJ909" s="188"/>
      <c r="BK909" s="188"/>
      <c r="BL909" s="188"/>
      <c r="BM909" s="188"/>
      <c r="BN909" s="188"/>
      <c r="BO909" s="188"/>
      <c r="BP909" s="188"/>
      <c r="BQ909" s="188"/>
      <c r="BR909" s="188"/>
      <c r="BS909" s="188"/>
    </row>
    <row r="910" spans="48:71" x14ac:dyDescent="0.3">
      <c r="AV910" s="123"/>
      <c r="AW910" s="123"/>
      <c r="AX910" s="188"/>
      <c r="AY910" s="188"/>
      <c r="AZ910" s="188"/>
      <c r="BA910" s="236"/>
      <c r="BB910" s="188"/>
      <c r="BC910" s="188"/>
      <c r="BD910" s="188"/>
      <c r="BE910" s="236"/>
      <c r="BG910" s="188"/>
      <c r="BH910" s="188"/>
      <c r="BI910" s="188"/>
      <c r="BJ910" s="188"/>
      <c r="BK910" s="188"/>
      <c r="BL910" s="188"/>
      <c r="BM910" s="188"/>
      <c r="BN910" s="188"/>
      <c r="BO910" s="188"/>
      <c r="BP910" s="188"/>
      <c r="BQ910" s="188"/>
      <c r="BR910" s="188"/>
      <c r="BS910" s="188"/>
    </row>
    <row r="911" spans="48:71" x14ac:dyDescent="0.3">
      <c r="AV911" s="123"/>
      <c r="AW911" s="123"/>
      <c r="AX911" s="188"/>
      <c r="AY911" s="188"/>
      <c r="AZ911" s="188"/>
      <c r="BA911" s="236"/>
      <c r="BB911" s="188"/>
      <c r="BC911" s="188"/>
      <c r="BD911" s="188"/>
      <c r="BE911" s="236"/>
      <c r="BG911" s="188"/>
      <c r="BH911" s="188"/>
      <c r="BI911" s="188"/>
      <c r="BJ911" s="188"/>
      <c r="BK911" s="188"/>
      <c r="BL911" s="188"/>
      <c r="BM911" s="188"/>
      <c r="BN911" s="188"/>
      <c r="BO911" s="188"/>
      <c r="BP911" s="188"/>
      <c r="BQ911" s="188"/>
      <c r="BR911" s="188"/>
      <c r="BS911" s="188"/>
    </row>
    <row r="912" spans="48:71" x14ac:dyDescent="0.3">
      <c r="AZ912" s="188"/>
      <c r="BB912" s="188"/>
      <c r="BC912" s="188"/>
      <c r="BD912" s="188"/>
      <c r="BG912" s="188"/>
      <c r="BH912" s="188"/>
      <c r="BI912" s="188"/>
      <c r="BJ912" s="188"/>
      <c r="BK912" s="188"/>
      <c r="BL912" s="188"/>
      <c r="BM912" s="188"/>
      <c r="BN912" s="188"/>
      <c r="BO912" s="188"/>
      <c r="BP912" s="188"/>
      <c r="BQ912" s="188"/>
      <c r="BR912" s="188"/>
      <c r="BS912" s="188"/>
    </row>
    <row r="913" spans="46:57" x14ac:dyDescent="0.3">
      <c r="AT913" s="42"/>
      <c r="AV913" s="123"/>
      <c r="AW913" s="123"/>
      <c r="AX913" s="188"/>
      <c r="AY913" s="188"/>
      <c r="AZ913" s="188"/>
      <c r="BA913" s="236"/>
      <c r="BB913" s="188"/>
      <c r="BC913" s="188"/>
      <c r="BD913" s="188"/>
      <c r="BE913" s="236"/>
    </row>
    <row r="914" spans="46:57" x14ac:dyDescent="0.3">
      <c r="AV914" s="123"/>
      <c r="AW914" s="123"/>
      <c r="AX914" s="188"/>
      <c r="AY914" s="188"/>
      <c r="AZ914" s="188"/>
      <c r="BA914" s="236"/>
      <c r="BB914" s="188"/>
      <c r="BC914" s="188"/>
      <c r="BD914" s="188"/>
      <c r="BE914" s="236"/>
    </row>
    <row r="915" spans="46:57" x14ac:dyDescent="0.3">
      <c r="AV915" s="123"/>
      <c r="AW915" s="123"/>
      <c r="AX915" s="188"/>
      <c r="AY915" s="188"/>
      <c r="AZ915" s="188"/>
      <c r="BA915" s="236"/>
      <c r="BB915" s="188"/>
      <c r="BC915" s="188"/>
      <c r="BD915" s="188"/>
      <c r="BE915" s="236"/>
    </row>
    <row r="916" spans="46:57" x14ac:dyDescent="0.3">
      <c r="AV916" s="123"/>
      <c r="AW916" s="123"/>
      <c r="AX916" s="188"/>
      <c r="AY916" s="188"/>
      <c r="AZ916" s="188"/>
      <c r="BA916" s="236"/>
      <c r="BB916" s="188"/>
      <c r="BC916" s="188"/>
      <c r="BD916" s="188"/>
      <c r="BE916" s="236"/>
    </row>
    <row r="917" spans="46:57" x14ac:dyDescent="0.3">
      <c r="AV917" s="123"/>
      <c r="AW917" s="123"/>
      <c r="AX917" s="188"/>
      <c r="AY917" s="188"/>
      <c r="AZ917" s="188"/>
      <c r="BA917" s="236"/>
      <c r="BB917" s="188"/>
      <c r="BC917" s="188"/>
      <c r="BD917" s="188"/>
      <c r="BE917" s="236"/>
    </row>
    <row r="918" spans="46:57" x14ac:dyDescent="0.3">
      <c r="AV918" s="123"/>
      <c r="AW918" s="123"/>
      <c r="AX918" s="188"/>
      <c r="AY918" s="188"/>
      <c r="AZ918" s="188"/>
      <c r="BA918" s="236"/>
      <c r="BB918" s="188"/>
      <c r="BC918" s="188"/>
      <c r="BD918" s="188"/>
      <c r="BE918" s="236"/>
    </row>
    <row r="919" spans="46:57" x14ac:dyDescent="0.3">
      <c r="AV919" s="123"/>
      <c r="AW919" s="123"/>
      <c r="AX919" s="188"/>
      <c r="AY919" s="188"/>
      <c r="AZ919" s="188"/>
      <c r="BA919" s="236"/>
      <c r="BB919" s="188"/>
      <c r="BC919" s="188"/>
      <c r="BD919" s="188"/>
      <c r="BE919" s="236"/>
    </row>
    <row r="920" spans="46:57" x14ac:dyDescent="0.3">
      <c r="AV920" s="123"/>
      <c r="AW920" s="123"/>
      <c r="AX920" s="188"/>
      <c r="AY920" s="188"/>
      <c r="AZ920" s="188"/>
      <c r="BA920" s="236"/>
      <c r="BB920" s="188"/>
      <c r="BC920" s="188"/>
      <c r="BD920" s="188"/>
      <c r="BE920" s="236"/>
    </row>
    <row r="921" spans="46:57" x14ac:dyDescent="0.3">
      <c r="AV921" s="123"/>
      <c r="AW921" s="123"/>
      <c r="AX921" s="188"/>
      <c r="AY921" s="188"/>
      <c r="AZ921" s="188"/>
      <c r="BA921" s="236"/>
      <c r="BB921" s="188"/>
      <c r="BC921" s="188"/>
      <c r="BD921" s="188"/>
      <c r="BE921" s="236"/>
    </row>
    <row r="922" spans="46:57" x14ac:dyDescent="0.3">
      <c r="AV922" s="123"/>
      <c r="AW922" s="123"/>
      <c r="AX922" s="188"/>
      <c r="AY922" s="188"/>
      <c r="AZ922" s="188"/>
      <c r="BA922" s="236"/>
      <c r="BB922" s="188"/>
      <c r="BC922" s="188"/>
      <c r="BD922" s="188"/>
      <c r="BE922" s="236"/>
    </row>
    <row r="923" spans="46:57" x14ac:dyDescent="0.3">
      <c r="AV923" s="123"/>
      <c r="AW923" s="123"/>
      <c r="AX923" s="188"/>
      <c r="AY923" s="188"/>
      <c r="AZ923" s="188"/>
      <c r="BA923" s="236"/>
      <c r="BB923" s="188"/>
      <c r="BC923" s="188"/>
      <c r="BD923" s="188"/>
      <c r="BE923" s="236"/>
    </row>
    <row r="924" spans="46:57" x14ac:dyDescent="0.3">
      <c r="AV924" s="123"/>
      <c r="AW924" s="123"/>
      <c r="AX924" s="188"/>
      <c r="AY924" s="188"/>
      <c r="AZ924" s="188"/>
      <c r="BA924" s="236"/>
      <c r="BB924" s="188"/>
      <c r="BC924" s="188"/>
      <c r="BD924" s="188"/>
      <c r="BE924" s="236"/>
    </row>
    <row r="925" spans="46:57" x14ac:dyDescent="0.3">
      <c r="AV925" s="123"/>
      <c r="AW925" s="123"/>
      <c r="AX925" s="188"/>
      <c r="AY925" s="188"/>
      <c r="AZ925" s="188"/>
      <c r="BA925" s="236"/>
      <c r="BB925" s="188"/>
      <c r="BC925" s="188"/>
      <c r="BD925" s="188"/>
      <c r="BE925" s="236"/>
    </row>
    <row r="926" spans="46:57" x14ac:dyDescent="0.3">
      <c r="AV926" s="123"/>
      <c r="AW926" s="123"/>
      <c r="AX926" s="188"/>
      <c r="AY926" s="188"/>
      <c r="AZ926" s="188"/>
      <c r="BA926" s="236"/>
      <c r="BB926" s="188"/>
      <c r="BC926" s="188"/>
      <c r="BD926" s="188"/>
      <c r="BE926" s="236"/>
    </row>
    <row r="927" spans="46:57" x14ac:dyDescent="0.3">
      <c r="AV927" s="123"/>
      <c r="AW927" s="123"/>
      <c r="AX927" s="188"/>
      <c r="AY927" s="188"/>
      <c r="AZ927" s="188"/>
      <c r="BA927" s="236"/>
      <c r="BB927" s="188"/>
      <c r="BC927" s="188"/>
      <c r="BD927" s="188"/>
      <c r="BE927" s="236"/>
    </row>
    <row r="928" spans="46:57" x14ac:dyDescent="0.3">
      <c r="AV928" s="123"/>
      <c r="AW928" s="123"/>
      <c r="AX928" s="188"/>
      <c r="AY928" s="188"/>
      <c r="AZ928" s="188"/>
      <c r="BA928" s="236"/>
      <c r="BB928" s="188"/>
      <c r="BC928" s="188"/>
      <c r="BD928" s="188"/>
      <c r="BE928" s="236"/>
    </row>
    <row r="929" spans="45:57" x14ac:dyDescent="0.3">
      <c r="AV929" s="123"/>
      <c r="AW929" s="123"/>
      <c r="AX929" s="188"/>
      <c r="AY929" s="188"/>
      <c r="AZ929" s="188"/>
      <c r="BA929" s="236"/>
      <c r="BB929" s="188"/>
      <c r="BC929" s="188"/>
      <c r="BD929" s="188"/>
      <c r="BE929" s="236"/>
    </row>
    <row r="930" spans="45:57" x14ac:dyDescent="0.3">
      <c r="AV930" s="123"/>
      <c r="AW930" s="123"/>
      <c r="AX930" s="188"/>
      <c r="AY930" s="188"/>
      <c r="AZ930" s="188"/>
      <c r="BA930" s="236"/>
      <c r="BB930" s="188"/>
      <c r="BC930" s="188"/>
      <c r="BD930" s="188"/>
      <c r="BE930" s="236"/>
    </row>
    <row r="931" spans="45:57" x14ac:dyDescent="0.3">
      <c r="BB931" s="188"/>
    </row>
    <row r="932" spans="45:57" x14ac:dyDescent="0.3">
      <c r="AU932" s="42"/>
      <c r="BB932" s="188"/>
    </row>
    <row r="933" spans="45:57" x14ac:dyDescent="0.3">
      <c r="AU933" s="42"/>
    </row>
    <row r="934" spans="45:57" x14ac:dyDescent="0.3">
      <c r="AU934" s="42"/>
      <c r="BB934" s="188"/>
    </row>
    <row r="935" spans="45:57" x14ac:dyDescent="0.3">
      <c r="AS935" s="42"/>
      <c r="AZ935" s="188"/>
      <c r="BB935" s="188"/>
    </row>
    <row r="936" spans="45:57" x14ac:dyDescent="0.3">
      <c r="AZ936" s="188"/>
      <c r="BB936" s="188"/>
    </row>
    <row r="937" spans="45:57" x14ac:dyDescent="0.3">
      <c r="AY937" s="188"/>
      <c r="AZ937" s="188"/>
      <c r="BB937" s="188"/>
    </row>
    <row r="938" spans="45:57" x14ac:dyDescent="0.3">
      <c r="AY938" s="42"/>
      <c r="AZ938" s="188"/>
      <c r="BB938" s="188"/>
    </row>
    <row r="939" spans="45:57" x14ac:dyDescent="0.3">
      <c r="AY939" s="42"/>
      <c r="AZ939" s="188"/>
      <c r="BB939" s="188"/>
    </row>
    <row r="940" spans="45:57" x14ac:dyDescent="0.3">
      <c r="AZ940" s="188"/>
      <c r="BB940" s="188"/>
      <c r="BD940" s="42"/>
    </row>
    <row r="941" spans="45:57" x14ac:dyDescent="0.3">
      <c r="AZ941" s="188"/>
      <c r="BB941" s="188"/>
      <c r="BD941" s="42"/>
    </row>
    <row r="942" spans="45:57" x14ac:dyDescent="0.3">
      <c r="AS942" s="42"/>
      <c r="AZ942" s="188"/>
      <c r="BB942" s="188"/>
      <c r="BD942" s="42"/>
    </row>
    <row r="943" spans="45:57" x14ac:dyDescent="0.3">
      <c r="AZ943" s="188"/>
      <c r="BB943" s="188"/>
    </row>
    <row r="944" spans="45:57" x14ac:dyDescent="0.3">
      <c r="AS944" s="135"/>
      <c r="AT944" s="135"/>
      <c r="AU944" s="135"/>
      <c r="AV944" s="135"/>
      <c r="AW944" s="135"/>
      <c r="AX944" s="135"/>
      <c r="AY944" s="135"/>
      <c r="AZ944" s="244"/>
      <c r="BA944" s="135"/>
      <c r="BB944" s="244"/>
      <c r="BC944" s="135"/>
      <c r="BD944" s="135"/>
      <c r="BE944" s="135"/>
    </row>
    <row r="945" spans="45:57" x14ac:dyDescent="0.3">
      <c r="AX945" s="42"/>
      <c r="AZ945" s="188"/>
      <c r="BB945" s="188"/>
    </row>
    <row r="946" spans="45:57" x14ac:dyDescent="0.3">
      <c r="AX946" s="135"/>
      <c r="AY946" s="135"/>
      <c r="AZ946" s="244"/>
      <c r="BA946" s="135"/>
      <c r="BB946" s="188"/>
      <c r="BC946" s="44"/>
      <c r="BD946" s="44"/>
    </row>
    <row r="947" spans="45:57" x14ac:dyDescent="0.3">
      <c r="AV947" s="44"/>
      <c r="AW947" s="44"/>
      <c r="AZ947" s="245"/>
      <c r="BA947" s="44"/>
      <c r="BB947" s="188"/>
      <c r="BC947" s="44"/>
      <c r="BD947" s="44"/>
      <c r="BE947" s="44"/>
    </row>
    <row r="948" spans="45:57" x14ac:dyDescent="0.3">
      <c r="AV948" s="44"/>
      <c r="AW948" s="44"/>
      <c r="AX948" s="44"/>
      <c r="AY948" s="44"/>
      <c r="AZ948" s="245"/>
      <c r="BA948" s="44"/>
      <c r="BB948" s="245"/>
      <c r="BC948" s="44"/>
      <c r="BD948" s="44"/>
      <c r="BE948" s="44"/>
    </row>
    <row r="949" spans="45:57" x14ac:dyDescent="0.3">
      <c r="AS949" s="44"/>
      <c r="AU949" s="42"/>
      <c r="AV949" s="44"/>
      <c r="AW949" s="44"/>
      <c r="AX949" s="44"/>
      <c r="AY949" s="44"/>
      <c r="AZ949" s="245"/>
      <c r="BA949" s="44"/>
      <c r="BB949" s="245"/>
      <c r="BC949" s="44"/>
      <c r="BD949" s="44"/>
      <c r="BE949" s="44"/>
    </row>
    <row r="950" spans="45:57" x14ac:dyDescent="0.3">
      <c r="AS950" s="44"/>
      <c r="AU950" s="42"/>
      <c r="AV950" s="44"/>
      <c r="AW950" s="44"/>
      <c r="AX950" s="44"/>
      <c r="AY950" s="44"/>
      <c r="AZ950" s="245"/>
      <c r="BA950" s="44"/>
      <c r="BB950" s="245"/>
      <c r="BC950" s="44"/>
      <c r="BD950" s="44"/>
      <c r="BE950" s="44"/>
    </row>
    <row r="951" spans="45:57" x14ac:dyDescent="0.3">
      <c r="AS951" s="135"/>
      <c r="AT951" s="135"/>
      <c r="AU951" s="135"/>
      <c r="AV951" s="135"/>
      <c r="AW951" s="135"/>
      <c r="AX951" s="135"/>
      <c r="AY951" s="135"/>
      <c r="AZ951" s="244"/>
      <c r="BA951" s="135"/>
      <c r="BB951" s="244"/>
      <c r="BC951" s="135"/>
      <c r="BD951" s="135"/>
      <c r="BE951" s="135"/>
    </row>
    <row r="952" spans="45:57" x14ac:dyDescent="0.3">
      <c r="AV952" s="44"/>
      <c r="AW952" s="44"/>
      <c r="AX952" s="44"/>
      <c r="AY952" s="44"/>
      <c r="AZ952" s="245"/>
      <c r="BA952" s="44"/>
      <c r="BB952" s="245"/>
      <c r="BC952" s="44"/>
      <c r="BD952" s="44"/>
      <c r="BE952" s="44"/>
    </row>
    <row r="953" spans="45:57" x14ac:dyDescent="0.3">
      <c r="AT953" s="42"/>
      <c r="AV953" s="123"/>
      <c r="AW953" s="123"/>
      <c r="AX953" s="188"/>
      <c r="AY953" s="188"/>
      <c r="AZ953" s="188"/>
      <c r="BA953" s="236"/>
      <c r="BB953" s="188"/>
      <c r="BC953" s="188"/>
      <c r="BD953" s="188"/>
      <c r="BE953" s="236"/>
    </row>
    <row r="954" spans="45:57" x14ac:dyDescent="0.3">
      <c r="AV954" s="123"/>
      <c r="AW954" s="123"/>
      <c r="AX954" s="188"/>
      <c r="AY954" s="188"/>
      <c r="AZ954" s="188"/>
      <c r="BA954" s="236"/>
      <c r="BB954" s="188"/>
      <c r="BC954" s="188"/>
      <c r="BD954" s="188"/>
      <c r="BE954" s="236"/>
    </row>
    <row r="955" spans="45:57" x14ac:dyDescent="0.3">
      <c r="AV955" s="123"/>
      <c r="AW955" s="123"/>
      <c r="AX955" s="188"/>
      <c r="AY955" s="188"/>
      <c r="AZ955" s="188"/>
      <c r="BA955" s="236"/>
      <c r="BB955" s="188"/>
      <c r="BC955" s="188"/>
      <c r="BD955" s="188"/>
      <c r="BE955" s="236"/>
    </row>
    <row r="956" spans="45:57" x14ac:dyDescent="0.3">
      <c r="AV956" s="123"/>
      <c r="AW956" s="123"/>
      <c r="AX956" s="188"/>
      <c r="AY956" s="188"/>
      <c r="AZ956" s="188"/>
      <c r="BA956" s="236"/>
      <c r="BB956" s="188"/>
      <c r="BC956" s="188"/>
      <c r="BD956" s="188"/>
      <c r="BE956" s="236"/>
    </row>
    <row r="957" spans="45:57" x14ac:dyDescent="0.3">
      <c r="AV957" s="123"/>
      <c r="AW957" s="123"/>
      <c r="AX957" s="188"/>
      <c r="AY957" s="188"/>
      <c r="AZ957" s="188"/>
      <c r="BA957" s="236"/>
      <c r="BB957" s="188"/>
      <c r="BC957" s="188"/>
      <c r="BD957" s="188"/>
      <c r="BE957" s="236"/>
    </row>
    <row r="958" spans="45:57" x14ac:dyDescent="0.3">
      <c r="AV958" s="123"/>
      <c r="AW958" s="123"/>
      <c r="AX958" s="188"/>
      <c r="AY958" s="188"/>
      <c r="AZ958" s="188"/>
      <c r="BA958" s="236"/>
      <c r="BB958" s="188"/>
      <c r="BC958" s="188"/>
      <c r="BD958" s="188"/>
      <c r="BE958" s="236"/>
    </row>
    <row r="959" spans="45:57" x14ac:dyDescent="0.3">
      <c r="AV959" s="123"/>
      <c r="AW959" s="123"/>
      <c r="AX959" s="188"/>
      <c r="AY959" s="188"/>
      <c r="AZ959" s="188"/>
      <c r="BA959" s="236"/>
      <c r="BB959" s="188"/>
      <c r="BC959" s="188"/>
      <c r="BD959" s="188"/>
      <c r="BE959" s="236"/>
    </row>
    <row r="960" spans="45:57" x14ac:dyDescent="0.3">
      <c r="AV960" s="123"/>
      <c r="AW960" s="123"/>
      <c r="AX960" s="188"/>
      <c r="AY960" s="188"/>
      <c r="AZ960" s="188"/>
      <c r="BA960" s="236"/>
      <c r="BB960" s="188"/>
      <c r="BC960" s="188"/>
      <c r="BD960" s="188"/>
      <c r="BE960" s="236"/>
    </row>
    <row r="961" spans="46:57" x14ac:dyDescent="0.3">
      <c r="AV961" s="123"/>
      <c r="AW961" s="123"/>
      <c r="AX961" s="188"/>
      <c r="AY961" s="188"/>
      <c r="AZ961" s="188"/>
      <c r="BA961" s="236"/>
      <c r="BB961" s="188"/>
      <c r="BC961" s="188"/>
      <c r="BD961" s="188"/>
      <c r="BE961" s="236"/>
    </row>
    <row r="962" spans="46:57" x14ac:dyDescent="0.3">
      <c r="AV962" s="123"/>
      <c r="AW962" s="123"/>
      <c r="AX962" s="188"/>
      <c r="AY962" s="188"/>
      <c r="AZ962" s="188"/>
      <c r="BA962" s="236"/>
      <c r="BB962" s="188"/>
      <c r="BC962" s="188"/>
      <c r="BD962" s="188"/>
      <c r="BE962" s="236"/>
    </row>
    <row r="963" spans="46:57" x14ac:dyDescent="0.3">
      <c r="AV963" s="123"/>
      <c r="AW963" s="123"/>
      <c r="BB963" s="188"/>
    </row>
    <row r="964" spans="46:57" x14ac:dyDescent="0.3">
      <c r="AT964" s="42"/>
      <c r="AV964" s="123"/>
      <c r="AW964" s="123"/>
      <c r="AX964" s="188"/>
      <c r="AY964" s="188"/>
      <c r="AZ964" s="188"/>
      <c r="BA964" s="236"/>
      <c r="BB964" s="188"/>
      <c r="BC964" s="188"/>
      <c r="BD964" s="188"/>
      <c r="BE964" s="236"/>
    </row>
    <row r="965" spans="46:57" x14ac:dyDescent="0.3">
      <c r="AV965" s="123"/>
      <c r="AW965" s="123"/>
      <c r="AX965" s="188"/>
      <c r="AY965" s="188"/>
      <c r="AZ965" s="188"/>
      <c r="BA965" s="236"/>
      <c r="BB965" s="188"/>
      <c r="BC965" s="188"/>
      <c r="BD965" s="188"/>
      <c r="BE965" s="236"/>
    </row>
    <row r="966" spans="46:57" x14ac:dyDescent="0.3">
      <c r="AV966" s="123"/>
      <c r="AW966" s="123"/>
      <c r="AX966" s="188"/>
      <c r="AY966" s="188"/>
      <c r="AZ966" s="188"/>
      <c r="BA966" s="236"/>
      <c r="BB966" s="188"/>
      <c r="BC966" s="188"/>
      <c r="BD966" s="188"/>
      <c r="BE966" s="236"/>
    </row>
    <row r="967" spans="46:57" x14ac:dyDescent="0.3">
      <c r="AV967" s="123"/>
      <c r="AW967" s="123"/>
      <c r="AX967" s="188"/>
      <c r="AY967" s="188"/>
      <c r="AZ967" s="188"/>
      <c r="BA967" s="236"/>
      <c r="BB967" s="188"/>
      <c r="BC967" s="188"/>
      <c r="BD967" s="188"/>
      <c r="BE967" s="236"/>
    </row>
    <row r="968" spans="46:57" x14ac:dyDescent="0.3">
      <c r="AV968" s="123"/>
      <c r="AW968" s="123"/>
      <c r="AX968" s="188"/>
      <c r="AY968" s="188"/>
      <c r="AZ968" s="188"/>
      <c r="BA968" s="236"/>
      <c r="BB968" s="188"/>
      <c r="BC968" s="188"/>
      <c r="BD968" s="188"/>
      <c r="BE968" s="236"/>
    </row>
    <row r="969" spans="46:57" x14ac:dyDescent="0.3">
      <c r="AV969" s="123"/>
      <c r="AW969" s="123"/>
      <c r="AX969" s="188"/>
      <c r="AY969" s="188"/>
      <c r="AZ969" s="188"/>
      <c r="BA969" s="236"/>
      <c r="BB969" s="188"/>
      <c r="BC969" s="188"/>
      <c r="BD969" s="188"/>
      <c r="BE969" s="236"/>
    </row>
    <row r="970" spans="46:57" x14ac:dyDescent="0.3">
      <c r="AV970" s="123"/>
      <c r="AW970" s="123"/>
      <c r="AX970" s="188"/>
      <c r="AY970" s="188"/>
      <c r="AZ970" s="188"/>
      <c r="BA970" s="236"/>
      <c r="BB970" s="188"/>
      <c r="BC970" s="188"/>
      <c r="BD970" s="188"/>
      <c r="BE970" s="236"/>
    </row>
    <row r="971" spans="46:57" x14ac:dyDescent="0.3">
      <c r="AV971" s="123"/>
      <c r="AW971" s="123"/>
      <c r="AX971" s="188"/>
      <c r="AY971" s="188"/>
      <c r="AZ971" s="188"/>
      <c r="BA971" s="236"/>
      <c r="BB971" s="188"/>
      <c r="BC971" s="188"/>
      <c r="BD971" s="188"/>
      <c r="BE971" s="236"/>
    </row>
    <row r="972" spans="46:57" x14ac:dyDescent="0.3">
      <c r="AV972" s="123"/>
      <c r="AW972" s="123"/>
      <c r="AX972" s="188"/>
      <c r="AY972" s="188"/>
      <c r="AZ972" s="188"/>
      <c r="BA972" s="236"/>
      <c r="BB972" s="188"/>
      <c r="BC972" s="188"/>
      <c r="BD972" s="188"/>
      <c r="BE972" s="236"/>
    </row>
    <row r="973" spans="46:57" x14ac:dyDescent="0.3">
      <c r="AV973" s="123"/>
      <c r="AW973" s="123"/>
      <c r="AX973" s="188"/>
      <c r="AY973" s="188"/>
      <c r="AZ973" s="188"/>
      <c r="BA973" s="236"/>
      <c r="BB973" s="188"/>
      <c r="BC973" s="188"/>
      <c r="BD973" s="188"/>
      <c r="BE973" s="236"/>
    </row>
    <row r="975" spans="46:57" x14ac:dyDescent="0.3">
      <c r="AU975" s="42"/>
    </row>
    <row r="976" spans="46:57" x14ac:dyDescent="0.3">
      <c r="AU976" s="42"/>
    </row>
    <row r="977" spans="45:47" x14ac:dyDescent="0.3">
      <c r="AU977" s="42"/>
    </row>
    <row r="978" spans="45:47" x14ac:dyDescent="0.3">
      <c r="AS978" s="42"/>
    </row>
    <row r="999" spans="52:71" x14ac:dyDescent="0.3">
      <c r="AZ999" s="188"/>
      <c r="BB999" s="188"/>
      <c r="BC999" s="188"/>
      <c r="BD999" s="188"/>
      <c r="BG999" s="188"/>
      <c r="BH999" s="188"/>
      <c r="BI999" s="188"/>
      <c r="BJ999" s="188"/>
      <c r="BK999" s="188"/>
      <c r="BL999" s="188"/>
      <c r="BM999" s="188"/>
      <c r="BN999" s="188"/>
      <c r="BO999" s="188"/>
      <c r="BP999" s="188"/>
      <c r="BQ999" s="188"/>
      <c r="BR999" s="188"/>
      <c r="BS999" s="188"/>
    </row>
    <row r="1000" spans="52:71" x14ac:dyDescent="0.3">
      <c r="AZ1000" s="188"/>
      <c r="BB1000" s="188"/>
      <c r="BC1000" s="188"/>
      <c r="BD1000" s="188"/>
      <c r="BG1000" s="188"/>
      <c r="BH1000" s="188"/>
      <c r="BI1000" s="188"/>
      <c r="BJ1000" s="188"/>
      <c r="BK1000" s="188"/>
      <c r="BL1000" s="188"/>
      <c r="BM1000" s="188"/>
      <c r="BN1000" s="188"/>
      <c r="BO1000" s="188"/>
      <c r="BP1000" s="188"/>
      <c r="BQ1000" s="188"/>
      <c r="BR1000" s="188"/>
      <c r="BS1000" s="188"/>
    </row>
    <row r="1001" spans="52:71" x14ac:dyDescent="0.3">
      <c r="AZ1001" s="188"/>
      <c r="BB1001" s="188"/>
      <c r="BC1001" s="188"/>
      <c r="BD1001" s="188"/>
      <c r="BG1001" s="188"/>
      <c r="BH1001" s="188"/>
      <c r="BI1001" s="188"/>
      <c r="BJ1001" s="188"/>
      <c r="BK1001" s="188"/>
      <c r="BL1001" s="188"/>
      <c r="BM1001" s="188"/>
      <c r="BN1001" s="188"/>
      <c r="BO1001" s="188"/>
      <c r="BP1001" s="188"/>
      <c r="BQ1001" s="188"/>
      <c r="BR1001" s="188"/>
      <c r="BS1001" s="188"/>
    </row>
    <row r="1002" spans="52:71" x14ac:dyDescent="0.3">
      <c r="AZ1002" s="188"/>
      <c r="BB1002" s="188"/>
      <c r="BC1002" s="188"/>
      <c r="BD1002" s="188"/>
      <c r="BG1002" s="188"/>
      <c r="BH1002" s="188"/>
      <c r="BI1002" s="188"/>
      <c r="BJ1002" s="188"/>
      <c r="BK1002" s="188"/>
      <c r="BL1002" s="188"/>
      <c r="BM1002" s="188"/>
      <c r="BN1002" s="188"/>
      <c r="BO1002" s="188"/>
      <c r="BP1002" s="188"/>
      <c r="BQ1002" s="188"/>
      <c r="BR1002" s="188"/>
      <c r="BS1002" s="188"/>
    </row>
    <row r="1003" spans="52:71" x14ac:dyDescent="0.3">
      <c r="AZ1003" s="188"/>
      <c r="BB1003" s="188"/>
      <c r="BC1003" s="188"/>
      <c r="BD1003" s="188"/>
      <c r="BG1003" s="188"/>
      <c r="BH1003" s="188"/>
      <c r="BI1003" s="188"/>
      <c r="BJ1003" s="188"/>
      <c r="BK1003" s="188"/>
      <c r="BL1003" s="188"/>
      <c r="BM1003" s="188"/>
      <c r="BN1003" s="188"/>
      <c r="BO1003" s="188"/>
      <c r="BP1003" s="188"/>
      <c r="BQ1003" s="188"/>
      <c r="BR1003" s="188"/>
      <c r="BS1003" s="188"/>
    </row>
    <row r="1004" spans="52:71" x14ac:dyDescent="0.3">
      <c r="AZ1004" s="188"/>
      <c r="BB1004" s="188"/>
      <c r="BC1004" s="188"/>
      <c r="BD1004" s="188"/>
      <c r="BG1004" s="188"/>
      <c r="BH1004" s="188"/>
      <c r="BI1004" s="188"/>
      <c r="BJ1004" s="188"/>
      <c r="BK1004" s="188"/>
      <c r="BL1004" s="188"/>
      <c r="BM1004" s="188"/>
      <c r="BN1004" s="188"/>
      <c r="BO1004" s="188"/>
      <c r="BP1004" s="188"/>
      <c r="BQ1004" s="188"/>
      <c r="BR1004" s="188"/>
      <c r="BS1004" s="188"/>
    </row>
    <row r="1005" spans="52:71" x14ac:dyDescent="0.3">
      <c r="AZ1005" s="188"/>
      <c r="BB1005" s="188"/>
      <c r="BC1005" s="188"/>
      <c r="BD1005" s="188"/>
      <c r="BG1005" s="188"/>
      <c r="BH1005" s="188"/>
      <c r="BI1005" s="188"/>
      <c r="BJ1005" s="188"/>
      <c r="BK1005" s="188"/>
      <c r="BL1005" s="188"/>
      <c r="BM1005" s="188"/>
      <c r="BN1005" s="188"/>
      <c r="BO1005" s="188"/>
      <c r="BP1005" s="188"/>
      <c r="BQ1005" s="188"/>
      <c r="BR1005" s="188"/>
      <c r="BS1005" s="188"/>
    </row>
    <row r="1006" spans="52:71" x14ac:dyDescent="0.3">
      <c r="AZ1006" s="188"/>
      <c r="BB1006" s="188"/>
      <c r="BC1006" s="188"/>
      <c r="BD1006" s="188"/>
      <c r="BG1006" s="188"/>
      <c r="BH1006" s="188"/>
      <c r="BI1006" s="188"/>
      <c r="BJ1006" s="188"/>
      <c r="BK1006" s="188"/>
      <c r="BL1006" s="188"/>
      <c r="BM1006" s="188"/>
      <c r="BN1006" s="188"/>
      <c r="BO1006" s="188"/>
      <c r="BP1006" s="188"/>
      <c r="BQ1006" s="188"/>
      <c r="BR1006" s="188"/>
      <c r="BS1006" s="188"/>
    </row>
    <row r="1007" spans="52:71" x14ac:dyDescent="0.3">
      <c r="AZ1007" s="188"/>
      <c r="BB1007" s="188"/>
      <c r="BC1007" s="188"/>
      <c r="BD1007" s="188"/>
      <c r="BG1007" s="188"/>
      <c r="BH1007" s="188"/>
      <c r="BI1007" s="188"/>
      <c r="BJ1007" s="188"/>
      <c r="BK1007" s="188"/>
      <c r="BL1007" s="188"/>
      <c r="BM1007" s="188"/>
      <c r="BN1007" s="188"/>
      <c r="BO1007" s="188"/>
      <c r="BP1007" s="188"/>
      <c r="BQ1007" s="188"/>
      <c r="BR1007" s="188"/>
      <c r="BS1007" s="188"/>
    </row>
    <row r="1008" spans="52:71" x14ac:dyDescent="0.3">
      <c r="AZ1008" s="188"/>
      <c r="BB1008" s="188"/>
      <c r="BC1008" s="188"/>
      <c r="BD1008" s="188"/>
      <c r="BG1008" s="188"/>
      <c r="BH1008" s="188"/>
      <c r="BI1008" s="188"/>
      <c r="BJ1008" s="188"/>
      <c r="BK1008" s="188"/>
      <c r="BL1008" s="188"/>
      <c r="BM1008" s="188"/>
      <c r="BN1008" s="188"/>
      <c r="BO1008" s="188"/>
      <c r="BP1008" s="188"/>
      <c r="BQ1008" s="188"/>
      <c r="BR1008" s="188"/>
      <c r="BS1008" s="188"/>
    </row>
    <row r="1009" spans="52:71" x14ac:dyDescent="0.3">
      <c r="AZ1009" s="188"/>
      <c r="BB1009" s="188"/>
      <c r="BC1009" s="188"/>
      <c r="BD1009" s="188"/>
      <c r="BG1009" s="188"/>
      <c r="BH1009" s="188"/>
      <c r="BI1009" s="188"/>
      <c r="BJ1009" s="188"/>
      <c r="BK1009" s="188"/>
      <c r="BL1009" s="188"/>
      <c r="BM1009" s="188"/>
      <c r="BN1009" s="188"/>
      <c r="BO1009" s="188"/>
      <c r="BP1009" s="188"/>
      <c r="BQ1009" s="188"/>
      <c r="BR1009" s="188"/>
      <c r="BS1009" s="188"/>
    </row>
    <row r="1010" spans="52:71" x14ac:dyDescent="0.3">
      <c r="AZ1010" s="188"/>
      <c r="BB1010" s="188"/>
      <c r="BC1010" s="188"/>
      <c r="BD1010" s="188"/>
      <c r="BG1010" s="188"/>
      <c r="BH1010" s="188"/>
      <c r="BI1010" s="188"/>
      <c r="BJ1010" s="188"/>
      <c r="BK1010" s="188"/>
      <c r="BL1010" s="188"/>
      <c r="BM1010" s="188"/>
      <c r="BN1010" s="188"/>
      <c r="BO1010" s="188"/>
      <c r="BP1010" s="188"/>
      <c r="BQ1010" s="188"/>
      <c r="BR1010" s="188"/>
      <c r="BS1010" s="188"/>
    </row>
    <row r="1011" spans="52:71" x14ac:dyDescent="0.3">
      <c r="AZ1011" s="188"/>
      <c r="BG1011" s="188"/>
      <c r="BH1011" s="188"/>
      <c r="BI1011" s="188"/>
      <c r="BJ1011" s="188"/>
      <c r="BK1011" s="188"/>
      <c r="BL1011" s="188"/>
      <c r="BM1011" s="188"/>
      <c r="BN1011" s="188"/>
      <c r="BO1011" s="188"/>
      <c r="BP1011" s="188"/>
      <c r="BQ1011" s="188"/>
      <c r="BR1011" s="188"/>
      <c r="BS1011" s="188"/>
    </row>
    <row r="1012" spans="52:71" x14ac:dyDescent="0.3">
      <c r="AZ1012" s="188"/>
      <c r="BG1012" s="188"/>
      <c r="BH1012" s="188"/>
      <c r="BI1012" s="188"/>
      <c r="BJ1012" s="188"/>
      <c r="BK1012" s="188"/>
      <c r="BL1012" s="188"/>
      <c r="BM1012" s="188"/>
      <c r="BN1012" s="188"/>
      <c r="BO1012" s="188"/>
      <c r="BP1012" s="188"/>
      <c r="BQ1012" s="188"/>
      <c r="BR1012" s="188"/>
      <c r="BS1012" s="188"/>
    </row>
    <row r="1013" spans="52:71" x14ac:dyDescent="0.3">
      <c r="AZ1013" s="188"/>
      <c r="BG1013" s="188"/>
      <c r="BH1013" s="188"/>
      <c r="BI1013" s="188"/>
      <c r="BJ1013" s="188"/>
      <c r="BK1013" s="188"/>
      <c r="BL1013" s="188"/>
      <c r="BM1013" s="188"/>
      <c r="BN1013" s="188"/>
      <c r="BO1013" s="188"/>
      <c r="BP1013" s="188"/>
      <c r="BQ1013" s="188"/>
      <c r="BR1013" s="188"/>
      <c r="BS1013" s="188"/>
    </row>
    <row r="1014" spans="52:71" x14ac:dyDescent="0.3">
      <c r="AZ1014" s="188"/>
      <c r="BG1014" s="188"/>
      <c r="BH1014" s="188"/>
      <c r="BI1014" s="188"/>
      <c r="BJ1014" s="188"/>
      <c r="BK1014" s="188"/>
      <c r="BL1014" s="188"/>
      <c r="BM1014" s="188"/>
      <c r="BN1014" s="188"/>
      <c r="BO1014" s="188"/>
      <c r="BP1014" s="188"/>
      <c r="BQ1014" s="188"/>
      <c r="BR1014" s="188"/>
      <c r="BS1014" s="188"/>
    </row>
    <row r="1015" spans="52:71" x14ac:dyDescent="0.3">
      <c r="AZ1015" s="188"/>
      <c r="BG1015" s="188"/>
      <c r="BH1015" s="188"/>
      <c r="BI1015" s="188"/>
      <c r="BJ1015" s="188"/>
      <c r="BK1015" s="188"/>
      <c r="BL1015" s="188"/>
      <c r="BM1015" s="188"/>
      <c r="BN1015" s="188"/>
      <c r="BO1015" s="188"/>
      <c r="BP1015" s="188"/>
      <c r="BQ1015" s="188"/>
      <c r="BR1015" s="188"/>
      <c r="BS1015" s="188"/>
    </row>
    <row r="1016" spans="52:71" x14ac:dyDescent="0.3">
      <c r="AZ1016" s="188"/>
      <c r="BG1016" s="188"/>
      <c r="BH1016" s="188"/>
      <c r="BI1016" s="188"/>
      <c r="BJ1016" s="188"/>
      <c r="BK1016" s="188"/>
      <c r="BL1016" s="188"/>
      <c r="BM1016" s="188"/>
      <c r="BN1016" s="188"/>
      <c r="BO1016" s="188"/>
      <c r="BP1016" s="188"/>
      <c r="BQ1016" s="188"/>
      <c r="BR1016" s="188"/>
      <c r="BS1016" s="188"/>
    </row>
    <row r="1017" spans="52:71" x14ac:dyDescent="0.3">
      <c r="AZ1017" s="188"/>
      <c r="BG1017" s="188"/>
      <c r="BH1017" s="188"/>
      <c r="BI1017" s="188"/>
      <c r="BJ1017" s="188"/>
      <c r="BK1017" s="188"/>
      <c r="BL1017" s="188"/>
      <c r="BM1017" s="188"/>
      <c r="BN1017" s="188"/>
      <c r="BO1017" s="188"/>
      <c r="BP1017" s="188"/>
      <c r="BQ1017" s="188"/>
      <c r="BR1017" s="188"/>
      <c r="BS1017" s="188"/>
    </row>
    <row r="1018" spans="52:71" x14ac:dyDescent="0.3">
      <c r="AZ1018" s="188"/>
    </row>
    <row r="1019" spans="52:71" x14ac:dyDescent="0.3">
      <c r="AZ1019" s="188"/>
    </row>
    <row r="1033" spans="1:28" x14ac:dyDescent="0.3">
      <c r="A1033" s="42"/>
    </row>
    <row r="1036" spans="1:28" x14ac:dyDescent="0.3">
      <c r="Y1036" s="42"/>
    </row>
    <row r="1037" spans="1:28" x14ac:dyDescent="0.3">
      <c r="A1037" s="42"/>
      <c r="H1037" s="42"/>
      <c r="I1037" s="42"/>
    </row>
    <row r="1038" spans="1:28" x14ac:dyDescent="0.3">
      <c r="A1038" s="42"/>
      <c r="V1038" s="44"/>
      <c r="AA1038" s="44"/>
      <c r="AB1038" s="44"/>
    </row>
    <row r="1039" spans="1:28" x14ac:dyDescent="0.3">
      <c r="A1039" s="42"/>
      <c r="V1039" s="135"/>
      <c r="AA1039" s="135"/>
      <c r="AB1039" s="135"/>
    </row>
    <row r="1040" spans="1:28" x14ac:dyDescent="0.3">
      <c r="A1040" s="42"/>
      <c r="U1040" s="42"/>
      <c r="AA1040" s="44"/>
      <c r="AB1040" s="44"/>
    </row>
    <row r="1041" spans="1:28" x14ac:dyDescent="0.3">
      <c r="A1041" s="42"/>
    </row>
    <row r="1042" spans="1:28" x14ac:dyDescent="0.3">
      <c r="A1042" s="42"/>
      <c r="U1042" s="42"/>
      <c r="AA1042" s="44"/>
      <c r="AB1042" s="44"/>
    </row>
    <row r="1043" spans="1:28" x14ac:dyDescent="0.3">
      <c r="A1043" s="42"/>
    </row>
    <row r="1044" spans="1:28" x14ac:dyDescent="0.3">
      <c r="A1044" s="42"/>
      <c r="U1044" s="42"/>
      <c r="V1044" s="247"/>
      <c r="AA1044" s="44"/>
      <c r="AB1044" s="44"/>
    </row>
    <row r="1045" spans="1:28" x14ac:dyDescent="0.3">
      <c r="A1045" s="42"/>
    </row>
    <row r="1046" spans="1:28" x14ac:dyDescent="0.3">
      <c r="A1046" s="42"/>
      <c r="U1046" s="42"/>
      <c r="AA1046" s="44"/>
      <c r="AB1046" s="44"/>
    </row>
    <row r="1047" spans="1:28" x14ac:dyDescent="0.3">
      <c r="A1047" s="42"/>
    </row>
    <row r="1048" spans="1:28" x14ac:dyDescent="0.3">
      <c r="A1048" s="42"/>
      <c r="U1048" s="42"/>
      <c r="AA1048" s="44"/>
      <c r="AB1048" s="44"/>
    </row>
    <row r="1049" spans="1:28" x14ac:dyDescent="0.3">
      <c r="A1049" s="42"/>
    </row>
    <row r="1050" spans="1:28" x14ac:dyDescent="0.3">
      <c r="A1050" s="42"/>
    </row>
    <row r="1051" spans="1:28" x14ac:dyDescent="0.3">
      <c r="A1051" s="42"/>
    </row>
    <row r="1052" spans="1:28" x14ac:dyDescent="0.3">
      <c r="A1052" s="42"/>
    </row>
    <row r="1053" spans="1:28" x14ac:dyDescent="0.3">
      <c r="A1053" s="42"/>
    </row>
    <row r="1054" spans="1:28" x14ac:dyDescent="0.3">
      <c r="A1054" s="42"/>
    </row>
    <row r="1055" spans="1:28" x14ac:dyDescent="0.3">
      <c r="A1055" s="42"/>
    </row>
    <row r="1056" spans="1:28" x14ac:dyDescent="0.3">
      <c r="A1056" s="42"/>
    </row>
    <row r="1057" spans="1:9" x14ac:dyDescent="0.3">
      <c r="A1057" s="42"/>
    </row>
    <row r="1058" spans="1:9" x14ac:dyDescent="0.3">
      <c r="A1058" s="42"/>
    </row>
    <row r="1059" spans="1:9" x14ac:dyDescent="0.3">
      <c r="A1059" s="42"/>
      <c r="H1059" s="42"/>
      <c r="I1059" s="42"/>
    </row>
    <row r="1062" spans="1:9" x14ac:dyDescent="0.3">
      <c r="A1062" s="42"/>
    </row>
    <row r="1065" spans="1:9" x14ac:dyDescent="0.3">
      <c r="A1065" s="42"/>
    </row>
    <row r="1068" spans="1:9" x14ac:dyDescent="0.3">
      <c r="A1068" s="42"/>
    </row>
    <row r="1069" spans="1:9" x14ac:dyDescent="0.3">
      <c r="A1069" s="42"/>
    </row>
    <row r="1070" spans="1:9" x14ac:dyDescent="0.3">
      <c r="A1070" s="42"/>
    </row>
    <row r="1071" spans="1:9" x14ac:dyDescent="0.3">
      <c r="A1071" s="42"/>
    </row>
    <row r="1072" spans="1:9" x14ac:dyDescent="0.3">
      <c r="A1072" s="42"/>
    </row>
    <row r="1073" spans="1:1" x14ac:dyDescent="0.3">
      <c r="A1073" s="42"/>
    </row>
    <row r="1074" spans="1:1" x14ac:dyDescent="0.3">
      <c r="A1074" s="42"/>
    </row>
    <row r="1075" spans="1:1" x14ac:dyDescent="0.3">
      <c r="A1075" s="42"/>
    </row>
    <row r="1076" spans="1:1" x14ac:dyDescent="0.3">
      <c r="A1076" s="42"/>
    </row>
    <row r="1077" spans="1:1" x14ac:dyDescent="0.3">
      <c r="A1077" s="42"/>
    </row>
    <row r="1078" spans="1:1" x14ac:dyDescent="0.3">
      <c r="A1078" s="42"/>
    </row>
    <row r="1079" spans="1:1" x14ac:dyDescent="0.3">
      <c r="A1079" s="42"/>
    </row>
    <row r="1080" spans="1:1" x14ac:dyDescent="0.3">
      <c r="A1080" s="42"/>
    </row>
    <row r="1081" spans="1:1" x14ac:dyDescent="0.3">
      <c r="A1081" s="42"/>
    </row>
    <row r="1082" spans="1:1" x14ac:dyDescent="0.3">
      <c r="A1082" s="42"/>
    </row>
    <row r="1083" spans="1:1" x14ac:dyDescent="0.3">
      <c r="A1083" s="42"/>
    </row>
    <row r="1084" spans="1:1" x14ac:dyDescent="0.3">
      <c r="A1084" s="42"/>
    </row>
    <row r="1085" spans="1:1" x14ac:dyDescent="0.3">
      <c r="A1085" s="42"/>
    </row>
    <row r="1086" spans="1:1" x14ac:dyDescent="0.3">
      <c r="A1086" s="42"/>
    </row>
    <row r="1087" spans="1:1" x14ac:dyDescent="0.3">
      <c r="A1087" s="42"/>
    </row>
    <row r="1088" spans="1:1" x14ac:dyDescent="0.3">
      <c r="A1088" s="42"/>
    </row>
    <row r="1089" spans="1:1" x14ac:dyDescent="0.3">
      <c r="A1089" s="42"/>
    </row>
    <row r="1090" spans="1:1" x14ac:dyDescent="0.3">
      <c r="A1090" s="42"/>
    </row>
    <row r="1091" spans="1:1" x14ac:dyDescent="0.3">
      <c r="A1091" s="42"/>
    </row>
    <row r="1092" spans="1:1" x14ac:dyDescent="0.3">
      <c r="A1092" s="42"/>
    </row>
    <row r="1093" spans="1:1" x14ac:dyDescent="0.3">
      <c r="A1093" s="42"/>
    </row>
    <row r="1094" spans="1:1" x14ac:dyDescent="0.3">
      <c r="A1094" s="42"/>
    </row>
    <row r="1095" spans="1:1" x14ac:dyDescent="0.3">
      <c r="A1095" s="42"/>
    </row>
    <row r="1096" spans="1:1" x14ac:dyDescent="0.3">
      <c r="A1096" s="42"/>
    </row>
    <row r="1097" spans="1:1" x14ac:dyDescent="0.3">
      <c r="A1097" s="42"/>
    </row>
    <row r="1098" spans="1:1" x14ac:dyDescent="0.3">
      <c r="A1098" s="42"/>
    </row>
    <row r="1099" spans="1:1" x14ac:dyDescent="0.3">
      <c r="A1099" s="42"/>
    </row>
    <row r="1100" spans="1:1" x14ac:dyDescent="0.3">
      <c r="A1100" s="42"/>
    </row>
    <row r="1101" spans="1:1" x14ac:dyDescent="0.3">
      <c r="A1101" s="42"/>
    </row>
    <row r="1102" spans="1:1" x14ac:dyDescent="0.3">
      <c r="A1102" s="42"/>
    </row>
    <row r="1107" spans="1:1" x14ac:dyDescent="0.3">
      <c r="A1107" s="42"/>
    </row>
    <row r="1108" spans="1:1" x14ac:dyDescent="0.3">
      <c r="A1108" s="42"/>
    </row>
    <row r="1111" spans="1:1" x14ac:dyDescent="0.3">
      <c r="A1111" s="42"/>
    </row>
    <row r="1113" spans="1:1" x14ac:dyDescent="0.3">
      <c r="A1113" s="42"/>
    </row>
    <row r="1115" spans="1:1" x14ac:dyDescent="0.3">
      <c r="A1115" s="42"/>
    </row>
    <row r="1117" spans="1:1" x14ac:dyDescent="0.3">
      <c r="A1117" s="42"/>
    </row>
    <row r="1120" spans="1:1" x14ac:dyDescent="0.3">
      <c r="A1120" s="42"/>
    </row>
    <row r="1121" spans="1:1" x14ac:dyDescent="0.3">
      <c r="A1121" s="42"/>
    </row>
    <row r="1122" spans="1:1" x14ac:dyDescent="0.3">
      <c r="A1122" s="42"/>
    </row>
    <row r="1123" spans="1:1" x14ac:dyDescent="0.3">
      <c r="A1123" s="42"/>
    </row>
    <row r="1124" spans="1:1" x14ac:dyDescent="0.3">
      <c r="A1124" s="42"/>
    </row>
    <row r="1125" spans="1:1" x14ac:dyDescent="0.3">
      <c r="A1125" s="42"/>
    </row>
    <row r="1126" spans="1:1" x14ac:dyDescent="0.3">
      <c r="A1126" s="42"/>
    </row>
    <row r="1127" spans="1:1" x14ac:dyDescent="0.3">
      <c r="A1127" s="42"/>
    </row>
  </sheetData>
  <customSheetViews>
    <customSheetView guid="{195DF303-1BBD-4236-94B5-47432850B006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Y55">
      <selection activeCell="R8" sqref="R8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3"/>
      <headerFooter alignWithMargins="0"/>
    </customSheetView>
    <customSheetView guid="{2431C9E5-7CC2-4B8D-99C3-962247B1DBF5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4"/>
      <headerFooter alignWithMargins="0"/>
    </customSheetView>
    <customSheetView guid="{2EA35095-1ADC-4CC7-8C3C-B487D65FA247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>
      <selection sqref="A1:R41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8"/>
      <headerFooter alignWithMargins="0"/>
    </customSheetView>
    <customSheetView guid="{0BC1F393-8A13-47D5-BC6C-0C99615B5AB9}" scale="75" fitToPage="1" showRuler="0">
      <selection sqref="A1:R41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B11">
      <selection activeCell="J50" sqref="J50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B11">
      <selection activeCell="J50" sqref="J50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1"/>
      <headerFooter alignWithMargins="0"/>
    </customSheetView>
    <customSheetView guid="{F562D92E-120C-4AE9-9663-89E64D41DC53}" scale="75" fitToPage="1" topLeftCell="P70">
      <selection activeCell="P37" sqref="P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2"/>
      <headerFooter alignWithMargins="0"/>
    </customSheetView>
  </customSheetViews>
  <phoneticPr fontId="11" type="noConversion"/>
  <pageMargins left="0.5" right="0.5" top="1" bottom="0" header="0" footer="0"/>
  <pageSetup scale="62" orientation="landscape" r:id="rId13"/>
  <headerFooter alignWithMargins="0"/>
  <rowBreaks count="16" manualBreakCount="16">
    <brk id="144" max="65535" man="1"/>
    <brk id="187" max="65535" man="1"/>
    <brk id="229" max="65535" man="1"/>
    <brk id="268" max="65535" man="1"/>
    <brk id="324" max="65535" man="1"/>
    <brk id="370" max="65535" man="1"/>
    <brk id="452" max="65535" man="1"/>
    <brk id="490" max="65535" man="1"/>
    <brk id="527" max="65535" man="1"/>
    <brk id="575" max="65535" man="1"/>
    <brk id="636" max="65535" man="1"/>
    <brk id="695" max="65535" man="1"/>
    <brk id="802" max="65535" man="1"/>
    <brk id="849" max="65535" man="1"/>
    <brk id="908" max="65535" man="1"/>
    <brk id="951" max="65535" man="1"/>
  </rowBreaks>
  <colBreaks count="1" manualBreakCount="1">
    <brk id="4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syncVertical="1" syncRef="A1" transitionEvaluation="1" transitionEntry="1" codeName="Sheet12">
    <pageSetUpPr fitToPage="1"/>
  </sheetPr>
  <dimension ref="A1:BX1095"/>
  <sheetViews>
    <sheetView zoomScale="75" workbookViewId="0"/>
  </sheetViews>
  <sheetFormatPr defaultColWidth="9.75" defaultRowHeight="15.6" x14ac:dyDescent="0.3"/>
  <cols>
    <col min="1" max="1" width="5.25" style="41" customWidth="1"/>
    <col min="2" max="2" width="0.4140625" style="41" customWidth="1"/>
    <col min="3" max="3" width="6.75" style="41" customWidth="1"/>
    <col min="4" max="4" width="36.6640625" style="41" customWidth="1"/>
    <col min="5" max="5" width="0.66406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0.66406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8.6640625" style="41" customWidth="1"/>
    <col min="19" max="19" width="6.75" style="41" customWidth="1"/>
    <col min="20" max="20" width="5.4140625" style="41" customWidth="1"/>
    <col min="21" max="21" width="0.58203125" style="41" customWidth="1"/>
    <col min="22" max="22" width="4.58203125" style="41" customWidth="1"/>
    <col min="23" max="23" width="40.25" style="41" customWidth="1"/>
    <col min="24" max="24" width="0.664062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0" style="41" customWidth="1"/>
    <col min="30" max="30" width="0.9140625" style="41" customWidth="1"/>
    <col min="31" max="31" width="12.9140625" style="41" customWidth="1"/>
    <col min="32" max="32" width="0.75" style="41" customWidth="1"/>
    <col min="33" max="33" width="13.6640625" style="165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165" customWidth="1"/>
    <col min="38" max="38" width="0.582031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165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REHEARING ORDER CALCULATED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157</v>
      </c>
      <c r="AK6" s="206"/>
      <c r="AL6" s="42"/>
    </row>
    <row r="7" spans="1:40" x14ac:dyDescent="0.3">
      <c r="A7" s="41" t="str">
        <f>TYPE</f>
        <v>TYPE OF FILING: _X_ ORIGINAL   ___UPDATED  ___ REVISED</v>
      </c>
      <c r="R7" s="45" t="str">
        <f>"PAGE 9 OF "&amp;TEXT(Page_Num_2.3,"00")</f>
        <v>PAGE 9 OF 24</v>
      </c>
      <c r="AK7" s="206"/>
      <c r="AL7" s="42"/>
    </row>
    <row r="8" spans="1:40" x14ac:dyDescent="0.3">
      <c r="A8" s="42" t="s">
        <v>171</v>
      </c>
      <c r="R8" s="42" t="s">
        <v>3</v>
      </c>
      <c r="AK8" s="206"/>
      <c r="AL8" s="42"/>
    </row>
    <row r="9" spans="1:40" x14ac:dyDescent="0.3">
      <c r="A9" s="153" t="str">
        <f>TIME</f>
        <v>12 Months Projected with Riders</v>
      </c>
      <c r="M9" s="42"/>
      <c r="R9" s="41" t="str">
        <f>WIT</f>
        <v>B. L. Sailers</v>
      </c>
      <c r="AK9" s="206"/>
      <c r="AL9" s="42"/>
    </row>
    <row r="10" spans="1:40" x14ac:dyDescent="0.3">
      <c r="A10" s="153" t="str">
        <f>INPUT!B5</f>
        <v xml:space="preserve"> </v>
      </c>
      <c r="M10" s="42"/>
      <c r="AK10" s="206"/>
      <c r="AL10" s="42"/>
    </row>
    <row r="11" spans="1:40" x14ac:dyDescent="0.3">
      <c r="A11" s="40" t="s">
        <v>130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K11" s="206"/>
      <c r="AL11" s="42"/>
    </row>
    <row r="12" spans="1:40" x14ac:dyDescent="0.3">
      <c r="A12" s="135"/>
      <c r="B12" s="135"/>
      <c r="C12" s="135"/>
      <c r="D12" s="135"/>
      <c r="E12" s="135"/>
      <c r="G12" s="135"/>
      <c r="H12" s="135"/>
      <c r="I12" s="135"/>
      <c r="J12" s="135"/>
      <c r="K12" s="43"/>
      <c r="L12" s="43"/>
      <c r="M12" s="43"/>
      <c r="N12" s="43"/>
      <c r="O12" s="43"/>
      <c r="P12" s="43"/>
      <c r="Q12" s="43"/>
      <c r="R12" s="43"/>
      <c r="AA12" s="42"/>
      <c r="AB12" s="42"/>
    </row>
    <row r="13" spans="1:40" ht="18" customHeight="1" x14ac:dyDescent="0.3">
      <c r="A13" s="191"/>
      <c r="B13" s="191"/>
      <c r="C13" s="191"/>
      <c r="D13" s="191"/>
      <c r="E13" s="191"/>
      <c r="F13" s="191"/>
      <c r="G13" s="191"/>
      <c r="H13" s="191"/>
      <c r="I13" s="191"/>
      <c r="J13" s="191"/>
      <c r="L13" s="44" t="s">
        <v>6</v>
      </c>
      <c r="M13" s="44"/>
      <c r="N13" s="44" t="s">
        <v>7</v>
      </c>
      <c r="O13" s="44"/>
      <c r="R13" s="44" t="s">
        <v>6</v>
      </c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207"/>
      <c r="AH13" s="135"/>
      <c r="AI13" s="135"/>
      <c r="AJ13" s="135"/>
      <c r="AK13" s="207"/>
      <c r="AL13" s="135"/>
      <c r="AM13" s="135"/>
      <c r="AN13" s="135"/>
    </row>
    <row r="14" spans="1:40" x14ac:dyDescent="0.3">
      <c r="L14" s="44" t="s">
        <v>12</v>
      </c>
      <c r="M14" s="44"/>
      <c r="N14" s="44" t="s">
        <v>13</v>
      </c>
      <c r="O14" s="44"/>
      <c r="R14" s="44" t="s">
        <v>11</v>
      </c>
      <c r="AA14" s="44"/>
      <c r="AB14" s="44"/>
      <c r="AC14" s="44"/>
      <c r="AD14" s="44"/>
      <c r="AE14" s="44"/>
      <c r="AF14" s="44"/>
      <c r="AG14" s="168"/>
      <c r="AH14" s="44"/>
      <c r="AK14" s="168"/>
      <c r="AL14" s="44"/>
      <c r="AM14" s="44"/>
      <c r="AN14" s="44"/>
    </row>
    <row r="15" spans="1:4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842</v>
      </c>
      <c r="M15" s="44"/>
      <c r="N15" s="44" t="s">
        <v>842</v>
      </c>
      <c r="O15" s="44"/>
      <c r="P15" s="44" t="s">
        <v>842</v>
      </c>
      <c r="Q15" s="44"/>
      <c r="R15" s="44" t="s">
        <v>9</v>
      </c>
      <c r="Z15" s="44"/>
      <c r="AA15" s="44"/>
      <c r="AB15" s="44"/>
      <c r="AC15" s="44"/>
      <c r="AD15" s="44"/>
      <c r="AE15" s="44"/>
      <c r="AF15" s="44"/>
      <c r="AG15" s="168"/>
      <c r="AH15" s="44"/>
      <c r="AK15" s="168"/>
      <c r="AL15" s="44"/>
      <c r="AM15" s="44"/>
      <c r="AN15" s="44"/>
    </row>
    <row r="16" spans="1:40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324</v>
      </c>
      <c r="Q16" s="44"/>
      <c r="R16" s="141" t="s">
        <v>28</v>
      </c>
      <c r="T16" s="44"/>
      <c r="U16" s="44"/>
      <c r="V16" s="44"/>
      <c r="Z16" s="44"/>
      <c r="AA16" s="44"/>
      <c r="AB16" s="44"/>
      <c r="AC16" s="44"/>
      <c r="AD16" s="44"/>
      <c r="AE16" s="44"/>
      <c r="AF16" s="44"/>
      <c r="AG16" s="168"/>
      <c r="AH16" s="44"/>
      <c r="AI16" s="44"/>
      <c r="AJ16" s="44"/>
      <c r="AK16" s="168"/>
      <c r="AL16" s="44"/>
      <c r="AM16" s="44"/>
      <c r="AN16" s="44"/>
    </row>
    <row r="17" spans="1:40" x14ac:dyDescent="0.3">
      <c r="C17" s="141" t="s">
        <v>33</v>
      </c>
      <c r="D17" s="141" t="s">
        <v>34</v>
      </c>
      <c r="E17" s="141"/>
      <c r="F17" s="141" t="s">
        <v>35</v>
      </c>
      <c r="G17" s="153"/>
      <c r="H17" s="141" t="s">
        <v>36</v>
      </c>
      <c r="I17" s="141"/>
      <c r="J17" s="141" t="s">
        <v>37</v>
      </c>
      <c r="K17" s="141"/>
      <c r="L17" s="141" t="s">
        <v>38</v>
      </c>
      <c r="M17" s="141"/>
      <c r="N17" s="141" t="s">
        <v>39</v>
      </c>
      <c r="O17" s="141"/>
      <c r="P17" s="141" t="s">
        <v>40</v>
      </c>
      <c r="Q17" s="141"/>
      <c r="R17" s="141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68"/>
      <c r="AH17" s="44"/>
      <c r="AI17" s="44"/>
      <c r="AJ17" s="44"/>
      <c r="AK17" s="168"/>
      <c r="AL17" s="44"/>
      <c r="AM17" s="44"/>
      <c r="AN17" s="44"/>
    </row>
    <row r="18" spans="1:40" ht="17.100000000000001" customHeight="1" x14ac:dyDescent="0.3">
      <c r="A18" s="191"/>
      <c r="B18" s="191"/>
      <c r="C18" s="191"/>
      <c r="D18" s="191"/>
      <c r="E18" s="191"/>
      <c r="F18" s="191"/>
      <c r="G18" s="191"/>
      <c r="H18" s="270" t="s">
        <v>197</v>
      </c>
      <c r="I18" s="271"/>
      <c r="J18" s="270" t="s">
        <v>332</v>
      </c>
      <c r="K18" s="271"/>
      <c r="L18" s="271" t="s">
        <v>50</v>
      </c>
      <c r="M18" s="271"/>
      <c r="N18" s="271" t="s">
        <v>51</v>
      </c>
      <c r="O18" s="271"/>
      <c r="P18" s="271" t="s">
        <v>50</v>
      </c>
      <c r="Q18" s="271"/>
      <c r="R18" s="271" t="s">
        <v>50</v>
      </c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207"/>
      <c r="AH18" s="135"/>
      <c r="AI18" s="135"/>
      <c r="AJ18" s="135"/>
      <c r="AK18" s="207"/>
      <c r="AL18" s="135"/>
      <c r="AM18" s="135"/>
      <c r="AN18" s="135"/>
    </row>
    <row r="19" spans="1:40" x14ac:dyDescent="0.3">
      <c r="A19" s="41">
        <v>1</v>
      </c>
      <c r="C19" s="132" t="s">
        <v>60</v>
      </c>
      <c r="D19" s="132" t="s">
        <v>61</v>
      </c>
      <c r="E19" s="42"/>
      <c r="F19" s="1"/>
      <c r="G19" s="1"/>
      <c r="H19" s="208"/>
      <c r="I19" s="208"/>
      <c r="J19" s="172" t="s">
        <v>329</v>
      </c>
      <c r="K19" s="208"/>
      <c r="L19" s="208"/>
      <c r="M19" s="208"/>
      <c r="N19" s="208"/>
      <c r="O19" s="208"/>
      <c r="P19" s="208"/>
      <c r="Q19" s="208"/>
      <c r="R19" s="208"/>
      <c r="Y19" s="44"/>
      <c r="Z19" s="44"/>
      <c r="AA19" s="44"/>
      <c r="AB19" s="44"/>
      <c r="AC19" s="44"/>
      <c r="AD19" s="44"/>
      <c r="AE19" s="44"/>
      <c r="AF19" s="44"/>
      <c r="AG19" s="168"/>
      <c r="AH19" s="44"/>
      <c r="AI19" s="44"/>
      <c r="AJ19" s="44"/>
      <c r="AK19" s="168"/>
      <c r="AL19" s="44"/>
      <c r="AM19" s="44"/>
      <c r="AN19" s="44"/>
    </row>
    <row r="20" spans="1:40" x14ac:dyDescent="0.3">
      <c r="A20" s="41">
        <v>2</v>
      </c>
      <c r="C20" s="132" t="s">
        <v>54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42"/>
      <c r="U20" s="42"/>
    </row>
    <row r="21" spans="1:40" x14ac:dyDescent="0.3">
      <c r="A21" s="41">
        <v>3</v>
      </c>
      <c r="C21" s="132" t="s">
        <v>62</v>
      </c>
      <c r="F21" s="184">
        <v>52</v>
      </c>
      <c r="G21" s="1"/>
      <c r="H21" s="159"/>
      <c r="I21" s="159"/>
      <c r="J21" s="193">
        <f>INPUT!D123</f>
        <v>500</v>
      </c>
      <c r="K21" s="194"/>
      <c r="L21" s="49">
        <f>ROUND(F21*J21,0)</f>
        <v>26000</v>
      </c>
      <c r="M21" s="3"/>
      <c r="N21" s="253">
        <f>ROUND((L21/$L$56)*100,1)</f>
        <v>0.2</v>
      </c>
      <c r="O21" s="4"/>
      <c r="P21" s="49"/>
      <c r="Q21" s="1"/>
      <c r="R21" s="49">
        <f>L21+P21</f>
        <v>26000</v>
      </c>
    </row>
    <row r="22" spans="1:40" x14ac:dyDescent="0.3">
      <c r="C22" s="42"/>
      <c r="F22" s="159"/>
      <c r="G22" s="1"/>
      <c r="H22" s="159"/>
      <c r="I22" s="159"/>
      <c r="J22" s="193"/>
      <c r="K22" s="194"/>
      <c r="L22" s="3"/>
      <c r="M22" s="3"/>
      <c r="N22" s="4"/>
      <c r="O22" s="4"/>
      <c r="P22" s="3"/>
      <c r="Q22" s="1"/>
      <c r="R22" s="3"/>
    </row>
    <row r="23" spans="1:40" x14ac:dyDescent="0.3">
      <c r="A23" s="41">
        <v>4</v>
      </c>
      <c r="C23" s="132" t="s">
        <v>63</v>
      </c>
      <c r="F23" s="159"/>
      <c r="G23" s="1"/>
      <c r="H23" s="159"/>
      <c r="I23" s="159"/>
      <c r="J23" s="237"/>
      <c r="K23" s="248"/>
      <c r="L23" s="3"/>
      <c r="M23" s="3"/>
      <c r="N23" s="4"/>
      <c r="O23" s="4"/>
      <c r="P23" s="3"/>
      <c r="Q23" s="3"/>
      <c r="R23" s="3"/>
      <c r="S23" s="123"/>
      <c r="V23" s="210"/>
      <c r="Y23" s="123"/>
      <c r="Z23" s="184"/>
      <c r="AA23" s="123"/>
      <c r="AB23" s="123"/>
      <c r="AC23" s="160"/>
      <c r="AD23" s="160"/>
      <c r="AE23" s="123"/>
      <c r="AF23" s="123"/>
      <c r="AI23" s="123"/>
      <c r="AJ23" s="123"/>
      <c r="AL23" s="123"/>
    </row>
    <row r="24" spans="1:40" x14ac:dyDescent="0.3">
      <c r="A24" s="41">
        <v>5</v>
      </c>
      <c r="C24" s="42" t="s">
        <v>64</v>
      </c>
      <c r="F24" s="159"/>
      <c r="G24" s="1"/>
      <c r="H24" s="184">
        <v>127467</v>
      </c>
      <c r="I24" s="159"/>
      <c r="J24" s="193">
        <f>INPUT!D129</f>
        <v>10.23</v>
      </c>
      <c r="K24" s="194"/>
      <c r="L24" s="3">
        <f>ROUND(H24*J24,0)</f>
        <v>1303987</v>
      </c>
      <c r="M24" s="3"/>
      <c r="N24" s="4">
        <f>ROUND((L24/$L$56)*100,1)</f>
        <v>8.1</v>
      </c>
      <c r="O24" s="4"/>
      <c r="P24" s="3"/>
      <c r="Q24" s="3"/>
      <c r="R24" s="3">
        <f>L24+P24</f>
        <v>1303987</v>
      </c>
      <c r="S24" s="123"/>
      <c r="V24" s="210"/>
      <c r="Y24" s="210"/>
      <c r="Z24" s="213"/>
      <c r="AA24" s="210"/>
      <c r="AB24" s="210"/>
      <c r="AC24" s="210"/>
      <c r="AD24" s="210"/>
      <c r="AE24" s="210"/>
      <c r="AF24" s="210"/>
      <c r="AI24" s="210"/>
      <c r="AJ24" s="210"/>
      <c r="AK24" s="214"/>
      <c r="AL24" s="210"/>
      <c r="AM24" s="160"/>
      <c r="AN24" s="160"/>
    </row>
    <row r="25" spans="1:40" x14ac:dyDescent="0.3">
      <c r="A25" s="41">
        <v>6</v>
      </c>
      <c r="C25" s="42" t="s">
        <v>65</v>
      </c>
      <c r="F25" s="159"/>
      <c r="G25" s="1"/>
      <c r="H25" s="197">
        <v>5347</v>
      </c>
      <c r="I25" s="159"/>
      <c r="J25" s="193">
        <f>INPUT!D130</f>
        <v>1.55</v>
      </c>
      <c r="K25" s="194"/>
      <c r="L25" s="49">
        <f>ROUND(H25*J25,0)</f>
        <v>8288</v>
      </c>
      <c r="M25" s="3"/>
      <c r="N25" s="253">
        <f>ROUND((L25/$L$56)*100,1)</f>
        <v>0.1</v>
      </c>
      <c r="O25" s="4"/>
      <c r="P25" s="49"/>
      <c r="Q25" s="3"/>
      <c r="R25" s="49">
        <f>L25+P25</f>
        <v>8288</v>
      </c>
      <c r="S25" s="123"/>
      <c r="V25" s="184"/>
      <c r="Y25" s="184"/>
      <c r="Z25" s="213"/>
      <c r="AA25" s="123"/>
      <c r="AB25" s="123"/>
      <c r="AC25" s="160"/>
      <c r="AD25" s="160"/>
      <c r="AE25" s="123"/>
      <c r="AF25" s="123"/>
      <c r="AI25" s="123"/>
      <c r="AJ25" s="123"/>
      <c r="AL25" s="123"/>
      <c r="AM25" s="160"/>
      <c r="AN25" s="160"/>
    </row>
    <row r="26" spans="1:40" ht="20.100000000000001" customHeight="1" x14ac:dyDescent="0.3">
      <c r="A26" s="41">
        <v>7</v>
      </c>
      <c r="C26" s="132" t="s">
        <v>66</v>
      </c>
      <c r="F26" s="3"/>
      <c r="G26" s="1"/>
      <c r="H26" s="49">
        <f>SUM(H24:H25)</f>
        <v>132814</v>
      </c>
      <c r="I26" s="3"/>
      <c r="J26" s="7"/>
      <c r="K26" s="7"/>
      <c r="L26" s="49">
        <f>SUM(L24:L25)</f>
        <v>1312275</v>
      </c>
      <c r="M26" s="3"/>
      <c r="N26" s="253">
        <f>ROUND((L26/$L$56)*100,1)+0.1</f>
        <v>8.1999999999999993</v>
      </c>
      <c r="O26" s="4"/>
      <c r="P26" s="49"/>
      <c r="Q26" s="3"/>
      <c r="R26" s="49">
        <f>SUM(R24:R25)</f>
        <v>1312275</v>
      </c>
      <c r="S26" s="123"/>
      <c r="V26" s="210"/>
      <c r="Y26" s="210"/>
      <c r="Z26" s="213"/>
      <c r="AA26" s="210"/>
      <c r="AB26" s="210"/>
      <c r="AC26" s="210"/>
      <c r="AD26" s="210"/>
      <c r="AE26" s="210"/>
      <c r="AF26" s="210"/>
      <c r="AI26" s="210"/>
      <c r="AJ26" s="210"/>
      <c r="AK26" s="214"/>
      <c r="AL26" s="210"/>
      <c r="AM26" s="160"/>
      <c r="AN26" s="160"/>
    </row>
    <row r="27" spans="1:40" x14ac:dyDescent="0.3">
      <c r="C27" s="42"/>
      <c r="F27" s="3"/>
      <c r="G27" s="1"/>
      <c r="H27" s="3"/>
      <c r="I27" s="3"/>
      <c r="J27" s="7"/>
      <c r="K27" s="7"/>
      <c r="L27" s="3"/>
      <c r="M27" s="3"/>
      <c r="N27" s="4"/>
      <c r="O27" s="4"/>
      <c r="P27" s="3"/>
      <c r="Q27" s="3"/>
      <c r="R27" s="3"/>
      <c r="S27" s="123"/>
      <c r="V27" s="210"/>
      <c r="Y27" s="210"/>
      <c r="Z27" s="213"/>
      <c r="AA27" s="210"/>
      <c r="AB27" s="210"/>
      <c r="AC27" s="210"/>
      <c r="AD27" s="210"/>
      <c r="AE27" s="210"/>
      <c r="AF27" s="210"/>
      <c r="AI27" s="210"/>
      <c r="AJ27" s="210"/>
      <c r="AK27" s="214"/>
      <c r="AL27" s="210"/>
      <c r="AM27" s="160"/>
      <c r="AN27" s="160"/>
    </row>
    <row r="28" spans="1:40" x14ac:dyDescent="0.3">
      <c r="A28" s="41">
        <v>8</v>
      </c>
      <c r="C28" s="132" t="s">
        <v>374</v>
      </c>
      <c r="F28" s="3"/>
      <c r="G28" s="1"/>
      <c r="H28" s="3"/>
      <c r="I28" s="3"/>
      <c r="J28" s="7"/>
      <c r="K28" s="7"/>
      <c r="L28" s="3"/>
      <c r="M28" s="3"/>
      <c r="N28" s="4"/>
      <c r="O28" s="4"/>
      <c r="P28" s="3"/>
      <c r="Q28" s="3"/>
      <c r="R28" s="3"/>
      <c r="S28" s="123"/>
      <c r="T28" s="42"/>
      <c r="AA28" s="123"/>
      <c r="AB28" s="123"/>
      <c r="AC28" s="123"/>
      <c r="AD28" s="123"/>
      <c r="AI28" s="123"/>
      <c r="AJ28" s="123"/>
      <c r="AL28" s="123"/>
    </row>
    <row r="29" spans="1:40" x14ac:dyDescent="0.3">
      <c r="A29" s="41">
        <v>9</v>
      </c>
      <c r="C29" s="42" t="s">
        <v>386</v>
      </c>
      <c r="F29" s="3"/>
      <c r="G29" s="1"/>
      <c r="H29" s="184">
        <v>16346458</v>
      </c>
      <c r="I29" s="3"/>
      <c r="J29" s="198">
        <f>PRO_SUM_TT_ON_KWH</f>
        <v>7.3565000000000005E-2</v>
      </c>
      <c r="K29" s="199"/>
      <c r="L29" s="3">
        <f>ROUND((H29*J29),0)</f>
        <v>1202527</v>
      </c>
      <c r="M29" s="3"/>
      <c r="N29" s="4">
        <f>ROUND((L29/$L$56)*100,1)</f>
        <v>7.4</v>
      </c>
      <c r="O29" s="4"/>
      <c r="P29" s="3"/>
      <c r="Q29" s="3"/>
      <c r="R29" s="3">
        <f>L29+P29</f>
        <v>1202527</v>
      </c>
      <c r="S29" s="123"/>
      <c r="T29" s="42"/>
      <c r="AA29" s="123"/>
      <c r="AB29" s="123"/>
      <c r="AC29" s="123"/>
      <c r="AD29" s="123"/>
      <c r="AI29" s="123"/>
      <c r="AJ29" s="123"/>
      <c r="AL29" s="123"/>
    </row>
    <row r="30" spans="1:40" x14ac:dyDescent="0.3">
      <c r="A30" s="41">
        <v>10</v>
      </c>
      <c r="C30" s="42" t="s">
        <v>387</v>
      </c>
      <c r="F30" s="49"/>
      <c r="G30" s="1"/>
      <c r="H30" s="197">
        <v>45720250</v>
      </c>
      <c r="I30" s="159"/>
      <c r="J30" s="198">
        <f>PRO_TT_OFF</f>
        <v>6.2302999999999997E-2</v>
      </c>
      <c r="K30" s="199"/>
      <c r="L30" s="49">
        <f>ROUND((H30*J30),0)</f>
        <v>2848509</v>
      </c>
      <c r="M30" s="3"/>
      <c r="N30" s="253">
        <f>ROUND((L30/$L$56)*100,1)</f>
        <v>17.600000000000001</v>
      </c>
      <c r="O30" s="4"/>
      <c r="P30" s="49"/>
      <c r="Q30" s="3"/>
      <c r="R30" s="49">
        <f>L30+P30</f>
        <v>2848509</v>
      </c>
    </row>
    <row r="31" spans="1:40" x14ac:dyDescent="0.3">
      <c r="A31" s="41">
        <v>11</v>
      </c>
      <c r="C31" s="132" t="s">
        <v>143</v>
      </c>
      <c r="F31" s="3"/>
      <c r="G31" s="1"/>
      <c r="H31" s="49">
        <f>SUM(H29:H30)</f>
        <v>62066708</v>
      </c>
      <c r="I31" s="3"/>
      <c r="J31" s="7"/>
      <c r="K31" s="7"/>
      <c r="L31" s="49">
        <f>SUM(L29:L30)</f>
        <v>4051036</v>
      </c>
      <c r="M31" s="3"/>
      <c r="N31" s="253">
        <f>ROUND((L31/$L$56)*100,1)+0.1</f>
        <v>25.1</v>
      </c>
      <c r="O31" s="4"/>
      <c r="P31" s="49"/>
      <c r="Q31" s="3"/>
      <c r="R31" s="49">
        <f>SUM(R29:R30)</f>
        <v>4051036</v>
      </c>
    </row>
    <row r="32" spans="1:40" ht="20.100000000000001" customHeight="1" x14ac:dyDescent="0.3">
      <c r="A32" s="41">
        <v>12</v>
      </c>
      <c r="C32" s="132" t="s">
        <v>56</v>
      </c>
      <c r="F32" s="145">
        <f>F21</f>
        <v>52</v>
      </c>
      <c r="G32" s="1"/>
      <c r="H32" s="145">
        <f>H31</f>
        <v>62066708</v>
      </c>
      <c r="I32" s="3"/>
      <c r="J32" s="183"/>
      <c r="K32" s="183"/>
      <c r="L32" s="145">
        <f>L21+L26+L31</f>
        <v>5389311</v>
      </c>
      <c r="M32" s="3"/>
      <c r="N32" s="253">
        <f>ROUND((L32/$L$56)*100,1)-0.1</f>
        <v>33.199999999999996</v>
      </c>
      <c r="O32" s="4"/>
      <c r="P32" s="145"/>
      <c r="Q32" s="3"/>
      <c r="R32" s="145">
        <f>R21+R26+R31</f>
        <v>5389311</v>
      </c>
    </row>
    <row r="33" spans="1:43" x14ac:dyDescent="0.3">
      <c r="F33" s="159"/>
      <c r="G33" s="1"/>
      <c r="H33" s="159"/>
      <c r="I33" s="159"/>
      <c r="J33" s="183"/>
      <c r="K33" s="183"/>
      <c r="L33" s="3"/>
      <c r="M33" s="3"/>
      <c r="N33" s="4"/>
      <c r="O33" s="4"/>
      <c r="P33" s="3"/>
      <c r="Q33" s="3"/>
      <c r="R33" s="3"/>
    </row>
    <row r="34" spans="1:43" x14ac:dyDescent="0.3">
      <c r="A34" s="41">
        <v>13</v>
      </c>
      <c r="C34" s="132" t="s">
        <v>57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1:43" x14ac:dyDescent="0.3">
      <c r="A35" s="41">
        <v>14</v>
      </c>
      <c r="C35" s="132" t="s">
        <v>62</v>
      </c>
      <c r="F35" s="184">
        <v>104</v>
      </c>
      <c r="G35" s="1"/>
      <c r="H35" s="159"/>
      <c r="I35" s="159"/>
      <c r="J35" s="194">
        <f>J21</f>
        <v>500</v>
      </c>
      <c r="K35" s="194"/>
      <c r="L35" s="49">
        <f>ROUND(F35*J35,0)</f>
        <v>52000</v>
      </c>
      <c r="M35" s="3"/>
      <c r="N35" s="253">
        <f>ROUND((L35/L$56)*100,1)</f>
        <v>0.3</v>
      </c>
      <c r="O35" s="4"/>
      <c r="P35" s="8"/>
      <c r="Q35" s="1"/>
      <c r="R35" s="49">
        <f>L35+P35</f>
        <v>52000</v>
      </c>
    </row>
    <row r="36" spans="1:43" x14ac:dyDescent="0.3">
      <c r="C36" s="42"/>
      <c r="F36" s="159"/>
      <c r="G36" s="1"/>
      <c r="H36" s="159"/>
      <c r="I36" s="159"/>
      <c r="J36" s="193"/>
      <c r="K36" s="194"/>
      <c r="L36" s="3"/>
      <c r="M36" s="3"/>
      <c r="N36" s="4"/>
      <c r="O36" s="4"/>
      <c r="P36" s="1"/>
      <c r="Q36" s="1"/>
      <c r="R36" s="3"/>
    </row>
    <row r="37" spans="1:43" x14ac:dyDescent="0.3">
      <c r="A37" s="41">
        <v>15</v>
      </c>
      <c r="C37" s="132" t="s">
        <v>63</v>
      </c>
      <c r="F37" s="159"/>
      <c r="G37" s="1"/>
      <c r="H37" s="159"/>
      <c r="I37" s="159"/>
      <c r="J37" s="237"/>
      <c r="K37" s="248"/>
      <c r="L37" s="3"/>
      <c r="M37" s="3"/>
      <c r="N37" s="4"/>
      <c r="O37" s="4"/>
      <c r="P37" s="3"/>
      <c r="Q37" s="3"/>
      <c r="R37" s="3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66"/>
      <c r="AH37" s="40"/>
      <c r="AI37" s="40"/>
      <c r="AJ37" s="40"/>
      <c r="AK37" s="166"/>
      <c r="AL37" s="40"/>
      <c r="AM37" s="40"/>
      <c r="AN37" s="40"/>
      <c r="AO37" s="40"/>
      <c r="AP37" s="40"/>
      <c r="AQ37" s="166"/>
    </row>
    <row r="38" spans="1:43" x14ac:dyDescent="0.3">
      <c r="A38" s="41">
        <v>16</v>
      </c>
      <c r="C38" s="42" t="s">
        <v>64</v>
      </c>
      <c r="F38" s="159"/>
      <c r="G38" s="1"/>
      <c r="H38" s="184">
        <v>256942</v>
      </c>
      <c r="I38" s="159"/>
      <c r="J38" s="193">
        <f>INPUT!D131</f>
        <v>8.39</v>
      </c>
      <c r="K38" s="194"/>
      <c r="L38" s="3">
        <f>ROUND(H38*J38,0)</f>
        <v>2155743</v>
      </c>
      <c r="M38" s="3"/>
      <c r="N38" s="4">
        <f>ROUND((L38/$L$56)*100,1)</f>
        <v>13.3</v>
      </c>
      <c r="O38" s="4"/>
      <c r="P38" s="3"/>
      <c r="Q38" s="3"/>
      <c r="R38" s="3">
        <f>L38+P38</f>
        <v>2155743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166"/>
      <c r="AH38" s="40"/>
      <c r="AI38" s="40"/>
      <c r="AJ38" s="40"/>
      <c r="AK38" s="166"/>
      <c r="AL38" s="40"/>
      <c r="AM38" s="40"/>
      <c r="AN38" s="40"/>
      <c r="AO38" s="40"/>
      <c r="AP38" s="40"/>
      <c r="AQ38" s="166"/>
    </row>
    <row r="39" spans="1:43" x14ac:dyDescent="0.3">
      <c r="A39" s="41">
        <v>17</v>
      </c>
      <c r="C39" s="42" t="s">
        <v>65</v>
      </c>
      <c r="F39" s="159"/>
      <c r="G39" s="1"/>
      <c r="H39" s="197">
        <v>8487</v>
      </c>
      <c r="I39" s="159"/>
      <c r="J39" s="193">
        <f>INPUT!D132</f>
        <v>1.55</v>
      </c>
      <c r="K39" s="194"/>
      <c r="L39" s="49">
        <f>ROUND(H39*J39,0)</f>
        <v>13155</v>
      </c>
      <c r="M39" s="3"/>
      <c r="N39" s="253">
        <f>ROUND((L39/$L$56)*100,1)</f>
        <v>0.1</v>
      </c>
      <c r="O39" s="4"/>
      <c r="P39" s="49"/>
      <c r="Q39" s="3"/>
      <c r="R39" s="49">
        <f>L39+P39</f>
        <v>13155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66"/>
      <c r="AH39" s="40"/>
      <c r="AI39" s="40"/>
      <c r="AJ39" s="40"/>
      <c r="AK39" s="166"/>
      <c r="AL39" s="40"/>
      <c r="AM39" s="40"/>
      <c r="AN39" s="40"/>
      <c r="AO39" s="40"/>
      <c r="AP39" s="40"/>
      <c r="AQ39" s="166"/>
    </row>
    <row r="40" spans="1:43" ht="20.100000000000001" customHeight="1" x14ac:dyDescent="0.3">
      <c r="A40" s="41">
        <v>18</v>
      </c>
      <c r="C40" s="132" t="s">
        <v>66</v>
      </c>
      <c r="F40" s="3"/>
      <c r="G40" s="1"/>
      <c r="H40" s="49">
        <f>SUM(H38:H39)</f>
        <v>265429</v>
      </c>
      <c r="I40" s="3"/>
      <c r="J40" s="219"/>
      <c r="K40" s="7"/>
      <c r="L40" s="49">
        <f>L38+L39</f>
        <v>2168898</v>
      </c>
      <c r="M40" s="3"/>
      <c r="N40" s="253">
        <f>ROUND((L40/$L$56)*100,1)</f>
        <v>13.4</v>
      </c>
      <c r="O40" s="4"/>
      <c r="P40" s="49"/>
      <c r="Q40" s="3"/>
      <c r="R40" s="49">
        <f>L40+P40</f>
        <v>2168898</v>
      </c>
      <c r="AO40" s="42"/>
      <c r="AP40" s="42"/>
    </row>
    <row r="41" spans="1:43" x14ac:dyDescent="0.3">
      <c r="C41" s="42"/>
      <c r="F41" s="3"/>
      <c r="G41" s="1"/>
      <c r="H41" s="3"/>
      <c r="I41" s="3"/>
      <c r="J41" s="219"/>
      <c r="K41" s="7"/>
      <c r="L41" s="3"/>
      <c r="M41" s="3"/>
      <c r="N41" s="4"/>
      <c r="O41" s="4"/>
      <c r="P41" s="3"/>
      <c r="Q41" s="3"/>
      <c r="R41" s="3"/>
      <c r="AO41" s="42"/>
      <c r="AP41" s="42"/>
    </row>
    <row r="42" spans="1:43" x14ac:dyDescent="0.3">
      <c r="A42" s="41">
        <v>19</v>
      </c>
      <c r="C42" s="132" t="s">
        <v>374</v>
      </c>
      <c r="F42" s="3"/>
      <c r="G42" s="1"/>
      <c r="H42" s="3"/>
      <c r="I42" s="3"/>
      <c r="J42" s="219"/>
      <c r="K42" s="7"/>
      <c r="L42" s="3"/>
      <c r="M42" s="3"/>
      <c r="N42" s="4"/>
      <c r="O42" s="4"/>
      <c r="P42" s="3"/>
      <c r="Q42" s="3"/>
      <c r="R42" s="3"/>
      <c r="T42" s="42"/>
    </row>
    <row r="43" spans="1:43" x14ac:dyDescent="0.3">
      <c r="A43" s="41">
        <v>20</v>
      </c>
      <c r="C43" s="42" t="s">
        <v>386</v>
      </c>
      <c r="F43" s="3"/>
      <c r="G43" s="1"/>
      <c r="H43" s="184">
        <v>32710232</v>
      </c>
      <c r="I43" s="3"/>
      <c r="J43" s="198">
        <f>PRO_WIN_TT_ON_KWH</f>
        <v>7.0743E-2</v>
      </c>
      <c r="K43" s="7"/>
      <c r="L43" s="3">
        <f>ROUND((H43*J43),0)</f>
        <v>2314020</v>
      </c>
      <c r="M43" s="3"/>
      <c r="N43" s="4">
        <f>ROUND((L43/$L$56)*100,1)</f>
        <v>14.3</v>
      </c>
      <c r="O43" s="4"/>
      <c r="P43" s="3"/>
      <c r="Q43" s="3"/>
      <c r="R43" s="3">
        <f>L43+P43</f>
        <v>2314020</v>
      </c>
      <c r="T43" s="42"/>
    </row>
    <row r="44" spans="1:43" x14ac:dyDescent="0.3">
      <c r="A44" s="41">
        <v>21</v>
      </c>
      <c r="C44" s="42" t="s">
        <v>387</v>
      </c>
      <c r="F44" s="49"/>
      <c r="G44" s="1"/>
      <c r="H44" s="197">
        <v>90686117</v>
      </c>
      <c r="I44" s="159"/>
      <c r="J44" s="198">
        <f>PRO_TT_OFF</f>
        <v>6.2302999999999997E-2</v>
      </c>
      <c r="K44" s="199"/>
      <c r="L44" s="49">
        <f>ROUND((H44*J44),0)</f>
        <v>5650017</v>
      </c>
      <c r="M44" s="3"/>
      <c r="N44" s="253">
        <f>ROUND((L44/$L$56)*100,1)</f>
        <v>34.9</v>
      </c>
      <c r="O44" s="4"/>
      <c r="P44" s="49"/>
      <c r="Q44" s="3"/>
      <c r="R44" s="49">
        <f>L44+P44</f>
        <v>5650017</v>
      </c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166"/>
      <c r="AH44" s="40"/>
      <c r="AI44" s="40"/>
      <c r="AJ44" s="40"/>
      <c r="AK44" s="166"/>
      <c r="AL44" s="40"/>
      <c r="AM44" s="40"/>
      <c r="AN44" s="40"/>
      <c r="AO44" s="40"/>
      <c r="AP44" s="40"/>
      <c r="AQ44" s="166"/>
    </row>
    <row r="45" spans="1:43" x14ac:dyDescent="0.3">
      <c r="A45" s="41">
        <v>22</v>
      </c>
      <c r="C45" s="132" t="s">
        <v>143</v>
      </c>
      <c r="F45" s="3"/>
      <c r="G45" s="1"/>
      <c r="H45" s="49">
        <f>SUM(H43:H44)</f>
        <v>123396349</v>
      </c>
      <c r="I45" s="3"/>
      <c r="J45" s="7"/>
      <c r="K45" s="7"/>
      <c r="L45" s="49">
        <f>SUM(L43:L44)</f>
        <v>7964037</v>
      </c>
      <c r="M45" s="3"/>
      <c r="N45" s="253">
        <f>ROUND((L45/$L$56)*100,1)</f>
        <v>49.2</v>
      </c>
      <c r="O45" s="4"/>
      <c r="P45" s="49"/>
      <c r="Q45" s="3"/>
      <c r="R45" s="49">
        <f>SUM(R43:R44)</f>
        <v>7964037</v>
      </c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166"/>
      <c r="AH45" s="40"/>
      <c r="AI45" s="40"/>
      <c r="AJ45" s="40"/>
      <c r="AK45" s="166"/>
      <c r="AL45" s="40"/>
      <c r="AM45" s="40"/>
      <c r="AN45" s="40"/>
      <c r="AO45" s="40"/>
      <c r="AP45" s="40"/>
      <c r="AQ45" s="166"/>
    </row>
    <row r="46" spans="1:43" ht="20.100000000000001" customHeight="1" x14ac:dyDescent="0.3">
      <c r="A46" s="41">
        <v>23</v>
      </c>
      <c r="C46" s="132" t="s">
        <v>58</v>
      </c>
      <c r="F46" s="145">
        <f>F35</f>
        <v>104</v>
      </c>
      <c r="G46" s="1"/>
      <c r="H46" s="145">
        <f>H45</f>
        <v>123396349</v>
      </c>
      <c r="I46" s="3"/>
      <c r="J46" s="183"/>
      <c r="K46" s="183"/>
      <c r="L46" s="145">
        <f>L35+L40+L45</f>
        <v>10184935</v>
      </c>
      <c r="M46" s="3"/>
      <c r="N46" s="253">
        <f>ROUND((L46/$L$56)*100,1)</f>
        <v>62.9</v>
      </c>
      <c r="O46" s="4"/>
      <c r="P46" s="145"/>
      <c r="Q46" s="3"/>
      <c r="R46" s="145">
        <f>R35+R40+R45</f>
        <v>10184935</v>
      </c>
      <c r="AC46" s="44"/>
      <c r="AD46" s="44"/>
      <c r="AE46" s="44"/>
      <c r="AF46" s="44"/>
      <c r="AG46" s="168"/>
      <c r="AH46" s="44"/>
      <c r="AI46" s="44"/>
      <c r="AJ46" s="44"/>
      <c r="AK46" s="168"/>
      <c r="AL46" s="44"/>
      <c r="AO46" s="44"/>
      <c r="AP46" s="44"/>
      <c r="AQ46" s="168"/>
    </row>
    <row r="47" spans="1:43" ht="20.100000000000001" customHeight="1" x14ac:dyDescent="0.3">
      <c r="A47" s="41">
        <v>24</v>
      </c>
      <c r="C47" s="178" t="s">
        <v>454</v>
      </c>
      <c r="F47" s="145">
        <f>F32+F46</f>
        <v>156</v>
      </c>
      <c r="G47" s="1"/>
      <c r="H47" s="145">
        <f>H46+H32</f>
        <v>185463057</v>
      </c>
      <c r="I47" s="3"/>
      <c r="J47" s="183"/>
      <c r="K47" s="183"/>
      <c r="L47" s="145">
        <f>L46+L32</f>
        <v>15574246</v>
      </c>
      <c r="M47" s="3"/>
      <c r="N47" s="211">
        <f>ROUND((L47/L$56)*100,1)</f>
        <v>96.2</v>
      </c>
      <c r="O47" s="4"/>
      <c r="P47" s="145"/>
      <c r="Q47" s="3"/>
      <c r="R47" s="145">
        <f>R46+R32</f>
        <v>15574246</v>
      </c>
      <c r="AC47" s="44"/>
      <c r="AD47" s="44"/>
      <c r="AE47" s="44"/>
      <c r="AF47" s="44"/>
      <c r="AG47" s="168"/>
      <c r="AH47" s="44"/>
      <c r="AI47" s="44"/>
      <c r="AJ47" s="44"/>
      <c r="AK47" s="168"/>
      <c r="AL47" s="44"/>
      <c r="AO47" s="44"/>
      <c r="AP47" s="44"/>
      <c r="AQ47" s="168"/>
    </row>
    <row r="48" spans="1:43" ht="15.75" customHeight="1" x14ac:dyDescent="0.3">
      <c r="C48" s="42"/>
      <c r="F48" s="3"/>
      <c r="G48" s="1"/>
      <c r="H48" s="3"/>
      <c r="I48" s="3"/>
      <c r="J48" s="183"/>
      <c r="K48" s="183"/>
      <c r="L48" s="3"/>
      <c r="M48" s="3"/>
      <c r="N48" s="4"/>
      <c r="O48" s="4"/>
      <c r="P48" s="3"/>
      <c r="Q48" s="3"/>
      <c r="R48" s="3"/>
      <c r="AC48" s="44"/>
      <c r="AD48" s="44"/>
      <c r="AE48" s="44"/>
      <c r="AF48" s="44"/>
      <c r="AG48" s="168"/>
      <c r="AH48" s="44"/>
      <c r="AI48" s="44"/>
      <c r="AJ48" s="44"/>
      <c r="AK48" s="168"/>
      <c r="AL48" s="44"/>
      <c r="AO48" s="44"/>
      <c r="AP48" s="44"/>
      <c r="AQ48" s="168"/>
    </row>
    <row r="49" spans="1:76" ht="15.75" customHeight="1" x14ac:dyDescent="0.3">
      <c r="A49" s="41">
        <v>25</v>
      </c>
      <c r="C49" s="132" t="s">
        <v>432</v>
      </c>
      <c r="F49" s="3"/>
      <c r="G49" s="1"/>
      <c r="H49" s="3"/>
      <c r="I49" s="3"/>
      <c r="J49" s="183"/>
      <c r="K49" s="183"/>
      <c r="L49" s="3"/>
      <c r="M49" s="3"/>
      <c r="N49" s="4"/>
      <c r="O49" s="4"/>
      <c r="P49" s="3"/>
      <c r="Q49" s="3"/>
      <c r="R49" s="3"/>
      <c r="AC49" s="44"/>
      <c r="AD49" s="44"/>
      <c r="AE49" s="44"/>
      <c r="AF49" s="44"/>
      <c r="AG49" s="168"/>
      <c r="AH49" s="44"/>
      <c r="AI49" s="44"/>
      <c r="AJ49" s="44"/>
      <c r="AK49" s="168"/>
      <c r="AL49" s="44"/>
      <c r="AO49" s="44"/>
      <c r="AP49" s="44"/>
      <c r="AQ49" s="168"/>
    </row>
    <row r="50" spans="1:76" ht="15.75" customHeight="1" x14ac:dyDescent="0.3">
      <c r="A50" s="41">
        <v>26</v>
      </c>
      <c r="C50" s="192" t="str">
        <f>DSMR_Name</f>
        <v>DEMAND SIDE MANAGEMENT RIDER (DSMR)</v>
      </c>
      <c r="F50" s="3"/>
      <c r="G50" s="1"/>
      <c r="H50" s="3"/>
      <c r="I50" s="3"/>
      <c r="J50" s="205">
        <f>PRO_DSM_TRANS</f>
        <v>5.1400000000000003E-4</v>
      </c>
      <c r="K50" s="183"/>
      <c r="L50" s="3">
        <f>ROUND($H$47*J50,0)</f>
        <v>95328</v>
      </c>
      <c r="M50" s="3"/>
      <c r="N50" s="175">
        <f>ROUND((L50/L$56)*100,1)</f>
        <v>0.6</v>
      </c>
      <c r="O50" s="4"/>
      <c r="P50" s="3"/>
      <c r="Q50" s="3"/>
      <c r="R50" s="3">
        <f>L50+P50</f>
        <v>95328</v>
      </c>
      <c r="AC50" s="44"/>
      <c r="AD50" s="44"/>
      <c r="AE50" s="44"/>
      <c r="AF50" s="44"/>
      <c r="AG50" s="168"/>
      <c r="AH50" s="44"/>
      <c r="AI50" s="44"/>
      <c r="AJ50" s="44"/>
      <c r="AK50" s="168"/>
      <c r="AL50" s="44"/>
      <c r="AO50" s="44"/>
      <c r="AP50" s="44"/>
      <c r="AQ50" s="168"/>
    </row>
    <row r="51" spans="1:76" ht="15.75" customHeight="1" x14ac:dyDescent="0.3">
      <c r="A51" s="41">
        <v>27</v>
      </c>
      <c r="C51" s="192" t="str">
        <f>ESM_Name</f>
        <v>ENVIRONMENTAL SURCHARGE MECHANISM RIDER (ESM)</v>
      </c>
      <c r="F51" s="3"/>
      <c r="G51" s="1"/>
      <c r="H51" s="3"/>
      <c r="I51" s="3"/>
      <c r="J51" s="198">
        <f>PRO_ESM_NONRES</f>
        <v>5.7995821086186533E-3</v>
      </c>
      <c r="K51" s="183"/>
      <c r="L51" s="3">
        <f>ROUND((R47-(PRO_BASE_FUEL*H47)+R50+R53)*J51,0)</f>
        <v>57205</v>
      </c>
      <c r="M51" s="3"/>
      <c r="N51" s="175">
        <f>ROUND((L51/L$56)*100,1)</f>
        <v>0.4</v>
      </c>
      <c r="O51" s="4"/>
      <c r="P51" s="3"/>
      <c r="Q51" s="3"/>
      <c r="R51" s="3">
        <f>L51+P51</f>
        <v>57205</v>
      </c>
      <c r="AC51" s="44"/>
      <c r="AD51" s="44"/>
      <c r="AE51" s="44"/>
      <c r="AF51" s="44"/>
      <c r="AG51" s="168"/>
      <c r="AH51" s="44"/>
      <c r="AI51" s="44"/>
      <c r="AJ51" s="44"/>
      <c r="AK51" s="168"/>
      <c r="AL51" s="44"/>
      <c r="AO51" s="44"/>
      <c r="AP51" s="44"/>
      <c r="AQ51" s="168"/>
    </row>
    <row r="52" spans="1:76" ht="15.75" customHeight="1" x14ac:dyDescent="0.3">
      <c r="A52" s="41">
        <v>28</v>
      </c>
      <c r="C52" s="192" t="str">
        <f>FAC_Name</f>
        <v>FUEL ADJUSTMENT CLAUSE (FAC)</v>
      </c>
      <c r="F52" s="3"/>
      <c r="G52" s="1"/>
      <c r="H52" s="3"/>
      <c r="I52" s="3"/>
      <c r="J52" s="205">
        <f>PRO_FAC</f>
        <v>3.4872127999999998E-3</v>
      </c>
      <c r="K52" s="183"/>
      <c r="L52" s="3"/>
      <c r="M52" s="3"/>
      <c r="N52" s="175"/>
      <c r="O52" s="4"/>
      <c r="P52" s="3">
        <f>ROUND(H47*PRO_FAC,0)</f>
        <v>646749</v>
      </c>
      <c r="Q52" s="3"/>
      <c r="R52" s="3">
        <f>L52+P52</f>
        <v>646749</v>
      </c>
      <c r="AC52" s="44"/>
      <c r="AD52" s="44"/>
      <c r="AE52" s="44"/>
      <c r="AF52" s="44"/>
      <c r="AG52" s="168"/>
      <c r="AH52" s="44"/>
      <c r="AI52" s="44"/>
      <c r="AJ52" s="44"/>
      <c r="AK52" s="168"/>
      <c r="AL52" s="44"/>
      <c r="AO52" s="44"/>
      <c r="AP52" s="44"/>
      <c r="AQ52" s="168"/>
    </row>
    <row r="53" spans="1:76" ht="15.75" customHeight="1" x14ac:dyDescent="0.3">
      <c r="A53" s="41">
        <v>29</v>
      </c>
      <c r="C53" s="192" t="str">
        <f>PSM_Name</f>
        <v>PROFIT SHARING MECHANISM (PSM)</v>
      </c>
      <c r="F53" s="3"/>
      <c r="G53" s="1"/>
      <c r="H53" s="3"/>
      <c r="I53" s="3"/>
      <c r="J53" s="205">
        <f>PRO_PSM</f>
        <v>2.4750000000000002E-3</v>
      </c>
      <c r="K53" s="183"/>
      <c r="L53" s="49">
        <f>ROUND(H47*PRO_PSM,0)</f>
        <v>459021</v>
      </c>
      <c r="M53" s="3"/>
      <c r="N53" s="177">
        <f>ROUND((L53/L$56)*100,1)</f>
        <v>2.8</v>
      </c>
      <c r="O53" s="4"/>
      <c r="P53" s="49"/>
      <c r="Q53" s="3"/>
      <c r="R53" s="49">
        <f>L53+P53</f>
        <v>459021</v>
      </c>
      <c r="AC53" s="44"/>
      <c r="AD53" s="44"/>
      <c r="AE53" s="44"/>
      <c r="AF53" s="44"/>
      <c r="AG53" s="168"/>
      <c r="AH53" s="44"/>
      <c r="AI53" s="44"/>
      <c r="AJ53" s="44"/>
      <c r="AK53" s="168"/>
      <c r="AL53" s="44"/>
      <c r="AO53" s="44"/>
      <c r="AP53" s="44"/>
      <c r="AQ53" s="168"/>
    </row>
    <row r="54" spans="1:76" ht="20.100000000000001" customHeight="1" x14ac:dyDescent="0.3">
      <c r="A54" s="41">
        <v>30</v>
      </c>
      <c r="C54" s="132" t="s">
        <v>437</v>
      </c>
      <c r="F54" s="49"/>
      <c r="G54" s="1"/>
      <c r="H54" s="49"/>
      <c r="I54" s="3"/>
      <c r="J54" s="183"/>
      <c r="K54" s="183"/>
      <c r="L54" s="145">
        <f>SUM(L50:L53)</f>
        <v>611554</v>
      </c>
      <c r="M54" s="3"/>
      <c r="N54" s="180">
        <f>ROUND((L54/L$56)*100,1)</f>
        <v>3.8</v>
      </c>
      <c r="O54" s="4"/>
      <c r="P54" s="145">
        <f>SUM(P50:P53)</f>
        <v>646749</v>
      </c>
      <c r="Q54" s="3"/>
      <c r="R54" s="145">
        <f>SUM(R50:R53)</f>
        <v>1258303</v>
      </c>
      <c r="AC54" s="44"/>
      <c r="AD54" s="44"/>
      <c r="AE54" s="44"/>
      <c r="AF54" s="44"/>
      <c r="AG54" s="168"/>
      <c r="AH54" s="44"/>
      <c r="AI54" s="44"/>
      <c r="AJ54" s="44"/>
      <c r="AK54" s="168"/>
      <c r="AL54" s="44"/>
      <c r="AO54" s="44"/>
      <c r="AP54" s="44"/>
      <c r="AQ54" s="168"/>
    </row>
    <row r="55" spans="1:76" x14ac:dyDescent="0.3">
      <c r="C55" s="42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T55" s="44"/>
      <c r="V55" s="44"/>
      <c r="W55" s="44"/>
      <c r="X55" s="44"/>
      <c r="Y55" s="44"/>
      <c r="AA55" s="44"/>
      <c r="AB55" s="44"/>
      <c r="AC55" s="44"/>
      <c r="AD55" s="44"/>
      <c r="AE55" s="44"/>
      <c r="AF55" s="44"/>
      <c r="AG55" s="168"/>
      <c r="AH55" s="44"/>
      <c r="AI55" s="44"/>
      <c r="AJ55" s="44"/>
      <c r="AK55" s="168"/>
      <c r="AL55" s="44"/>
      <c r="AM55" s="44"/>
      <c r="AN55" s="44"/>
      <c r="AO55" s="44"/>
      <c r="AP55" s="44"/>
      <c r="AQ55" s="168"/>
      <c r="AS55" s="123"/>
      <c r="AT55" s="123"/>
      <c r="AU55" s="160"/>
      <c r="BX55" s="222"/>
    </row>
    <row r="56" spans="1:76" ht="20.100000000000001" customHeight="1" thickBot="1" x14ac:dyDescent="0.35">
      <c r="A56" s="41">
        <v>31</v>
      </c>
      <c r="C56" s="178" t="s">
        <v>455</v>
      </c>
      <c r="F56" s="151">
        <f>F32+F46</f>
        <v>156</v>
      </c>
      <c r="G56" s="1"/>
      <c r="H56" s="151">
        <f>H32+H46</f>
        <v>185463057</v>
      </c>
      <c r="I56" s="3"/>
      <c r="J56" s="1"/>
      <c r="K56" s="1"/>
      <c r="L56" s="151">
        <f>L54+L47</f>
        <v>16185800</v>
      </c>
      <c r="M56" s="3"/>
      <c r="N56" s="218">
        <v>100</v>
      </c>
      <c r="O56" s="4"/>
      <c r="P56" s="151">
        <f>P54+P47</f>
        <v>646749</v>
      </c>
      <c r="Q56" s="159"/>
      <c r="R56" s="151">
        <f>R54+R47</f>
        <v>16832549</v>
      </c>
      <c r="V56" s="44"/>
      <c r="W56" s="44"/>
      <c r="X56" s="44"/>
      <c r="Y56" s="44"/>
      <c r="AA56" s="44"/>
      <c r="AB56" s="44"/>
      <c r="AC56" s="44"/>
      <c r="AD56" s="44"/>
      <c r="AE56" s="44"/>
      <c r="AF56" s="44"/>
      <c r="AG56" s="168"/>
      <c r="AH56" s="44"/>
      <c r="AI56" s="44"/>
      <c r="AJ56" s="44"/>
      <c r="AK56" s="168"/>
      <c r="AL56" s="44"/>
      <c r="AM56" s="44"/>
      <c r="AN56" s="44"/>
      <c r="AO56" s="44"/>
      <c r="AP56" s="44"/>
      <c r="AQ56" s="168"/>
      <c r="AS56" s="123"/>
      <c r="AT56" s="123"/>
      <c r="AU56" s="160"/>
    </row>
    <row r="57" spans="1:76" ht="16.2" thickTop="1" x14ac:dyDescent="0.3"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AA57" s="44"/>
      <c r="AB57" s="44"/>
      <c r="AC57" s="44"/>
      <c r="AD57" s="44"/>
      <c r="AE57" s="44"/>
      <c r="AF57" s="44"/>
      <c r="AG57" s="168"/>
      <c r="AH57" s="44"/>
      <c r="AI57" s="44"/>
      <c r="AJ57" s="44"/>
      <c r="AK57" s="168"/>
      <c r="AL57" s="44"/>
      <c r="AM57" s="44"/>
      <c r="AN57" s="44"/>
      <c r="AO57" s="44"/>
      <c r="AP57" s="44"/>
      <c r="AQ57" s="168"/>
      <c r="AS57" s="123"/>
      <c r="AT57" s="123"/>
      <c r="AU57" s="235"/>
    </row>
    <row r="58" spans="1:76" x14ac:dyDescent="0.3">
      <c r="C58" s="132" t="s">
        <v>59</v>
      </c>
      <c r="F58" s="1"/>
      <c r="G58" s="1"/>
      <c r="H58" s="1"/>
      <c r="I58" s="1"/>
      <c r="J58" s="1"/>
      <c r="K58" s="1"/>
      <c r="L58" s="3"/>
      <c r="M58" s="3"/>
      <c r="N58" s="3"/>
      <c r="O58" s="3"/>
      <c r="P58" s="3"/>
      <c r="Q58" s="3"/>
      <c r="R58" s="3"/>
      <c r="V58" s="42"/>
      <c r="W58" s="42"/>
      <c r="X58" s="42"/>
      <c r="AS58" s="123"/>
      <c r="AT58" s="123"/>
      <c r="AU58" s="160"/>
    </row>
    <row r="59" spans="1:76" x14ac:dyDescent="0.3">
      <c r="C59" s="132" t="str">
        <f>"(2) REFLECTS FUEL COMPONENT OF "&amp;TEXT(PRO_FAC,"$0.000000;($0.000000)")&amp;"  PER KWH."</f>
        <v>(2) REFLECTS FUEL COMPONENT OF $0.003487  PER KWH.</v>
      </c>
      <c r="F59" s="1"/>
      <c r="G59" s="1"/>
      <c r="H59" s="1"/>
      <c r="I59" s="1"/>
      <c r="J59" s="1"/>
      <c r="K59" s="1"/>
      <c r="L59" s="3"/>
      <c r="M59" s="3"/>
      <c r="N59" s="3"/>
      <c r="O59" s="3"/>
      <c r="P59" s="3"/>
      <c r="Q59" s="3"/>
      <c r="R59" s="3"/>
      <c r="V59" s="42"/>
      <c r="W59" s="42"/>
      <c r="X59" s="42"/>
      <c r="AS59" s="123"/>
      <c r="AT59" s="123"/>
      <c r="AU59" s="160"/>
    </row>
    <row r="60" spans="1:76" x14ac:dyDescent="0.3">
      <c r="A60" s="42"/>
      <c r="C60" s="132" t="str">
        <f>"(3) REFLECTS FUEL COST RECOVERY INCLUDED IN BASE RATES OF "&amp;TEXT(PRO_BASE_FUEL,"$0.000000;($0.000000)")&amp;"  PER KWH."</f>
        <v>(3) REFLECTS FUEL COST RECOVERY INCLUDED IN BASE RATES OF $0.033780  PER KWH.</v>
      </c>
      <c r="W60" s="42"/>
      <c r="X60" s="42"/>
      <c r="AS60" s="123"/>
      <c r="AT60" s="123"/>
      <c r="AU60" s="160"/>
    </row>
    <row r="61" spans="1:76" x14ac:dyDescent="0.3">
      <c r="C61" s="42"/>
      <c r="F61" s="123"/>
      <c r="H61" s="123"/>
      <c r="I61" s="123"/>
      <c r="J61" s="219"/>
      <c r="K61" s="219"/>
      <c r="L61" s="123"/>
      <c r="M61" s="123"/>
      <c r="N61" s="160"/>
      <c r="O61" s="160"/>
      <c r="P61" s="123"/>
      <c r="Q61" s="123"/>
      <c r="R61" s="123"/>
      <c r="AS61" s="123"/>
      <c r="AT61" s="123"/>
      <c r="AU61" s="160"/>
    </row>
    <row r="62" spans="1:76" x14ac:dyDescent="0.3">
      <c r="F62" s="210"/>
      <c r="H62" s="210"/>
      <c r="I62" s="210"/>
      <c r="J62" s="213"/>
      <c r="K62" s="213"/>
      <c r="L62" s="210"/>
      <c r="M62" s="210"/>
      <c r="N62" s="210"/>
      <c r="O62" s="210"/>
      <c r="P62" s="210"/>
      <c r="Q62" s="210"/>
      <c r="R62" s="210"/>
      <c r="V62" s="42"/>
      <c r="Y62" s="123"/>
      <c r="AC62" s="209"/>
      <c r="AD62" s="209"/>
      <c r="AE62" s="123"/>
      <c r="AF62" s="123"/>
      <c r="AO62" s="123"/>
      <c r="AP62" s="123"/>
      <c r="AS62" s="123"/>
      <c r="AT62" s="123"/>
      <c r="AU62" s="160"/>
    </row>
    <row r="63" spans="1:76" x14ac:dyDescent="0.3">
      <c r="C63" s="42"/>
      <c r="F63" s="123"/>
      <c r="H63" s="123"/>
      <c r="I63" s="123"/>
      <c r="J63" s="219"/>
      <c r="K63" s="219"/>
      <c r="L63" s="123"/>
      <c r="M63" s="123"/>
      <c r="N63" s="160"/>
      <c r="O63" s="160"/>
      <c r="P63" s="123"/>
      <c r="Q63" s="123"/>
      <c r="R63" s="123"/>
      <c r="Y63" s="123"/>
      <c r="AO63" s="123"/>
      <c r="AP63" s="123"/>
      <c r="AS63" s="123"/>
      <c r="AT63" s="123"/>
      <c r="AU63" s="160"/>
    </row>
    <row r="64" spans="1:76" x14ac:dyDescent="0.3">
      <c r="A64" s="42"/>
      <c r="F64" s="123"/>
      <c r="H64" s="123"/>
      <c r="I64" s="123"/>
      <c r="K64" s="219"/>
      <c r="L64" s="123"/>
      <c r="M64" s="123"/>
      <c r="N64" s="123"/>
      <c r="O64" s="123"/>
      <c r="P64" s="123"/>
      <c r="Q64" s="123"/>
      <c r="R64" s="123"/>
      <c r="V64" s="42"/>
      <c r="Y64" s="123"/>
      <c r="AA64" s="123"/>
      <c r="AB64" s="123"/>
      <c r="AC64" s="193"/>
      <c r="AD64" s="193"/>
      <c r="AE64" s="123"/>
      <c r="AF64" s="123"/>
      <c r="AH64" s="160"/>
      <c r="AI64" s="123"/>
      <c r="AJ64" s="123"/>
      <c r="AL64" s="236"/>
      <c r="AM64" s="123"/>
      <c r="AN64" s="123"/>
      <c r="AO64" s="123"/>
      <c r="AP64" s="123"/>
      <c r="AR64" s="123"/>
      <c r="AS64" s="123"/>
      <c r="AT64" s="123"/>
      <c r="AU64" s="160"/>
    </row>
    <row r="65" spans="1:47" x14ac:dyDescent="0.3">
      <c r="L65" s="123"/>
      <c r="M65" s="123"/>
      <c r="N65" s="123"/>
      <c r="O65" s="123"/>
      <c r="P65" s="123"/>
      <c r="Q65" s="123"/>
      <c r="R65" s="123"/>
      <c r="T65" s="40" t="str">
        <f>NAME</f>
        <v>DUKE ENERGY KENTUCKY, INC.</v>
      </c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166"/>
      <c r="AH65" s="40"/>
      <c r="AI65" s="40"/>
      <c r="AJ65" s="40"/>
      <c r="AK65" s="166"/>
      <c r="AL65" s="40"/>
      <c r="AM65" s="40"/>
      <c r="AN65" s="40"/>
      <c r="AO65" s="40"/>
      <c r="AP65" s="40"/>
      <c r="AQ65" s="166"/>
      <c r="AR65" s="123"/>
      <c r="AS65" s="123"/>
      <c r="AT65" s="123"/>
      <c r="AU65" s="160"/>
    </row>
    <row r="66" spans="1:47" x14ac:dyDescent="0.3">
      <c r="L66" s="123"/>
      <c r="M66" s="123"/>
      <c r="N66" s="123"/>
      <c r="O66" s="123"/>
      <c r="P66" s="123"/>
      <c r="Q66" s="123"/>
      <c r="R66" s="123"/>
      <c r="T66" s="40" t="str">
        <f>CASE_NO</f>
        <v>CASE NO.   2024-00354</v>
      </c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166"/>
      <c r="AH66" s="40"/>
      <c r="AI66" s="40"/>
      <c r="AJ66" s="40"/>
      <c r="AK66" s="166"/>
      <c r="AL66" s="40"/>
      <c r="AM66" s="40"/>
      <c r="AN66" s="40"/>
      <c r="AO66" s="40"/>
      <c r="AP66" s="40"/>
      <c r="AQ66" s="166"/>
      <c r="AR66" s="123"/>
      <c r="AS66" s="123"/>
      <c r="AT66" s="123"/>
      <c r="AU66" s="160"/>
    </row>
    <row r="67" spans="1:47" x14ac:dyDescent="0.3">
      <c r="H67" s="42"/>
      <c r="I67" s="42"/>
      <c r="T67" s="40" t="str">
        <f>TITLE</f>
        <v>ANNUALIZED TEST YEAR REVENUES AT REHEARING ORDER CALCULATED VS. MOST CURRENT RATES</v>
      </c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166"/>
      <c r="AH67" s="40"/>
      <c r="AI67" s="40"/>
      <c r="AJ67" s="40"/>
      <c r="AK67" s="166"/>
      <c r="AL67" s="40"/>
      <c r="AM67" s="40"/>
      <c r="AN67" s="40"/>
      <c r="AO67" s="40"/>
      <c r="AP67" s="40"/>
      <c r="AQ67" s="166"/>
      <c r="AR67" s="123"/>
    </row>
    <row r="68" spans="1:47" x14ac:dyDescent="0.3">
      <c r="L68" s="42"/>
      <c r="M68" s="42"/>
      <c r="T68" s="40" t="str">
        <f>DATE</f>
        <v>FOR THE TWELVE MONTHS ENDED June 30, 2026</v>
      </c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166"/>
      <c r="AH68" s="40"/>
      <c r="AI68" s="40"/>
      <c r="AJ68" s="40"/>
      <c r="AK68" s="166"/>
      <c r="AL68" s="40"/>
      <c r="AM68" s="40"/>
      <c r="AN68" s="40"/>
      <c r="AO68" s="40"/>
      <c r="AP68" s="40"/>
      <c r="AQ68" s="166"/>
      <c r="AR68" s="184"/>
    </row>
    <row r="69" spans="1:47" x14ac:dyDescent="0.3">
      <c r="R69" s="42"/>
      <c r="T69" s="40" t="str">
        <f>SERVICE</f>
        <v>(ELECTRIC SERVICE)</v>
      </c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166"/>
      <c r="AH69" s="40"/>
      <c r="AI69" s="40"/>
      <c r="AJ69" s="40"/>
      <c r="AK69" s="166"/>
      <c r="AL69" s="40"/>
      <c r="AM69" s="40"/>
      <c r="AN69" s="40"/>
      <c r="AO69" s="40"/>
      <c r="AP69" s="40"/>
      <c r="AQ69" s="166"/>
      <c r="AR69" s="184"/>
    </row>
    <row r="70" spans="1:47" x14ac:dyDescent="0.3">
      <c r="R70" s="42"/>
      <c r="T70" s="41" t="str">
        <f>DATA_PERIOD</f>
        <v>DATA: ____ BASE PERIOD   __X__FORECASTED PERIOD</v>
      </c>
      <c r="AO70" s="42" t="s">
        <v>158</v>
      </c>
      <c r="AP70" s="42"/>
      <c r="AR70" s="123"/>
    </row>
    <row r="71" spans="1:47" x14ac:dyDescent="0.3">
      <c r="A71" s="42"/>
      <c r="R71" s="42"/>
      <c r="T71" s="41" t="str">
        <f>TYPE</f>
        <v>TYPE OF FILING: _X_ ORIGINAL   ___UPDATED  ___ REVISED</v>
      </c>
      <c r="AO71" s="45" t="str">
        <f>"PAGE 9 OF "&amp;TEXT(Page_Num_2.2,"00")</f>
        <v>PAGE 9 OF 24</v>
      </c>
      <c r="AP71" s="42"/>
      <c r="AR71" s="123"/>
    </row>
    <row r="72" spans="1:47" x14ac:dyDescent="0.3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T72" s="42" t="s">
        <v>171</v>
      </c>
      <c r="AO72" s="42" t="s">
        <v>3</v>
      </c>
      <c r="AP72" s="42"/>
    </row>
    <row r="73" spans="1:47" x14ac:dyDescent="0.3">
      <c r="L73" s="44"/>
      <c r="M73" s="44"/>
      <c r="N73" s="44"/>
      <c r="O73" s="44"/>
      <c r="R73" s="44"/>
      <c r="T73" s="153" t="str">
        <f>TIME</f>
        <v>12 Months Projected with Riders</v>
      </c>
      <c r="AF73" s="42"/>
      <c r="AO73" s="41" t="str">
        <f>WIT</f>
        <v>B. L. Sailers</v>
      </c>
    </row>
    <row r="74" spans="1:47" x14ac:dyDescent="0.3">
      <c r="L74" s="44"/>
      <c r="M74" s="44"/>
      <c r="N74" s="44"/>
      <c r="O74" s="44"/>
      <c r="R74" s="44"/>
      <c r="T74" s="153" t="str">
        <f>INPUT!B5</f>
        <v xml:space="preserve"> </v>
      </c>
      <c r="AF74" s="42"/>
    </row>
    <row r="75" spans="1:47" x14ac:dyDescent="0.3">
      <c r="L75" s="44"/>
      <c r="M75" s="44"/>
      <c r="N75" s="44"/>
      <c r="O75" s="44"/>
      <c r="R75" s="44"/>
      <c r="T75" s="40" t="s">
        <v>131</v>
      </c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166"/>
      <c r="AH75" s="40"/>
      <c r="AI75" s="40"/>
      <c r="AJ75" s="40"/>
      <c r="AK75" s="166"/>
      <c r="AL75" s="40"/>
      <c r="AM75" s="40"/>
      <c r="AN75" s="40"/>
      <c r="AO75" s="40"/>
      <c r="AP75" s="40"/>
      <c r="AQ75" s="166"/>
    </row>
    <row r="76" spans="1:47" x14ac:dyDescent="0.3">
      <c r="C76" s="44"/>
      <c r="D76" s="44"/>
      <c r="E76" s="44"/>
      <c r="F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43"/>
      <c r="AF76" s="43"/>
      <c r="AG76" s="167"/>
      <c r="AH76" s="43"/>
      <c r="AI76" s="43"/>
      <c r="AJ76" s="43"/>
      <c r="AK76" s="167"/>
      <c r="AL76" s="43"/>
      <c r="AM76" s="43"/>
      <c r="AN76" s="43"/>
      <c r="AO76" s="135"/>
      <c r="AP76" s="135"/>
      <c r="AQ76" s="207"/>
    </row>
    <row r="77" spans="1:47" ht="18" customHeight="1" x14ac:dyDescent="0.3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T77" s="191"/>
      <c r="U77" s="191"/>
      <c r="V77" s="191"/>
      <c r="W77" s="191"/>
      <c r="X77" s="191"/>
      <c r="Y77" s="191"/>
      <c r="Z77" s="191"/>
      <c r="AA77" s="191"/>
      <c r="AB77" s="191"/>
      <c r="AC77" s="191"/>
      <c r="AD77" s="191"/>
      <c r="AE77" s="44" t="s">
        <v>8</v>
      </c>
      <c r="AF77" s="44"/>
      <c r="AG77" s="168" t="s">
        <v>7</v>
      </c>
      <c r="AH77" s="44"/>
      <c r="AI77" s="44" t="s">
        <v>9</v>
      </c>
      <c r="AJ77" s="44"/>
      <c r="AK77" s="168" t="s">
        <v>10</v>
      </c>
      <c r="AL77" s="44"/>
      <c r="AO77" s="272" t="s">
        <v>8</v>
      </c>
      <c r="AP77" s="272"/>
      <c r="AQ77" s="273" t="s">
        <v>11</v>
      </c>
    </row>
    <row r="78" spans="1:47" x14ac:dyDescent="0.3"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AC78" s="44" t="s">
        <v>14</v>
      </c>
      <c r="AD78" s="44"/>
      <c r="AE78" s="44" t="s">
        <v>12</v>
      </c>
      <c r="AF78" s="44"/>
      <c r="AG78" s="168" t="s">
        <v>13</v>
      </c>
      <c r="AH78" s="44"/>
      <c r="AI78" s="44" t="s">
        <v>15</v>
      </c>
      <c r="AJ78" s="44"/>
      <c r="AK78" s="168" t="s">
        <v>16</v>
      </c>
      <c r="AL78" s="44"/>
      <c r="AO78" s="44" t="s">
        <v>11</v>
      </c>
      <c r="AP78" s="44"/>
      <c r="AQ78" s="168" t="s">
        <v>9</v>
      </c>
    </row>
    <row r="79" spans="1:47" x14ac:dyDescent="0.3">
      <c r="C79" s="42"/>
      <c r="D79" s="42"/>
      <c r="E79" s="42"/>
      <c r="T79" s="44" t="s">
        <v>17</v>
      </c>
      <c r="V79" s="44" t="s">
        <v>18</v>
      </c>
      <c r="W79" s="44" t="s">
        <v>19</v>
      </c>
      <c r="X79" s="44"/>
      <c r="Y79" s="44" t="s">
        <v>20</v>
      </c>
      <c r="AC79" s="44" t="s">
        <v>8</v>
      </c>
      <c r="AD79" s="44"/>
      <c r="AE79" s="44" t="s">
        <v>842</v>
      </c>
      <c r="AF79" s="44"/>
      <c r="AG79" s="168" t="s">
        <v>842</v>
      </c>
      <c r="AH79" s="44"/>
      <c r="AI79" s="46" t="s">
        <v>965</v>
      </c>
      <c r="AJ79" s="44"/>
      <c r="AK79" s="169" t="s">
        <v>965</v>
      </c>
      <c r="AL79" s="44"/>
      <c r="AM79" s="44" t="s">
        <v>842</v>
      </c>
      <c r="AN79" s="44"/>
      <c r="AO79" s="44" t="s">
        <v>9</v>
      </c>
      <c r="AP79" s="44"/>
      <c r="AQ79" s="168" t="s">
        <v>21</v>
      </c>
    </row>
    <row r="80" spans="1:47" x14ac:dyDescent="0.3">
      <c r="C80" s="42"/>
      <c r="T80" s="44" t="s">
        <v>22</v>
      </c>
      <c r="V80" s="44" t="s">
        <v>23</v>
      </c>
      <c r="W80" s="44" t="s">
        <v>24</v>
      </c>
      <c r="X80" s="44"/>
      <c r="Y80" s="44" t="s">
        <v>25</v>
      </c>
      <c r="AA80" s="44" t="s">
        <v>26</v>
      </c>
      <c r="AB80" s="44"/>
      <c r="AC80" s="44" t="s">
        <v>27</v>
      </c>
      <c r="AD80" s="44"/>
      <c r="AE80" s="44" t="s">
        <v>9</v>
      </c>
      <c r="AF80" s="44"/>
      <c r="AG80" s="168" t="s">
        <v>9</v>
      </c>
      <c r="AH80" s="44"/>
      <c r="AI80" s="141" t="s">
        <v>29</v>
      </c>
      <c r="AJ80" s="141"/>
      <c r="AK80" s="170" t="s">
        <v>30</v>
      </c>
      <c r="AL80" s="44"/>
      <c r="AM80" s="44" t="s">
        <v>324</v>
      </c>
      <c r="AN80" s="44"/>
      <c r="AO80" s="141" t="s">
        <v>31</v>
      </c>
      <c r="AP80" s="141"/>
      <c r="AQ80" s="170" t="s">
        <v>32</v>
      </c>
    </row>
    <row r="81" spans="3:43" x14ac:dyDescent="0.3">
      <c r="V81" s="141" t="s">
        <v>33</v>
      </c>
      <c r="W81" s="141" t="s">
        <v>34</v>
      </c>
      <c r="X81" s="141"/>
      <c r="Y81" s="141" t="s">
        <v>35</v>
      </c>
      <c r="Z81" s="153"/>
      <c r="AA81" s="141" t="s">
        <v>36</v>
      </c>
      <c r="AB81" s="141"/>
      <c r="AC81" s="141" t="s">
        <v>42</v>
      </c>
      <c r="AD81" s="141"/>
      <c r="AE81" s="141" t="s">
        <v>43</v>
      </c>
      <c r="AF81" s="141"/>
      <c r="AG81" s="170" t="s">
        <v>44</v>
      </c>
      <c r="AH81" s="141"/>
      <c r="AI81" s="141" t="s">
        <v>45</v>
      </c>
      <c r="AJ81" s="141"/>
      <c r="AK81" s="170" t="s">
        <v>46</v>
      </c>
      <c r="AL81" s="141"/>
      <c r="AM81" s="141" t="s">
        <v>40</v>
      </c>
      <c r="AN81" s="141"/>
      <c r="AO81" s="141" t="s">
        <v>47</v>
      </c>
      <c r="AP81" s="141"/>
      <c r="AQ81" s="170" t="s">
        <v>48</v>
      </c>
    </row>
    <row r="82" spans="3:43" ht="17.100000000000001" customHeight="1" x14ac:dyDescent="0.3">
      <c r="C82" s="42"/>
      <c r="F82" s="184"/>
      <c r="H82" s="184"/>
      <c r="I82" s="184"/>
      <c r="J82" s="193"/>
      <c r="K82" s="193"/>
      <c r="L82" s="123"/>
      <c r="M82" s="123"/>
      <c r="N82" s="160"/>
      <c r="O82" s="160"/>
      <c r="R82" s="123"/>
      <c r="T82" s="191"/>
      <c r="U82" s="191"/>
      <c r="V82" s="191"/>
      <c r="W82" s="191"/>
      <c r="X82" s="191"/>
      <c r="Y82" s="191"/>
      <c r="Z82" s="191"/>
      <c r="AA82" s="270" t="s">
        <v>197</v>
      </c>
      <c r="AB82" s="271"/>
      <c r="AC82" s="270" t="s">
        <v>332</v>
      </c>
      <c r="AD82" s="271"/>
      <c r="AE82" s="271" t="s">
        <v>50</v>
      </c>
      <c r="AF82" s="271"/>
      <c r="AG82" s="274" t="s">
        <v>51</v>
      </c>
      <c r="AH82" s="271"/>
      <c r="AI82" s="271" t="s">
        <v>50</v>
      </c>
      <c r="AJ82" s="271"/>
      <c r="AK82" s="274" t="s">
        <v>51</v>
      </c>
      <c r="AL82" s="271"/>
      <c r="AM82" s="271" t="s">
        <v>50</v>
      </c>
      <c r="AN82" s="271"/>
      <c r="AO82" s="271" t="s">
        <v>50</v>
      </c>
      <c r="AP82" s="271"/>
      <c r="AQ82" s="274" t="s">
        <v>51</v>
      </c>
    </row>
    <row r="83" spans="3:43" x14ac:dyDescent="0.3">
      <c r="C83" s="42"/>
      <c r="F83" s="184"/>
      <c r="H83" s="184"/>
      <c r="I83" s="184"/>
      <c r="J83" s="193"/>
      <c r="K83" s="193"/>
      <c r="L83" s="123"/>
      <c r="M83" s="123"/>
      <c r="N83" s="160"/>
      <c r="O83" s="160"/>
      <c r="R83" s="123"/>
      <c r="T83" s="41">
        <f>A19</f>
        <v>1</v>
      </c>
      <c r="V83" s="132" t="s">
        <v>60</v>
      </c>
      <c r="W83" s="132" t="s">
        <v>61</v>
      </c>
      <c r="X83" s="42"/>
      <c r="Y83" s="1"/>
      <c r="Z83" s="1"/>
      <c r="AA83" s="208"/>
      <c r="AB83" s="208"/>
      <c r="AC83" s="172" t="s">
        <v>329</v>
      </c>
      <c r="AD83" s="208"/>
      <c r="AE83" s="208"/>
      <c r="AF83" s="208"/>
      <c r="AG83" s="221"/>
      <c r="AH83" s="208"/>
      <c r="AI83" s="208"/>
      <c r="AJ83" s="208"/>
      <c r="AK83" s="221"/>
      <c r="AL83" s="208"/>
      <c r="AM83" s="208"/>
      <c r="AN83" s="208"/>
      <c r="AO83" s="208"/>
      <c r="AP83" s="208"/>
      <c r="AQ83" s="221"/>
    </row>
    <row r="84" spans="3:43" x14ac:dyDescent="0.3">
      <c r="C84" s="42"/>
      <c r="F84" s="184"/>
      <c r="H84" s="184"/>
      <c r="I84" s="184"/>
      <c r="J84" s="193"/>
      <c r="K84" s="193"/>
      <c r="L84" s="123"/>
      <c r="M84" s="123"/>
      <c r="N84" s="160"/>
      <c r="O84" s="160"/>
      <c r="R84" s="123"/>
      <c r="T84" s="41">
        <f>A20</f>
        <v>2</v>
      </c>
      <c r="V84" s="132" t="s">
        <v>54</v>
      </c>
      <c r="W84" s="153"/>
      <c r="Y84" s="1"/>
      <c r="Z84" s="1"/>
      <c r="AA84" s="1"/>
      <c r="AB84" s="1"/>
      <c r="AC84" s="1"/>
      <c r="AD84" s="1"/>
      <c r="AE84" s="1"/>
      <c r="AF84" s="1"/>
      <c r="AG84" s="175"/>
      <c r="AH84" s="1"/>
      <c r="AI84" s="1"/>
      <c r="AJ84" s="1"/>
      <c r="AK84" s="175"/>
      <c r="AL84" s="1"/>
      <c r="AM84" s="1"/>
      <c r="AN84" s="1"/>
      <c r="AO84" s="1"/>
      <c r="AP84" s="1"/>
      <c r="AQ84" s="175"/>
    </row>
    <row r="85" spans="3:43" x14ac:dyDescent="0.3">
      <c r="C85" s="42"/>
      <c r="F85" s="123"/>
      <c r="H85" s="123"/>
      <c r="I85" s="123"/>
      <c r="J85" s="213"/>
      <c r="K85" s="213"/>
      <c r="L85" s="123"/>
      <c r="M85" s="123"/>
      <c r="N85" s="160"/>
      <c r="O85" s="160"/>
      <c r="P85" s="123"/>
      <c r="Q85" s="123"/>
      <c r="R85" s="123"/>
      <c r="T85" s="41">
        <f>A21</f>
        <v>3</v>
      </c>
      <c r="V85" s="132" t="s">
        <v>62</v>
      </c>
      <c r="Y85" s="3">
        <f>F21</f>
        <v>52</v>
      </c>
      <c r="Z85" s="1"/>
      <c r="AA85" s="159"/>
      <c r="AB85" s="159"/>
      <c r="AC85" s="193">
        <f>INPUT!C123</f>
        <v>500</v>
      </c>
      <c r="AD85" s="194"/>
      <c r="AE85" s="49">
        <f>ROUND(Y85*AC85,0)</f>
        <v>26000</v>
      </c>
      <c r="AF85" s="3"/>
      <c r="AG85" s="177">
        <f>ROUND((AE85/AE$120)*100,1)</f>
        <v>0.2</v>
      </c>
      <c r="AH85" s="4"/>
      <c r="AI85" s="49">
        <f>L21-AE85</f>
        <v>0</v>
      </c>
      <c r="AJ85" s="3"/>
      <c r="AK85" s="223">
        <f>IF(AE85=0,"0.0 ",ROUND((AI85/AE85)*100,1))</f>
        <v>0</v>
      </c>
      <c r="AL85" s="6"/>
      <c r="AM85" s="8"/>
      <c r="AN85" s="1"/>
      <c r="AO85" s="49">
        <f>AE85+AM85</f>
        <v>26000</v>
      </c>
      <c r="AP85" s="3"/>
      <c r="AQ85" s="223">
        <f>IF(AO85=0,"0.0 ",ROUND((AI85/AO85)*100,1))</f>
        <v>0</v>
      </c>
    </row>
    <row r="86" spans="3:43" x14ac:dyDescent="0.3">
      <c r="C86" s="42"/>
      <c r="F86" s="123"/>
      <c r="H86" s="123"/>
      <c r="I86" s="123"/>
      <c r="J86" s="213"/>
      <c r="K86" s="213"/>
      <c r="L86" s="123"/>
      <c r="M86" s="123"/>
      <c r="N86" s="160"/>
      <c r="O86" s="160"/>
      <c r="P86" s="123"/>
      <c r="Q86" s="123"/>
      <c r="R86" s="123"/>
      <c r="V86" s="42"/>
      <c r="Y86" s="3"/>
      <c r="Z86" s="1"/>
      <c r="AA86" s="159"/>
      <c r="AB86" s="159"/>
      <c r="AC86" s="193"/>
      <c r="AD86" s="194"/>
      <c r="AE86" s="3"/>
      <c r="AF86" s="3"/>
      <c r="AG86" s="175"/>
      <c r="AH86" s="4"/>
      <c r="AI86" s="3"/>
      <c r="AJ86" s="3"/>
      <c r="AK86" s="175"/>
      <c r="AL86" s="6"/>
      <c r="AM86" s="1"/>
      <c r="AN86" s="1"/>
      <c r="AO86" s="3"/>
      <c r="AP86" s="3"/>
      <c r="AQ86" s="175"/>
    </row>
    <row r="87" spans="3:43" x14ac:dyDescent="0.3">
      <c r="C87" s="42"/>
      <c r="F87" s="184"/>
      <c r="H87" s="184"/>
      <c r="I87" s="184"/>
      <c r="J87" s="237"/>
      <c r="K87" s="237"/>
      <c r="L87" s="123"/>
      <c r="M87" s="123"/>
      <c r="N87" s="160"/>
      <c r="O87" s="160"/>
      <c r="P87" s="123"/>
      <c r="Q87" s="123"/>
      <c r="R87" s="123"/>
      <c r="S87" s="123"/>
      <c r="T87" s="41">
        <f>A23</f>
        <v>4</v>
      </c>
      <c r="V87" s="132" t="s">
        <v>63</v>
      </c>
      <c r="Y87" s="159"/>
      <c r="Z87" s="1"/>
      <c r="AA87" s="159"/>
      <c r="AB87" s="159"/>
      <c r="AC87" s="237"/>
      <c r="AD87" s="248"/>
      <c r="AE87" s="3"/>
      <c r="AF87" s="3"/>
      <c r="AG87" s="175"/>
      <c r="AH87" s="4"/>
      <c r="AI87" s="3"/>
      <c r="AJ87" s="3"/>
      <c r="AK87" s="175"/>
      <c r="AL87" s="4"/>
      <c r="AM87" s="3"/>
      <c r="AN87" s="3"/>
      <c r="AO87" s="3"/>
      <c r="AP87" s="3"/>
      <c r="AQ87" s="175"/>
    </row>
    <row r="88" spans="3:43" x14ac:dyDescent="0.3">
      <c r="C88" s="42"/>
      <c r="F88" s="184"/>
      <c r="H88" s="184"/>
      <c r="I88" s="184"/>
      <c r="J88" s="193"/>
      <c r="K88" s="193"/>
      <c r="L88" s="123"/>
      <c r="M88" s="123"/>
      <c r="N88" s="160"/>
      <c r="O88" s="160"/>
      <c r="P88" s="123"/>
      <c r="Q88" s="123"/>
      <c r="R88" s="123"/>
      <c r="T88" s="41">
        <f>A24</f>
        <v>5</v>
      </c>
      <c r="V88" s="42" t="s">
        <v>64</v>
      </c>
      <c r="Y88" s="159"/>
      <c r="Z88" s="1"/>
      <c r="AA88" s="3">
        <f>H24</f>
        <v>127467</v>
      </c>
      <c r="AB88" s="3"/>
      <c r="AC88" s="193">
        <f>INPUT!C129</f>
        <v>9.41</v>
      </c>
      <c r="AD88" s="194"/>
      <c r="AE88" s="3">
        <f>ROUND(AA88*AC88,0)</f>
        <v>1199464</v>
      </c>
      <c r="AF88" s="3"/>
      <c r="AG88" s="175">
        <f>ROUND((AE88/AE$120)*100,1)</f>
        <v>8</v>
      </c>
      <c r="AH88" s="4"/>
      <c r="AI88" s="3">
        <f>L24-AE88</f>
        <v>104523</v>
      </c>
      <c r="AJ88" s="3"/>
      <c r="AK88" s="181">
        <f>IF(AE88=0,"0.0 ",ROUND((AI88/AE88)*100,1))</f>
        <v>8.6999999999999993</v>
      </c>
      <c r="AL88" s="6"/>
      <c r="AM88" s="3"/>
      <c r="AN88" s="3"/>
      <c r="AO88" s="3">
        <f>AE88+AM88</f>
        <v>1199464</v>
      </c>
      <c r="AP88" s="3"/>
      <c r="AQ88" s="181">
        <f>IF(AO88=0,"0.0 ",ROUND((AI88/AO88)*100,1))</f>
        <v>8.6999999999999993</v>
      </c>
    </row>
    <row r="89" spans="3:43" x14ac:dyDescent="0.3">
      <c r="C89" s="42"/>
      <c r="F89" s="184"/>
      <c r="H89" s="184"/>
      <c r="I89" s="184"/>
      <c r="J89" s="193"/>
      <c r="K89" s="193"/>
      <c r="L89" s="123"/>
      <c r="M89" s="123"/>
      <c r="N89" s="160"/>
      <c r="O89" s="160"/>
      <c r="P89" s="123"/>
      <c r="Q89" s="123"/>
      <c r="R89" s="123"/>
      <c r="T89" s="41">
        <f>A25</f>
        <v>6</v>
      </c>
      <c r="V89" s="42" t="s">
        <v>65</v>
      </c>
      <c r="Y89" s="159"/>
      <c r="Z89" s="1"/>
      <c r="AA89" s="49">
        <f>H25</f>
        <v>5347</v>
      </c>
      <c r="AB89" s="3"/>
      <c r="AC89" s="193">
        <f>INPUT!C130</f>
        <v>1.43</v>
      </c>
      <c r="AD89" s="194"/>
      <c r="AE89" s="49">
        <f>ROUND(AA89*AC89,0)</f>
        <v>7646</v>
      </c>
      <c r="AF89" s="3"/>
      <c r="AG89" s="177">
        <f>ROUND((AE89/AE$120)*100,1)</f>
        <v>0.1</v>
      </c>
      <c r="AH89" s="4"/>
      <c r="AI89" s="49">
        <f>L25-AE89</f>
        <v>642</v>
      </c>
      <c r="AJ89" s="3"/>
      <c r="AK89" s="223">
        <f>IF(AE89=0,"0.0 ",ROUND((AI89/AE89)*100,1))</f>
        <v>8.4</v>
      </c>
      <c r="AL89" s="6"/>
      <c r="AM89" s="49"/>
      <c r="AN89" s="3"/>
      <c r="AO89" s="49">
        <f>AE89+AM89</f>
        <v>7646</v>
      </c>
      <c r="AP89" s="3"/>
      <c r="AQ89" s="223">
        <f>IF(AO89=0,"0.0 ",ROUND((AI89/AO89)*100,1))</f>
        <v>8.4</v>
      </c>
    </row>
    <row r="90" spans="3:43" ht="20.100000000000001" customHeight="1" x14ac:dyDescent="0.3">
      <c r="C90" s="42"/>
      <c r="F90" s="123"/>
      <c r="H90" s="123"/>
      <c r="I90" s="123"/>
      <c r="J90" s="213"/>
      <c r="K90" s="213"/>
      <c r="L90" s="123"/>
      <c r="M90" s="123"/>
      <c r="N90" s="160"/>
      <c r="O90" s="160"/>
      <c r="P90" s="123"/>
      <c r="Q90" s="123"/>
      <c r="R90" s="123"/>
      <c r="T90" s="41">
        <f>A26</f>
        <v>7</v>
      </c>
      <c r="V90" s="132" t="s">
        <v>66</v>
      </c>
      <c r="Y90" s="3"/>
      <c r="Z90" s="1"/>
      <c r="AA90" s="49">
        <f>H26</f>
        <v>132814</v>
      </c>
      <c r="AB90" s="3"/>
      <c r="AC90" s="219"/>
      <c r="AD90" s="7"/>
      <c r="AE90" s="49">
        <f>AE88+AE89</f>
        <v>1207110</v>
      </c>
      <c r="AF90" s="3"/>
      <c r="AG90" s="177">
        <f>ROUND((AE90/AE$120)*100,1)+0.1</f>
        <v>8.1999999999999993</v>
      </c>
      <c r="AH90" s="4"/>
      <c r="AI90" s="49">
        <f>SUM(AI88:AI89)</f>
        <v>105165</v>
      </c>
      <c r="AJ90" s="3"/>
      <c r="AK90" s="224">
        <f>IF(AE90=0,"0.0 ",ROUND((AI90/AE90)*100,1))</f>
        <v>8.6999999999999993</v>
      </c>
      <c r="AL90" s="6"/>
      <c r="AM90" s="49"/>
      <c r="AN90" s="3"/>
      <c r="AO90" s="49">
        <f>AO88+AO89</f>
        <v>1207110</v>
      </c>
      <c r="AP90" s="3"/>
      <c r="AQ90" s="224">
        <f>IF(AO90=0,"0.0 ",ROUND((AI90/AO90)*100,1))</f>
        <v>8.6999999999999993</v>
      </c>
    </row>
    <row r="91" spans="3:43" x14ac:dyDescent="0.3">
      <c r="C91" s="42"/>
      <c r="F91" s="123"/>
      <c r="H91" s="123"/>
      <c r="I91" s="123"/>
      <c r="J91" s="213"/>
      <c r="K91" s="213"/>
      <c r="L91" s="123"/>
      <c r="M91" s="123"/>
      <c r="N91" s="160"/>
      <c r="O91" s="160"/>
      <c r="P91" s="123"/>
      <c r="Q91" s="123"/>
      <c r="R91" s="123"/>
      <c r="V91" s="42"/>
      <c r="Y91" s="3"/>
      <c r="Z91" s="1"/>
      <c r="AA91" s="3"/>
      <c r="AB91" s="3"/>
      <c r="AC91" s="219"/>
      <c r="AD91" s="7"/>
      <c r="AE91" s="3"/>
      <c r="AF91" s="3"/>
      <c r="AG91" s="175"/>
      <c r="AH91" s="4"/>
      <c r="AI91" s="3"/>
      <c r="AJ91" s="3"/>
      <c r="AK91" s="181"/>
      <c r="AL91" s="6"/>
      <c r="AM91" s="3"/>
      <c r="AN91" s="3"/>
      <c r="AO91" s="3"/>
      <c r="AP91" s="3"/>
      <c r="AQ91" s="181"/>
    </row>
    <row r="92" spans="3:43" x14ac:dyDescent="0.3">
      <c r="C92" s="42"/>
      <c r="F92" s="123"/>
      <c r="H92" s="123"/>
      <c r="I92" s="123"/>
      <c r="J92" s="213"/>
      <c r="K92" s="213"/>
      <c r="L92" s="123"/>
      <c r="M92" s="123"/>
      <c r="N92" s="123"/>
      <c r="O92" s="123"/>
      <c r="P92" s="123"/>
      <c r="Q92" s="123"/>
      <c r="R92" s="123"/>
      <c r="T92" s="41">
        <f>A28</f>
        <v>8</v>
      </c>
      <c r="V92" s="132" t="s">
        <v>374</v>
      </c>
      <c r="Y92" s="3"/>
      <c r="Z92" s="1"/>
      <c r="AA92" s="3"/>
      <c r="AB92" s="3"/>
      <c r="AC92" s="219"/>
      <c r="AD92" s="7"/>
      <c r="AE92" s="3"/>
      <c r="AF92" s="3"/>
      <c r="AG92" s="175"/>
      <c r="AH92" s="4"/>
      <c r="AI92" s="3"/>
      <c r="AJ92" s="3"/>
      <c r="AK92" s="175"/>
      <c r="AL92" s="6"/>
      <c r="AM92" s="3"/>
      <c r="AN92" s="3"/>
      <c r="AO92" s="3"/>
      <c r="AP92" s="3"/>
      <c r="AQ92" s="175"/>
    </row>
    <row r="93" spans="3:43" x14ac:dyDescent="0.3">
      <c r="C93" s="42"/>
      <c r="F93" s="123"/>
      <c r="H93" s="123"/>
      <c r="I93" s="123"/>
      <c r="J93" s="213"/>
      <c r="K93" s="213"/>
      <c r="L93" s="123"/>
      <c r="M93" s="123"/>
      <c r="N93" s="123"/>
      <c r="O93" s="123"/>
      <c r="P93" s="123"/>
      <c r="Q93" s="123"/>
      <c r="R93" s="123"/>
      <c r="T93" s="41">
        <f>A29</f>
        <v>9</v>
      </c>
      <c r="V93" s="42" t="s">
        <v>386</v>
      </c>
      <c r="Y93" s="3"/>
      <c r="Z93" s="1"/>
      <c r="AA93" s="3">
        <f>H29</f>
        <v>16346458</v>
      </c>
      <c r="AB93" s="3"/>
      <c r="AC93" s="275">
        <f>CUR_SUM_TT_ON_KWH</f>
        <v>6.7652000000000004E-2</v>
      </c>
      <c r="AD93" s="7"/>
      <c r="AE93" s="3">
        <f>ROUND((AA93*AC93),0)</f>
        <v>1105871</v>
      </c>
      <c r="AF93" s="3"/>
      <c r="AG93" s="175">
        <f>ROUND((AE93/AE$120)*100,1)</f>
        <v>7.4</v>
      </c>
      <c r="AH93" s="4"/>
      <c r="AI93" s="3">
        <f>L29-AE93</f>
        <v>96656</v>
      </c>
      <c r="AJ93" s="3"/>
      <c r="AK93" s="181">
        <f>IF(AE93=0,"0.0 ",ROUND((AI93/AE93)*100,1))</f>
        <v>8.6999999999999993</v>
      </c>
      <c r="AL93" s="6"/>
      <c r="AM93" s="3"/>
      <c r="AN93" s="3"/>
      <c r="AO93" s="3">
        <f>AE93+AM93</f>
        <v>1105871</v>
      </c>
      <c r="AP93" s="3"/>
      <c r="AQ93" s="181">
        <f>IF(AO93=0,"0.0 ",ROUND((AI93/AO93)*100,1))</f>
        <v>8.6999999999999993</v>
      </c>
    </row>
    <row r="94" spans="3:43" x14ac:dyDescent="0.3">
      <c r="C94" s="42"/>
      <c r="F94" s="123"/>
      <c r="H94" s="184"/>
      <c r="I94" s="184"/>
      <c r="J94" s="238"/>
      <c r="K94" s="238"/>
      <c r="L94" s="123"/>
      <c r="M94" s="123"/>
      <c r="N94" s="160"/>
      <c r="O94" s="160"/>
      <c r="P94" s="123"/>
      <c r="Q94" s="123"/>
      <c r="R94" s="123"/>
      <c r="T94" s="41">
        <f>A30</f>
        <v>10</v>
      </c>
      <c r="V94" s="42" t="s">
        <v>387</v>
      </c>
      <c r="Y94" s="49"/>
      <c r="Z94" s="1"/>
      <c r="AA94" s="49">
        <f>H30</f>
        <v>45720250</v>
      </c>
      <c r="AB94" s="3"/>
      <c r="AC94" s="275">
        <f>CUR_TT_OFF</f>
        <v>5.7296E-2</v>
      </c>
      <c r="AD94" s="204"/>
      <c r="AE94" s="49">
        <f>ROUND((AA94*AC94),0)</f>
        <v>2619587</v>
      </c>
      <c r="AF94" s="3"/>
      <c r="AG94" s="177">
        <f>ROUND((AE94/AE$120)*100,1)</f>
        <v>17.5</v>
      </c>
      <c r="AH94" s="4"/>
      <c r="AI94" s="49">
        <f>L30-AE94</f>
        <v>228922</v>
      </c>
      <c r="AJ94" s="3"/>
      <c r="AK94" s="223">
        <f>IF(AE94=0,"0.0 ",ROUND((AI94/AE94)*100,1))</f>
        <v>8.6999999999999993</v>
      </c>
      <c r="AL94" s="6"/>
      <c r="AM94" s="49"/>
      <c r="AN94" s="3"/>
      <c r="AO94" s="49">
        <f>AE94+AM94</f>
        <v>2619587</v>
      </c>
      <c r="AP94" s="3"/>
      <c r="AQ94" s="223">
        <f>IF(AO94=0,"0.0 ",ROUND((AI94/AO94)*100,1))</f>
        <v>8.6999999999999993</v>
      </c>
    </row>
    <row r="95" spans="3:43" x14ac:dyDescent="0.3">
      <c r="C95" s="42"/>
      <c r="F95" s="123"/>
      <c r="H95" s="184"/>
      <c r="I95" s="184"/>
      <c r="J95" s="238"/>
      <c r="K95" s="238"/>
      <c r="L95" s="123"/>
      <c r="M95" s="123"/>
      <c r="N95" s="160"/>
      <c r="O95" s="160"/>
      <c r="P95" s="123"/>
      <c r="Q95" s="123"/>
      <c r="R95" s="123"/>
      <c r="T95" s="41">
        <f>A31</f>
        <v>11</v>
      </c>
      <c r="V95" s="132" t="s">
        <v>143</v>
      </c>
      <c r="Y95" s="3"/>
      <c r="Z95" s="1"/>
      <c r="AA95" s="49">
        <f>H31</f>
        <v>62066708</v>
      </c>
      <c r="AB95" s="3"/>
      <c r="AC95" s="219"/>
      <c r="AD95" s="7"/>
      <c r="AE95" s="49">
        <f>AE93+AE94</f>
        <v>3725458</v>
      </c>
      <c r="AF95" s="3"/>
      <c r="AG95" s="177">
        <f>ROUND((AE95/AE$120)*100,1)</f>
        <v>24.9</v>
      </c>
      <c r="AH95" s="4"/>
      <c r="AI95" s="49">
        <f>SUM(AI93:AI94)</f>
        <v>325578</v>
      </c>
      <c r="AJ95" s="3"/>
      <c r="AK95" s="224">
        <f>IF(AE95=0,"0.0 ",ROUND((AI95/AE95)*100,1))</f>
        <v>8.6999999999999993</v>
      </c>
      <c r="AL95" s="6"/>
      <c r="AM95" s="49"/>
      <c r="AN95" s="3"/>
      <c r="AO95" s="49">
        <f>AO93+AO94</f>
        <v>3725458</v>
      </c>
      <c r="AP95" s="3"/>
      <c r="AQ95" s="224">
        <f>IF(AO95=0,"0.0 ",ROUND((AI95/AO95)*100,1))</f>
        <v>8.6999999999999993</v>
      </c>
    </row>
    <row r="96" spans="3:43" ht="20.100000000000001" customHeight="1" x14ac:dyDescent="0.3">
      <c r="C96" s="42"/>
      <c r="F96" s="123"/>
      <c r="H96" s="123"/>
      <c r="I96" s="123"/>
      <c r="J96" s="219"/>
      <c r="K96" s="219"/>
      <c r="L96" s="123"/>
      <c r="M96" s="123"/>
      <c r="N96" s="160"/>
      <c r="O96" s="160"/>
      <c r="P96" s="123"/>
      <c r="Q96" s="123"/>
      <c r="R96" s="123"/>
      <c r="T96" s="41">
        <f>A32</f>
        <v>12</v>
      </c>
      <c r="V96" s="132" t="s">
        <v>56</v>
      </c>
      <c r="Y96" s="145">
        <f>F32</f>
        <v>52</v>
      </c>
      <c r="Z96" s="1"/>
      <c r="AA96" s="145">
        <f>H32</f>
        <v>62066708</v>
      </c>
      <c r="AB96" s="3"/>
      <c r="AC96" s="183"/>
      <c r="AD96" s="183"/>
      <c r="AE96" s="145">
        <f>AE85+AE90+AE95</f>
        <v>4958568</v>
      </c>
      <c r="AF96" s="3"/>
      <c r="AG96" s="177">
        <f>ROUND((AE96/AE$120)*100,1)</f>
        <v>33.200000000000003</v>
      </c>
      <c r="AH96" s="4"/>
      <c r="AI96" s="145">
        <f>AI85+AI90+AI95</f>
        <v>430743</v>
      </c>
      <c r="AJ96" s="3"/>
      <c r="AK96" s="224">
        <f>IF(AE96=0,"0.0 ",ROUND((AI96/AE96)*100,1))</f>
        <v>8.6999999999999993</v>
      </c>
      <c r="AL96" s="4"/>
      <c r="AM96" s="276"/>
      <c r="AN96" s="3"/>
      <c r="AO96" s="145">
        <f>AO85+AO90+AO95</f>
        <v>4958568</v>
      </c>
      <c r="AP96" s="3"/>
      <c r="AQ96" s="224">
        <f>IF(AO96=0,"0.0 ",ROUND((AI96/AO96)*100,1))</f>
        <v>8.6999999999999993</v>
      </c>
    </row>
    <row r="97" spans="3:43" x14ac:dyDescent="0.3">
      <c r="C97" s="42"/>
      <c r="F97" s="123"/>
      <c r="H97" s="123"/>
      <c r="I97" s="123"/>
      <c r="J97" s="219"/>
      <c r="K97" s="219"/>
      <c r="L97" s="123"/>
      <c r="M97" s="123"/>
      <c r="N97" s="160"/>
      <c r="O97" s="160"/>
      <c r="P97" s="123"/>
      <c r="Q97" s="123"/>
      <c r="R97" s="123"/>
      <c r="Y97" s="159"/>
      <c r="Z97" s="1"/>
      <c r="AA97" s="159"/>
      <c r="AB97" s="159"/>
      <c r="AC97" s="183"/>
      <c r="AD97" s="183"/>
      <c r="AE97" s="3"/>
      <c r="AF97" s="3"/>
      <c r="AG97" s="175"/>
      <c r="AH97" s="4"/>
      <c r="AI97" s="3"/>
      <c r="AJ97" s="3"/>
      <c r="AK97" s="175"/>
      <c r="AL97" s="1"/>
      <c r="AM97" s="3"/>
      <c r="AN97" s="3"/>
      <c r="AO97" s="3"/>
      <c r="AP97" s="3"/>
      <c r="AQ97" s="175"/>
    </row>
    <row r="98" spans="3:43" x14ac:dyDescent="0.3">
      <c r="C98" s="42"/>
      <c r="F98" s="123"/>
      <c r="H98" s="184"/>
      <c r="I98" s="184"/>
      <c r="J98" s="227"/>
      <c r="K98" s="227"/>
      <c r="L98" s="123"/>
      <c r="M98" s="123"/>
      <c r="N98" s="160"/>
      <c r="O98" s="160"/>
      <c r="P98" s="123"/>
      <c r="Q98" s="123"/>
      <c r="R98" s="123"/>
      <c r="T98" s="41">
        <f>A34</f>
        <v>13</v>
      </c>
      <c r="V98" s="132" t="s">
        <v>57</v>
      </c>
      <c r="Y98" s="1"/>
      <c r="Z98" s="1"/>
      <c r="AA98" s="1"/>
      <c r="AB98" s="1"/>
      <c r="AC98" s="1"/>
      <c r="AD98" s="1"/>
      <c r="AE98" s="1"/>
      <c r="AF98" s="1"/>
      <c r="AG98" s="175"/>
      <c r="AH98" s="1"/>
      <c r="AI98" s="1"/>
      <c r="AJ98" s="1"/>
      <c r="AK98" s="175"/>
      <c r="AL98" s="1"/>
      <c r="AM98" s="1"/>
      <c r="AN98" s="1"/>
      <c r="AO98" s="1"/>
      <c r="AP98" s="1"/>
      <c r="AQ98" s="175"/>
    </row>
    <row r="99" spans="3:43" x14ac:dyDescent="0.3">
      <c r="F99" s="210"/>
      <c r="H99" s="210"/>
      <c r="I99" s="210"/>
      <c r="J99" s="213"/>
      <c r="K99" s="213"/>
      <c r="L99" s="210"/>
      <c r="M99" s="210"/>
      <c r="N99" s="210"/>
      <c r="O99" s="210"/>
      <c r="P99" s="210"/>
      <c r="Q99" s="210"/>
      <c r="R99" s="210"/>
      <c r="T99" s="41">
        <f>A35</f>
        <v>14</v>
      </c>
      <c r="V99" s="132" t="s">
        <v>62</v>
      </c>
      <c r="Y99" s="3">
        <f>F35</f>
        <v>104</v>
      </c>
      <c r="Z99" s="1"/>
      <c r="AA99" s="159"/>
      <c r="AB99" s="159"/>
      <c r="AC99" s="194">
        <f>AC85</f>
        <v>500</v>
      </c>
      <c r="AD99" s="194"/>
      <c r="AE99" s="49">
        <f>ROUND(Y99*AC99,0)</f>
        <v>52000</v>
      </c>
      <c r="AF99" s="3"/>
      <c r="AG99" s="177">
        <f>ROUND((AE99/AE$120)*100,1)</f>
        <v>0.3</v>
      </c>
      <c r="AH99" s="4"/>
      <c r="AI99" s="49">
        <f>L35-AE99</f>
        <v>0</v>
      </c>
      <c r="AJ99" s="3"/>
      <c r="AK99" s="223">
        <f>IF(AE99=0,"0.0 ",ROUND((AI99/AE99)*100,1))</f>
        <v>0</v>
      </c>
      <c r="AL99" s="6"/>
      <c r="AM99" s="8"/>
      <c r="AN99" s="1"/>
      <c r="AO99" s="49">
        <f>AE99+AM99</f>
        <v>52000</v>
      </c>
      <c r="AP99" s="3"/>
      <c r="AQ99" s="223">
        <f>IF(AO99=0,"0.0 ",ROUND((AI99/AO99)*100,1))</f>
        <v>0</v>
      </c>
    </row>
    <row r="100" spans="3:43" x14ac:dyDescent="0.3">
      <c r="F100" s="210"/>
      <c r="H100" s="210"/>
      <c r="I100" s="210"/>
      <c r="J100" s="213"/>
      <c r="K100" s="213"/>
      <c r="L100" s="210"/>
      <c r="M100" s="210"/>
      <c r="N100" s="210"/>
      <c r="O100" s="210"/>
      <c r="P100" s="210"/>
      <c r="Q100" s="210"/>
      <c r="R100" s="210"/>
      <c r="V100" s="42"/>
      <c r="Y100" s="3"/>
      <c r="Z100" s="1"/>
      <c r="AA100" s="159"/>
      <c r="AB100" s="159"/>
      <c r="AC100" s="194"/>
      <c r="AD100" s="194"/>
      <c r="AE100" s="3"/>
      <c r="AF100" s="3"/>
      <c r="AG100" s="175"/>
      <c r="AH100" s="4"/>
      <c r="AI100" s="3"/>
      <c r="AJ100" s="3"/>
      <c r="AK100" s="175"/>
      <c r="AL100" s="6"/>
      <c r="AM100" s="1"/>
      <c r="AN100" s="1"/>
      <c r="AO100" s="3"/>
      <c r="AP100" s="3"/>
      <c r="AQ100" s="175"/>
    </row>
    <row r="101" spans="3:43" x14ac:dyDescent="0.3">
      <c r="F101" s="210"/>
      <c r="H101" s="210"/>
      <c r="I101" s="210"/>
      <c r="J101" s="213"/>
      <c r="K101" s="213"/>
      <c r="L101" s="210"/>
      <c r="M101" s="210"/>
      <c r="N101" s="210"/>
      <c r="O101" s="210"/>
      <c r="P101" s="210"/>
      <c r="Q101" s="210"/>
      <c r="R101" s="210"/>
      <c r="S101" s="123"/>
      <c r="T101" s="41">
        <f>A37</f>
        <v>15</v>
      </c>
      <c r="V101" s="132" t="s">
        <v>63</v>
      </c>
      <c r="Y101" s="159"/>
      <c r="Z101" s="1"/>
      <c r="AA101" s="159"/>
      <c r="AB101" s="159"/>
      <c r="AC101" s="248"/>
      <c r="AD101" s="248"/>
      <c r="AE101" s="3"/>
      <c r="AF101" s="3"/>
      <c r="AG101" s="175"/>
      <c r="AH101" s="4"/>
      <c r="AI101" s="3"/>
      <c r="AJ101" s="3"/>
      <c r="AK101" s="175"/>
      <c r="AL101" s="4"/>
      <c r="AM101" s="3"/>
      <c r="AN101" s="3"/>
      <c r="AO101" s="3"/>
      <c r="AP101" s="3"/>
      <c r="AQ101" s="175"/>
    </row>
    <row r="102" spans="3:43" x14ac:dyDescent="0.3">
      <c r="C102" s="42"/>
      <c r="F102" s="184"/>
      <c r="H102" s="239"/>
      <c r="I102" s="239"/>
      <c r="J102" s="213"/>
      <c r="K102" s="213"/>
      <c r="L102" s="123"/>
      <c r="M102" s="123"/>
      <c r="N102" s="160"/>
      <c r="O102" s="160"/>
      <c r="P102" s="123"/>
      <c r="Q102" s="123"/>
      <c r="R102" s="123"/>
      <c r="S102" s="123"/>
      <c r="T102" s="41">
        <f>A38</f>
        <v>16</v>
      </c>
      <c r="V102" s="42" t="s">
        <v>64</v>
      </c>
      <c r="Y102" s="159"/>
      <c r="Z102" s="1"/>
      <c r="AA102" s="3">
        <f>H38</f>
        <v>256942</v>
      </c>
      <c r="AB102" s="3"/>
      <c r="AC102" s="193">
        <f>INPUT!C131</f>
        <v>7.72</v>
      </c>
      <c r="AD102" s="194"/>
      <c r="AE102" s="3">
        <f>ROUND(AA102*AC102,0)</f>
        <v>1983592</v>
      </c>
      <c r="AF102" s="3"/>
      <c r="AG102" s="175">
        <f>ROUND((AE102/AE$120)*100,1)</f>
        <v>13.3</v>
      </c>
      <c r="AH102" s="4"/>
      <c r="AI102" s="3">
        <f>L38-AE102</f>
        <v>172151</v>
      </c>
      <c r="AJ102" s="3"/>
      <c r="AK102" s="181">
        <f>IF(AE102=0,"0.0 ",ROUND((AI102/AE102)*100,1))</f>
        <v>8.6999999999999993</v>
      </c>
      <c r="AL102" s="6"/>
      <c r="AM102" s="3"/>
      <c r="AN102" s="3"/>
      <c r="AO102" s="3">
        <f>AE102+AM102</f>
        <v>1983592</v>
      </c>
      <c r="AP102" s="3"/>
      <c r="AQ102" s="181">
        <f>IF(AO102=0,"0.0 ",ROUND((AI102/AO102)*100,1))</f>
        <v>8.6999999999999993</v>
      </c>
    </row>
    <row r="103" spans="3:43" x14ac:dyDescent="0.3">
      <c r="T103" s="41">
        <f>A39</f>
        <v>17</v>
      </c>
      <c r="V103" s="42" t="s">
        <v>65</v>
      </c>
      <c r="Y103" s="159"/>
      <c r="Z103" s="1"/>
      <c r="AA103" s="49">
        <f>H39</f>
        <v>8487</v>
      </c>
      <c r="AB103" s="3"/>
      <c r="AC103" s="193">
        <f>INPUT!C132</f>
        <v>1.43</v>
      </c>
      <c r="AD103" s="194"/>
      <c r="AE103" s="49">
        <f>ROUND(AA103*AC103,0)</f>
        <v>12136</v>
      </c>
      <c r="AF103" s="3"/>
      <c r="AG103" s="177">
        <f>ROUND((AE103/AE$120)*100,1)</f>
        <v>0.1</v>
      </c>
      <c r="AH103" s="4"/>
      <c r="AI103" s="49">
        <f>L39-AE103</f>
        <v>1019</v>
      </c>
      <c r="AJ103" s="3"/>
      <c r="AK103" s="223">
        <f>IF(AE103=0,"0.0 ",ROUND((AI103/AE103)*100,1))</f>
        <v>8.4</v>
      </c>
      <c r="AL103" s="6"/>
      <c r="AM103" s="49"/>
      <c r="AN103" s="3"/>
      <c r="AO103" s="49">
        <f>AE103+AM103</f>
        <v>12136</v>
      </c>
      <c r="AP103" s="3"/>
      <c r="AQ103" s="223">
        <f>IF(AO103=0,"0.0 ",ROUND((AI103/AO103)*100,1))</f>
        <v>8.4</v>
      </c>
    </row>
    <row r="104" spans="3:43" ht="20.100000000000001" customHeight="1" x14ac:dyDescent="0.3">
      <c r="C104" s="42"/>
      <c r="F104" s="184"/>
      <c r="H104" s="184"/>
      <c r="I104" s="184"/>
      <c r="J104" s="193"/>
      <c r="K104" s="193"/>
      <c r="L104" s="123"/>
      <c r="M104" s="123"/>
      <c r="N104" s="160"/>
      <c r="O104" s="160"/>
      <c r="R104" s="123"/>
      <c r="T104" s="41">
        <f>A40</f>
        <v>18</v>
      </c>
      <c r="V104" s="132" t="s">
        <v>66</v>
      </c>
      <c r="Y104" s="3"/>
      <c r="Z104" s="1"/>
      <c r="AA104" s="49">
        <f>H40</f>
        <v>265429</v>
      </c>
      <c r="AB104" s="3"/>
      <c r="AC104" s="7"/>
      <c r="AD104" s="7"/>
      <c r="AE104" s="49">
        <f>AE102+AE103</f>
        <v>1995728</v>
      </c>
      <c r="AF104" s="3"/>
      <c r="AG104" s="177">
        <f>ROUND((AE104/AE$120)*100,1)</f>
        <v>13.4</v>
      </c>
      <c r="AH104" s="4"/>
      <c r="AI104" s="49">
        <f>SUM(AI102:AI103)</f>
        <v>173170</v>
      </c>
      <c r="AJ104" s="3"/>
      <c r="AK104" s="223">
        <f>IF(AE104=0,"0.0 ",ROUND((AI104/AE104)*100,1))</f>
        <v>8.6999999999999993</v>
      </c>
      <c r="AL104" s="6"/>
      <c r="AM104" s="49"/>
      <c r="AN104" s="3"/>
      <c r="AO104" s="49">
        <f>AO102+AO103</f>
        <v>1995728</v>
      </c>
      <c r="AP104" s="3"/>
      <c r="AQ104" s="224">
        <f>IF(AO104=0,"0.0 ",ROUND((AI104/AO104)*100,1))</f>
        <v>8.6999999999999993</v>
      </c>
    </row>
    <row r="105" spans="3:43" x14ac:dyDescent="0.3">
      <c r="C105" s="42"/>
      <c r="F105" s="184"/>
      <c r="H105" s="184"/>
      <c r="I105" s="184"/>
      <c r="J105" s="193"/>
      <c r="K105" s="193"/>
      <c r="L105" s="123"/>
      <c r="M105" s="123"/>
      <c r="N105" s="160"/>
      <c r="O105" s="160"/>
      <c r="R105" s="123"/>
      <c r="V105" s="42"/>
      <c r="Y105" s="3"/>
      <c r="Z105" s="1"/>
      <c r="AA105" s="3"/>
      <c r="AB105" s="3"/>
      <c r="AC105" s="7"/>
      <c r="AD105" s="7"/>
      <c r="AE105" s="3"/>
      <c r="AF105" s="3"/>
      <c r="AG105" s="175"/>
      <c r="AH105" s="4"/>
      <c r="AI105" s="3"/>
      <c r="AJ105" s="3"/>
      <c r="AK105" s="181"/>
      <c r="AL105" s="6"/>
      <c r="AM105" s="3"/>
      <c r="AN105" s="3"/>
      <c r="AO105" s="3"/>
      <c r="AP105" s="3"/>
      <c r="AQ105" s="181"/>
    </row>
    <row r="106" spans="3:43" x14ac:dyDescent="0.3">
      <c r="C106" s="42"/>
      <c r="F106" s="184"/>
      <c r="H106" s="184"/>
      <c r="I106" s="184"/>
      <c r="J106" s="193"/>
      <c r="K106" s="193"/>
      <c r="L106" s="123"/>
      <c r="M106" s="123"/>
      <c r="N106" s="160"/>
      <c r="O106" s="160"/>
      <c r="R106" s="123"/>
      <c r="T106" s="41">
        <f t="shared" ref="T106:T111" si="0">A42</f>
        <v>19</v>
      </c>
      <c r="V106" s="132" t="s">
        <v>374</v>
      </c>
      <c r="Y106" s="3"/>
      <c r="Z106" s="1"/>
      <c r="AA106" s="3"/>
      <c r="AB106" s="3"/>
      <c r="AC106" s="7"/>
      <c r="AD106" s="7"/>
      <c r="AE106" s="3"/>
      <c r="AF106" s="3"/>
      <c r="AG106" s="175"/>
      <c r="AH106" s="4"/>
      <c r="AI106" s="3"/>
      <c r="AJ106" s="3"/>
      <c r="AK106" s="175"/>
      <c r="AL106" s="6"/>
      <c r="AM106" s="3"/>
      <c r="AN106" s="3"/>
      <c r="AO106" s="3"/>
      <c r="AP106" s="3"/>
      <c r="AQ106" s="175"/>
    </row>
    <row r="107" spans="3:43" x14ac:dyDescent="0.3">
      <c r="C107" s="42"/>
      <c r="F107" s="184"/>
      <c r="H107" s="184"/>
      <c r="I107" s="184"/>
      <c r="J107" s="193"/>
      <c r="K107" s="193"/>
      <c r="L107" s="123"/>
      <c r="M107" s="123"/>
      <c r="N107" s="160"/>
      <c r="O107" s="160"/>
      <c r="R107" s="123"/>
      <c r="T107" s="41">
        <f t="shared" si="0"/>
        <v>20</v>
      </c>
      <c r="V107" s="42" t="s">
        <v>386</v>
      </c>
      <c r="Y107" s="3"/>
      <c r="Z107" s="1"/>
      <c r="AA107" s="3">
        <f>H43</f>
        <v>32710232</v>
      </c>
      <c r="AB107" s="3"/>
      <c r="AC107" s="275">
        <f>CUR_WIN_TT_ON_KWH</f>
        <v>6.5057000000000004E-2</v>
      </c>
      <c r="AD107" s="204"/>
      <c r="AE107" s="3">
        <f>ROUND((AA107*AC107),0)</f>
        <v>2128030</v>
      </c>
      <c r="AF107" s="3"/>
      <c r="AG107" s="175">
        <f>ROUND((AE107/AE$120)*100,1)</f>
        <v>14.2</v>
      </c>
      <c r="AH107" s="4"/>
      <c r="AI107" s="3">
        <f>L43-AE107</f>
        <v>185990</v>
      </c>
      <c r="AJ107" s="3"/>
      <c r="AK107" s="181">
        <f>IF(AE107=0,"0.0 ",ROUND((AI107/AE107)*100,1))</f>
        <v>8.6999999999999993</v>
      </c>
      <c r="AL107" s="6"/>
      <c r="AM107" s="3"/>
      <c r="AN107" s="3"/>
      <c r="AO107" s="3">
        <f>AE107+AM107</f>
        <v>2128030</v>
      </c>
      <c r="AP107" s="3"/>
      <c r="AQ107" s="181">
        <f>IF(AO107=0,"0.0 ",ROUND((AI107/AO107)*100,1))</f>
        <v>8.6999999999999993</v>
      </c>
    </row>
    <row r="108" spans="3:43" x14ac:dyDescent="0.3">
      <c r="F108" s="210"/>
      <c r="H108" s="123"/>
      <c r="I108" s="123"/>
      <c r="J108" s="213"/>
      <c r="K108" s="213"/>
      <c r="L108" s="210"/>
      <c r="M108" s="210"/>
      <c r="N108" s="210"/>
      <c r="O108" s="210"/>
      <c r="P108" s="210"/>
      <c r="Q108" s="210"/>
      <c r="R108" s="210"/>
      <c r="T108" s="41">
        <f t="shared" si="0"/>
        <v>21</v>
      </c>
      <c r="V108" s="42" t="s">
        <v>387</v>
      </c>
      <c r="Y108" s="49"/>
      <c r="Z108" s="1"/>
      <c r="AA108" s="49">
        <f>H44</f>
        <v>90686117</v>
      </c>
      <c r="AB108" s="3"/>
      <c r="AC108" s="275">
        <f>CUR_TT_OFF</f>
        <v>5.7296E-2</v>
      </c>
      <c r="AD108" s="204"/>
      <c r="AE108" s="49">
        <f>ROUND((AA108*AC108),0)</f>
        <v>5195952</v>
      </c>
      <c r="AF108" s="3"/>
      <c r="AG108" s="177">
        <f>ROUND((AE108/AE$120)*100,1)-0.1</f>
        <v>34.699999999999996</v>
      </c>
      <c r="AH108" s="4"/>
      <c r="AI108" s="49">
        <f>L44-AE108</f>
        <v>454065</v>
      </c>
      <c r="AJ108" s="3"/>
      <c r="AK108" s="223">
        <f>IF(AE108=0,"0.0 ",ROUND((AI108/AE108)*100,1))</f>
        <v>8.6999999999999993</v>
      </c>
      <c r="AL108" s="6"/>
      <c r="AM108" s="49"/>
      <c r="AN108" s="3"/>
      <c r="AO108" s="49">
        <f>AE108+AM108</f>
        <v>5195952</v>
      </c>
      <c r="AP108" s="3"/>
      <c r="AQ108" s="223">
        <f>IF(AO108=0,"0.0 ",ROUND((AI108/AO108)*100,1))</f>
        <v>8.6999999999999993</v>
      </c>
    </row>
    <row r="109" spans="3:43" x14ac:dyDescent="0.3">
      <c r="F109" s="210"/>
      <c r="H109" s="123"/>
      <c r="I109" s="123"/>
      <c r="J109" s="213"/>
      <c r="K109" s="213"/>
      <c r="L109" s="210"/>
      <c r="M109" s="210"/>
      <c r="N109" s="210"/>
      <c r="O109" s="210"/>
      <c r="P109" s="210"/>
      <c r="Q109" s="210"/>
      <c r="R109" s="210"/>
      <c r="T109" s="41">
        <f t="shared" si="0"/>
        <v>22</v>
      </c>
      <c r="V109" s="132" t="s">
        <v>143</v>
      </c>
      <c r="Y109" s="3"/>
      <c r="Z109" s="1"/>
      <c r="AA109" s="49">
        <f>H45</f>
        <v>123396349</v>
      </c>
      <c r="AB109" s="3"/>
      <c r="AC109" s="219"/>
      <c r="AD109" s="7"/>
      <c r="AE109" s="49">
        <f>AE107+AE108</f>
        <v>7323982</v>
      </c>
      <c r="AF109" s="3"/>
      <c r="AG109" s="177">
        <f>ROUND((AE109/AE$120)*100,1)</f>
        <v>49</v>
      </c>
      <c r="AH109" s="4"/>
      <c r="AI109" s="49">
        <f>SUM(AI107:AI108)</f>
        <v>640055</v>
      </c>
      <c r="AJ109" s="3"/>
      <c r="AK109" s="224">
        <f>IF(AE109=0,"0.0 ",ROUND((AI109/AE109)*100,1))</f>
        <v>8.6999999999999993</v>
      </c>
      <c r="AL109" s="6"/>
      <c r="AM109" s="49"/>
      <c r="AN109" s="3"/>
      <c r="AO109" s="49">
        <f>AO107+AO108</f>
        <v>7323982</v>
      </c>
      <c r="AP109" s="3"/>
      <c r="AQ109" s="224">
        <f>IF(AO109=0,"0.0 ",ROUND((AI109/AO109)*100,1))</f>
        <v>8.6999999999999993</v>
      </c>
    </row>
    <row r="110" spans="3:43" ht="20.100000000000001" customHeight="1" x14ac:dyDescent="0.3">
      <c r="C110" s="42"/>
      <c r="F110" s="184"/>
      <c r="H110" s="184"/>
      <c r="I110" s="184"/>
      <c r="J110" s="237"/>
      <c r="K110" s="237"/>
      <c r="L110" s="123"/>
      <c r="M110" s="123"/>
      <c r="N110" s="160"/>
      <c r="O110" s="160"/>
      <c r="P110" s="123"/>
      <c r="Q110" s="123"/>
      <c r="R110" s="123"/>
      <c r="S110" s="123"/>
      <c r="T110" s="41">
        <f t="shared" si="0"/>
        <v>23</v>
      </c>
      <c r="V110" s="132" t="s">
        <v>58</v>
      </c>
      <c r="Y110" s="145">
        <f>F46</f>
        <v>104</v>
      </c>
      <c r="Z110" s="1"/>
      <c r="AA110" s="145">
        <f>H46</f>
        <v>123396349</v>
      </c>
      <c r="AB110" s="3"/>
      <c r="AC110" s="257"/>
      <c r="AD110" s="183"/>
      <c r="AE110" s="145">
        <f>AE99+AE104+AE109</f>
        <v>9371710</v>
      </c>
      <c r="AF110" s="3"/>
      <c r="AG110" s="177">
        <f>ROUND((AE110/AE$120)*100,1)</f>
        <v>62.7</v>
      </c>
      <c r="AH110" s="4"/>
      <c r="AI110" s="145">
        <f>AI99+AI104+AI109</f>
        <v>813225</v>
      </c>
      <c r="AJ110" s="3"/>
      <c r="AK110" s="224">
        <f>IF(AE110=0,"0.0 ",ROUND((AI110/AE110)*100,1))</f>
        <v>8.6999999999999993</v>
      </c>
      <c r="AL110" s="4"/>
      <c r="AM110" s="276"/>
      <c r="AN110" s="3"/>
      <c r="AO110" s="145">
        <f>AO99+AO104+AO109</f>
        <v>9371710</v>
      </c>
      <c r="AP110" s="3"/>
      <c r="AQ110" s="224">
        <f>IF(AO110=0,"0.0 ",ROUND((AI110/AO110)*100,1))</f>
        <v>8.6999999999999993</v>
      </c>
    </row>
    <row r="111" spans="3:43" ht="20.100000000000001" customHeight="1" x14ac:dyDescent="0.3">
      <c r="C111" s="42"/>
      <c r="F111" s="184"/>
      <c r="H111" s="184"/>
      <c r="I111" s="184"/>
      <c r="J111" s="193"/>
      <c r="K111" s="193"/>
      <c r="L111" s="123"/>
      <c r="M111" s="123"/>
      <c r="N111" s="160"/>
      <c r="O111" s="160"/>
      <c r="P111" s="123"/>
      <c r="Q111" s="123"/>
      <c r="R111" s="123"/>
      <c r="T111" s="41">
        <f t="shared" si="0"/>
        <v>24</v>
      </c>
      <c r="V111" s="178" t="s">
        <v>454</v>
      </c>
      <c r="Y111" s="145">
        <f>Y96+Y110</f>
        <v>156</v>
      </c>
      <c r="Z111" s="1"/>
      <c r="AA111" s="145">
        <f>AA96+AA110</f>
        <v>185463057</v>
      </c>
      <c r="AB111" s="1"/>
      <c r="AC111" s="216"/>
      <c r="AD111" s="1"/>
      <c r="AE111" s="145">
        <f>AE96+AE110</f>
        <v>14330278</v>
      </c>
      <c r="AF111" s="1"/>
      <c r="AG111" s="177">
        <f>ROUND((AE111/AE$120)*100,1)</f>
        <v>95.9</v>
      </c>
      <c r="AH111" s="1"/>
      <c r="AI111" s="145">
        <f>AI110+AI96</f>
        <v>1243968</v>
      </c>
      <c r="AJ111" s="1"/>
      <c r="AK111" s="224">
        <f>IF(AE111=0,"0.0 ",ROUND((AI111/AE111)*100,1))</f>
        <v>8.6999999999999993</v>
      </c>
      <c r="AL111" s="1"/>
      <c r="AM111" s="277"/>
      <c r="AN111" s="1"/>
      <c r="AO111" s="145">
        <f>AO110+AO96</f>
        <v>14330278</v>
      </c>
      <c r="AP111" s="1"/>
      <c r="AQ111" s="224">
        <f>IF(AO111=0,"0.0 ",ROUND((AI111/AO111)*100,1))</f>
        <v>8.6999999999999993</v>
      </c>
    </row>
    <row r="112" spans="3:43" x14ac:dyDescent="0.3">
      <c r="C112" s="42"/>
      <c r="F112" s="184"/>
      <c r="H112" s="184"/>
      <c r="I112" s="184"/>
      <c r="J112" s="193"/>
      <c r="K112" s="193"/>
      <c r="L112" s="123"/>
      <c r="M112" s="123"/>
      <c r="N112" s="160"/>
      <c r="O112" s="160"/>
      <c r="P112" s="123"/>
      <c r="Q112" s="123"/>
      <c r="R112" s="123"/>
      <c r="V112" s="42"/>
      <c r="Y112" s="1"/>
      <c r="Z112" s="1"/>
      <c r="AA112" s="1"/>
      <c r="AB112" s="1"/>
      <c r="AC112" s="216"/>
      <c r="AD112" s="1"/>
      <c r="AE112" s="1"/>
      <c r="AF112" s="1"/>
      <c r="AG112" s="175"/>
      <c r="AH112" s="1"/>
      <c r="AI112" s="1"/>
      <c r="AJ112" s="1"/>
      <c r="AK112" s="175"/>
      <c r="AL112" s="1"/>
      <c r="AM112" s="1"/>
      <c r="AN112" s="1"/>
      <c r="AO112" s="1"/>
      <c r="AP112" s="1"/>
      <c r="AQ112" s="175"/>
    </row>
    <row r="113" spans="3:43" x14ac:dyDescent="0.3">
      <c r="C113" s="42"/>
      <c r="F113" s="184"/>
      <c r="H113" s="184"/>
      <c r="I113" s="184"/>
      <c r="J113" s="193"/>
      <c r="K113" s="193"/>
      <c r="L113" s="123"/>
      <c r="M113" s="123"/>
      <c r="N113" s="160"/>
      <c r="O113" s="160"/>
      <c r="P113" s="123"/>
      <c r="Q113" s="123"/>
      <c r="R113" s="123"/>
      <c r="T113" s="41">
        <f t="shared" ref="T113:T118" si="1">A49</f>
        <v>25</v>
      </c>
      <c r="V113" s="132" t="s">
        <v>432</v>
      </c>
      <c r="Y113" s="1"/>
      <c r="Z113" s="1"/>
      <c r="AA113" s="1"/>
      <c r="AB113" s="1"/>
      <c r="AC113" s="216"/>
      <c r="AD113" s="1"/>
      <c r="AE113" s="1"/>
      <c r="AF113" s="1"/>
      <c r="AG113" s="175"/>
      <c r="AH113" s="1"/>
      <c r="AI113" s="1"/>
      <c r="AJ113" s="1"/>
      <c r="AK113" s="175"/>
      <c r="AL113" s="1"/>
      <c r="AM113" s="1"/>
      <c r="AN113" s="1"/>
      <c r="AO113" s="1"/>
      <c r="AP113" s="1"/>
      <c r="AQ113" s="175"/>
    </row>
    <row r="114" spans="3:43" x14ac:dyDescent="0.3">
      <c r="C114" s="42"/>
      <c r="F114" s="184"/>
      <c r="H114" s="184"/>
      <c r="I114" s="184"/>
      <c r="J114" s="193"/>
      <c r="K114" s="193"/>
      <c r="L114" s="123"/>
      <c r="M114" s="123"/>
      <c r="N114" s="160"/>
      <c r="O114" s="160"/>
      <c r="P114" s="123"/>
      <c r="Q114" s="123"/>
      <c r="R114" s="123"/>
      <c r="T114" s="41">
        <f t="shared" si="1"/>
        <v>26</v>
      </c>
      <c r="V114" s="192" t="str">
        <f>C50</f>
        <v>DEMAND SIDE MANAGEMENT RIDER (DSMR)</v>
      </c>
      <c r="Y114" s="1"/>
      <c r="Z114" s="1"/>
      <c r="AA114" s="1"/>
      <c r="AB114" s="1"/>
      <c r="AC114" s="217">
        <f>DSM_TRANS</f>
        <v>5.1400000000000003E-4</v>
      </c>
      <c r="AD114" s="1"/>
      <c r="AE114" s="3">
        <f>ROUND($AA$111*AC114,0)</f>
        <v>95328</v>
      </c>
      <c r="AF114" s="1"/>
      <c r="AG114" s="175">
        <f>ROUND((AE114/AE$120)*100,1)</f>
        <v>0.6</v>
      </c>
      <c r="AH114" s="1"/>
      <c r="AI114" s="3">
        <f>L50-AE114</f>
        <v>0</v>
      </c>
      <c r="AJ114" s="1"/>
      <c r="AK114" s="181">
        <f>IF(AE114=0,"0.0 ",ROUND((AI114/AE114)*100,1))</f>
        <v>0</v>
      </c>
      <c r="AL114" s="1"/>
      <c r="AM114" s="3"/>
      <c r="AN114" s="3"/>
      <c r="AO114" s="3">
        <f>AE114+AM114</f>
        <v>95328</v>
      </c>
      <c r="AP114" s="1"/>
      <c r="AQ114" s="181">
        <f>IF(AO114=0,"0.0 ",ROUND((AI114/AO114)*100,1))</f>
        <v>0</v>
      </c>
    </row>
    <row r="115" spans="3:43" x14ac:dyDescent="0.3">
      <c r="C115" s="42"/>
      <c r="F115" s="184"/>
      <c r="H115" s="184"/>
      <c r="I115" s="184"/>
      <c r="J115" s="193"/>
      <c r="K115" s="193"/>
      <c r="L115" s="123"/>
      <c r="M115" s="123"/>
      <c r="N115" s="160"/>
      <c r="O115" s="160"/>
      <c r="P115" s="123"/>
      <c r="Q115" s="123"/>
      <c r="R115" s="123"/>
      <c r="T115" s="41">
        <f t="shared" si="1"/>
        <v>27</v>
      </c>
      <c r="V115" s="192" t="str">
        <f>C51</f>
        <v>ENVIRONMENTAL SURCHARGE MECHANISM RIDER (ESM)</v>
      </c>
      <c r="Y115" s="1"/>
      <c r="Z115" s="1"/>
      <c r="AA115" s="1"/>
      <c r="AB115" s="1"/>
      <c r="AC115" s="231">
        <f>CUR_ESM_NonRes</f>
        <v>6.4941608437496566E-3</v>
      </c>
      <c r="AD115" s="1"/>
      <c r="AE115" s="3">
        <f>ROUND((AO111-(CUR_BASE_FUEL*AA111)+AO114+AO117)*AC115,0)</f>
        <v>55978</v>
      </c>
      <c r="AF115" s="1"/>
      <c r="AG115" s="175">
        <f>ROUND((AE115/AE$120)*100,1)</f>
        <v>0.4</v>
      </c>
      <c r="AH115" s="1"/>
      <c r="AI115" s="3">
        <f>L51-AE115</f>
        <v>1227</v>
      </c>
      <c r="AJ115" s="1"/>
      <c r="AK115" s="181">
        <f>IF(AE115=0,"0.0 ",ROUND((AI115/AE115)*100,1))</f>
        <v>2.2000000000000002</v>
      </c>
      <c r="AL115" s="1"/>
      <c r="AM115" s="3"/>
      <c r="AN115" s="3"/>
      <c r="AO115" s="3">
        <f>AE115+AM115</f>
        <v>55978</v>
      </c>
      <c r="AP115" s="1"/>
      <c r="AQ115" s="181">
        <f>IF(AO115=0,"0.0 ",ROUND((AI115/AO115)*100,1))</f>
        <v>2.2000000000000002</v>
      </c>
    </row>
    <row r="116" spans="3:43" x14ac:dyDescent="0.3">
      <c r="C116" s="42"/>
      <c r="F116" s="184"/>
      <c r="H116" s="184"/>
      <c r="I116" s="184"/>
      <c r="J116" s="193"/>
      <c r="K116" s="193"/>
      <c r="L116" s="123"/>
      <c r="M116" s="123"/>
      <c r="N116" s="160"/>
      <c r="O116" s="160"/>
      <c r="P116" s="123"/>
      <c r="Q116" s="123"/>
      <c r="R116" s="123"/>
      <c r="T116" s="41">
        <f t="shared" si="1"/>
        <v>28</v>
      </c>
      <c r="V116" s="192" t="str">
        <f>C52</f>
        <v>FUEL ADJUSTMENT CLAUSE (FAC)</v>
      </c>
      <c r="Y116" s="1"/>
      <c r="Z116" s="1"/>
      <c r="AA116" s="1"/>
      <c r="AB116" s="1"/>
      <c r="AC116" s="217">
        <f>CUR_FAC</f>
        <v>3.4872127999999998E-3</v>
      </c>
      <c r="AD116" s="1"/>
      <c r="AE116" s="3"/>
      <c r="AF116" s="1"/>
      <c r="AG116" s="175"/>
      <c r="AH116" s="1"/>
      <c r="AI116" s="3"/>
      <c r="AJ116" s="1"/>
      <c r="AK116" s="181"/>
      <c r="AL116" s="1"/>
      <c r="AM116" s="3">
        <f>ROUND(AA111*CUR_FAC,0)</f>
        <v>646749</v>
      </c>
      <c r="AN116" s="3"/>
      <c r="AO116" s="3">
        <f>AE116+AM116</f>
        <v>646749</v>
      </c>
      <c r="AP116" s="1"/>
      <c r="AQ116" s="181">
        <f>IF(AO116=0,"0.0 ",ROUND(((R52-AO116)/AO116)*100,1))</f>
        <v>0</v>
      </c>
    </row>
    <row r="117" spans="3:43" x14ac:dyDescent="0.3">
      <c r="C117" s="42"/>
      <c r="F117" s="184"/>
      <c r="H117" s="184"/>
      <c r="I117" s="184"/>
      <c r="J117" s="193"/>
      <c r="K117" s="193"/>
      <c r="L117" s="123"/>
      <c r="M117" s="123"/>
      <c r="N117" s="160"/>
      <c r="O117" s="160"/>
      <c r="P117" s="123"/>
      <c r="Q117" s="123"/>
      <c r="R117" s="123"/>
      <c r="T117" s="41">
        <f t="shared" si="1"/>
        <v>29</v>
      </c>
      <c r="V117" s="192" t="str">
        <f>C53</f>
        <v>PROFIT SHARING MECHANISM (PSM)</v>
      </c>
      <c r="Y117" s="1"/>
      <c r="Z117" s="1"/>
      <c r="AA117" s="1"/>
      <c r="AB117" s="1"/>
      <c r="AC117" s="217">
        <f>RS_PSM</f>
        <v>2.4750000000000002E-3</v>
      </c>
      <c r="AD117" s="1"/>
      <c r="AE117" s="49">
        <f>ROUND(AA111*RS_PSM,0)</f>
        <v>459021</v>
      </c>
      <c r="AF117" s="1"/>
      <c r="AG117" s="177">
        <f>ROUND((AE117/AE$120)*100,1)</f>
        <v>3.1</v>
      </c>
      <c r="AH117" s="1"/>
      <c r="AI117" s="49">
        <f>L53-AE117</f>
        <v>0</v>
      </c>
      <c r="AJ117" s="1"/>
      <c r="AK117" s="223">
        <f>IF(AE117=0,"0.0 ",ROUND((AI117/AE117)*100,1))</f>
        <v>0</v>
      </c>
      <c r="AL117" s="1"/>
      <c r="AM117" s="49"/>
      <c r="AN117" s="3"/>
      <c r="AO117" s="49">
        <f>AE117+AM117</f>
        <v>459021</v>
      </c>
      <c r="AP117" s="1"/>
      <c r="AQ117" s="223">
        <f>IF(AO117=0,"0.0 ",ROUND((AI117/AO117)*100,1))</f>
        <v>0</v>
      </c>
    </row>
    <row r="118" spans="3:43" x14ac:dyDescent="0.3">
      <c r="C118" s="42"/>
      <c r="F118" s="184"/>
      <c r="H118" s="184"/>
      <c r="I118" s="184"/>
      <c r="J118" s="193"/>
      <c r="K118" s="193"/>
      <c r="L118" s="123"/>
      <c r="M118" s="123"/>
      <c r="N118" s="160"/>
      <c r="O118" s="160"/>
      <c r="P118" s="123"/>
      <c r="Q118" s="123"/>
      <c r="R118" s="123"/>
      <c r="T118" s="41">
        <f t="shared" si="1"/>
        <v>30</v>
      </c>
      <c r="V118" s="132" t="s">
        <v>437</v>
      </c>
      <c r="Y118" s="8"/>
      <c r="Z118" s="1"/>
      <c r="AA118" s="8"/>
      <c r="AB118" s="1"/>
      <c r="AC118" s="217"/>
      <c r="AD118" s="1"/>
      <c r="AE118" s="145">
        <f>SUM(AE114:AE117)</f>
        <v>610327</v>
      </c>
      <c r="AF118" s="1"/>
      <c r="AG118" s="180">
        <f>ROUND((AE118/AE$120)*100,1)</f>
        <v>4.0999999999999996</v>
      </c>
      <c r="AH118" s="1"/>
      <c r="AI118" s="145">
        <f>SUM(AI114:AI117)</f>
        <v>1227</v>
      </c>
      <c r="AJ118" s="1"/>
      <c r="AK118" s="224">
        <f>IF(AE118=0,"0.0 ",ROUND((AI118/AE118)*100,1))</f>
        <v>0.2</v>
      </c>
      <c r="AL118" s="1"/>
      <c r="AM118" s="145">
        <f>SUM(AM114:AM117)</f>
        <v>646749</v>
      </c>
      <c r="AN118" s="3"/>
      <c r="AO118" s="145">
        <f>SUM(AO114:AO117)</f>
        <v>1257076</v>
      </c>
      <c r="AP118" s="1"/>
      <c r="AQ118" s="224">
        <f>IF(AO118=0,"0.0 ",ROUND((AI118/AO118)*100,1))</f>
        <v>0.1</v>
      </c>
    </row>
    <row r="119" spans="3:43" x14ac:dyDescent="0.3">
      <c r="C119" s="42"/>
      <c r="F119" s="184"/>
      <c r="H119" s="184"/>
      <c r="I119" s="184"/>
      <c r="J119" s="193"/>
      <c r="K119" s="193"/>
      <c r="L119" s="123"/>
      <c r="M119" s="123"/>
      <c r="N119" s="160"/>
      <c r="O119" s="160"/>
      <c r="P119" s="123"/>
      <c r="Q119" s="123"/>
      <c r="R119" s="123"/>
      <c r="V119" s="42"/>
      <c r="Y119" s="1"/>
      <c r="Z119" s="1"/>
      <c r="AA119" s="1"/>
      <c r="AB119" s="1"/>
      <c r="AC119" s="1"/>
      <c r="AD119" s="1"/>
      <c r="AE119" s="1"/>
      <c r="AF119" s="1"/>
      <c r="AG119" s="175"/>
      <c r="AH119" s="1"/>
      <c r="AI119" s="1"/>
      <c r="AJ119" s="1"/>
      <c r="AK119" s="175"/>
      <c r="AL119" s="1"/>
      <c r="AM119" s="1"/>
      <c r="AN119" s="1"/>
      <c r="AO119" s="1"/>
      <c r="AP119" s="1"/>
      <c r="AQ119" s="175"/>
    </row>
    <row r="120" spans="3:43" ht="20.100000000000001" customHeight="1" thickBot="1" x14ac:dyDescent="0.35">
      <c r="F120" s="123"/>
      <c r="H120" s="210"/>
      <c r="I120" s="210"/>
      <c r="J120" s="213"/>
      <c r="K120" s="213"/>
      <c r="L120" s="210"/>
      <c r="M120" s="210"/>
      <c r="N120" s="210"/>
      <c r="O120" s="210"/>
      <c r="P120" s="210"/>
      <c r="Q120" s="210"/>
      <c r="R120" s="210"/>
      <c r="T120" s="41">
        <f>A56</f>
        <v>31</v>
      </c>
      <c r="V120" s="178" t="s">
        <v>455</v>
      </c>
      <c r="Y120" s="151">
        <f>Y111</f>
        <v>156</v>
      </c>
      <c r="Z120" s="1"/>
      <c r="AA120" s="151">
        <f>AA111</f>
        <v>185463057</v>
      </c>
      <c r="AB120" s="3"/>
      <c r="AC120" s="1"/>
      <c r="AD120" s="1"/>
      <c r="AE120" s="151">
        <f>AE111+AE118</f>
        <v>14940605</v>
      </c>
      <c r="AF120" s="3"/>
      <c r="AG120" s="187">
        <v>100</v>
      </c>
      <c r="AH120" s="4"/>
      <c r="AI120" s="151">
        <f>AI111+AI118</f>
        <v>1245195</v>
      </c>
      <c r="AJ120" s="3"/>
      <c r="AK120" s="232">
        <f>IF(AE120=0,"0.0 ",ROUND((AI120/AE120)*100,1))</f>
        <v>8.3000000000000007</v>
      </c>
      <c r="AL120" s="4"/>
      <c r="AM120" s="151">
        <f>AM111+AM118</f>
        <v>646749</v>
      </c>
      <c r="AN120" s="159"/>
      <c r="AO120" s="151">
        <f>AO111+AO118</f>
        <v>15587354</v>
      </c>
      <c r="AP120" s="3"/>
      <c r="AQ120" s="232">
        <f>IF(AO120=0,"0.0 ",ROUND((AI120/AO120)*100,1))</f>
        <v>8</v>
      </c>
    </row>
    <row r="121" spans="3:43" ht="16.2" thickTop="1" x14ac:dyDescent="0.3">
      <c r="F121" s="123"/>
      <c r="H121" s="210"/>
      <c r="I121" s="210"/>
      <c r="J121" s="213"/>
      <c r="K121" s="213"/>
      <c r="L121" s="210"/>
      <c r="M121" s="210"/>
      <c r="N121" s="210"/>
      <c r="O121" s="210"/>
      <c r="P121" s="210"/>
      <c r="Q121" s="210"/>
      <c r="R121" s="210"/>
      <c r="Y121" s="1"/>
      <c r="Z121" s="1"/>
      <c r="AA121" s="1"/>
      <c r="AB121" s="1"/>
      <c r="AC121" s="1"/>
      <c r="AD121" s="1"/>
      <c r="AE121" s="1"/>
      <c r="AF121" s="1"/>
      <c r="AG121" s="175"/>
      <c r="AH121" s="1"/>
      <c r="AI121" s="1"/>
      <c r="AJ121" s="1"/>
      <c r="AK121" s="175"/>
      <c r="AL121" s="1"/>
      <c r="AM121" s="1"/>
      <c r="AN121" s="1"/>
      <c r="AO121" s="1"/>
      <c r="AP121" s="1"/>
      <c r="AQ121" s="175"/>
    </row>
    <row r="122" spans="3:43" x14ac:dyDescent="0.3">
      <c r="C122" s="42"/>
      <c r="F122" s="123"/>
      <c r="H122" s="123"/>
      <c r="I122" s="123"/>
      <c r="J122" s="213"/>
      <c r="K122" s="213"/>
      <c r="L122" s="123"/>
      <c r="M122" s="123"/>
      <c r="N122" s="123"/>
      <c r="O122" s="123"/>
      <c r="P122" s="123"/>
      <c r="Q122" s="123"/>
      <c r="R122" s="123"/>
      <c r="V122" s="202" t="s">
        <v>59</v>
      </c>
      <c r="AE122" s="123"/>
      <c r="AF122" s="123"/>
      <c r="AH122" s="123"/>
      <c r="AM122" s="123"/>
      <c r="AN122" s="123"/>
      <c r="AO122" s="123"/>
      <c r="AP122" s="123"/>
    </row>
    <row r="123" spans="3:43" x14ac:dyDescent="0.3">
      <c r="C123" s="42"/>
      <c r="F123" s="123"/>
      <c r="H123" s="123"/>
      <c r="I123" s="123"/>
      <c r="J123" s="213"/>
      <c r="K123" s="213"/>
      <c r="L123" s="123"/>
      <c r="M123" s="123"/>
      <c r="N123" s="123"/>
      <c r="O123" s="123"/>
      <c r="P123" s="123"/>
      <c r="Q123" s="123"/>
      <c r="R123" s="123"/>
      <c r="V123" s="202" t="str">
        <f>"(2) REFLECTS FUEL COMPONENT OF "&amp;TEXT(CUR_FAC,"$0.000000;($0.000000)")&amp;"  PER KWH."</f>
        <v>(2) REFLECTS FUEL COMPONENT OF $0.003487  PER KWH.</v>
      </c>
      <c r="AE123" s="123"/>
      <c r="AF123" s="123"/>
      <c r="AH123" s="123"/>
      <c r="AM123" s="123"/>
      <c r="AN123" s="123"/>
      <c r="AO123" s="123"/>
      <c r="AP123" s="123"/>
    </row>
    <row r="124" spans="3:43" x14ac:dyDescent="0.3">
      <c r="C124" s="42"/>
      <c r="F124" s="123"/>
      <c r="H124" s="184"/>
      <c r="I124" s="184"/>
      <c r="J124" s="238"/>
      <c r="K124" s="238"/>
      <c r="L124" s="123"/>
      <c r="M124" s="123"/>
      <c r="N124" s="160"/>
      <c r="O124" s="160"/>
      <c r="P124" s="123"/>
      <c r="Q124" s="123"/>
      <c r="R124" s="123"/>
      <c r="T124" s="42"/>
      <c r="V124" s="202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25" spans="3:43" x14ac:dyDescent="0.3">
      <c r="C125" s="42"/>
      <c r="H125" s="184"/>
      <c r="I125" s="184"/>
      <c r="J125" s="238"/>
      <c r="K125" s="238"/>
      <c r="L125" s="123"/>
      <c r="M125" s="123"/>
      <c r="N125" s="160"/>
      <c r="O125" s="160"/>
      <c r="P125" s="123"/>
      <c r="Q125" s="123"/>
      <c r="R125" s="123"/>
      <c r="T125" s="42"/>
      <c r="V125" s="184"/>
      <c r="Y125" s="184"/>
      <c r="Z125" s="237"/>
      <c r="AA125" s="123"/>
      <c r="AB125" s="123"/>
      <c r="AC125" s="160"/>
      <c r="AD125" s="160"/>
      <c r="AE125" s="123"/>
      <c r="AF125" s="123"/>
      <c r="AH125" s="160"/>
      <c r="AI125" s="123"/>
      <c r="AJ125" s="123"/>
      <c r="AL125" s="123"/>
      <c r="AM125" s="160"/>
      <c r="AN125" s="160"/>
    </row>
    <row r="126" spans="3:43" x14ac:dyDescent="0.3">
      <c r="F126" s="123"/>
      <c r="H126" s="123"/>
      <c r="I126" s="123"/>
      <c r="J126" s="213"/>
      <c r="K126" s="213"/>
      <c r="L126" s="210"/>
      <c r="M126" s="210"/>
      <c r="N126" s="210"/>
      <c r="O126" s="210"/>
      <c r="P126" s="210"/>
      <c r="Q126" s="210"/>
      <c r="R126" s="210"/>
      <c r="T126" s="42"/>
      <c r="V126" s="184"/>
      <c r="Y126" s="123"/>
      <c r="Z126" s="193"/>
      <c r="AA126" s="123"/>
      <c r="AB126" s="123"/>
      <c r="AC126" s="160"/>
      <c r="AD126" s="160"/>
      <c r="AE126" s="123"/>
      <c r="AF126" s="123"/>
      <c r="AH126" s="236"/>
      <c r="AI126" s="123"/>
      <c r="AJ126" s="123"/>
      <c r="AL126" s="123"/>
      <c r="AM126" s="160"/>
      <c r="AN126" s="160"/>
    </row>
    <row r="127" spans="3:43" x14ac:dyDescent="0.3">
      <c r="C127" s="42"/>
      <c r="F127" s="123"/>
      <c r="H127" s="123"/>
      <c r="I127" s="123"/>
      <c r="J127" s="219"/>
      <c r="K127" s="219"/>
      <c r="L127" s="123"/>
      <c r="M127" s="123"/>
      <c r="N127" s="160"/>
      <c r="O127" s="160"/>
      <c r="P127" s="123"/>
      <c r="Q127" s="123"/>
      <c r="R127" s="123"/>
      <c r="T127" s="42"/>
      <c r="V127" s="184"/>
      <c r="Y127" s="123"/>
      <c r="Z127" s="193"/>
      <c r="AA127" s="123"/>
      <c r="AB127" s="123"/>
      <c r="AC127" s="160"/>
      <c r="AD127" s="160"/>
      <c r="AE127" s="123"/>
      <c r="AF127" s="123"/>
      <c r="AH127" s="236"/>
      <c r="AI127" s="123"/>
      <c r="AJ127" s="123"/>
      <c r="AL127" s="123"/>
      <c r="AM127" s="160"/>
      <c r="AN127" s="160"/>
    </row>
    <row r="128" spans="3:43" x14ac:dyDescent="0.3">
      <c r="F128" s="123"/>
      <c r="H128" s="123"/>
      <c r="I128" s="123"/>
      <c r="J128" s="213"/>
      <c r="K128" s="213"/>
      <c r="L128" s="210"/>
      <c r="M128" s="210"/>
      <c r="N128" s="210"/>
      <c r="O128" s="210"/>
      <c r="P128" s="210"/>
      <c r="Q128" s="210"/>
      <c r="R128" s="210"/>
      <c r="V128" s="123"/>
      <c r="Y128" s="210"/>
      <c r="Z128" s="213"/>
      <c r="AA128" s="210"/>
      <c r="AB128" s="210"/>
      <c r="AC128" s="210"/>
      <c r="AD128" s="210"/>
      <c r="AE128" s="210"/>
      <c r="AF128" s="210"/>
      <c r="AI128" s="210"/>
      <c r="AJ128" s="210"/>
      <c r="AK128" s="214"/>
      <c r="AL128" s="210"/>
      <c r="AM128" s="160"/>
      <c r="AN128" s="160"/>
    </row>
    <row r="129" spans="1:40" x14ac:dyDescent="0.3">
      <c r="C129" s="42"/>
      <c r="F129" s="123"/>
      <c r="H129" s="123"/>
      <c r="I129" s="123"/>
      <c r="J129" s="219"/>
      <c r="K129" s="219"/>
      <c r="L129" s="123"/>
      <c r="M129" s="123"/>
      <c r="N129" s="160"/>
      <c r="O129" s="160"/>
      <c r="P129" s="123"/>
      <c r="Q129" s="123"/>
      <c r="R129" s="123"/>
      <c r="T129" s="42"/>
      <c r="V129" s="123"/>
      <c r="Y129" s="123"/>
      <c r="Z129" s="213"/>
      <c r="AA129" s="123"/>
      <c r="AB129" s="123"/>
      <c r="AC129" s="160"/>
      <c r="AD129" s="160"/>
      <c r="AE129" s="123"/>
      <c r="AF129" s="123"/>
      <c r="AH129" s="236"/>
      <c r="AI129" s="123"/>
      <c r="AJ129" s="123"/>
      <c r="AL129" s="123"/>
      <c r="AM129" s="160"/>
      <c r="AN129" s="160"/>
    </row>
    <row r="130" spans="1:40" x14ac:dyDescent="0.3">
      <c r="C130" s="42"/>
      <c r="F130" s="184"/>
      <c r="H130" s="184"/>
      <c r="I130" s="184"/>
      <c r="J130" s="227"/>
      <c r="K130" s="227"/>
      <c r="L130" s="123"/>
      <c r="M130" s="123"/>
      <c r="N130" s="160"/>
      <c r="O130" s="160"/>
      <c r="P130" s="123"/>
      <c r="Q130" s="123"/>
      <c r="R130" s="123"/>
      <c r="V130" s="123"/>
      <c r="Y130" s="210"/>
      <c r="Z130" s="213"/>
      <c r="AA130" s="210"/>
      <c r="AB130" s="210"/>
      <c r="AC130" s="210"/>
      <c r="AD130" s="210"/>
      <c r="AE130" s="210"/>
      <c r="AF130" s="210"/>
      <c r="AI130" s="210"/>
      <c r="AJ130" s="210"/>
      <c r="AK130" s="214"/>
      <c r="AL130" s="210"/>
      <c r="AM130" s="160"/>
      <c r="AN130" s="160"/>
    </row>
    <row r="131" spans="1:40" x14ac:dyDescent="0.3">
      <c r="F131" s="210"/>
      <c r="H131" s="210"/>
      <c r="I131" s="210"/>
      <c r="J131" s="213"/>
      <c r="K131" s="213"/>
      <c r="L131" s="210"/>
      <c r="M131" s="210"/>
      <c r="N131" s="210"/>
      <c r="O131" s="210"/>
      <c r="P131" s="210"/>
      <c r="Q131" s="210"/>
      <c r="R131" s="210"/>
      <c r="T131" s="42"/>
      <c r="V131" s="123"/>
      <c r="Y131" s="123"/>
      <c r="Z131" s="213"/>
      <c r="AA131" s="123"/>
      <c r="AB131" s="123"/>
      <c r="AC131" s="123"/>
      <c r="AD131" s="123"/>
      <c r="AE131" s="123"/>
      <c r="AF131" s="123"/>
      <c r="AH131" s="236"/>
      <c r="AI131" s="123"/>
      <c r="AJ131" s="123"/>
      <c r="AL131" s="123"/>
      <c r="AM131" s="160"/>
      <c r="AN131" s="160"/>
    </row>
    <row r="132" spans="1:40" x14ac:dyDescent="0.3">
      <c r="C132" s="42"/>
      <c r="F132" s="123"/>
      <c r="H132" s="123"/>
      <c r="I132" s="123"/>
      <c r="J132" s="213"/>
      <c r="K132" s="213"/>
      <c r="L132" s="123"/>
      <c r="M132" s="123"/>
      <c r="N132" s="160"/>
      <c r="O132" s="160"/>
      <c r="P132" s="123"/>
      <c r="Q132" s="123"/>
      <c r="R132" s="123"/>
      <c r="S132" s="123"/>
      <c r="T132" s="42"/>
      <c r="V132" s="123"/>
      <c r="Y132" s="123"/>
      <c r="Z132" s="238"/>
      <c r="AA132" s="123"/>
      <c r="AB132" s="123"/>
      <c r="AC132" s="160"/>
      <c r="AD132" s="160"/>
      <c r="AE132" s="123"/>
      <c r="AF132" s="123"/>
      <c r="AH132" s="236"/>
      <c r="AI132" s="123"/>
      <c r="AJ132" s="123"/>
      <c r="AL132" s="123"/>
      <c r="AM132" s="160"/>
      <c r="AN132" s="160"/>
    </row>
    <row r="133" spans="1:40" x14ac:dyDescent="0.3">
      <c r="F133" s="210"/>
      <c r="H133" s="210"/>
      <c r="I133" s="210"/>
      <c r="J133" s="213"/>
      <c r="K133" s="213"/>
      <c r="L133" s="210"/>
      <c r="M133" s="210"/>
      <c r="N133" s="210"/>
      <c r="O133" s="210"/>
      <c r="P133" s="210"/>
      <c r="Q133" s="210"/>
      <c r="R133" s="210"/>
      <c r="S133" s="123"/>
      <c r="T133" s="42"/>
      <c r="Y133" s="123"/>
      <c r="Z133" s="238"/>
      <c r="AA133" s="123"/>
      <c r="AB133" s="123"/>
      <c r="AC133" s="160"/>
      <c r="AD133" s="160"/>
      <c r="AE133" s="123"/>
      <c r="AF133" s="123"/>
      <c r="AH133" s="236"/>
      <c r="AI133" s="123"/>
      <c r="AJ133" s="123"/>
      <c r="AL133" s="123"/>
      <c r="AM133" s="160"/>
      <c r="AN133" s="160"/>
    </row>
    <row r="134" spans="1:40" x14ac:dyDescent="0.3">
      <c r="C134" s="42"/>
      <c r="V134" s="123"/>
      <c r="Y134" s="123"/>
      <c r="Z134" s="213"/>
      <c r="AA134" s="210"/>
      <c r="AB134" s="210"/>
      <c r="AC134" s="210"/>
      <c r="AD134" s="210"/>
      <c r="AE134" s="210"/>
      <c r="AF134" s="210"/>
      <c r="AI134" s="210"/>
      <c r="AJ134" s="210"/>
      <c r="AK134" s="214"/>
      <c r="AL134" s="210"/>
      <c r="AM134" s="160"/>
      <c r="AN134" s="160"/>
    </row>
    <row r="135" spans="1:40" x14ac:dyDescent="0.3">
      <c r="C135" s="42"/>
      <c r="F135" s="123"/>
      <c r="H135" s="123"/>
      <c r="I135" s="123"/>
      <c r="L135" s="123"/>
      <c r="M135" s="123"/>
      <c r="N135" s="160"/>
      <c r="O135" s="160"/>
      <c r="P135" s="184"/>
      <c r="Q135" s="184"/>
      <c r="R135" s="123"/>
      <c r="T135" s="42"/>
      <c r="V135" s="123"/>
      <c r="Y135" s="123"/>
      <c r="Z135" s="219"/>
      <c r="AA135" s="123"/>
      <c r="AB135" s="123"/>
      <c r="AC135" s="160"/>
      <c r="AD135" s="160"/>
      <c r="AE135" s="123"/>
      <c r="AF135" s="123"/>
      <c r="AH135" s="236"/>
      <c r="AI135" s="123"/>
      <c r="AJ135" s="123"/>
      <c r="AL135" s="123"/>
      <c r="AM135" s="160"/>
      <c r="AN135" s="160"/>
    </row>
    <row r="136" spans="1:40" x14ac:dyDescent="0.3">
      <c r="F136" s="210"/>
      <c r="H136" s="210"/>
      <c r="I136" s="210"/>
      <c r="J136" s="213"/>
      <c r="K136" s="213"/>
      <c r="L136" s="210"/>
      <c r="M136" s="210"/>
      <c r="N136" s="210"/>
      <c r="O136" s="210"/>
      <c r="P136" s="210"/>
      <c r="Q136" s="210"/>
      <c r="R136" s="210"/>
      <c r="V136" s="123"/>
      <c r="Y136" s="123"/>
      <c r="Z136" s="213"/>
      <c r="AA136" s="210"/>
      <c r="AB136" s="210"/>
      <c r="AC136" s="210"/>
      <c r="AD136" s="210"/>
      <c r="AE136" s="210"/>
      <c r="AF136" s="210"/>
      <c r="AI136" s="210"/>
      <c r="AJ136" s="210"/>
      <c r="AK136" s="214"/>
      <c r="AL136" s="210"/>
      <c r="AM136" s="160"/>
      <c r="AN136" s="160"/>
    </row>
    <row r="137" spans="1:40" x14ac:dyDescent="0.3">
      <c r="T137" s="42"/>
      <c r="V137" s="123"/>
      <c r="Y137" s="123"/>
      <c r="Z137" s="219"/>
      <c r="AA137" s="123"/>
      <c r="AB137" s="123"/>
      <c r="AC137" s="160"/>
      <c r="AD137" s="160"/>
      <c r="AE137" s="123"/>
      <c r="AF137" s="123"/>
      <c r="AH137" s="236"/>
      <c r="AI137" s="123"/>
      <c r="AJ137" s="123"/>
      <c r="AL137" s="123"/>
      <c r="AM137" s="160"/>
      <c r="AN137" s="160"/>
    </row>
    <row r="138" spans="1:40" x14ac:dyDescent="0.3">
      <c r="C138" s="42"/>
      <c r="L138" s="123"/>
      <c r="M138" s="123"/>
      <c r="N138" s="123"/>
      <c r="O138" s="123"/>
      <c r="P138" s="123"/>
      <c r="Q138" s="123"/>
      <c r="R138" s="123"/>
      <c r="S138" s="123"/>
      <c r="T138" s="42"/>
      <c r="V138" s="184"/>
      <c r="Y138" s="123"/>
      <c r="Z138" s="227"/>
      <c r="AA138" s="123"/>
      <c r="AB138" s="123"/>
      <c r="AC138" s="160"/>
      <c r="AD138" s="160"/>
      <c r="AE138" s="123"/>
      <c r="AF138" s="123"/>
      <c r="AH138" s="236"/>
      <c r="AI138" s="123"/>
      <c r="AJ138" s="123"/>
      <c r="AL138" s="123"/>
      <c r="AM138" s="160"/>
      <c r="AN138" s="160"/>
    </row>
    <row r="139" spans="1:40" x14ac:dyDescent="0.3">
      <c r="A139" s="42"/>
      <c r="V139" s="210"/>
      <c r="Y139" s="210"/>
      <c r="Z139" s="213"/>
      <c r="AA139" s="210"/>
      <c r="AB139" s="210"/>
      <c r="AC139" s="210"/>
      <c r="AD139" s="210"/>
      <c r="AE139" s="210"/>
      <c r="AF139" s="210"/>
      <c r="AI139" s="210"/>
      <c r="AJ139" s="210"/>
      <c r="AK139" s="214"/>
      <c r="AL139" s="210"/>
      <c r="AM139" s="160"/>
      <c r="AN139" s="160"/>
    </row>
    <row r="140" spans="1:40" x14ac:dyDescent="0.3">
      <c r="T140" s="42"/>
      <c r="V140" s="123"/>
      <c r="Y140" s="123"/>
      <c r="Z140" s="213"/>
      <c r="AA140" s="123"/>
      <c r="AB140" s="123"/>
      <c r="AC140" s="160"/>
      <c r="AD140" s="160"/>
      <c r="AE140" s="123"/>
      <c r="AF140" s="123"/>
      <c r="AH140" s="160"/>
      <c r="AI140" s="123"/>
      <c r="AJ140" s="123"/>
      <c r="AL140" s="123"/>
      <c r="AM140" s="160"/>
      <c r="AN140" s="160"/>
    </row>
    <row r="141" spans="1:40" x14ac:dyDescent="0.3">
      <c r="H141" s="42"/>
      <c r="I141" s="42"/>
      <c r="V141" s="210"/>
      <c r="Y141" s="210"/>
      <c r="Z141" s="213"/>
      <c r="AA141" s="210"/>
      <c r="AB141" s="210"/>
      <c r="AC141" s="210"/>
      <c r="AD141" s="210"/>
      <c r="AE141" s="210"/>
      <c r="AF141" s="210"/>
      <c r="AI141" s="210"/>
      <c r="AJ141" s="210"/>
      <c r="AK141" s="214"/>
      <c r="AL141" s="210"/>
      <c r="AM141" s="160"/>
      <c r="AN141" s="160"/>
    </row>
    <row r="142" spans="1:40" x14ac:dyDescent="0.3">
      <c r="T142" s="42"/>
    </row>
    <row r="143" spans="1:40" x14ac:dyDescent="0.3">
      <c r="L143" s="42"/>
      <c r="M143" s="42"/>
      <c r="AA143" s="42"/>
      <c r="AB143" s="42"/>
    </row>
    <row r="144" spans="1:40" x14ac:dyDescent="0.3">
      <c r="R144" s="42"/>
      <c r="AK144" s="206"/>
      <c r="AL144" s="42"/>
    </row>
    <row r="145" spans="1:40" x14ac:dyDescent="0.3">
      <c r="R145" s="42"/>
      <c r="AK145" s="206"/>
      <c r="AL145" s="42"/>
    </row>
    <row r="146" spans="1:40" x14ac:dyDescent="0.3">
      <c r="A146" s="42"/>
      <c r="R146" s="42"/>
      <c r="AK146" s="206"/>
      <c r="AL146" s="42"/>
    </row>
    <row r="147" spans="1:40" x14ac:dyDescent="0.3">
      <c r="L147" s="42"/>
      <c r="M147" s="42"/>
      <c r="AA147" s="42"/>
      <c r="AB147" s="42"/>
    </row>
    <row r="148" spans="1:40" x14ac:dyDescent="0.3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207"/>
      <c r="AH148" s="135"/>
      <c r="AI148" s="135"/>
      <c r="AJ148" s="135"/>
      <c r="AK148" s="207"/>
      <c r="AL148" s="135"/>
      <c r="AM148" s="135"/>
      <c r="AN148" s="135"/>
    </row>
    <row r="149" spans="1:40" x14ac:dyDescent="0.3">
      <c r="L149" s="44"/>
      <c r="M149" s="44"/>
      <c r="N149" s="44"/>
      <c r="O149" s="44"/>
      <c r="R149" s="44"/>
      <c r="AA149" s="44"/>
      <c r="AB149" s="44"/>
      <c r="AC149" s="44"/>
      <c r="AD149" s="44"/>
      <c r="AE149" s="44"/>
      <c r="AF149" s="44"/>
      <c r="AG149" s="168"/>
      <c r="AH149" s="44"/>
      <c r="AK149" s="168"/>
      <c r="AL149" s="44"/>
      <c r="AM149" s="44"/>
      <c r="AN149" s="44"/>
    </row>
    <row r="150" spans="1:40" x14ac:dyDescent="0.3">
      <c r="L150" s="44"/>
      <c r="M150" s="44"/>
      <c r="N150" s="44"/>
      <c r="O150" s="44"/>
      <c r="R150" s="44"/>
      <c r="Z150" s="44"/>
      <c r="AA150" s="44"/>
      <c r="AB150" s="44"/>
      <c r="AC150" s="44"/>
      <c r="AD150" s="44"/>
      <c r="AE150" s="44"/>
      <c r="AF150" s="44"/>
      <c r="AG150" s="168"/>
      <c r="AH150" s="44"/>
      <c r="AK150" s="168"/>
      <c r="AL150" s="44"/>
      <c r="AM150" s="44"/>
      <c r="AN150" s="44"/>
    </row>
    <row r="151" spans="1:40" x14ac:dyDescent="0.3">
      <c r="A151" s="44"/>
      <c r="C151" s="44"/>
      <c r="D151" s="44"/>
      <c r="E151" s="44"/>
      <c r="F151" s="44"/>
      <c r="J151" s="44"/>
      <c r="K151" s="44"/>
      <c r="L151" s="44"/>
      <c r="M151" s="44"/>
      <c r="N151" s="44"/>
      <c r="O151" s="44"/>
      <c r="P151" s="44"/>
      <c r="Q151" s="44"/>
      <c r="R151" s="44"/>
      <c r="T151" s="44"/>
      <c r="U151" s="44"/>
      <c r="V151" s="44"/>
      <c r="Z151" s="44"/>
      <c r="AA151" s="44"/>
      <c r="AB151" s="44"/>
      <c r="AC151" s="44"/>
      <c r="AD151" s="44"/>
      <c r="AE151" s="44"/>
      <c r="AF151" s="44"/>
      <c r="AG151" s="168"/>
      <c r="AH151" s="44"/>
      <c r="AI151" s="44"/>
      <c r="AJ151" s="44"/>
      <c r="AK151" s="168"/>
      <c r="AL151" s="44"/>
      <c r="AM151" s="44"/>
      <c r="AN151" s="44"/>
    </row>
    <row r="152" spans="1:40" x14ac:dyDescent="0.3">
      <c r="A152" s="44"/>
      <c r="C152" s="44"/>
      <c r="D152" s="44"/>
      <c r="E152" s="44"/>
      <c r="F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T152" s="44"/>
      <c r="U152" s="44"/>
      <c r="V152" s="44"/>
      <c r="Y152" s="44"/>
      <c r="Z152" s="44"/>
      <c r="AA152" s="44"/>
      <c r="AB152" s="44"/>
      <c r="AC152" s="44"/>
      <c r="AD152" s="44"/>
      <c r="AE152" s="44"/>
      <c r="AF152" s="44"/>
      <c r="AG152" s="168"/>
      <c r="AH152" s="44"/>
      <c r="AI152" s="44"/>
      <c r="AJ152" s="44"/>
      <c r="AK152" s="168"/>
      <c r="AL152" s="44"/>
      <c r="AM152" s="44"/>
      <c r="AN152" s="44"/>
    </row>
    <row r="153" spans="1:40" x14ac:dyDescent="0.3">
      <c r="C153" s="44"/>
      <c r="D153" s="44"/>
      <c r="E153" s="44"/>
      <c r="F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T153" s="44"/>
      <c r="U153" s="44"/>
      <c r="V153" s="44"/>
      <c r="Y153" s="44"/>
      <c r="Z153" s="44"/>
      <c r="AA153" s="44"/>
      <c r="AB153" s="44"/>
      <c r="AC153" s="44"/>
      <c r="AD153" s="44"/>
      <c r="AE153" s="44"/>
      <c r="AF153" s="44"/>
      <c r="AG153" s="168"/>
      <c r="AH153" s="44"/>
      <c r="AI153" s="44"/>
      <c r="AJ153" s="44"/>
      <c r="AK153" s="168"/>
      <c r="AL153" s="44"/>
      <c r="AM153" s="44"/>
      <c r="AN153" s="44"/>
    </row>
    <row r="154" spans="1:40" x14ac:dyDescent="0.3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207"/>
      <c r="AH154" s="135"/>
      <c r="AI154" s="135"/>
      <c r="AJ154" s="135"/>
      <c r="AK154" s="207"/>
      <c r="AL154" s="135"/>
      <c r="AM154" s="135"/>
      <c r="AN154" s="135"/>
    </row>
    <row r="155" spans="1:40" x14ac:dyDescent="0.3"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Y155" s="44"/>
      <c r="Z155" s="44"/>
      <c r="AA155" s="44"/>
      <c r="AB155" s="44"/>
      <c r="AC155" s="44"/>
      <c r="AD155" s="44"/>
      <c r="AE155" s="44"/>
      <c r="AF155" s="44"/>
      <c r="AG155" s="168"/>
      <c r="AH155" s="44"/>
      <c r="AI155" s="44"/>
      <c r="AJ155" s="44"/>
      <c r="AK155" s="168"/>
      <c r="AL155" s="44"/>
      <c r="AM155" s="44"/>
      <c r="AN155" s="44"/>
    </row>
    <row r="156" spans="1:40" x14ac:dyDescent="0.3">
      <c r="C156" s="42"/>
      <c r="D156" s="42"/>
      <c r="E156" s="42"/>
      <c r="T156" s="42"/>
      <c r="U156" s="42"/>
    </row>
    <row r="157" spans="1:40" x14ac:dyDescent="0.3">
      <c r="D157" s="42"/>
      <c r="E157" s="42"/>
      <c r="U157" s="42"/>
    </row>
    <row r="159" spans="1:40" x14ac:dyDescent="0.3">
      <c r="C159" s="42"/>
      <c r="F159" s="184"/>
      <c r="H159" s="184"/>
      <c r="I159" s="184"/>
      <c r="J159" s="193"/>
      <c r="K159" s="193"/>
      <c r="L159" s="123"/>
      <c r="M159" s="123"/>
      <c r="N159" s="160"/>
      <c r="O159" s="160"/>
      <c r="R159" s="123"/>
      <c r="T159" s="42"/>
      <c r="V159" s="123"/>
      <c r="Y159" s="184"/>
      <c r="Z159" s="193"/>
      <c r="AA159" s="123"/>
      <c r="AB159" s="123"/>
      <c r="AC159" s="160"/>
      <c r="AD159" s="160"/>
      <c r="AE159" s="123"/>
      <c r="AF159" s="123"/>
      <c r="AG159" s="233"/>
      <c r="AH159" s="234"/>
      <c r="AL159" s="123"/>
      <c r="AM159" s="235"/>
      <c r="AN159" s="235"/>
    </row>
    <row r="160" spans="1:40" x14ac:dyDescent="0.3">
      <c r="C160" s="42"/>
      <c r="F160" s="184"/>
      <c r="H160" s="184"/>
      <c r="I160" s="184"/>
      <c r="J160" s="193"/>
      <c r="K160" s="193"/>
      <c r="L160" s="123"/>
      <c r="M160" s="123"/>
      <c r="N160" s="160"/>
      <c r="O160" s="160"/>
      <c r="R160" s="123"/>
      <c r="T160" s="42"/>
      <c r="V160" s="123"/>
      <c r="Y160" s="184"/>
      <c r="Z160" s="193"/>
      <c r="AA160" s="123"/>
      <c r="AB160" s="123"/>
      <c r="AC160" s="160"/>
      <c r="AD160" s="160"/>
      <c r="AE160" s="123"/>
      <c r="AF160" s="123"/>
      <c r="AH160" s="236"/>
      <c r="AL160" s="123"/>
      <c r="AM160" s="160"/>
      <c r="AN160" s="160"/>
    </row>
    <row r="161" spans="3:40" x14ac:dyDescent="0.3">
      <c r="F161" s="210"/>
      <c r="H161" s="123"/>
      <c r="I161" s="123"/>
      <c r="J161" s="213"/>
      <c r="K161" s="213"/>
      <c r="L161" s="210"/>
      <c r="M161" s="210"/>
      <c r="N161" s="210"/>
      <c r="O161" s="210"/>
      <c r="P161" s="210"/>
      <c r="Q161" s="210"/>
      <c r="R161" s="210"/>
      <c r="V161" s="210"/>
      <c r="Y161" s="123"/>
      <c r="Z161" s="213"/>
      <c r="AA161" s="210"/>
      <c r="AB161" s="210"/>
      <c r="AC161" s="210"/>
      <c r="AD161" s="210"/>
      <c r="AE161" s="210"/>
      <c r="AF161" s="210"/>
      <c r="AI161" s="210"/>
      <c r="AJ161" s="210"/>
      <c r="AK161" s="214"/>
      <c r="AL161" s="210"/>
      <c r="AM161" s="160"/>
      <c r="AN161" s="160"/>
    </row>
    <row r="162" spans="3:40" x14ac:dyDescent="0.3">
      <c r="C162" s="42"/>
      <c r="F162" s="123"/>
      <c r="H162" s="123"/>
      <c r="I162" s="123"/>
      <c r="J162" s="213"/>
      <c r="K162" s="213"/>
      <c r="L162" s="123"/>
      <c r="M162" s="123"/>
      <c r="N162" s="160"/>
      <c r="O162" s="160"/>
      <c r="P162" s="123"/>
      <c r="Q162" s="123"/>
      <c r="R162" s="123"/>
      <c r="T162" s="42"/>
      <c r="V162" s="123"/>
      <c r="Y162" s="123"/>
      <c r="Z162" s="219"/>
      <c r="AA162" s="123"/>
      <c r="AB162" s="123"/>
      <c r="AC162" s="160"/>
      <c r="AD162" s="160"/>
      <c r="AE162" s="123"/>
      <c r="AF162" s="123"/>
      <c r="AH162" s="236"/>
      <c r="AI162" s="123"/>
      <c r="AJ162" s="123"/>
      <c r="AL162" s="123"/>
      <c r="AM162" s="160"/>
      <c r="AN162" s="160"/>
    </row>
    <row r="163" spans="3:40" x14ac:dyDescent="0.3">
      <c r="F163" s="210"/>
      <c r="H163" s="123"/>
      <c r="I163" s="123"/>
      <c r="J163" s="213"/>
      <c r="K163" s="213"/>
      <c r="L163" s="210"/>
      <c r="M163" s="210"/>
      <c r="N163" s="210"/>
      <c r="O163" s="210"/>
      <c r="P163" s="210"/>
      <c r="Q163" s="210"/>
      <c r="R163" s="210"/>
      <c r="V163" s="210"/>
      <c r="Y163" s="123"/>
      <c r="Z163" s="213"/>
      <c r="AA163" s="210"/>
      <c r="AB163" s="210"/>
      <c r="AC163" s="210"/>
      <c r="AD163" s="210"/>
      <c r="AE163" s="210"/>
      <c r="AF163" s="210"/>
      <c r="AI163" s="210"/>
      <c r="AJ163" s="210"/>
      <c r="AK163" s="214"/>
      <c r="AL163" s="210"/>
      <c r="AM163" s="160"/>
      <c r="AN163" s="160"/>
    </row>
    <row r="164" spans="3:40" x14ac:dyDescent="0.3">
      <c r="F164" s="123"/>
      <c r="H164" s="123"/>
      <c r="I164" s="123"/>
      <c r="J164" s="213"/>
      <c r="K164" s="213"/>
      <c r="L164" s="123"/>
      <c r="M164" s="123"/>
      <c r="N164" s="160"/>
      <c r="O164" s="160"/>
      <c r="P164" s="123"/>
      <c r="Q164" s="123"/>
      <c r="R164" s="123"/>
      <c r="V164" s="123"/>
      <c r="Y164" s="123"/>
      <c r="Z164" s="219"/>
      <c r="AA164" s="123"/>
      <c r="AB164" s="123"/>
      <c r="AC164" s="160"/>
      <c r="AD164" s="160"/>
      <c r="AE164" s="123"/>
      <c r="AF164" s="123"/>
      <c r="AH164" s="236"/>
      <c r="AI164" s="123"/>
      <c r="AJ164" s="123"/>
      <c r="AL164" s="123"/>
      <c r="AM164" s="160"/>
      <c r="AN164" s="160"/>
    </row>
    <row r="165" spans="3:40" x14ac:dyDescent="0.3">
      <c r="C165" s="42"/>
      <c r="F165" s="184"/>
      <c r="H165" s="184"/>
      <c r="I165" s="184"/>
      <c r="J165" s="193"/>
      <c r="K165" s="193"/>
      <c r="L165" s="123"/>
      <c r="M165" s="123"/>
      <c r="N165" s="160"/>
      <c r="O165" s="160"/>
      <c r="P165" s="123"/>
      <c r="Q165" s="123"/>
      <c r="R165" s="123"/>
      <c r="T165" s="42"/>
      <c r="V165" s="184"/>
      <c r="Y165" s="123"/>
      <c r="Z165" s="193"/>
      <c r="AA165" s="123"/>
      <c r="AB165" s="123"/>
      <c r="AC165" s="160"/>
      <c r="AD165" s="160"/>
      <c r="AE165" s="123"/>
      <c r="AF165" s="123"/>
      <c r="AG165" s="233"/>
      <c r="AH165" s="234"/>
      <c r="AI165" s="123"/>
      <c r="AJ165" s="123"/>
      <c r="AL165" s="123"/>
      <c r="AM165" s="235"/>
      <c r="AN165" s="235"/>
    </row>
    <row r="166" spans="3:40" x14ac:dyDescent="0.3">
      <c r="C166" s="42"/>
      <c r="F166" s="184"/>
      <c r="H166" s="184"/>
      <c r="I166" s="184"/>
      <c r="J166" s="193"/>
      <c r="K166" s="193"/>
      <c r="L166" s="123"/>
      <c r="M166" s="123"/>
      <c r="N166" s="160"/>
      <c r="O166" s="160"/>
      <c r="P166" s="123"/>
      <c r="Q166" s="123"/>
      <c r="R166" s="123"/>
      <c r="T166" s="42"/>
      <c r="V166" s="184"/>
      <c r="Y166" s="123"/>
      <c r="Z166" s="193"/>
      <c r="AA166" s="123"/>
      <c r="AB166" s="123"/>
      <c r="AC166" s="160"/>
      <c r="AD166" s="160"/>
      <c r="AE166" s="123"/>
      <c r="AF166" s="123"/>
      <c r="AH166" s="236"/>
      <c r="AI166" s="123"/>
      <c r="AJ166" s="123"/>
      <c r="AL166" s="123"/>
      <c r="AM166" s="160"/>
      <c r="AN166" s="160"/>
    </row>
    <row r="167" spans="3:40" x14ac:dyDescent="0.3">
      <c r="F167" s="123"/>
      <c r="H167" s="210"/>
      <c r="I167" s="210"/>
      <c r="J167" s="213"/>
      <c r="K167" s="213"/>
      <c r="L167" s="210"/>
      <c r="M167" s="210"/>
      <c r="N167" s="210"/>
      <c r="O167" s="210"/>
      <c r="P167" s="210"/>
      <c r="Q167" s="210"/>
      <c r="R167" s="210"/>
      <c r="V167" s="123"/>
      <c r="Y167" s="210"/>
      <c r="Z167" s="213"/>
      <c r="AA167" s="210"/>
      <c r="AB167" s="210"/>
      <c r="AC167" s="210"/>
      <c r="AD167" s="210"/>
      <c r="AE167" s="210"/>
      <c r="AF167" s="210"/>
      <c r="AI167" s="210"/>
      <c r="AJ167" s="210"/>
      <c r="AK167" s="214"/>
      <c r="AL167" s="210"/>
      <c r="AM167" s="160"/>
      <c r="AN167" s="160"/>
    </row>
    <row r="168" spans="3:40" x14ac:dyDescent="0.3">
      <c r="C168" s="42"/>
      <c r="F168" s="123"/>
      <c r="H168" s="123"/>
      <c r="I168" s="123"/>
      <c r="J168" s="213"/>
      <c r="K168" s="213"/>
      <c r="L168" s="123"/>
      <c r="M168" s="123"/>
      <c r="N168" s="160"/>
      <c r="O168" s="160"/>
      <c r="P168" s="123"/>
      <c r="Q168" s="123"/>
      <c r="R168" s="123"/>
      <c r="T168" s="42"/>
      <c r="V168" s="123"/>
      <c r="Y168" s="123"/>
      <c r="Z168" s="213"/>
      <c r="AA168" s="123"/>
      <c r="AB168" s="123"/>
      <c r="AC168" s="160"/>
      <c r="AD168" s="160"/>
      <c r="AE168" s="123"/>
      <c r="AF168" s="123"/>
      <c r="AH168" s="236"/>
      <c r="AI168" s="123"/>
      <c r="AJ168" s="123"/>
      <c r="AL168" s="123"/>
      <c r="AM168" s="160"/>
      <c r="AN168" s="160"/>
    </row>
    <row r="169" spans="3:40" x14ac:dyDescent="0.3">
      <c r="F169" s="123"/>
      <c r="H169" s="210"/>
      <c r="I169" s="210"/>
      <c r="J169" s="213"/>
      <c r="K169" s="213"/>
      <c r="L169" s="210"/>
      <c r="M169" s="210"/>
      <c r="N169" s="210"/>
      <c r="O169" s="210"/>
      <c r="P169" s="210"/>
      <c r="Q169" s="210"/>
      <c r="R169" s="210"/>
      <c r="V169" s="123"/>
      <c r="Y169" s="210"/>
      <c r="Z169" s="213"/>
      <c r="AA169" s="210"/>
      <c r="AB169" s="210"/>
      <c r="AC169" s="210"/>
      <c r="AD169" s="210"/>
      <c r="AE169" s="210"/>
      <c r="AF169" s="210"/>
      <c r="AI169" s="210"/>
      <c r="AJ169" s="210"/>
      <c r="AK169" s="214"/>
      <c r="AL169" s="210"/>
      <c r="AM169" s="160"/>
      <c r="AN169" s="160"/>
    </row>
    <row r="170" spans="3:40" x14ac:dyDescent="0.3">
      <c r="F170" s="123"/>
      <c r="H170" s="123"/>
      <c r="I170" s="123"/>
      <c r="J170" s="213"/>
      <c r="K170" s="213"/>
      <c r="L170" s="123"/>
      <c r="M170" s="123"/>
      <c r="N170" s="123"/>
      <c r="O170" s="123"/>
      <c r="P170" s="123"/>
      <c r="Q170" s="123"/>
      <c r="R170" s="123"/>
      <c r="V170" s="123"/>
      <c r="Y170" s="123"/>
      <c r="Z170" s="213"/>
      <c r="AA170" s="123"/>
      <c r="AB170" s="123"/>
      <c r="AC170" s="123"/>
      <c r="AD170" s="123"/>
      <c r="AE170" s="123"/>
      <c r="AF170" s="123"/>
      <c r="AH170" s="236"/>
      <c r="AI170" s="123"/>
      <c r="AJ170" s="123"/>
      <c r="AL170" s="123"/>
      <c r="AM170" s="160"/>
      <c r="AN170" s="160"/>
    </row>
    <row r="171" spans="3:40" x14ac:dyDescent="0.3">
      <c r="C171" s="42"/>
      <c r="F171" s="184"/>
      <c r="H171" s="184"/>
      <c r="I171" s="184"/>
      <c r="J171" s="227"/>
      <c r="K171" s="227"/>
      <c r="L171" s="123"/>
      <c r="M171" s="123"/>
      <c r="N171" s="160"/>
      <c r="O171" s="160"/>
      <c r="P171" s="184"/>
      <c r="Q171" s="184"/>
      <c r="R171" s="123"/>
      <c r="T171" s="42"/>
      <c r="V171" s="184"/>
      <c r="Y171" s="184"/>
      <c r="Z171" s="237"/>
      <c r="AA171" s="123"/>
      <c r="AB171" s="123"/>
      <c r="AC171" s="160"/>
      <c r="AD171" s="160"/>
      <c r="AE171" s="123"/>
      <c r="AF171" s="123"/>
      <c r="AH171" s="236"/>
      <c r="AI171" s="184"/>
      <c r="AJ171" s="184"/>
      <c r="AL171" s="123"/>
      <c r="AM171" s="160"/>
      <c r="AN171" s="160"/>
    </row>
    <row r="172" spans="3:40" x14ac:dyDescent="0.3">
      <c r="C172" s="42"/>
      <c r="F172" s="184"/>
      <c r="H172" s="184"/>
      <c r="I172" s="184"/>
      <c r="J172" s="227"/>
      <c r="K172" s="227"/>
      <c r="L172" s="123"/>
      <c r="M172" s="123"/>
      <c r="N172" s="160"/>
      <c r="O172" s="160"/>
      <c r="P172" s="184"/>
      <c r="Q172" s="184"/>
      <c r="R172" s="123"/>
      <c r="T172" s="42"/>
      <c r="V172" s="184"/>
      <c r="Y172" s="123"/>
      <c r="Z172" s="212"/>
      <c r="AA172" s="123"/>
      <c r="AB172" s="123"/>
      <c r="AC172" s="160"/>
      <c r="AD172" s="160"/>
      <c r="AE172" s="123"/>
      <c r="AF172" s="123"/>
      <c r="AH172" s="236"/>
      <c r="AI172" s="184"/>
      <c r="AJ172" s="184"/>
      <c r="AL172" s="123"/>
      <c r="AM172" s="160"/>
      <c r="AN172" s="160"/>
    </row>
    <row r="173" spans="3:40" x14ac:dyDescent="0.3">
      <c r="C173" s="42"/>
      <c r="F173" s="184"/>
      <c r="H173" s="184"/>
      <c r="I173" s="184"/>
      <c r="J173" s="227"/>
      <c r="K173" s="227"/>
      <c r="L173" s="123"/>
      <c r="M173" s="123"/>
      <c r="N173" s="160"/>
      <c r="O173" s="160"/>
      <c r="P173" s="184"/>
      <c r="Q173" s="184"/>
      <c r="R173" s="123"/>
      <c r="T173" s="42"/>
      <c r="V173" s="184"/>
      <c r="Y173" s="123"/>
      <c r="Z173" s="212"/>
      <c r="AA173" s="123"/>
      <c r="AB173" s="123"/>
      <c r="AC173" s="160"/>
      <c r="AD173" s="160"/>
      <c r="AE173" s="123"/>
      <c r="AF173" s="123"/>
      <c r="AH173" s="236"/>
      <c r="AI173" s="184"/>
      <c r="AJ173" s="184"/>
      <c r="AL173" s="123"/>
      <c r="AM173" s="160"/>
      <c r="AN173" s="160"/>
    </row>
    <row r="174" spans="3:40" x14ac:dyDescent="0.3">
      <c r="F174" s="210"/>
      <c r="H174" s="210"/>
      <c r="I174" s="210"/>
      <c r="J174" s="213"/>
      <c r="K174" s="213"/>
      <c r="L174" s="210"/>
      <c r="M174" s="210"/>
      <c r="N174" s="210"/>
      <c r="O174" s="210"/>
      <c r="P174" s="210"/>
      <c r="Q174" s="210"/>
      <c r="R174" s="210"/>
      <c r="V174" s="210"/>
      <c r="Y174" s="210"/>
      <c r="Z174" s="213"/>
      <c r="AA174" s="210"/>
      <c r="AB174" s="210"/>
      <c r="AC174" s="210"/>
      <c r="AD174" s="210"/>
      <c r="AE174" s="210"/>
      <c r="AF174" s="210"/>
      <c r="AI174" s="210"/>
      <c r="AJ174" s="210"/>
      <c r="AK174" s="214"/>
      <c r="AL174" s="210"/>
      <c r="AM174" s="160"/>
      <c r="AN174" s="160"/>
    </row>
    <row r="175" spans="3:40" x14ac:dyDescent="0.3">
      <c r="C175" s="42"/>
      <c r="F175" s="123"/>
      <c r="H175" s="123"/>
      <c r="I175" s="123"/>
      <c r="J175" s="219"/>
      <c r="K175" s="219"/>
      <c r="L175" s="123"/>
      <c r="M175" s="123"/>
      <c r="N175" s="160"/>
      <c r="O175" s="160"/>
      <c r="P175" s="123"/>
      <c r="Q175" s="123"/>
      <c r="R175" s="123"/>
      <c r="T175" s="42"/>
      <c r="V175" s="123"/>
      <c r="Y175" s="123"/>
      <c r="Z175" s="219"/>
      <c r="AA175" s="123"/>
      <c r="AB175" s="123"/>
      <c r="AC175" s="160"/>
      <c r="AD175" s="160"/>
      <c r="AE175" s="123"/>
      <c r="AF175" s="123"/>
      <c r="AH175" s="236"/>
      <c r="AI175" s="123"/>
      <c r="AJ175" s="123"/>
      <c r="AL175" s="123"/>
      <c r="AM175" s="160"/>
      <c r="AN175" s="160"/>
    </row>
    <row r="176" spans="3:40" x14ac:dyDescent="0.3">
      <c r="F176" s="210"/>
      <c r="H176" s="210"/>
      <c r="I176" s="210"/>
      <c r="J176" s="213"/>
      <c r="K176" s="213"/>
      <c r="L176" s="210"/>
      <c r="M176" s="210"/>
      <c r="N176" s="210"/>
      <c r="O176" s="210"/>
      <c r="P176" s="210"/>
      <c r="Q176" s="210"/>
      <c r="R176" s="210"/>
      <c r="V176" s="210"/>
      <c r="Y176" s="210"/>
      <c r="Z176" s="213"/>
      <c r="AA176" s="210"/>
      <c r="AB176" s="210"/>
      <c r="AC176" s="210"/>
      <c r="AD176" s="210"/>
      <c r="AE176" s="210"/>
      <c r="AF176" s="210"/>
      <c r="AI176" s="210"/>
      <c r="AJ176" s="210"/>
      <c r="AK176" s="214"/>
      <c r="AL176" s="210"/>
      <c r="AM176" s="160"/>
      <c r="AN176" s="160"/>
    </row>
    <row r="177" spans="1:40" x14ac:dyDescent="0.3">
      <c r="C177" s="42"/>
      <c r="F177" s="123"/>
      <c r="H177" s="123"/>
      <c r="I177" s="123"/>
      <c r="J177" s="219"/>
      <c r="K177" s="219"/>
      <c r="L177" s="123"/>
      <c r="M177" s="123"/>
      <c r="N177" s="160"/>
      <c r="O177" s="160"/>
      <c r="P177" s="123"/>
      <c r="Q177" s="123"/>
      <c r="R177" s="123"/>
      <c r="T177" s="42"/>
      <c r="V177" s="123"/>
      <c r="Y177" s="123"/>
      <c r="Z177" s="219"/>
      <c r="AA177" s="123"/>
      <c r="AB177" s="123"/>
      <c r="AC177" s="160"/>
      <c r="AD177" s="160"/>
      <c r="AE177" s="123"/>
      <c r="AF177" s="123"/>
      <c r="AH177" s="236"/>
      <c r="AI177" s="123"/>
      <c r="AJ177" s="123"/>
      <c r="AL177" s="123"/>
      <c r="AM177" s="160"/>
      <c r="AN177" s="160"/>
    </row>
    <row r="178" spans="1:40" x14ac:dyDescent="0.3">
      <c r="C178" s="42"/>
      <c r="F178" s="123"/>
      <c r="H178" s="123"/>
      <c r="I178" s="123"/>
      <c r="J178" s="219"/>
      <c r="K178" s="219"/>
      <c r="L178" s="123"/>
      <c r="M178" s="123"/>
      <c r="N178" s="160"/>
      <c r="O178" s="160"/>
      <c r="P178" s="123"/>
      <c r="Q178" s="123"/>
      <c r="R178" s="123"/>
      <c r="T178" s="42"/>
      <c r="V178" s="123"/>
      <c r="Y178" s="123"/>
      <c r="Z178" s="219"/>
      <c r="AA178" s="123"/>
      <c r="AB178" s="123"/>
      <c r="AC178" s="160"/>
      <c r="AD178" s="160"/>
      <c r="AE178" s="123"/>
      <c r="AF178" s="123"/>
      <c r="AH178" s="236"/>
      <c r="AI178" s="123"/>
      <c r="AJ178" s="123"/>
      <c r="AL178" s="123"/>
      <c r="AM178" s="160"/>
      <c r="AN178" s="160"/>
    </row>
    <row r="179" spans="1:40" x14ac:dyDescent="0.3">
      <c r="F179" s="210"/>
      <c r="H179" s="210"/>
      <c r="I179" s="210"/>
      <c r="J179" s="213"/>
      <c r="K179" s="213"/>
      <c r="L179" s="210"/>
      <c r="M179" s="210"/>
      <c r="N179" s="210"/>
      <c r="O179" s="210"/>
      <c r="P179" s="210"/>
      <c r="Q179" s="210"/>
      <c r="R179" s="210"/>
      <c r="V179" s="210"/>
      <c r="Y179" s="210"/>
      <c r="Z179" s="213"/>
      <c r="AA179" s="210"/>
      <c r="AB179" s="210"/>
      <c r="AC179" s="210"/>
      <c r="AD179" s="210"/>
      <c r="AE179" s="210"/>
      <c r="AF179" s="210"/>
      <c r="AI179" s="210"/>
      <c r="AJ179" s="210"/>
      <c r="AK179" s="214"/>
      <c r="AL179" s="210"/>
      <c r="AM179" s="123"/>
      <c r="AN179" s="123"/>
    </row>
    <row r="180" spans="1:40" x14ac:dyDescent="0.3">
      <c r="F180" s="123"/>
      <c r="H180" s="123"/>
      <c r="I180" s="123"/>
      <c r="J180" s="219"/>
      <c r="K180" s="219"/>
      <c r="L180" s="123"/>
      <c r="M180" s="123"/>
      <c r="N180" s="123"/>
      <c r="O180" s="123"/>
      <c r="P180" s="123"/>
      <c r="Q180" s="123"/>
      <c r="R180" s="123"/>
      <c r="V180" s="123"/>
      <c r="Y180" s="123"/>
      <c r="Z180" s="219"/>
      <c r="AA180" s="123"/>
      <c r="AB180" s="123"/>
      <c r="AC180" s="123"/>
      <c r="AD180" s="123"/>
    </row>
    <row r="181" spans="1:40" x14ac:dyDescent="0.3">
      <c r="C181" s="42"/>
      <c r="F181" s="123"/>
      <c r="H181" s="123"/>
      <c r="I181" s="123"/>
      <c r="J181" s="219"/>
      <c r="K181" s="219"/>
      <c r="L181" s="123"/>
      <c r="M181" s="123"/>
      <c r="N181" s="123"/>
      <c r="O181" s="123"/>
      <c r="P181" s="123"/>
      <c r="Q181" s="123"/>
      <c r="R181" s="123"/>
      <c r="T181" s="42"/>
      <c r="V181" s="123"/>
      <c r="Y181" s="123"/>
      <c r="Z181" s="219"/>
      <c r="AA181" s="123"/>
      <c r="AB181" s="123"/>
      <c r="AC181" s="123"/>
      <c r="AD181" s="123"/>
    </row>
    <row r="182" spans="1:40" x14ac:dyDescent="0.3">
      <c r="A182" s="42"/>
    </row>
    <row r="184" spans="1:40" x14ac:dyDescent="0.3">
      <c r="H184" s="42"/>
      <c r="I184" s="42"/>
      <c r="Y184" s="42"/>
    </row>
    <row r="186" spans="1:40" x14ac:dyDescent="0.3">
      <c r="L186" s="42"/>
      <c r="M186" s="42"/>
      <c r="AA186" s="42"/>
      <c r="AB186" s="42"/>
    </row>
    <row r="187" spans="1:40" x14ac:dyDescent="0.3">
      <c r="R187" s="42"/>
      <c r="AK187" s="206"/>
      <c r="AL187" s="42"/>
    </row>
    <row r="188" spans="1:40" x14ac:dyDescent="0.3">
      <c r="R188" s="42"/>
      <c r="AK188" s="206"/>
      <c r="AL188" s="42"/>
    </row>
    <row r="189" spans="1:40" x14ac:dyDescent="0.3">
      <c r="A189" s="42"/>
      <c r="R189" s="42"/>
      <c r="AK189" s="206"/>
      <c r="AL189" s="42"/>
    </row>
    <row r="190" spans="1:40" x14ac:dyDescent="0.3">
      <c r="L190" s="42"/>
      <c r="M190" s="42"/>
      <c r="AA190" s="42"/>
      <c r="AB190" s="42"/>
    </row>
    <row r="191" spans="1:40" x14ac:dyDescent="0.3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207"/>
      <c r="AH191" s="135"/>
      <c r="AI191" s="135"/>
      <c r="AJ191" s="135"/>
      <c r="AK191" s="207"/>
      <c r="AL191" s="135"/>
      <c r="AM191" s="135"/>
      <c r="AN191" s="135"/>
    </row>
    <row r="192" spans="1:40" x14ac:dyDescent="0.3">
      <c r="L192" s="44"/>
      <c r="M192" s="44"/>
      <c r="N192" s="44"/>
      <c r="O192" s="44"/>
      <c r="R192" s="44"/>
      <c r="AA192" s="44"/>
      <c r="AB192" s="44"/>
      <c r="AC192" s="44"/>
      <c r="AD192" s="44"/>
      <c r="AE192" s="44"/>
      <c r="AF192" s="44"/>
      <c r="AG192" s="168"/>
      <c r="AH192" s="44"/>
      <c r="AK192" s="168"/>
      <c r="AL192" s="44"/>
      <c r="AM192" s="44"/>
      <c r="AN192" s="44"/>
    </row>
    <row r="193" spans="1:40" x14ac:dyDescent="0.3">
      <c r="L193" s="44"/>
      <c r="M193" s="44"/>
      <c r="N193" s="44"/>
      <c r="O193" s="44"/>
      <c r="R193" s="44"/>
      <c r="Z193" s="44"/>
      <c r="AA193" s="44"/>
      <c r="AB193" s="44"/>
      <c r="AC193" s="44"/>
      <c r="AD193" s="44"/>
      <c r="AE193" s="44"/>
      <c r="AF193" s="44"/>
      <c r="AG193" s="168"/>
      <c r="AH193" s="44"/>
      <c r="AK193" s="168"/>
      <c r="AL193" s="44"/>
      <c r="AM193" s="44"/>
      <c r="AN193" s="44"/>
    </row>
    <row r="194" spans="1:40" x14ac:dyDescent="0.3">
      <c r="A194" s="44"/>
      <c r="C194" s="44"/>
      <c r="D194" s="44"/>
      <c r="E194" s="44"/>
      <c r="F194" s="44"/>
      <c r="J194" s="44"/>
      <c r="K194" s="44"/>
      <c r="L194" s="44"/>
      <c r="M194" s="44"/>
      <c r="N194" s="44"/>
      <c r="O194" s="44"/>
      <c r="P194" s="44"/>
      <c r="Q194" s="44"/>
      <c r="R194" s="44"/>
      <c r="T194" s="44"/>
      <c r="U194" s="44"/>
      <c r="V194" s="44"/>
      <c r="Z194" s="44"/>
      <c r="AA194" s="44"/>
      <c r="AB194" s="44"/>
      <c r="AC194" s="44"/>
      <c r="AD194" s="44"/>
      <c r="AE194" s="44"/>
      <c r="AF194" s="44"/>
      <c r="AG194" s="168"/>
      <c r="AH194" s="44"/>
      <c r="AI194" s="44"/>
      <c r="AJ194" s="44"/>
      <c r="AK194" s="168"/>
      <c r="AL194" s="44"/>
      <c r="AM194" s="44"/>
      <c r="AN194" s="44"/>
    </row>
    <row r="195" spans="1:40" x14ac:dyDescent="0.3">
      <c r="A195" s="44"/>
      <c r="C195" s="44"/>
      <c r="D195" s="44"/>
      <c r="E195" s="44"/>
      <c r="F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T195" s="44"/>
      <c r="U195" s="44"/>
      <c r="V195" s="44"/>
      <c r="Y195" s="44"/>
      <c r="Z195" s="44"/>
      <c r="AA195" s="44"/>
      <c r="AB195" s="44"/>
      <c r="AC195" s="44"/>
      <c r="AD195" s="44"/>
      <c r="AE195" s="44"/>
      <c r="AF195" s="44"/>
      <c r="AG195" s="168"/>
      <c r="AH195" s="44"/>
      <c r="AI195" s="44"/>
      <c r="AJ195" s="44"/>
      <c r="AK195" s="168"/>
      <c r="AL195" s="44"/>
      <c r="AM195" s="44"/>
      <c r="AN195" s="44"/>
    </row>
    <row r="196" spans="1:40" x14ac:dyDescent="0.3">
      <c r="C196" s="44"/>
      <c r="D196" s="44"/>
      <c r="E196" s="44"/>
      <c r="F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T196" s="44"/>
      <c r="U196" s="44"/>
      <c r="V196" s="44"/>
      <c r="Y196" s="44"/>
      <c r="Z196" s="44"/>
      <c r="AA196" s="44"/>
      <c r="AB196" s="44"/>
      <c r="AC196" s="44"/>
      <c r="AD196" s="44"/>
      <c r="AE196" s="44"/>
      <c r="AF196" s="44"/>
      <c r="AG196" s="168"/>
      <c r="AH196" s="44"/>
      <c r="AI196" s="44"/>
      <c r="AJ196" s="44"/>
      <c r="AK196" s="168"/>
      <c r="AL196" s="44"/>
      <c r="AM196" s="44"/>
      <c r="AN196" s="44"/>
    </row>
    <row r="197" spans="1:40" x14ac:dyDescent="0.3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207"/>
      <c r="AH197" s="135"/>
      <c r="AI197" s="135"/>
      <c r="AJ197" s="135"/>
      <c r="AK197" s="207"/>
      <c r="AL197" s="135"/>
      <c r="AM197" s="135"/>
      <c r="AN197" s="135"/>
    </row>
    <row r="198" spans="1:40" x14ac:dyDescent="0.3"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Y198" s="44"/>
      <c r="Z198" s="44"/>
      <c r="AA198" s="44"/>
      <c r="AB198" s="44"/>
      <c r="AC198" s="44"/>
      <c r="AD198" s="44"/>
      <c r="AE198" s="44"/>
      <c r="AF198" s="44"/>
      <c r="AG198" s="168"/>
      <c r="AH198" s="44"/>
      <c r="AI198" s="44"/>
      <c r="AJ198" s="44"/>
      <c r="AK198" s="168"/>
      <c r="AL198" s="44"/>
      <c r="AM198" s="44"/>
      <c r="AN198" s="44"/>
    </row>
    <row r="199" spans="1:40" x14ac:dyDescent="0.3">
      <c r="C199" s="42"/>
      <c r="D199" s="42"/>
      <c r="E199" s="42"/>
      <c r="T199" s="42"/>
      <c r="U199" s="42"/>
    </row>
    <row r="201" spans="1:40" x14ac:dyDescent="0.3">
      <c r="C201" s="42"/>
      <c r="F201" s="184"/>
      <c r="H201" s="222"/>
      <c r="I201" s="222"/>
      <c r="J201" s="193"/>
      <c r="K201" s="193"/>
      <c r="L201" s="123"/>
      <c r="M201" s="123"/>
      <c r="R201" s="123"/>
      <c r="T201" s="42"/>
      <c r="V201" s="123"/>
      <c r="Z201" s="193"/>
      <c r="AA201" s="123"/>
      <c r="AB201" s="123"/>
      <c r="AE201" s="123"/>
      <c r="AF201" s="123"/>
      <c r="AG201" s="233"/>
      <c r="AH201" s="234"/>
      <c r="AI201" s="123"/>
      <c r="AJ201" s="123"/>
      <c r="AL201" s="123"/>
      <c r="AM201" s="235"/>
      <c r="AN201" s="235"/>
    </row>
    <row r="202" spans="1:40" x14ac:dyDescent="0.3">
      <c r="F202" s="184"/>
      <c r="H202" s="222"/>
      <c r="I202" s="222"/>
      <c r="J202" s="222"/>
      <c r="K202" s="222"/>
      <c r="R202" s="123"/>
      <c r="V202" s="123"/>
      <c r="Z202" s="222"/>
    </row>
    <row r="203" spans="1:40" x14ac:dyDescent="0.3">
      <c r="C203" s="42"/>
      <c r="F203" s="184"/>
      <c r="H203" s="184"/>
      <c r="I203" s="184"/>
      <c r="J203" s="227"/>
      <c r="K203" s="227"/>
      <c r="L203" s="123"/>
      <c r="M203" s="123"/>
      <c r="N203" s="160"/>
      <c r="O203" s="160"/>
      <c r="P203" s="184"/>
      <c r="Q203" s="184"/>
      <c r="R203" s="123"/>
      <c r="T203" s="42"/>
      <c r="V203" s="123"/>
      <c r="Y203" s="123"/>
      <c r="Z203" s="212"/>
      <c r="AA203" s="123"/>
      <c r="AB203" s="123"/>
      <c r="AC203" s="160"/>
      <c r="AD203" s="160"/>
      <c r="AE203" s="123"/>
      <c r="AF203" s="123"/>
      <c r="AH203" s="236"/>
      <c r="AI203" s="184"/>
      <c r="AJ203" s="184"/>
      <c r="AL203" s="123"/>
      <c r="AM203" s="160"/>
      <c r="AN203" s="160"/>
    </row>
    <row r="204" spans="1:40" x14ac:dyDescent="0.3">
      <c r="F204" s="210"/>
      <c r="H204" s="210"/>
      <c r="I204" s="210"/>
      <c r="J204" s="213"/>
      <c r="K204" s="213"/>
      <c r="L204" s="210"/>
      <c r="M204" s="210"/>
      <c r="N204" s="210"/>
      <c r="O204" s="210"/>
      <c r="P204" s="210"/>
      <c r="Q204" s="210"/>
      <c r="R204" s="210"/>
      <c r="V204" s="210"/>
      <c r="Y204" s="210"/>
      <c r="Z204" s="213"/>
      <c r="AA204" s="210"/>
      <c r="AB204" s="210"/>
      <c r="AC204" s="210"/>
      <c r="AD204" s="210"/>
      <c r="AE204" s="210"/>
      <c r="AF204" s="210"/>
      <c r="AI204" s="210"/>
      <c r="AJ204" s="210"/>
      <c r="AK204" s="214"/>
      <c r="AL204" s="210"/>
    </row>
    <row r="205" spans="1:40" x14ac:dyDescent="0.3">
      <c r="D205" s="42"/>
      <c r="E205" s="42"/>
      <c r="F205" s="123"/>
      <c r="H205" s="123"/>
      <c r="I205" s="123"/>
      <c r="J205" s="219"/>
      <c r="K205" s="219"/>
      <c r="L205" s="123"/>
      <c r="M205" s="123"/>
      <c r="N205" s="160"/>
      <c r="O205" s="160"/>
      <c r="P205" s="123"/>
      <c r="Q205" s="123"/>
      <c r="R205" s="123"/>
      <c r="U205" s="42"/>
      <c r="V205" s="123"/>
      <c r="Y205" s="123"/>
      <c r="Z205" s="219"/>
      <c r="AA205" s="123"/>
      <c r="AB205" s="123"/>
      <c r="AC205" s="160"/>
      <c r="AD205" s="160"/>
      <c r="AE205" s="123"/>
      <c r="AF205" s="123"/>
      <c r="AH205" s="236"/>
      <c r="AI205" s="123"/>
      <c r="AJ205" s="123"/>
      <c r="AL205" s="123"/>
      <c r="AM205" s="160"/>
      <c r="AN205" s="160"/>
    </row>
    <row r="206" spans="1:40" x14ac:dyDescent="0.3">
      <c r="F206" s="210"/>
      <c r="H206" s="210"/>
      <c r="I206" s="210"/>
      <c r="J206" s="213"/>
      <c r="K206" s="213"/>
      <c r="L206" s="210"/>
      <c r="M206" s="210"/>
      <c r="N206" s="210"/>
      <c r="O206" s="210"/>
      <c r="P206" s="210"/>
      <c r="Q206" s="210"/>
      <c r="R206" s="210"/>
      <c r="V206" s="210"/>
      <c r="Y206" s="210"/>
      <c r="Z206" s="213"/>
      <c r="AA206" s="210"/>
      <c r="AB206" s="210"/>
      <c r="AC206" s="210"/>
      <c r="AD206" s="210"/>
      <c r="AE206" s="210"/>
      <c r="AF206" s="210"/>
      <c r="AI206" s="210"/>
      <c r="AJ206" s="210"/>
      <c r="AK206" s="214"/>
      <c r="AL206" s="210"/>
    </row>
    <row r="207" spans="1:40" x14ac:dyDescent="0.3">
      <c r="R207" s="123"/>
    </row>
    <row r="208" spans="1:40" x14ac:dyDescent="0.3">
      <c r="R208" s="123"/>
    </row>
    <row r="209" spans="1:40" x14ac:dyDescent="0.3">
      <c r="R209" s="123"/>
    </row>
    <row r="210" spans="1:40" x14ac:dyDescent="0.3">
      <c r="C210" s="42"/>
      <c r="D210" s="42"/>
      <c r="E210" s="42"/>
      <c r="H210" s="123"/>
      <c r="I210" s="123"/>
      <c r="J210" s="219"/>
      <c r="K210" s="219"/>
      <c r="L210" s="123"/>
      <c r="M210" s="123"/>
      <c r="N210" s="160"/>
      <c r="O210" s="160"/>
      <c r="P210" s="123"/>
      <c r="Q210" s="123"/>
      <c r="R210" s="123"/>
      <c r="T210" s="42"/>
      <c r="U210" s="42"/>
      <c r="Y210" s="123"/>
      <c r="Z210" s="219"/>
      <c r="AA210" s="123"/>
      <c r="AB210" s="123"/>
      <c r="AC210" s="160"/>
      <c r="AD210" s="160"/>
    </row>
    <row r="211" spans="1:40" x14ac:dyDescent="0.3">
      <c r="H211" s="123"/>
      <c r="I211" s="123"/>
      <c r="J211" s="219"/>
      <c r="K211" s="219"/>
      <c r="L211" s="123"/>
      <c r="M211" s="123"/>
      <c r="N211" s="160"/>
      <c r="O211" s="160"/>
      <c r="P211" s="123"/>
      <c r="Q211" s="123"/>
      <c r="R211" s="123"/>
      <c r="Y211" s="123"/>
      <c r="Z211" s="219"/>
      <c r="AA211" s="123"/>
      <c r="AB211" s="123"/>
      <c r="AC211" s="160"/>
      <c r="AD211" s="160"/>
    </row>
    <row r="212" spans="1:40" x14ac:dyDescent="0.3">
      <c r="C212" s="42"/>
      <c r="F212" s="184"/>
      <c r="H212" s="184"/>
      <c r="I212" s="184"/>
      <c r="J212" s="240"/>
      <c r="K212" s="240"/>
      <c r="L212" s="184"/>
      <c r="M212" s="184"/>
      <c r="N212" s="160"/>
      <c r="O212" s="160"/>
      <c r="P212" s="123"/>
      <c r="Q212" s="123"/>
      <c r="R212" s="123"/>
      <c r="T212" s="42"/>
      <c r="V212" s="123"/>
      <c r="Y212" s="123"/>
      <c r="Z212" s="240"/>
      <c r="AA212" s="123"/>
      <c r="AB212" s="123"/>
      <c r="AC212" s="160"/>
      <c r="AD212" s="160"/>
      <c r="AE212" s="123"/>
      <c r="AF212" s="123"/>
      <c r="AH212" s="236"/>
      <c r="AI212" s="123"/>
      <c r="AJ212" s="123"/>
      <c r="AL212" s="123"/>
      <c r="AM212" s="160"/>
      <c r="AN212" s="160"/>
    </row>
    <row r="213" spans="1:40" x14ac:dyDescent="0.3">
      <c r="F213" s="184"/>
      <c r="H213" s="222"/>
      <c r="I213" s="222"/>
      <c r="J213" s="222"/>
      <c r="K213" s="222"/>
      <c r="R213" s="123"/>
      <c r="V213" s="123"/>
      <c r="Z213" s="222"/>
    </row>
    <row r="214" spans="1:40" x14ac:dyDescent="0.3">
      <c r="C214" s="42"/>
      <c r="F214" s="184"/>
      <c r="H214" s="184"/>
      <c r="I214" s="184"/>
      <c r="J214" s="193"/>
      <c r="K214" s="193"/>
      <c r="L214" s="123"/>
      <c r="M214" s="123"/>
      <c r="N214" s="160"/>
      <c r="O214" s="160"/>
      <c r="P214" s="123"/>
      <c r="Q214" s="123"/>
      <c r="R214" s="123"/>
      <c r="T214" s="42"/>
      <c r="V214" s="123"/>
      <c r="Y214" s="123"/>
      <c r="Z214" s="193"/>
      <c r="AA214" s="123"/>
      <c r="AB214" s="123"/>
      <c r="AC214" s="160"/>
      <c r="AD214" s="160"/>
      <c r="AE214" s="123"/>
      <c r="AF214" s="123"/>
      <c r="AH214" s="236"/>
      <c r="AI214" s="123"/>
      <c r="AJ214" s="123"/>
      <c r="AL214" s="123"/>
      <c r="AM214" s="160"/>
      <c r="AN214" s="160"/>
    </row>
    <row r="215" spans="1:40" x14ac:dyDescent="0.3">
      <c r="F215" s="184"/>
      <c r="H215" s="222"/>
      <c r="I215" s="222"/>
      <c r="J215" s="222"/>
      <c r="K215" s="222"/>
      <c r="R215" s="123"/>
      <c r="V215" s="123"/>
      <c r="Z215" s="222"/>
    </row>
    <row r="216" spans="1:40" x14ac:dyDescent="0.3">
      <c r="C216" s="42"/>
      <c r="F216" s="184"/>
      <c r="H216" s="184"/>
      <c r="I216" s="184"/>
      <c r="J216" s="227"/>
      <c r="K216" s="227"/>
      <c r="L216" s="123"/>
      <c r="M216" s="123"/>
      <c r="N216" s="160"/>
      <c r="O216" s="160"/>
      <c r="P216" s="123"/>
      <c r="Q216" s="123"/>
      <c r="R216" s="123"/>
      <c r="T216" s="42"/>
      <c r="V216" s="123"/>
      <c r="Y216" s="123"/>
      <c r="Z216" s="212"/>
      <c r="AA216" s="123"/>
      <c r="AB216" s="123"/>
      <c r="AC216" s="160"/>
      <c r="AD216" s="160"/>
      <c r="AE216" s="123"/>
      <c r="AF216" s="123"/>
      <c r="AH216" s="236"/>
      <c r="AI216" s="123"/>
      <c r="AJ216" s="123"/>
      <c r="AL216" s="123"/>
      <c r="AM216" s="160"/>
      <c r="AN216" s="160"/>
    </row>
    <row r="217" spans="1:40" x14ac:dyDescent="0.3">
      <c r="F217" s="210"/>
      <c r="H217" s="210"/>
      <c r="I217" s="210"/>
      <c r="J217" s="213"/>
      <c r="K217" s="213"/>
      <c r="L217" s="210"/>
      <c r="M217" s="210"/>
      <c r="N217" s="210"/>
      <c r="O217" s="210"/>
      <c r="P217" s="210"/>
      <c r="Q217" s="210"/>
      <c r="R217" s="210"/>
      <c r="S217" s="123"/>
      <c r="V217" s="210"/>
      <c r="Y217" s="210"/>
      <c r="Z217" s="213"/>
      <c r="AA217" s="210"/>
      <c r="AB217" s="210"/>
      <c r="AC217" s="210"/>
      <c r="AD217" s="210"/>
      <c r="AE217" s="210"/>
      <c r="AF217" s="210"/>
      <c r="AI217" s="210"/>
      <c r="AJ217" s="210"/>
      <c r="AK217" s="214"/>
      <c r="AL217" s="210"/>
    </row>
    <row r="218" spans="1:40" x14ac:dyDescent="0.3">
      <c r="D218" s="42"/>
      <c r="E218" s="42"/>
      <c r="F218" s="123"/>
      <c r="H218" s="123"/>
      <c r="I218" s="123"/>
      <c r="J218" s="219"/>
      <c r="K218" s="219"/>
      <c r="L218" s="123"/>
      <c r="M218" s="123"/>
      <c r="N218" s="160"/>
      <c r="O218" s="160"/>
      <c r="P218" s="184"/>
      <c r="Q218" s="184"/>
      <c r="R218" s="123"/>
      <c r="S218" s="123"/>
      <c r="U218" s="42"/>
      <c r="V218" s="123"/>
      <c r="Y218" s="123"/>
      <c r="Z218" s="219"/>
      <c r="AA218" s="123"/>
      <c r="AB218" s="123"/>
      <c r="AC218" s="160"/>
      <c r="AD218" s="160"/>
      <c r="AE218" s="123"/>
      <c r="AF218" s="123"/>
      <c r="AH218" s="236"/>
      <c r="AI218" s="184"/>
      <c r="AJ218" s="184"/>
      <c r="AL218" s="123"/>
      <c r="AM218" s="160"/>
      <c r="AN218" s="160"/>
    </row>
    <row r="219" spans="1:40" x14ac:dyDescent="0.3">
      <c r="F219" s="210"/>
      <c r="H219" s="210"/>
      <c r="I219" s="210"/>
      <c r="J219" s="213"/>
      <c r="K219" s="213"/>
      <c r="L219" s="210"/>
      <c r="M219" s="210"/>
      <c r="N219" s="210"/>
      <c r="O219" s="210"/>
      <c r="P219" s="210"/>
      <c r="Q219" s="210"/>
      <c r="R219" s="210"/>
      <c r="S219" s="123"/>
      <c r="V219" s="210"/>
      <c r="Y219" s="210"/>
      <c r="Z219" s="213"/>
      <c r="AA219" s="210"/>
      <c r="AB219" s="210"/>
      <c r="AC219" s="210"/>
      <c r="AD219" s="210"/>
      <c r="AE219" s="210"/>
      <c r="AF219" s="210"/>
      <c r="AI219" s="210"/>
      <c r="AJ219" s="210"/>
      <c r="AK219" s="214"/>
      <c r="AL219" s="210"/>
    </row>
    <row r="220" spans="1:40" x14ac:dyDescent="0.3">
      <c r="R220" s="123"/>
    </row>
    <row r="221" spans="1:40" x14ac:dyDescent="0.3">
      <c r="F221" s="123"/>
      <c r="H221" s="123"/>
      <c r="I221" s="123"/>
      <c r="J221" s="219"/>
      <c r="K221" s="219"/>
      <c r="L221" s="123"/>
      <c r="M221" s="123"/>
      <c r="N221" s="123"/>
      <c r="O221" s="123"/>
      <c r="P221" s="123"/>
      <c r="Q221" s="123"/>
      <c r="R221" s="123"/>
      <c r="V221" s="123"/>
      <c r="Y221" s="123"/>
      <c r="Z221" s="219"/>
      <c r="AA221" s="123"/>
      <c r="AB221" s="123"/>
      <c r="AC221" s="123"/>
      <c r="AD221" s="123"/>
    </row>
    <row r="222" spans="1:40" x14ac:dyDescent="0.3">
      <c r="C222" s="42"/>
      <c r="F222" s="123"/>
      <c r="H222" s="123"/>
      <c r="I222" s="123"/>
      <c r="J222" s="219"/>
      <c r="K222" s="219"/>
      <c r="L222" s="123"/>
      <c r="M222" s="123"/>
      <c r="N222" s="123"/>
      <c r="O222" s="123"/>
      <c r="P222" s="123"/>
      <c r="Q222" s="123"/>
      <c r="R222" s="123"/>
      <c r="T222" s="42"/>
      <c r="V222" s="123"/>
      <c r="Y222" s="123"/>
      <c r="Z222" s="219"/>
      <c r="AA222" s="123"/>
      <c r="AB222" s="123"/>
      <c r="AC222" s="123"/>
      <c r="AD222" s="123"/>
    </row>
    <row r="223" spans="1:40" x14ac:dyDescent="0.3">
      <c r="C223" s="42"/>
      <c r="T223" s="42"/>
    </row>
    <row r="224" spans="1:40" x14ac:dyDescent="0.3">
      <c r="A224" s="42"/>
    </row>
    <row r="227" spans="1:40" x14ac:dyDescent="0.3">
      <c r="H227" s="42"/>
      <c r="I227" s="42"/>
      <c r="Y227" s="42"/>
    </row>
    <row r="229" spans="1:40" x14ac:dyDescent="0.3">
      <c r="L229" s="42"/>
      <c r="M229" s="42"/>
      <c r="AA229" s="42"/>
      <c r="AB229" s="42"/>
    </row>
    <row r="230" spans="1:40" x14ac:dyDescent="0.3">
      <c r="R230" s="42"/>
      <c r="AK230" s="206"/>
      <c r="AL230" s="42"/>
    </row>
    <row r="231" spans="1:40" x14ac:dyDescent="0.3">
      <c r="R231" s="42"/>
      <c r="AK231" s="206"/>
      <c r="AL231" s="42"/>
    </row>
    <row r="232" spans="1:40" x14ac:dyDescent="0.3">
      <c r="A232" s="42"/>
      <c r="R232" s="42"/>
      <c r="AK232" s="206"/>
      <c r="AL232" s="42"/>
    </row>
    <row r="233" spans="1:40" x14ac:dyDescent="0.3">
      <c r="L233" s="42"/>
      <c r="M233" s="42"/>
      <c r="AA233" s="42"/>
      <c r="AB233" s="42"/>
    </row>
    <row r="234" spans="1:40" x14ac:dyDescent="0.3">
      <c r="A234" s="135"/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207"/>
      <c r="AH234" s="135"/>
      <c r="AI234" s="135"/>
      <c r="AJ234" s="135"/>
      <c r="AK234" s="207"/>
      <c r="AL234" s="135"/>
      <c r="AM234" s="135"/>
      <c r="AN234" s="135"/>
    </row>
    <row r="235" spans="1:40" x14ac:dyDescent="0.3">
      <c r="L235" s="44"/>
      <c r="M235" s="44"/>
      <c r="N235" s="44"/>
      <c r="O235" s="44"/>
      <c r="R235" s="44"/>
      <c r="AA235" s="44"/>
      <c r="AB235" s="44"/>
      <c r="AC235" s="44"/>
      <c r="AD235" s="44"/>
      <c r="AE235" s="44"/>
      <c r="AF235" s="44"/>
      <c r="AG235" s="168"/>
      <c r="AH235" s="44"/>
      <c r="AK235" s="168"/>
      <c r="AL235" s="44"/>
      <c r="AM235" s="44"/>
      <c r="AN235" s="44"/>
    </row>
    <row r="236" spans="1:40" x14ac:dyDescent="0.3">
      <c r="L236" s="44"/>
      <c r="M236" s="44"/>
      <c r="N236" s="44"/>
      <c r="O236" s="44"/>
      <c r="R236" s="44"/>
      <c r="Z236" s="44"/>
      <c r="AA236" s="44"/>
      <c r="AB236" s="44"/>
      <c r="AC236" s="44"/>
      <c r="AD236" s="44"/>
      <c r="AE236" s="44"/>
      <c r="AF236" s="44"/>
      <c r="AG236" s="168"/>
      <c r="AH236" s="44"/>
      <c r="AK236" s="168"/>
      <c r="AL236" s="44"/>
      <c r="AM236" s="44"/>
      <c r="AN236" s="44"/>
    </row>
    <row r="237" spans="1:40" x14ac:dyDescent="0.3">
      <c r="A237" s="44"/>
      <c r="C237" s="44"/>
      <c r="D237" s="44"/>
      <c r="E237" s="44"/>
      <c r="F237" s="44"/>
      <c r="J237" s="44"/>
      <c r="K237" s="44"/>
      <c r="L237" s="44"/>
      <c r="M237" s="44"/>
      <c r="N237" s="44"/>
      <c r="O237" s="44"/>
      <c r="P237" s="44"/>
      <c r="Q237" s="44"/>
      <c r="R237" s="44"/>
      <c r="T237" s="44"/>
      <c r="U237" s="44"/>
      <c r="V237" s="44"/>
      <c r="Z237" s="44"/>
      <c r="AA237" s="44"/>
      <c r="AB237" s="44"/>
      <c r="AC237" s="44"/>
      <c r="AD237" s="44"/>
      <c r="AE237" s="44"/>
      <c r="AF237" s="44"/>
      <c r="AG237" s="168"/>
      <c r="AH237" s="44"/>
      <c r="AI237" s="44"/>
      <c r="AJ237" s="44"/>
      <c r="AK237" s="168"/>
      <c r="AL237" s="44"/>
      <c r="AM237" s="44"/>
      <c r="AN237" s="44"/>
    </row>
    <row r="238" spans="1:40" x14ac:dyDescent="0.3">
      <c r="A238" s="44"/>
      <c r="C238" s="44"/>
      <c r="D238" s="44"/>
      <c r="E238" s="44"/>
      <c r="F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T238" s="44"/>
      <c r="U238" s="44"/>
      <c r="V238" s="44"/>
      <c r="Y238" s="44"/>
      <c r="Z238" s="44"/>
      <c r="AA238" s="44"/>
      <c r="AB238" s="44"/>
      <c r="AC238" s="44"/>
      <c r="AD238" s="44"/>
      <c r="AE238" s="44"/>
      <c r="AF238" s="44"/>
      <c r="AG238" s="168"/>
      <c r="AH238" s="44"/>
      <c r="AI238" s="44"/>
      <c r="AJ238" s="44"/>
      <c r="AK238" s="168"/>
      <c r="AL238" s="44"/>
      <c r="AM238" s="44"/>
      <c r="AN238" s="44"/>
    </row>
    <row r="239" spans="1:40" x14ac:dyDescent="0.3">
      <c r="C239" s="44"/>
      <c r="D239" s="44"/>
      <c r="E239" s="44"/>
      <c r="F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T239" s="44"/>
      <c r="U239" s="44"/>
      <c r="V239" s="44"/>
      <c r="Y239" s="44"/>
      <c r="Z239" s="44"/>
      <c r="AA239" s="44"/>
      <c r="AB239" s="44"/>
      <c r="AC239" s="44"/>
      <c r="AD239" s="44"/>
      <c r="AE239" s="44"/>
      <c r="AF239" s="44"/>
      <c r="AG239" s="168"/>
      <c r="AH239" s="44"/>
      <c r="AI239" s="44"/>
      <c r="AJ239" s="44"/>
      <c r="AK239" s="168"/>
      <c r="AL239" s="44"/>
      <c r="AM239" s="44"/>
      <c r="AN239" s="44"/>
    </row>
    <row r="240" spans="1:40" x14ac:dyDescent="0.3">
      <c r="A240" s="135"/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207"/>
      <c r="AH240" s="135"/>
      <c r="AI240" s="135"/>
      <c r="AJ240" s="135"/>
      <c r="AK240" s="207"/>
      <c r="AL240" s="135"/>
      <c r="AM240" s="135"/>
      <c r="AN240" s="135"/>
    </row>
    <row r="241" spans="3:40" x14ac:dyDescent="0.3"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Y241" s="44"/>
      <c r="Z241" s="44"/>
      <c r="AA241" s="44"/>
      <c r="AB241" s="44"/>
      <c r="AC241" s="44"/>
      <c r="AD241" s="44"/>
      <c r="AE241" s="44"/>
      <c r="AF241" s="44"/>
      <c r="AG241" s="168"/>
      <c r="AH241" s="44"/>
      <c r="AI241" s="44"/>
      <c r="AJ241" s="44"/>
      <c r="AK241" s="168"/>
      <c r="AL241" s="44"/>
      <c r="AM241" s="44"/>
      <c r="AN241" s="44"/>
    </row>
    <row r="242" spans="3:40" x14ac:dyDescent="0.3">
      <c r="C242" s="42"/>
      <c r="D242" s="42"/>
      <c r="E242" s="42"/>
      <c r="T242" s="42"/>
      <c r="U242" s="42"/>
    </row>
    <row r="243" spans="3:40" x14ac:dyDescent="0.3">
      <c r="D243" s="42"/>
      <c r="E243" s="42"/>
      <c r="U243" s="42"/>
    </row>
    <row r="245" spans="3:40" x14ac:dyDescent="0.3">
      <c r="C245" s="42"/>
      <c r="F245" s="123"/>
      <c r="J245" s="209"/>
      <c r="K245" s="209"/>
      <c r="L245" s="123"/>
      <c r="M245" s="123"/>
      <c r="R245" s="123"/>
      <c r="T245" s="42"/>
      <c r="V245" s="123"/>
      <c r="Z245" s="209"/>
      <c r="AA245" s="123"/>
      <c r="AB245" s="123"/>
      <c r="AL245" s="123"/>
    </row>
    <row r="246" spans="3:40" x14ac:dyDescent="0.3">
      <c r="F246" s="123"/>
      <c r="R246" s="123"/>
      <c r="V246" s="123"/>
      <c r="AL246" s="123"/>
    </row>
    <row r="247" spans="3:40" x14ac:dyDescent="0.3">
      <c r="C247" s="42"/>
      <c r="F247" s="184"/>
      <c r="H247" s="184"/>
      <c r="I247" s="184"/>
      <c r="J247" s="193"/>
      <c r="K247" s="193"/>
      <c r="L247" s="123"/>
      <c r="M247" s="123"/>
      <c r="N247" s="160"/>
      <c r="O247" s="160"/>
      <c r="P247" s="123"/>
      <c r="Q247" s="123"/>
      <c r="R247" s="123"/>
      <c r="T247" s="42"/>
      <c r="V247" s="123"/>
      <c r="Y247" s="123"/>
      <c r="Z247" s="193"/>
      <c r="AA247" s="123"/>
      <c r="AB247" s="123"/>
      <c r="AC247" s="160"/>
      <c r="AD247" s="160"/>
      <c r="AE247" s="123"/>
      <c r="AF247" s="123"/>
      <c r="AH247" s="236"/>
      <c r="AI247" s="123"/>
      <c r="AJ247" s="123"/>
      <c r="AL247" s="123"/>
      <c r="AM247" s="160"/>
      <c r="AN247" s="160"/>
    </row>
    <row r="248" spans="3:40" x14ac:dyDescent="0.3">
      <c r="C248" s="42"/>
      <c r="F248" s="184"/>
      <c r="H248" s="222"/>
      <c r="I248" s="222"/>
      <c r="J248" s="193"/>
      <c r="K248" s="193"/>
      <c r="L248" s="123"/>
      <c r="M248" s="123"/>
      <c r="N248" s="160"/>
      <c r="O248" s="160"/>
      <c r="P248" s="123"/>
      <c r="Q248" s="123"/>
      <c r="R248" s="123"/>
      <c r="T248" s="42"/>
      <c r="V248" s="123"/>
      <c r="Y248" s="123"/>
      <c r="Z248" s="193"/>
      <c r="AA248" s="123"/>
      <c r="AB248" s="123"/>
      <c r="AC248" s="160"/>
      <c r="AD248" s="160"/>
      <c r="AE248" s="123"/>
      <c r="AF248" s="123"/>
      <c r="AH248" s="236"/>
      <c r="AI248" s="123"/>
      <c r="AJ248" s="123"/>
      <c r="AL248" s="123"/>
      <c r="AM248" s="160"/>
      <c r="AN248" s="160"/>
    </row>
    <row r="249" spans="3:40" x14ac:dyDescent="0.3">
      <c r="F249" s="210"/>
      <c r="H249" s="123"/>
      <c r="I249" s="123"/>
      <c r="J249" s="213"/>
      <c r="K249" s="213"/>
      <c r="L249" s="210"/>
      <c r="M249" s="210"/>
      <c r="N249" s="210"/>
      <c r="O249" s="210"/>
      <c r="P249" s="210"/>
      <c r="Q249" s="210"/>
      <c r="R249" s="210"/>
      <c r="V249" s="210"/>
      <c r="Y249" s="123"/>
      <c r="Z249" s="213"/>
      <c r="AA249" s="210"/>
      <c r="AB249" s="210"/>
      <c r="AC249" s="210"/>
      <c r="AD249" s="210"/>
      <c r="AE249" s="210"/>
      <c r="AF249" s="210"/>
      <c r="AI249" s="210"/>
      <c r="AJ249" s="210"/>
      <c r="AK249" s="214"/>
      <c r="AL249" s="210"/>
    </row>
    <row r="250" spans="3:40" x14ac:dyDescent="0.3">
      <c r="C250" s="42"/>
      <c r="F250" s="123"/>
      <c r="H250" s="123"/>
      <c r="I250" s="123"/>
      <c r="J250" s="219"/>
      <c r="K250" s="219"/>
      <c r="L250" s="123"/>
      <c r="M250" s="123"/>
      <c r="N250" s="160"/>
      <c r="O250" s="160"/>
      <c r="P250" s="123"/>
      <c r="Q250" s="123"/>
      <c r="R250" s="123"/>
      <c r="T250" s="42"/>
      <c r="V250" s="123"/>
      <c r="Y250" s="123"/>
      <c r="Z250" s="219"/>
      <c r="AA250" s="123"/>
      <c r="AB250" s="123"/>
      <c r="AC250" s="160"/>
      <c r="AD250" s="160"/>
      <c r="AE250" s="123"/>
      <c r="AF250" s="123"/>
      <c r="AH250" s="236"/>
      <c r="AI250" s="123"/>
      <c r="AJ250" s="123"/>
      <c r="AL250" s="123"/>
      <c r="AM250" s="160"/>
      <c r="AN250" s="160"/>
    </row>
    <row r="251" spans="3:40" x14ac:dyDescent="0.3">
      <c r="F251" s="210"/>
      <c r="H251" s="123"/>
      <c r="I251" s="123"/>
      <c r="J251" s="213"/>
      <c r="K251" s="213"/>
      <c r="L251" s="210"/>
      <c r="M251" s="210"/>
      <c r="N251" s="210"/>
      <c r="O251" s="210"/>
      <c r="P251" s="210"/>
      <c r="Q251" s="210"/>
      <c r="R251" s="210"/>
      <c r="V251" s="210"/>
      <c r="Y251" s="123"/>
      <c r="Z251" s="213"/>
      <c r="AA251" s="210"/>
      <c r="AB251" s="210"/>
      <c r="AC251" s="210"/>
      <c r="AD251" s="210"/>
      <c r="AE251" s="210"/>
      <c r="AF251" s="210"/>
      <c r="AI251" s="210"/>
      <c r="AJ251" s="210"/>
      <c r="AK251" s="214"/>
      <c r="AL251" s="210"/>
    </row>
    <row r="252" spans="3:40" x14ac:dyDescent="0.3">
      <c r="F252" s="123"/>
      <c r="R252" s="123"/>
      <c r="V252" s="123"/>
      <c r="AL252" s="123"/>
    </row>
    <row r="253" spans="3:40" x14ac:dyDescent="0.3">
      <c r="C253" s="42"/>
      <c r="F253" s="123"/>
      <c r="R253" s="123"/>
      <c r="T253" s="42"/>
      <c r="V253" s="123"/>
      <c r="AL253" s="123"/>
    </row>
    <row r="254" spans="3:40" x14ac:dyDescent="0.3">
      <c r="F254" s="123"/>
      <c r="R254" s="123"/>
      <c r="V254" s="123"/>
      <c r="AL254" s="123"/>
    </row>
    <row r="255" spans="3:40" x14ac:dyDescent="0.3">
      <c r="C255" s="42"/>
      <c r="F255" s="123"/>
      <c r="H255" s="184"/>
      <c r="I255" s="184"/>
      <c r="J255" s="227"/>
      <c r="K255" s="227"/>
      <c r="L255" s="123"/>
      <c r="M255" s="123"/>
      <c r="N255" s="160"/>
      <c r="O255" s="160"/>
      <c r="P255" s="184"/>
      <c r="Q255" s="184"/>
      <c r="R255" s="123"/>
      <c r="T255" s="42"/>
      <c r="V255" s="123"/>
      <c r="Y255" s="123"/>
      <c r="Z255" s="212"/>
      <c r="AA255" s="123"/>
      <c r="AB255" s="123"/>
      <c r="AC255" s="160"/>
      <c r="AD255" s="160"/>
      <c r="AE255" s="123"/>
      <c r="AF255" s="123"/>
      <c r="AH255" s="236"/>
      <c r="AI255" s="184"/>
      <c r="AJ255" s="184"/>
      <c r="AL255" s="123"/>
      <c r="AM255" s="160"/>
      <c r="AN255" s="160"/>
    </row>
    <row r="256" spans="3:40" x14ac:dyDescent="0.3">
      <c r="H256" s="210"/>
      <c r="I256" s="210"/>
      <c r="J256" s="213"/>
      <c r="K256" s="213"/>
      <c r="L256" s="210"/>
      <c r="M256" s="210"/>
      <c r="N256" s="210"/>
      <c r="O256" s="210"/>
      <c r="P256" s="210"/>
      <c r="Q256" s="210"/>
      <c r="R256" s="210"/>
      <c r="V256" s="210"/>
      <c r="Y256" s="210"/>
      <c r="Z256" s="213"/>
      <c r="AA256" s="210"/>
      <c r="AB256" s="210"/>
      <c r="AC256" s="210"/>
      <c r="AD256" s="210"/>
      <c r="AE256" s="210"/>
      <c r="AF256" s="210"/>
      <c r="AI256" s="210"/>
      <c r="AJ256" s="210"/>
      <c r="AK256" s="214"/>
      <c r="AL256" s="210"/>
    </row>
    <row r="257" spans="1:40" x14ac:dyDescent="0.3">
      <c r="F257" s="210"/>
    </row>
    <row r="258" spans="1:40" x14ac:dyDescent="0.3">
      <c r="C258" s="42"/>
      <c r="F258" s="123"/>
      <c r="H258" s="123"/>
      <c r="I258" s="123"/>
      <c r="J258" s="209"/>
      <c r="K258" s="209"/>
      <c r="L258" s="123"/>
      <c r="M258" s="123"/>
      <c r="N258" s="160"/>
      <c r="O258" s="160"/>
      <c r="P258" s="123"/>
      <c r="Q258" s="123"/>
      <c r="R258" s="123"/>
      <c r="T258" s="42"/>
      <c r="V258" s="123"/>
      <c r="Y258" s="123"/>
      <c r="Z258" s="209"/>
      <c r="AA258" s="123"/>
      <c r="AB258" s="123"/>
      <c r="AC258" s="160"/>
      <c r="AD258" s="160"/>
      <c r="AE258" s="123"/>
      <c r="AF258" s="123"/>
      <c r="AH258" s="236"/>
      <c r="AI258" s="123"/>
      <c r="AJ258" s="123"/>
      <c r="AL258" s="123"/>
      <c r="AM258" s="160"/>
      <c r="AN258" s="160"/>
    </row>
    <row r="259" spans="1:40" x14ac:dyDescent="0.3">
      <c r="F259" s="210"/>
      <c r="H259" s="210"/>
      <c r="I259" s="210"/>
      <c r="J259" s="213"/>
      <c r="K259" s="213"/>
      <c r="L259" s="210"/>
      <c r="M259" s="210"/>
      <c r="N259" s="210"/>
      <c r="O259" s="210"/>
      <c r="P259" s="210"/>
      <c r="Q259" s="210"/>
      <c r="R259" s="210"/>
      <c r="V259" s="210"/>
      <c r="Y259" s="210"/>
      <c r="Z259" s="213"/>
      <c r="AA259" s="210"/>
      <c r="AB259" s="210"/>
      <c r="AC259" s="210"/>
      <c r="AD259" s="210"/>
      <c r="AE259" s="210"/>
      <c r="AF259" s="210"/>
      <c r="AI259" s="210"/>
      <c r="AJ259" s="210"/>
      <c r="AK259" s="214"/>
      <c r="AL259" s="210"/>
    </row>
    <row r="260" spans="1:40" x14ac:dyDescent="0.3">
      <c r="R260" s="123"/>
      <c r="AH260" s="123"/>
    </row>
    <row r="261" spans="1:40" x14ac:dyDescent="0.3">
      <c r="F261" s="123"/>
      <c r="H261" s="123"/>
      <c r="I261" s="123"/>
      <c r="J261" s="219"/>
      <c r="K261" s="219"/>
      <c r="L261" s="123"/>
      <c r="M261" s="123"/>
      <c r="N261" s="123"/>
      <c r="O261" s="123"/>
      <c r="P261" s="123"/>
      <c r="Q261" s="123"/>
      <c r="R261" s="123"/>
      <c r="V261" s="123"/>
      <c r="Y261" s="123"/>
      <c r="Z261" s="219"/>
      <c r="AA261" s="123"/>
      <c r="AB261" s="123"/>
      <c r="AC261" s="123"/>
      <c r="AD261" s="123"/>
      <c r="AE261" s="123"/>
      <c r="AF261" s="123"/>
      <c r="AH261" s="123"/>
    </row>
    <row r="262" spans="1:40" x14ac:dyDescent="0.3">
      <c r="C262" s="42"/>
      <c r="F262" s="123"/>
      <c r="H262" s="123"/>
      <c r="I262" s="123"/>
      <c r="J262" s="219"/>
      <c r="K262" s="219"/>
      <c r="L262" s="123"/>
      <c r="M262" s="123"/>
      <c r="N262" s="123"/>
      <c r="O262" s="123"/>
      <c r="P262" s="123"/>
      <c r="Q262" s="123"/>
      <c r="R262" s="123"/>
      <c r="T262" s="42"/>
      <c r="V262" s="123"/>
      <c r="Y262" s="123"/>
      <c r="Z262" s="219"/>
      <c r="AA262" s="123"/>
      <c r="AB262" s="123"/>
      <c r="AC262" s="123"/>
      <c r="AD262" s="123"/>
      <c r="AE262" s="123"/>
      <c r="AF262" s="123"/>
      <c r="AH262" s="123"/>
    </row>
    <row r="263" spans="1:40" x14ac:dyDescent="0.3">
      <c r="A263" s="42"/>
    </row>
    <row r="266" spans="1:40" x14ac:dyDescent="0.3">
      <c r="H266" s="42"/>
      <c r="I266" s="42"/>
      <c r="Y266" s="42"/>
    </row>
    <row r="268" spans="1:40" x14ac:dyDescent="0.3">
      <c r="L268" s="42"/>
      <c r="M268" s="42"/>
      <c r="AA268" s="42"/>
      <c r="AB268" s="42"/>
    </row>
    <row r="269" spans="1:40" x14ac:dyDescent="0.3">
      <c r="R269" s="42"/>
      <c r="AK269" s="206"/>
      <c r="AL269" s="42"/>
    </row>
    <row r="270" spans="1:40" x14ac:dyDescent="0.3">
      <c r="R270" s="42"/>
      <c r="AK270" s="206"/>
      <c r="AL270" s="42"/>
    </row>
    <row r="271" spans="1:40" x14ac:dyDescent="0.3">
      <c r="A271" s="42"/>
      <c r="R271" s="42"/>
      <c r="AK271" s="206"/>
      <c r="AL271" s="42"/>
    </row>
    <row r="272" spans="1:40" x14ac:dyDescent="0.3">
      <c r="L272" s="42"/>
      <c r="M272" s="42"/>
      <c r="AA272" s="42"/>
      <c r="AB272" s="42"/>
    </row>
    <row r="273" spans="1:40" x14ac:dyDescent="0.3">
      <c r="A273" s="135"/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207"/>
      <c r="AH273" s="135"/>
      <c r="AI273" s="135"/>
      <c r="AJ273" s="135"/>
      <c r="AK273" s="207"/>
      <c r="AL273" s="135"/>
      <c r="AM273" s="135"/>
      <c r="AN273" s="135"/>
    </row>
    <row r="274" spans="1:40" x14ac:dyDescent="0.3">
      <c r="L274" s="44"/>
      <c r="M274" s="44"/>
      <c r="N274" s="44"/>
      <c r="O274" s="44"/>
      <c r="R274" s="44"/>
      <c r="AA274" s="44"/>
      <c r="AB274" s="44"/>
      <c r="AC274" s="44"/>
      <c r="AD274" s="44"/>
      <c r="AE274" s="44"/>
      <c r="AF274" s="44"/>
      <c r="AG274" s="168"/>
      <c r="AH274" s="44"/>
      <c r="AK274" s="168"/>
      <c r="AL274" s="44"/>
      <c r="AM274" s="44"/>
      <c r="AN274" s="44"/>
    </row>
    <row r="275" spans="1:40" x14ac:dyDescent="0.3">
      <c r="L275" s="44"/>
      <c r="M275" s="44"/>
      <c r="N275" s="44"/>
      <c r="O275" s="44"/>
      <c r="R275" s="44"/>
      <c r="Z275" s="44"/>
      <c r="AA275" s="44"/>
      <c r="AB275" s="44"/>
      <c r="AC275" s="44"/>
      <c r="AD275" s="44"/>
      <c r="AE275" s="44"/>
      <c r="AF275" s="44"/>
      <c r="AG275" s="168"/>
      <c r="AH275" s="44"/>
      <c r="AK275" s="168"/>
      <c r="AL275" s="44"/>
      <c r="AM275" s="44"/>
      <c r="AN275" s="44"/>
    </row>
    <row r="276" spans="1:40" x14ac:dyDescent="0.3">
      <c r="A276" s="44"/>
      <c r="C276" s="44"/>
      <c r="D276" s="44"/>
      <c r="E276" s="44"/>
      <c r="F276" s="44"/>
      <c r="J276" s="44"/>
      <c r="K276" s="44"/>
      <c r="L276" s="44"/>
      <c r="M276" s="44"/>
      <c r="N276" s="44"/>
      <c r="O276" s="44"/>
      <c r="P276" s="44"/>
      <c r="Q276" s="44"/>
      <c r="R276" s="44"/>
      <c r="T276" s="44"/>
      <c r="U276" s="44"/>
      <c r="V276" s="44"/>
      <c r="Z276" s="44"/>
      <c r="AA276" s="44"/>
      <c r="AB276" s="44"/>
      <c r="AC276" s="44"/>
      <c r="AD276" s="44"/>
      <c r="AE276" s="44"/>
      <c r="AF276" s="44"/>
      <c r="AG276" s="168"/>
      <c r="AH276" s="44"/>
      <c r="AI276" s="44"/>
      <c r="AJ276" s="44"/>
      <c r="AK276" s="168"/>
      <c r="AL276" s="44"/>
      <c r="AM276" s="44"/>
      <c r="AN276" s="44"/>
    </row>
    <row r="277" spans="1:40" x14ac:dyDescent="0.3">
      <c r="A277" s="44"/>
      <c r="C277" s="44"/>
      <c r="D277" s="44"/>
      <c r="E277" s="44"/>
      <c r="F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T277" s="44"/>
      <c r="U277" s="44"/>
      <c r="V277" s="44"/>
      <c r="Y277" s="44"/>
      <c r="Z277" s="44"/>
      <c r="AA277" s="44"/>
      <c r="AB277" s="44"/>
      <c r="AC277" s="44"/>
      <c r="AD277" s="44"/>
      <c r="AE277" s="44"/>
      <c r="AF277" s="44"/>
      <c r="AG277" s="168"/>
      <c r="AH277" s="44"/>
      <c r="AI277" s="44"/>
      <c r="AJ277" s="44"/>
      <c r="AK277" s="168"/>
      <c r="AL277" s="44"/>
      <c r="AM277" s="44"/>
      <c r="AN277" s="44"/>
    </row>
    <row r="278" spans="1:40" x14ac:dyDescent="0.3">
      <c r="C278" s="44"/>
      <c r="D278" s="44"/>
      <c r="E278" s="44"/>
      <c r="F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T278" s="44"/>
      <c r="U278" s="44"/>
      <c r="V278" s="44"/>
      <c r="Y278" s="44"/>
      <c r="Z278" s="44"/>
      <c r="AA278" s="44"/>
      <c r="AB278" s="44"/>
      <c r="AC278" s="44"/>
      <c r="AD278" s="44"/>
      <c r="AE278" s="44"/>
      <c r="AF278" s="44"/>
      <c r="AG278" s="168"/>
      <c r="AH278" s="44"/>
      <c r="AI278" s="44"/>
      <c r="AJ278" s="44"/>
      <c r="AK278" s="168"/>
      <c r="AL278" s="44"/>
      <c r="AM278" s="44"/>
      <c r="AN278" s="44"/>
    </row>
    <row r="279" spans="1:40" x14ac:dyDescent="0.3">
      <c r="A279" s="135"/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207"/>
      <c r="AH279" s="135"/>
      <c r="AI279" s="135"/>
      <c r="AJ279" s="135"/>
      <c r="AK279" s="207"/>
      <c r="AL279" s="135"/>
      <c r="AM279" s="135"/>
      <c r="AN279" s="135"/>
    </row>
    <row r="280" spans="1:40" x14ac:dyDescent="0.3"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Y280" s="44"/>
      <c r="Z280" s="44"/>
      <c r="AA280" s="44"/>
      <c r="AB280" s="44"/>
      <c r="AC280" s="44"/>
      <c r="AD280" s="44"/>
      <c r="AE280" s="44"/>
      <c r="AF280" s="44"/>
      <c r="AG280" s="168"/>
      <c r="AH280" s="44"/>
      <c r="AI280" s="44"/>
      <c r="AJ280" s="44"/>
      <c r="AK280" s="168"/>
      <c r="AL280" s="44"/>
      <c r="AM280" s="44"/>
      <c r="AN280" s="44"/>
    </row>
    <row r="281" spans="1:40" x14ac:dyDescent="0.3">
      <c r="C281" s="42"/>
      <c r="D281" s="42"/>
      <c r="E281" s="42"/>
      <c r="T281" s="42"/>
      <c r="U281" s="42"/>
    </row>
    <row r="282" spans="1:40" x14ac:dyDescent="0.3">
      <c r="C282" s="42"/>
      <c r="T282" s="42"/>
    </row>
    <row r="284" spans="1:40" x14ac:dyDescent="0.3">
      <c r="C284" s="42"/>
      <c r="F284" s="184"/>
      <c r="H284" s="184"/>
      <c r="I284" s="184"/>
      <c r="J284" s="193"/>
      <c r="K284" s="193"/>
      <c r="L284" s="123"/>
      <c r="M284" s="123"/>
      <c r="N284" s="160"/>
      <c r="O284" s="160"/>
      <c r="R284" s="123"/>
      <c r="T284" s="42"/>
      <c r="V284" s="123"/>
      <c r="Y284" s="184"/>
      <c r="Z284" s="193"/>
      <c r="AA284" s="123"/>
      <c r="AB284" s="123"/>
      <c r="AC284" s="160"/>
      <c r="AD284" s="160"/>
      <c r="AE284" s="123"/>
      <c r="AF284" s="123"/>
      <c r="AH284" s="236"/>
      <c r="AL284" s="123"/>
      <c r="AM284" s="160"/>
      <c r="AN284" s="160"/>
    </row>
    <row r="285" spans="1:40" x14ac:dyDescent="0.3">
      <c r="F285" s="210"/>
      <c r="H285" s="123"/>
      <c r="I285" s="123"/>
      <c r="J285" s="213"/>
      <c r="K285" s="213"/>
      <c r="L285" s="210"/>
      <c r="M285" s="210"/>
      <c r="N285" s="210"/>
      <c r="O285" s="210"/>
      <c r="P285" s="210"/>
      <c r="Q285" s="210"/>
      <c r="R285" s="210"/>
      <c r="V285" s="210"/>
      <c r="Y285" s="123"/>
      <c r="Z285" s="213"/>
      <c r="AA285" s="210"/>
      <c r="AB285" s="210"/>
      <c r="AC285" s="210"/>
      <c r="AD285" s="210"/>
      <c r="AE285" s="210"/>
      <c r="AF285" s="210"/>
      <c r="AI285" s="210"/>
      <c r="AJ285" s="210"/>
      <c r="AK285" s="214"/>
      <c r="AL285" s="210"/>
      <c r="AM285" s="160"/>
      <c r="AN285" s="160"/>
    </row>
    <row r="286" spans="1:40" x14ac:dyDescent="0.3">
      <c r="C286" s="42"/>
      <c r="F286" s="184"/>
      <c r="H286" s="184"/>
      <c r="I286" s="184"/>
      <c r="J286" s="237"/>
      <c r="K286" s="237"/>
      <c r="L286" s="123"/>
      <c r="M286" s="123"/>
      <c r="N286" s="160"/>
      <c r="O286" s="160"/>
      <c r="P286" s="123"/>
      <c r="Q286" s="123"/>
      <c r="R286" s="123"/>
      <c r="S286" s="123"/>
      <c r="T286" s="42"/>
      <c r="V286" s="184"/>
      <c r="Y286" s="184"/>
      <c r="Z286" s="237"/>
      <c r="AA286" s="123"/>
      <c r="AB286" s="123"/>
      <c r="AC286" s="160"/>
      <c r="AD286" s="160"/>
      <c r="AE286" s="123"/>
      <c r="AF286" s="123"/>
      <c r="AH286" s="160"/>
      <c r="AI286" s="123"/>
      <c r="AJ286" s="123"/>
      <c r="AL286" s="123"/>
      <c r="AM286" s="160"/>
      <c r="AN286" s="160"/>
    </row>
    <row r="287" spans="1:40" x14ac:dyDescent="0.3">
      <c r="C287" s="42"/>
      <c r="F287" s="184"/>
      <c r="H287" s="184"/>
      <c r="I287" s="184"/>
      <c r="J287" s="193"/>
      <c r="K287" s="193"/>
      <c r="L287" s="123"/>
      <c r="M287" s="123"/>
      <c r="N287" s="160"/>
      <c r="O287" s="160"/>
      <c r="P287" s="123"/>
      <c r="Q287" s="123"/>
      <c r="R287" s="123"/>
      <c r="T287" s="42"/>
      <c r="V287" s="184"/>
      <c r="Y287" s="123"/>
      <c r="Z287" s="193"/>
      <c r="AA287" s="123"/>
      <c r="AB287" s="123"/>
      <c r="AC287" s="160"/>
      <c r="AD287" s="160"/>
      <c r="AE287" s="123"/>
      <c r="AF287" s="123"/>
      <c r="AH287" s="236"/>
      <c r="AI287" s="123"/>
      <c r="AJ287" s="123"/>
      <c r="AL287" s="123"/>
      <c r="AM287" s="160"/>
      <c r="AN287" s="160"/>
    </row>
    <row r="288" spans="1:40" x14ac:dyDescent="0.3">
      <c r="C288" s="42"/>
      <c r="F288" s="184"/>
      <c r="H288" s="184"/>
      <c r="I288" s="184"/>
      <c r="J288" s="193"/>
      <c r="K288" s="193"/>
      <c r="L288" s="123"/>
      <c r="M288" s="123"/>
      <c r="N288" s="160"/>
      <c r="O288" s="160"/>
      <c r="P288" s="123"/>
      <c r="Q288" s="123"/>
      <c r="R288" s="123"/>
      <c r="T288" s="42"/>
      <c r="V288" s="184"/>
      <c r="Y288" s="123"/>
      <c r="Z288" s="193"/>
      <c r="AA288" s="123"/>
      <c r="AB288" s="123"/>
      <c r="AC288" s="160"/>
      <c r="AD288" s="160"/>
      <c r="AE288" s="123"/>
      <c r="AF288" s="123"/>
      <c r="AH288" s="236"/>
      <c r="AI288" s="123"/>
      <c r="AJ288" s="123"/>
      <c r="AL288" s="123"/>
      <c r="AM288" s="160"/>
      <c r="AN288" s="160"/>
    </row>
    <row r="289" spans="3:40" x14ac:dyDescent="0.3">
      <c r="F289" s="210"/>
      <c r="H289" s="210"/>
      <c r="I289" s="210"/>
      <c r="J289" s="213"/>
      <c r="K289" s="213"/>
      <c r="L289" s="210"/>
      <c r="M289" s="210"/>
      <c r="N289" s="210"/>
      <c r="O289" s="210"/>
      <c r="P289" s="210"/>
      <c r="Q289" s="210"/>
      <c r="R289" s="210"/>
      <c r="V289" s="210"/>
      <c r="Y289" s="210"/>
      <c r="Z289" s="213"/>
      <c r="AA289" s="210"/>
      <c r="AB289" s="210"/>
      <c r="AC289" s="210"/>
      <c r="AD289" s="210"/>
      <c r="AE289" s="210"/>
      <c r="AF289" s="210"/>
      <c r="AI289" s="210"/>
      <c r="AJ289" s="210"/>
      <c r="AK289" s="214"/>
      <c r="AL289" s="210"/>
      <c r="AM289" s="160"/>
      <c r="AN289" s="160"/>
    </row>
    <row r="290" spans="3:40" x14ac:dyDescent="0.3">
      <c r="C290" s="42"/>
      <c r="F290" s="123"/>
      <c r="H290" s="123"/>
      <c r="I290" s="123"/>
      <c r="J290" s="219"/>
      <c r="K290" s="219"/>
      <c r="L290" s="123"/>
      <c r="M290" s="123"/>
      <c r="N290" s="160"/>
      <c r="O290" s="160"/>
      <c r="P290" s="123"/>
      <c r="Q290" s="123"/>
      <c r="R290" s="123"/>
      <c r="T290" s="42"/>
      <c r="V290" s="123"/>
      <c r="Y290" s="123"/>
      <c r="Z290" s="219"/>
      <c r="AA290" s="123"/>
      <c r="AB290" s="123"/>
      <c r="AC290" s="160"/>
      <c r="AD290" s="160"/>
      <c r="AE290" s="123"/>
      <c r="AF290" s="123"/>
      <c r="AH290" s="236"/>
      <c r="AI290" s="123"/>
      <c r="AJ290" s="123"/>
      <c r="AL290" s="123"/>
      <c r="AM290" s="160"/>
      <c r="AN290" s="160"/>
    </row>
    <row r="291" spans="3:40" x14ac:dyDescent="0.3">
      <c r="F291" s="210"/>
      <c r="H291" s="210"/>
      <c r="I291" s="210"/>
      <c r="J291" s="213"/>
      <c r="K291" s="213"/>
      <c r="L291" s="210"/>
      <c r="M291" s="210"/>
      <c r="N291" s="210"/>
      <c r="O291" s="210"/>
      <c r="P291" s="210"/>
      <c r="Q291" s="210"/>
      <c r="R291" s="210"/>
      <c r="V291" s="210"/>
      <c r="Y291" s="210"/>
      <c r="Z291" s="213"/>
      <c r="AA291" s="210"/>
      <c r="AB291" s="210"/>
      <c r="AC291" s="210"/>
      <c r="AD291" s="210"/>
      <c r="AE291" s="210"/>
      <c r="AF291" s="210"/>
      <c r="AI291" s="210"/>
      <c r="AJ291" s="210"/>
      <c r="AK291" s="214"/>
      <c r="AL291" s="210"/>
      <c r="AM291" s="160"/>
      <c r="AN291" s="160"/>
    </row>
    <row r="292" spans="3:40" x14ac:dyDescent="0.3">
      <c r="C292" s="42"/>
      <c r="F292" s="123"/>
      <c r="H292" s="123"/>
      <c r="I292" s="123"/>
      <c r="J292" s="219"/>
      <c r="K292" s="219"/>
      <c r="L292" s="123"/>
      <c r="M292" s="123"/>
      <c r="N292" s="160"/>
      <c r="O292" s="160"/>
      <c r="P292" s="123"/>
      <c r="Q292" s="123"/>
      <c r="R292" s="123"/>
      <c r="T292" s="42"/>
      <c r="V292" s="123"/>
      <c r="Y292" s="123"/>
      <c r="Z292" s="219"/>
      <c r="AA292" s="123"/>
      <c r="AB292" s="123"/>
      <c r="AC292" s="160"/>
      <c r="AD292" s="160"/>
      <c r="AE292" s="123"/>
      <c r="AF292" s="123"/>
      <c r="AH292" s="236"/>
      <c r="AI292" s="123"/>
      <c r="AJ292" s="123"/>
      <c r="AL292" s="123"/>
      <c r="AM292" s="160"/>
      <c r="AN292" s="160"/>
    </row>
    <row r="293" spans="3:40" x14ac:dyDescent="0.3">
      <c r="C293" s="42"/>
      <c r="F293" s="123"/>
      <c r="H293" s="184"/>
      <c r="I293" s="184"/>
      <c r="J293" s="227"/>
      <c r="K293" s="227"/>
      <c r="L293" s="123"/>
      <c r="M293" s="123"/>
      <c r="N293" s="160"/>
      <c r="O293" s="160"/>
      <c r="P293" s="123"/>
      <c r="Q293" s="123"/>
      <c r="R293" s="123"/>
      <c r="T293" s="42"/>
      <c r="V293" s="123"/>
      <c r="Y293" s="123"/>
      <c r="Z293" s="212"/>
      <c r="AA293" s="123"/>
      <c r="AB293" s="123"/>
      <c r="AC293" s="160"/>
      <c r="AD293" s="160"/>
      <c r="AE293" s="123"/>
      <c r="AF293" s="123"/>
      <c r="AH293" s="236"/>
      <c r="AI293" s="123"/>
      <c r="AJ293" s="123"/>
      <c r="AL293" s="123"/>
      <c r="AM293" s="160"/>
      <c r="AN293" s="160"/>
    </row>
    <row r="294" spans="3:40" x14ac:dyDescent="0.3">
      <c r="H294" s="210"/>
      <c r="I294" s="210"/>
      <c r="J294" s="213"/>
      <c r="K294" s="213"/>
      <c r="L294" s="210"/>
      <c r="M294" s="210"/>
      <c r="N294" s="210"/>
      <c r="O294" s="210"/>
      <c r="P294" s="210"/>
      <c r="Q294" s="210"/>
      <c r="R294" s="210"/>
      <c r="V294" s="210"/>
      <c r="Y294" s="210"/>
      <c r="Z294" s="213"/>
      <c r="AA294" s="210"/>
      <c r="AB294" s="210"/>
      <c r="AC294" s="210"/>
      <c r="AD294" s="210"/>
      <c r="AE294" s="210"/>
      <c r="AF294" s="210"/>
      <c r="AI294" s="210"/>
      <c r="AJ294" s="210"/>
      <c r="AK294" s="214"/>
      <c r="AL294" s="210"/>
      <c r="AM294" s="160"/>
      <c r="AN294" s="160"/>
    </row>
    <row r="295" spans="3:40" x14ac:dyDescent="0.3">
      <c r="F295" s="210"/>
    </row>
    <row r="296" spans="3:40" x14ac:dyDescent="0.3">
      <c r="C296" s="42"/>
      <c r="F296" s="123"/>
      <c r="H296" s="123"/>
      <c r="I296" s="123"/>
      <c r="J296" s="213"/>
      <c r="K296" s="213"/>
      <c r="L296" s="123"/>
      <c r="M296" s="123"/>
      <c r="N296" s="160"/>
      <c r="O296" s="160"/>
      <c r="P296" s="123"/>
      <c r="Q296" s="123"/>
      <c r="R296" s="123"/>
      <c r="S296" s="123"/>
      <c r="T296" s="42"/>
      <c r="V296" s="123"/>
      <c r="Y296" s="123"/>
      <c r="Z296" s="213"/>
      <c r="AA296" s="123"/>
      <c r="AB296" s="123"/>
      <c r="AC296" s="160"/>
      <c r="AD296" s="160"/>
      <c r="AE296" s="123"/>
      <c r="AF296" s="123"/>
      <c r="AH296" s="160"/>
      <c r="AI296" s="123"/>
      <c r="AJ296" s="123"/>
      <c r="AL296" s="123"/>
      <c r="AM296" s="160"/>
      <c r="AN296" s="160"/>
    </row>
    <row r="297" spans="3:40" x14ac:dyDescent="0.3">
      <c r="F297" s="210"/>
      <c r="H297" s="210"/>
      <c r="I297" s="210"/>
      <c r="J297" s="213"/>
      <c r="K297" s="213"/>
      <c r="L297" s="210"/>
      <c r="M297" s="210"/>
      <c r="N297" s="210"/>
      <c r="O297" s="210"/>
      <c r="P297" s="210"/>
      <c r="Q297" s="210"/>
      <c r="R297" s="210"/>
      <c r="S297" s="123"/>
      <c r="V297" s="210"/>
      <c r="Y297" s="210"/>
      <c r="Z297" s="213"/>
      <c r="AA297" s="210"/>
      <c r="AB297" s="210"/>
      <c r="AC297" s="210"/>
      <c r="AD297" s="210"/>
      <c r="AE297" s="210"/>
      <c r="AF297" s="210"/>
      <c r="AI297" s="210"/>
      <c r="AJ297" s="210"/>
      <c r="AK297" s="214"/>
      <c r="AL297" s="210"/>
      <c r="AM297" s="160"/>
      <c r="AN297" s="160"/>
    </row>
    <row r="298" spans="3:40" x14ac:dyDescent="0.3">
      <c r="C298" s="42"/>
      <c r="H298" s="184"/>
      <c r="I298" s="184"/>
      <c r="J298" s="213"/>
      <c r="K298" s="213"/>
      <c r="L298" s="123"/>
      <c r="M298" s="123"/>
      <c r="N298" s="160"/>
      <c r="O298" s="160"/>
      <c r="P298" s="123"/>
      <c r="Q298" s="123"/>
      <c r="R298" s="123"/>
      <c r="S298" s="123"/>
      <c r="T298" s="42"/>
      <c r="V298" s="184"/>
      <c r="Y298" s="184"/>
      <c r="Z298" s="213"/>
      <c r="AA298" s="123"/>
      <c r="AB298" s="123"/>
      <c r="AC298" s="160"/>
      <c r="AD298" s="160"/>
      <c r="AE298" s="123"/>
      <c r="AF298" s="123"/>
      <c r="AI298" s="123"/>
      <c r="AJ298" s="123"/>
      <c r="AL298" s="123"/>
      <c r="AM298" s="160"/>
      <c r="AN298" s="160"/>
    </row>
    <row r="299" spans="3:40" x14ac:dyDescent="0.3">
      <c r="F299" s="184"/>
    </row>
    <row r="300" spans="3:40" x14ac:dyDescent="0.3">
      <c r="C300" s="42"/>
      <c r="F300" s="184"/>
      <c r="H300" s="184"/>
      <c r="I300" s="184"/>
      <c r="J300" s="193"/>
      <c r="K300" s="193"/>
      <c r="L300" s="123"/>
      <c r="M300" s="123"/>
      <c r="N300" s="160"/>
      <c r="O300" s="160"/>
      <c r="R300" s="123"/>
      <c r="T300" s="42"/>
      <c r="V300" s="123"/>
      <c r="Y300" s="184"/>
      <c r="Z300" s="193"/>
      <c r="AA300" s="123"/>
      <c r="AB300" s="123"/>
      <c r="AC300" s="160"/>
      <c r="AD300" s="160"/>
      <c r="AE300" s="123"/>
      <c r="AF300" s="123"/>
      <c r="AH300" s="236"/>
      <c r="AL300" s="123"/>
      <c r="AM300" s="160"/>
      <c r="AN300" s="160"/>
    </row>
    <row r="301" spans="3:40" x14ac:dyDescent="0.3">
      <c r="F301" s="210"/>
      <c r="H301" s="123"/>
      <c r="I301" s="123"/>
      <c r="J301" s="213"/>
      <c r="K301" s="213"/>
      <c r="L301" s="210"/>
      <c r="M301" s="210"/>
      <c r="N301" s="210"/>
      <c r="O301" s="210"/>
      <c r="P301" s="210"/>
      <c r="Q301" s="210"/>
      <c r="R301" s="210"/>
      <c r="V301" s="210"/>
      <c r="Y301" s="123"/>
      <c r="Z301" s="213"/>
      <c r="AA301" s="210"/>
      <c r="AB301" s="210"/>
      <c r="AC301" s="210"/>
      <c r="AD301" s="210"/>
      <c r="AE301" s="210"/>
      <c r="AF301" s="210"/>
      <c r="AI301" s="210"/>
      <c r="AJ301" s="210"/>
      <c r="AK301" s="214"/>
      <c r="AL301" s="210"/>
      <c r="AM301" s="160"/>
      <c r="AN301" s="160"/>
    </row>
    <row r="302" spans="3:40" x14ac:dyDescent="0.3">
      <c r="C302" s="42"/>
      <c r="F302" s="184"/>
      <c r="H302" s="184"/>
      <c r="I302" s="184"/>
      <c r="J302" s="237"/>
      <c r="K302" s="237"/>
      <c r="L302" s="123"/>
      <c r="M302" s="123"/>
      <c r="N302" s="160"/>
      <c r="O302" s="160"/>
      <c r="P302" s="123"/>
      <c r="Q302" s="123"/>
      <c r="R302" s="123"/>
      <c r="S302" s="123"/>
      <c r="T302" s="42"/>
      <c r="V302" s="184"/>
      <c r="Y302" s="184"/>
      <c r="Z302" s="237"/>
      <c r="AA302" s="123"/>
      <c r="AB302" s="123"/>
      <c r="AC302" s="160"/>
      <c r="AD302" s="160"/>
      <c r="AE302" s="123"/>
      <c r="AF302" s="123"/>
      <c r="AH302" s="160"/>
      <c r="AI302" s="123"/>
      <c r="AJ302" s="123"/>
      <c r="AL302" s="123"/>
      <c r="AM302" s="160"/>
      <c r="AN302" s="160"/>
    </row>
    <row r="303" spans="3:40" x14ac:dyDescent="0.3">
      <c r="C303" s="42"/>
      <c r="F303" s="184"/>
      <c r="H303" s="184"/>
      <c r="I303" s="184"/>
      <c r="J303" s="193"/>
      <c r="K303" s="193"/>
      <c r="L303" s="123"/>
      <c r="M303" s="123"/>
      <c r="N303" s="160"/>
      <c r="O303" s="160"/>
      <c r="P303" s="123"/>
      <c r="Q303" s="123"/>
      <c r="R303" s="123"/>
      <c r="T303" s="42"/>
      <c r="V303" s="184"/>
      <c r="Y303" s="123"/>
      <c r="Z303" s="193"/>
      <c r="AA303" s="123"/>
      <c r="AB303" s="123"/>
      <c r="AC303" s="160"/>
      <c r="AD303" s="160"/>
      <c r="AE303" s="123"/>
      <c r="AF303" s="123"/>
      <c r="AH303" s="236"/>
      <c r="AI303" s="123"/>
      <c r="AJ303" s="123"/>
      <c r="AL303" s="123"/>
      <c r="AM303" s="160"/>
      <c r="AN303" s="160"/>
    </row>
    <row r="304" spans="3:40" x14ac:dyDescent="0.3">
      <c r="C304" s="42"/>
      <c r="F304" s="184"/>
      <c r="H304" s="184"/>
      <c r="I304" s="184"/>
      <c r="J304" s="193"/>
      <c r="K304" s="193"/>
      <c r="L304" s="123"/>
      <c r="M304" s="123"/>
      <c r="N304" s="160"/>
      <c r="O304" s="160"/>
      <c r="P304" s="123"/>
      <c r="Q304" s="123"/>
      <c r="R304" s="123"/>
      <c r="T304" s="42"/>
      <c r="V304" s="184"/>
      <c r="Y304" s="123"/>
      <c r="Z304" s="193"/>
      <c r="AA304" s="123"/>
      <c r="AB304" s="123"/>
      <c r="AC304" s="160"/>
      <c r="AD304" s="160"/>
      <c r="AE304" s="123"/>
      <c r="AF304" s="123"/>
      <c r="AH304" s="236"/>
      <c r="AI304" s="123"/>
      <c r="AJ304" s="123"/>
      <c r="AL304" s="123"/>
      <c r="AM304" s="160"/>
      <c r="AN304" s="160"/>
    </row>
    <row r="305" spans="1:40" x14ac:dyDescent="0.3">
      <c r="F305" s="210"/>
      <c r="H305" s="210"/>
      <c r="I305" s="210"/>
      <c r="J305" s="213"/>
      <c r="K305" s="213"/>
      <c r="L305" s="210"/>
      <c r="M305" s="210"/>
      <c r="N305" s="210"/>
      <c r="O305" s="210"/>
      <c r="P305" s="210"/>
      <c r="Q305" s="210"/>
      <c r="R305" s="210"/>
      <c r="V305" s="210"/>
      <c r="Y305" s="210"/>
      <c r="Z305" s="213"/>
      <c r="AA305" s="210"/>
      <c r="AB305" s="210"/>
      <c r="AC305" s="210"/>
      <c r="AD305" s="210"/>
      <c r="AE305" s="210"/>
      <c r="AF305" s="210"/>
      <c r="AI305" s="210"/>
      <c r="AJ305" s="210"/>
      <c r="AK305" s="214"/>
      <c r="AL305" s="210"/>
      <c r="AM305" s="160"/>
      <c r="AN305" s="160"/>
    </row>
    <row r="306" spans="1:40" x14ac:dyDescent="0.3">
      <c r="C306" s="42"/>
      <c r="F306" s="123"/>
      <c r="H306" s="123"/>
      <c r="I306" s="123"/>
      <c r="J306" s="219"/>
      <c r="K306" s="219"/>
      <c r="L306" s="123"/>
      <c r="M306" s="123"/>
      <c r="N306" s="160"/>
      <c r="O306" s="160"/>
      <c r="P306" s="123"/>
      <c r="Q306" s="123"/>
      <c r="R306" s="123"/>
      <c r="T306" s="42"/>
      <c r="V306" s="123"/>
      <c r="Y306" s="123"/>
      <c r="Z306" s="219"/>
      <c r="AA306" s="123"/>
      <c r="AB306" s="123"/>
      <c r="AC306" s="160"/>
      <c r="AD306" s="160"/>
      <c r="AE306" s="123"/>
      <c r="AF306" s="123"/>
      <c r="AH306" s="236"/>
      <c r="AI306" s="123"/>
      <c r="AJ306" s="123"/>
      <c r="AL306" s="123"/>
      <c r="AM306" s="160"/>
      <c r="AN306" s="160"/>
    </row>
    <row r="307" spans="1:40" x14ac:dyDescent="0.3">
      <c r="F307" s="210"/>
      <c r="H307" s="210"/>
      <c r="I307" s="210"/>
      <c r="J307" s="213"/>
      <c r="K307" s="213"/>
      <c r="L307" s="210"/>
      <c r="M307" s="210"/>
      <c r="N307" s="210"/>
      <c r="O307" s="210"/>
      <c r="P307" s="210"/>
      <c r="Q307" s="210"/>
      <c r="R307" s="210"/>
      <c r="V307" s="210"/>
      <c r="Y307" s="210"/>
      <c r="Z307" s="213"/>
      <c r="AA307" s="210"/>
      <c r="AB307" s="210"/>
      <c r="AC307" s="210"/>
      <c r="AD307" s="210"/>
      <c r="AE307" s="210"/>
      <c r="AF307" s="210"/>
      <c r="AI307" s="210"/>
      <c r="AJ307" s="210"/>
      <c r="AK307" s="214"/>
      <c r="AL307" s="210"/>
      <c r="AM307" s="160"/>
      <c r="AN307" s="160"/>
    </row>
    <row r="308" spans="1:40" x14ac:dyDescent="0.3">
      <c r="C308" s="42"/>
      <c r="F308" s="123"/>
      <c r="H308" s="123"/>
      <c r="I308" s="123"/>
      <c r="J308" s="219"/>
      <c r="K308" s="219"/>
      <c r="L308" s="123"/>
      <c r="M308" s="123"/>
      <c r="N308" s="160"/>
      <c r="O308" s="160"/>
      <c r="P308" s="123"/>
      <c r="Q308" s="123"/>
      <c r="R308" s="123"/>
      <c r="T308" s="42"/>
      <c r="V308" s="123"/>
      <c r="Y308" s="123"/>
      <c r="Z308" s="219"/>
      <c r="AA308" s="123"/>
      <c r="AB308" s="123"/>
      <c r="AC308" s="160"/>
      <c r="AD308" s="160"/>
      <c r="AE308" s="123"/>
      <c r="AF308" s="123"/>
      <c r="AH308" s="236"/>
      <c r="AI308" s="123"/>
      <c r="AJ308" s="123"/>
      <c r="AL308" s="123"/>
      <c r="AM308" s="160"/>
      <c r="AN308" s="160"/>
    </row>
    <row r="309" spans="1:40" x14ac:dyDescent="0.3">
      <c r="C309" s="42"/>
      <c r="F309" s="123"/>
      <c r="H309" s="184"/>
      <c r="I309" s="184"/>
      <c r="J309" s="227"/>
      <c r="K309" s="227"/>
      <c r="L309" s="123"/>
      <c r="M309" s="123"/>
      <c r="N309" s="160"/>
      <c r="O309" s="160"/>
      <c r="P309" s="123"/>
      <c r="Q309" s="123"/>
      <c r="R309" s="123"/>
      <c r="T309" s="42"/>
      <c r="V309" s="123"/>
      <c r="Y309" s="123"/>
      <c r="Z309" s="212"/>
      <c r="AA309" s="123"/>
      <c r="AB309" s="123"/>
      <c r="AC309" s="160"/>
      <c r="AD309" s="160"/>
      <c r="AE309" s="123"/>
      <c r="AF309" s="123"/>
      <c r="AH309" s="236"/>
      <c r="AI309" s="123"/>
      <c r="AJ309" s="123"/>
      <c r="AL309" s="123"/>
      <c r="AM309" s="160"/>
      <c r="AN309" s="160"/>
    </row>
    <row r="310" spans="1:40" x14ac:dyDescent="0.3">
      <c r="H310" s="210"/>
      <c r="I310" s="210"/>
      <c r="J310" s="213"/>
      <c r="K310" s="213"/>
      <c r="L310" s="210"/>
      <c r="M310" s="210"/>
      <c r="N310" s="210"/>
      <c r="O310" s="210"/>
      <c r="P310" s="210"/>
      <c r="Q310" s="210"/>
      <c r="R310" s="210"/>
      <c r="V310" s="210"/>
      <c r="Y310" s="210"/>
      <c r="Z310" s="213"/>
      <c r="AA310" s="210"/>
      <c r="AB310" s="210"/>
      <c r="AC310" s="210"/>
      <c r="AD310" s="210"/>
      <c r="AE310" s="210"/>
      <c r="AF310" s="210"/>
      <c r="AI310" s="210"/>
      <c r="AJ310" s="210"/>
      <c r="AK310" s="214"/>
      <c r="AL310" s="210"/>
      <c r="AM310" s="160"/>
      <c r="AN310" s="160"/>
    </row>
    <row r="311" spans="1:40" x14ac:dyDescent="0.3">
      <c r="F311" s="210"/>
    </row>
    <row r="312" spans="1:40" x14ac:dyDescent="0.3">
      <c r="C312" s="42"/>
      <c r="F312" s="123"/>
      <c r="H312" s="123"/>
      <c r="I312" s="123"/>
      <c r="J312" s="213"/>
      <c r="K312" s="213"/>
      <c r="L312" s="123"/>
      <c r="M312" s="123"/>
      <c r="N312" s="160"/>
      <c r="O312" s="160"/>
      <c r="P312" s="123"/>
      <c r="Q312" s="123"/>
      <c r="R312" s="123"/>
      <c r="S312" s="123"/>
      <c r="T312" s="42"/>
      <c r="V312" s="123"/>
      <c r="Y312" s="123"/>
      <c r="Z312" s="213"/>
      <c r="AA312" s="123"/>
      <c r="AB312" s="123"/>
      <c r="AC312" s="160"/>
      <c r="AD312" s="160"/>
      <c r="AE312" s="123"/>
      <c r="AF312" s="123"/>
      <c r="AH312" s="160"/>
      <c r="AI312" s="123"/>
      <c r="AJ312" s="123"/>
      <c r="AL312" s="123"/>
      <c r="AM312" s="160"/>
      <c r="AN312" s="160"/>
    </row>
    <row r="313" spans="1:40" x14ac:dyDescent="0.3">
      <c r="F313" s="210"/>
      <c r="H313" s="210"/>
      <c r="I313" s="210"/>
      <c r="J313" s="213"/>
      <c r="K313" s="213"/>
      <c r="L313" s="210"/>
      <c r="M313" s="210"/>
      <c r="N313" s="210"/>
      <c r="O313" s="210"/>
      <c r="P313" s="210"/>
      <c r="Q313" s="210"/>
      <c r="R313" s="210"/>
      <c r="S313" s="123"/>
      <c r="V313" s="210"/>
      <c r="Y313" s="210"/>
      <c r="Z313" s="213"/>
      <c r="AA313" s="210"/>
      <c r="AB313" s="210"/>
      <c r="AC313" s="210"/>
      <c r="AD313" s="210"/>
      <c r="AE313" s="210"/>
      <c r="AF313" s="210"/>
      <c r="AI313" s="210"/>
      <c r="AJ313" s="210"/>
      <c r="AK313" s="214"/>
      <c r="AL313" s="210"/>
      <c r="AM313" s="160"/>
      <c r="AN313" s="160"/>
    </row>
    <row r="314" spans="1:40" x14ac:dyDescent="0.3">
      <c r="C314" s="42"/>
      <c r="T314" s="42"/>
    </row>
    <row r="315" spans="1:40" x14ac:dyDescent="0.3">
      <c r="C315" s="42"/>
      <c r="F315" s="123"/>
      <c r="H315" s="123"/>
      <c r="I315" s="123"/>
      <c r="L315" s="123"/>
      <c r="M315" s="123"/>
      <c r="N315" s="160"/>
      <c r="O315" s="160"/>
      <c r="P315" s="184"/>
      <c r="Q315" s="184"/>
      <c r="R315" s="123"/>
      <c r="T315" s="42"/>
      <c r="V315" s="123"/>
      <c r="Y315" s="123"/>
      <c r="AA315" s="123"/>
      <c r="AB315" s="123"/>
      <c r="AC315" s="160"/>
      <c r="AD315" s="160"/>
      <c r="AE315" s="123"/>
      <c r="AF315" s="123"/>
      <c r="AH315" s="160"/>
      <c r="AI315" s="184"/>
      <c r="AJ315" s="184"/>
      <c r="AL315" s="123"/>
      <c r="AM315" s="160"/>
      <c r="AN315" s="160"/>
    </row>
    <row r="316" spans="1:40" x14ac:dyDescent="0.3">
      <c r="H316" s="210"/>
      <c r="I316" s="210"/>
      <c r="J316" s="213"/>
      <c r="K316" s="213"/>
      <c r="L316" s="210"/>
      <c r="M316" s="210"/>
      <c r="N316" s="210"/>
      <c r="O316" s="210"/>
      <c r="P316" s="210"/>
      <c r="Q316" s="210"/>
      <c r="R316" s="210"/>
      <c r="V316" s="210"/>
      <c r="Y316" s="210"/>
      <c r="Z316" s="213"/>
      <c r="AA316" s="210"/>
      <c r="AB316" s="210"/>
      <c r="AC316" s="210"/>
      <c r="AD316" s="210"/>
      <c r="AE316" s="210"/>
      <c r="AF316" s="210"/>
      <c r="AI316" s="210"/>
      <c r="AJ316" s="210"/>
      <c r="AK316" s="214"/>
      <c r="AL316" s="210"/>
    </row>
    <row r="317" spans="1:40" x14ac:dyDescent="0.3">
      <c r="F317" s="210"/>
    </row>
    <row r="318" spans="1:40" x14ac:dyDescent="0.3">
      <c r="C318" s="42"/>
      <c r="L318" s="123"/>
      <c r="M318" s="123"/>
      <c r="N318" s="123"/>
      <c r="O318" s="123"/>
      <c r="P318" s="123"/>
      <c r="Q318" s="123"/>
      <c r="R318" s="123"/>
      <c r="S318" s="123"/>
      <c r="T318" s="42"/>
      <c r="AA318" s="123"/>
      <c r="AB318" s="123"/>
      <c r="AC318" s="123"/>
      <c r="AD318" s="123"/>
      <c r="AI318" s="123"/>
      <c r="AJ318" s="123"/>
      <c r="AL318" s="123"/>
    </row>
    <row r="319" spans="1:40" x14ac:dyDescent="0.3">
      <c r="A319" s="42"/>
    </row>
    <row r="321" spans="1:40" x14ac:dyDescent="0.3">
      <c r="H321" s="42"/>
      <c r="I321" s="42"/>
      <c r="Y321" s="42"/>
    </row>
    <row r="323" spans="1:40" x14ac:dyDescent="0.3">
      <c r="L323" s="42"/>
      <c r="M323" s="42"/>
      <c r="AA323" s="42"/>
      <c r="AB323" s="42"/>
    </row>
    <row r="324" spans="1:40" x14ac:dyDescent="0.3">
      <c r="R324" s="42"/>
      <c r="AK324" s="206"/>
      <c r="AL324" s="42"/>
    </row>
    <row r="325" spans="1:40" x14ac:dyDescent="0.3">
      <c r="R325" s="42"/>
      <c r="AK325" s="206"/>
      <c r="AL325" s="42"/>
    </row>
    <row r="326" spans="1:40" x14ac:dyDescent="0.3">
      <c r="A326" s="42"/>
      <c r="R326" s="42"/>
      <c r="AK326" s="206"/>
      <c r="AL326" s="42"/>
    </row>
    <row r="327" spans="1:40" x14ac:dyDescent="0.3">
      <c r="L327" s="42"/>
      <c r="M327" s="42"/>
      <c r="AA327" s="42"/>
      <c r="AB327" s="42"/>
    </row>
    <row r="328" spans="1:40" x14ac:dyDescent="0.3">
      <c r="A328" s="135"/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207"/>
      <c r="AH328" s="135"/>
      <c r="AI328" s="135"/>
      <c r="AJ328" s="135"/>
      <c r="AK328" s="207"/>
      <c r="AL328" s="135"/>
      <c r="AM328" s="135"/>
      <c r="AN328" s="135"/>
    </row>
    <row r="329" spans="1:40" x14ac:dyDescent="0.3">
      <c r="L329" s="44"/>
      <c r="M329" s="44"/>
      <c r="N329" s="44"/>
      <c r="O329" s="44"/>
      <c r="R329" s="44"/>
      <c r="AA329" s="44"/>
      <c r="AB329" s="44"/>
      <c r="AC329" s="44"/>
      <c r="AD329" s="44"/>
      <c r="AE329" s="44"/>
      <c r="AF329" s="44"/>
      <c r="AG329" s="168"/>
      <c r="AH329" s="44"/>
      <c r="AK329" s="168"/>
      <c r="AL329" s="44"/>
      <c r="AM329" s="44"/>
      <c r="AN329" s="44"/>
    </row>
    <row r="330" spans="1:40" x14ac:dyDescent="0.3">
      <c r="L330" s="44"/>
      <c r="M330" s="44"/>
      <c r="N330" s="44"/>
      <c r="O330" s="44"/>
      <c r="R330" s="44"/>
      <c r="Z330" s="44"/>
      <c r="AA330" s="44"/>
      <c r="AB330" s="44"/>
      <c r="AC330" s="44"/>
      <c r="AD330" s="44"/>
      <c r="AE330" s="44"/>
      <c r="AF330" s="44"/>
      <c r="AG330" s="168"/>
      <c r="AH330" s="44"/>
      <c r="AK330" s="168"/>
      <c r="AL330" s="44"/>
      <c r="AM330" s="44"/>
      <c r="AN330" s="44"/>
    </row>
    <row r="331" spans="1:40" x14ac:dyDescent="0.3">
      <c r="A331" s="44"/>
      <c r="C331" s="44"/>
      <c r="D331" s="44"/>
      <c r="E331" s="44"/>
      <c r="F331" s="44"/>
      <c r="J331" s="44"/>
      <c r="K331" s="44"/>
      <c r="L331" s="44"/>
      <c r="M331" s="44"/>
      <c r="N331" s="44"/>
      <c r="O331" s="44"/>
      <c r="P331" s="44"/>
      <c r="Q331" s="44"/>
      <c r="R331" s="44"/>
      <c r="T331" s="44"/>
      <c r="U331" s="44"/>
      <c r="V331" s="44"/>
      <c r="Z331" s="44"/>
      <c r="AA331" s="44"/>
      <c r="AB331" s="44"/>
      <c r="AC331" s="44"/>
      <c r="AD331" s="44"/>
      <c r="AE331" s="44"/>
      <c r="AF331" s="44"/>
      <c r="AG331" s="168"/>
      <c r="AH331" s="44"/>
      <c r="AI331" s="44"/>
      <c r="AJ331" s="44"/>
      <c r="AK331" s="168"/>
      <c r="AL331" s="44"/>
      <c r="AM331" s="44"/>
      <c r="AN331" s="44"/>
    </row>
    <row r="332" spans="1:40" x14ac:dyDescent="0.3">
      <c r="A332" s="44"/>
      <c r="C332" s="44"/>
      <c r="D332" s="44"/>
      <c r="E332" s="44"/>
      <c r="F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T332" s="44"/>
      <c r="U332" s="44"/>
      <c r="V332" s="44"/>
      <c r="Y332" s="44"/>
      <c r="Z332" s="44"/>
      <c r="AA332" s="44"/>
      <c r="AB332" s="44"/>
      <c r="AC332" s="44"/>
      <c r="AD332" s="44"/>
      <c r="AE332" s="44"/>
      <c r="AF332" s="44"/>
      <c r="AG332" s="168"/>
      <c r="AH332" s="44"/>
      <c r="AI332" s="44"/>
      <c r="AJ332" s="44"/>
      <c r="AK332" s="168"/>
      <c r="AL332" s="44"/>
      <c r="AM332" s="44"/>
      <c r="AN332" s="44"/>
    </row>
    <row r="333" spans="1:40" x14ac:dyDescent="0.3">
      <c r="C333" s="44"/>
      <c r="D333" s="44"/>
      <c r="E333" s="44"/>
      <c r="F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T333" s="44"/>
      <c r="U333" s="44"/>
      <c r="V333" s="44"/>
      <c r="Y333" s="44"/>
      <c r="Z333" s="44"/>
      <c r="AA333" s="44"/>
      <c r="AB333" s="44"/>
      <c r="AC333" s="44"/>
      <c r="AD333" s="44"/>
      <c r="AE333" s="44"/>
      <c r="AF333" s="44"/>
      <c r="AG333" s="168"/>
      <c r="AH333" s="44"/>
      <c r="AI333" s="44"/>
      <c r="AJ333" s="44"/>
      <c r="AK333" s="168"/>
      <c r="AL333" s="44"/>
      <c r="AM333" s="44"/>
      <c r="AN333" s="44"/>
    </row>
    <row r="334" spans="1:40" x14ac:dyDescent="0.3">
      <c r="A334" s="135"/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207"/>
      <c r="AH334" s="135"/>
      <c r="AI334" s="135"/>
      <c r="AJ334" s="135"/>
      <c r="AK334" s="207"/>
      <c r="AL334" s="135"/>
      <c r="AM334" s="135"/>
      <c r="AN334" s="135"/>
    </row>
    <row r="335" spans="1:40" x14ac:dyDescent="0.3"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Y335" s="44"/>
      <c r="Z335" s="44"/>
      <c r="AA335" s="44"/>
      <c r="AB335" s="44"/>
      <c r="AC335" s="44"/>
      <c r="AD335" s="44"/>
      <c r="AE335" s="44"/>
      <c r="AF335" s="44"/>
      <c r="AG335" s="168"/>
      <c r="AH335" s="44"/>
      <c r="AI335" s="44"/>
      <c r="AJ335" s="44"/>
      <c r="AK335" s="168"/>
      <c r="AL335" s="44"/>
      <c r="AM335" s="44"/>
      <c r="AN335" s="44"/>
    </row>
    <row r="336" spans="1:40" x14ac:dyDescent="0.3">
      <c r="C336" s="42"/>
      <c r="D336" s="42"/>
      <c r="E336" s="42"/>
      <c r="T336" s="42"/>
      <c r="U336" s="42"/>
    </row>
    <row r="337" spans="3:40" x14ac:dyDescent="0.3">
      <c r="D337" s="42"/>
      <c r="E337" s="42"/>
      <c r="U337" s="42"/>
    </row>
    <row r="339" spans="3:40" x14ac:dyDescent="0.3">
      <c r="C339" s="42"/>
      <c r="T339" s="42"/>
    </row>
    <row r="340" spans="3:40" x14ac:dyDescent="0.3">
      <c r="C340" s="42"/>
      <c r="F340" s="184"/>
      <c r="H340" s="184"/>
      <c r="I340" s="184"/>
      <c r="J340" s="238"/>
      <c r="K340" s="238"/>
      <c r="L340" s="123"/>
      <c r="M340" s="123"/>
      <c r="N340" s="160"/>
      <c r="O340" s="160"/>
      <c r="P340" s="123"/>
      <c r="Q340" s="123"/>
      <c r="R340" s="123"/>
      <c r="T340" s="42"/>
      <c r="V340" s="184"/>
      <c r="W340" s="123"/>
      <c r="X340" s="123"/>
      <c r="Y340" s="184"/>
      <c r="Z340" s="238"/>
      <c r="AA340" s="123"/>
      <c r="AB340" s="123"/>
      <c r="AC340" s="160"/>
      <c r="AD340" s="160"/>
      <c r="AE340" s="123"/>
      <c r="AF340" s="123"/>
      <c r="AH340" s="236"/>
      <c r="AI340" s="123"/>
      <c r="AJ340" s="123"/>
      <c r="AL340" s="123"/>
      <c r="AM340" s="160"/>
      <c r="AN340" s="160"/>
    </row>
    <row r="341" spans="3:40" x14ac:dyDescent="0.3">
      <c r="C341" s="42"/>
      <c r="F341" s="123"/>
      <c r="H341" s="123"/>
      <c r="I341" s="123"/>
      <c r="J341" s="213"/>
      <c r="K341" s="213"/>
      <c r="L341" s="123"/>
      <c r="M341" s="123"/>
      <c r="N341" s="160"/>
      <c r="O341" s="160"/>
      <c r="P341" s="123"/>
      <c r="Q341" s="123"/>
      <c r="R341" s="123"/>
      <c r="T341" s="42"/>
      <c r="V341" s="184"/>
      <c r="W341" s="123"/>
      <c r="X341" s="123"/>
      <c r="Y341" s="184"/>
      <c r="Z341" s="213"/>
      <c r="AA341" s="123"/>
      <c r="AB341" s="123"/>
      <c r="AC341" s="160"/>
      <c r="AD341" s="160"/>
      <c r="AE341" s="123"/>
      <c r="AF341" s="123"/>
      <c r="AH341" s="236"/>
      <c r="AI341" s="123"/>
      <c r="AJ341" s="123"/>
      <c r="AL341" s="123"/>
      <c r="AM341" s="160"/>
      <c r="AN341" s="160"/>
    </row>
    <row r="342" spans="3:40" x14ac:dyDescent="0.3">
      <c r="C342" s="42"/>
      <c r="F342" s="184"/>
      <c r="H342" s="184"/>
      <c r="I342" s="184"/>
      <c r="J342" s="238"/>
      <c r="K342" s="238"/>
      <c r="L342" s="123"/>
      <c r="M342" s="123"/>
      <c r="N342" s="160"/>
      <c r="O342" s="160"/>
      <c r="P342" s="123"/>
      <c r="Q342" s="123"/>
      <c r="R342" s="123"/>
      <c r="T342" s="42"/>
      <c r="V342" s="184"/>
      <c r="W342" s="123"/>
      <c r="X342" s="123"/>
      <c r="Y342" s="184"/>
      <c r="Z342" s="238"/>
      <c r="AA342" s="123"/>
      <c r="AB342" s="123"/>
      <c r="AC342" s="160"/>
      <c r="AD342" s="160"/>
      <c r="AE342" s="123"/>
      <c r="AF342" s="123"/>
      <c r="AH342" s="236"/>
      <c r="AI342" s="123"/>
      <c r="AJ342" s="123"/>
      <c r="AL342" s="123"/>
      <c r="AM342" s="160"/>
      <c r="AN342" s="160"/>
    </row>
    <row r="343" spans="3:40" x14ac:dyDescent="0.3">
      <c r="C343" s="42"/>
      <c r="F343" s="184"/>
      <c r="H343" s="184"/>
      <c r="I343" s="184"/>
      <c r="J343" s="238"/>
      <c r="K343" s="238"/>
      <c r="L343" s="123"/>
      <c r="M343" s="123"/>
      <c r="N343" s="160"/>
      <c r="O343" s="160"/>
      <c r="P343" s="123"/>
      <c r="Q343" s="123"/>
      <c r="R343" s="123"/>
      <c r="T343" s="42"/>
      <c r="V343" s="184"/>
      <c r="W343" s="123"/>
      <c r="X343" s="123"/>
      <c r="Y343" s="184"/>
      <c r="Z343" s="238"/>
      <c r="AA343" s="123"/>
      <c r="AB343" s="123"/>
      <c r="AC343" s="160"/>
      <c r="AD343" s="160"/>
      <c r="AE343" s="123"/>
      <c r="AF343" s="123"/>
      <c r="AH343" s="236"/>
      <c r="AI343" s="123"/>
      <c r="AJ343" s="123"/>
      <c r="AL343" s="123"/>
      <c r="AM343" s="160"/>
      <c r="AN343" s="160"/>
    </row>
    <row r="344" spans="3:40" x14ac:dyDescent="0.3">
      <c r="C344" s="42"/>
      <c r="F344" s="184"/>
      <c r="H344" s="184"/>
      <c r="I344" s="184"/>
      <c r="J344" s="238"/>
      <c r="K344" s="238"/>
      <c r="L344" s="123"/>
      <c r="M344" s="123"/>
      <c r="N344" s="160"/>
      <c r="O344" s="160"/>
      <c r="P344" s="123"/>
      <c r="Q344" s="123"/>
      <c r="R344" s="123"/>
      <c r="T344" s="42"/>
      <c r="V344" s="184"/>
      <c r="W344" s="123"/>
      <c r="X344" s="123"/>
      <c r="Y344" s="184"/>
      <c r="Z344" s="238"/>
      <c r="AA344" s="123"/>
      <c r="AB344" s="123"/>
      <c r="AC344" s="160"/>
      <c r="AD344" s="160"/>
      <c r="AE344" s="123"/>
      <c r="AF344" s="123"/>
      <c r="AH344" s="236"/>
      <c r="AI344" s="123"/>
      <c r="AJ344" s="123"/>
      <c r="AL344" s="123"/>
      <c r="AM344" s="160"/>
      <c r="AN344" s="160"/>
    </row>
    <row r="345" spans="3:40" x14ac:dyDescent="0.3">
      <c r="C345" s="42"/>
      <c r="F345" s="123"/>
      <c r="H345" s="123"/>
      <c r="I345" s="123"/>
      <c r="J345" s="238"/>
      <c r="K345" s="238"/>
      <c r="L345" s="123"/>
      <c r="M345" s="123"/>
      <c r="N345" s="160"/>
      <c r="O345" s="160"/>
      <c r="P345" s="123"/>
      <c r="Q345" s="123"/>
      <c r="R345" s="123"/>
      <c r="T345" s="42"/>
      <c r="V345" s="184"/>
      <c r="W345" s="123"/>
      <c r="X345" s="123"/>
      <c r="Y345" s="184"/>
      <c r="Z345" s="238"/>
      <c r="AA345" s="123"/>
      <c r="AB345" s="123"/>
      <c r="AC345" s="160"/>
      <c r="AD345" s="160"/>
      <c r="AE345" s="123"/>
      <c r="AF345" s="123"/>
      <c r="AH345" s="236"/>
      <c r="AI345" s="123"/>
      <c r="AJ345" s="123"/>
      <c r="AL345" s="123"/>
      <c r="AM345" s="160"/>
      <c r="AN345" s="160"/>
    </row>
    <row r="346" spans="3:40" x14ac:dyDescent="0.3">
      <c r="C346" s="42"/>
      <c r="F346" s="123"/>
      <c r="H346" s="123"/>
      <c r="I346" s="123"/>
      <c r="J346" s="238"/>
      <c r="K346" s="238"/>
      <c r="L346" s="123"/>
      <c r="M346" s="123"/>
      <c r="N346" s="160"/>
      <c r="O346" s="160"/>
      <c r="P346" s="123"/>
      <c r="Q346" s="123"/>
      <c r="R346" s="123"/>
      <c r="T346" s="42"/>
      <c r="V346" s="184"/>
      <c r="W346" s="123"/>
      <c r="X346" s="123"/>
      <c r="Y346" s="184"/>
      <c r="Z346" s="238"/>
      <c r="AA346" s="123"/>
      <c r="AB346" s="123"/>
      <c r="AC346" s="160"/>
      <c r="AD346" s="160"/>
      <c r="AE346" s="123"/>
      <c r="AF346" s="123"/>
      <c r="AH346" s="236"/>
      <c r="AI346" s="123"/>
      <c r="AJ346" s="123"/>
      <c r="AL346" s="123"/>
      <c r="AM346" s="160"/>
      <c r="AN346" s="160"/>
    </row>
    <row r="347" spans="3:40" x14ac:dyDescent="0.3">
      <c r="F347" s="241"/>
      <c r="H347" s="242"/>
      <c r="I347" s="242"/>
      <c r="J347" s="238"/>
      <c r="K347" s="238"/>
      <c r="L347" s="241"/>
      <c r="M347" s="241"/>
      <c r="N347" s="210"/>
      <c r="O347" s="210"/>
      <c r="P347" s="241"/>
      <c r="Q347" s="241"/>
      <c r="R347" s="241"/>
      <c r="V347" s="241"/>
      <c r="W347" s="123"/>
      <c r="X347" s="123"/>
      <c r="Y347" s="241"/>
      <c r="Z347" s="238"/>
      <c r="AA347" s="241"/>
      <c r="AB347" s="241"/>
      <c r="AC347" s="243"/>
      <c r="AD347" s="243"/>
      <c r="AE347" s="241"/>
      <c r="AF347" s="241"/>
      <c r="AH347" s="236"/>
      <c r="AI347" s="241"/>
      <c r="AJ347" s="241"/>
      <c r="AK347" s="207"/>
      <c r="AL347" s="241"/>
      <c r="AM347" s="160"/>
      <c r="AN347" s="160"/>
    </row>
    <row r="348" spans="3:40" x14ac:dyDescent="0.3">
      <c r="C348" s="42"/>
      <c r="F348" s="123"/>
      <c r="H348" s="123"/>
      <c r="I348" s="123"/>
      <c r="J348" s="238"/>
      <c r="K348" s="238"/>
      <c r="L348" s="123"/>
      <c r="M348" s="123"/>
      <c r="N348" s="236"/>
      <c r="O348" s="236"/>
      <c r="P348" s="123"/>
      <c r="Q348" s="123"/>
      <c r="R348" s="123"/>
      <c r="T348" s="44"/>
      <c r="V348" s="123"/>
      <c r="W348" s="123"/>
      <c r="X348" s="123"/>
      <c r="Y348" s="123"/>
      <c r="Z348" s="238"/>
      <c r="AA348" s="123"/>
      <c r="AB348" s="123"/>
      <c r="AC348" s="236"/>
      <c r="AD348" s="236"/>
      <c r="AE348" s="123"/>
      <c r="AF348" s="123"/>
      <c r="AH348" s="236"/>
      <c r="AI348" s="123"/>
      <c r="AJ348" s="123"/>
      <c r="AL348" s="123"/>
      <c r="AM348" s="160"/>
      <c r="AN348" s="160"/>
    </row>
    <row r="349" spans="3:40" x14ac:dyDescent="0.3">
      <c r="F349" s="135"/>
      <c r="H349" s="135"/>
      <c r="I349" s="135"/>
      <c r="L349" s="135"/>
      <c r="M349" s="135"/>
      <c r="N349" s="243"/>
      <c r="O349" s="243"/>
      <c r="P349" s="241"/>
      <c r="Q349" s="241"/>
      <c r="R349" s="241"/>
      <c r="V349" s="241"/>
      <c r="Y349" s="241"/>
      <c r="Z349" s="213"/>
      <c r="AA349" s="241"/>
      <c r="AB349" s="241"/>
      <c r="AC349" s="241"/>
      <c r="AD349" s="241"/>
      <c r="AE349" s="241"/>
      <c r="AF349" s="241"/>
      <c r="AI349" s="241"/>
      <c r="AJ349" s="241"/>
      <c r="AK349" s="207"/>
      <c r="AL349" s="241"/>
      <c r="AM349" s="243"/>
      <c r="AN349" s="243"/>
    </row>
    <row r="354" spans="1:40" x14ac:dyDescent="0.3">
      <c r="N354" s="123"/>
      <c r="O354" s="123"/>
      <c r="P354" s="123"/>
      <c r="Q354" s="123"/>
      <c r="R354" s="123"/>
      <c r="V354" s="123"/>
      <c r="Y354" s="123"/>
      <c r="Z354" s="219"/>
      <c r="AA354" s="123"/>
      <c r="AB354" s="123"/>
      <c r="AC354" s="160"/>
      <c r="AD354" s="160"/>
      <c r="AE354" s="123"/>
      <c r="AF354" s="123"/>
      <c r="AH354" s="236"/>
      <c r="AI354" s="123"/>
      <c r="AJ354" s="123"/>
      <c r="AL354" s="123"/>
      <c r="AM354" s="160"/>
      <c r="AN354" s="160"/>
    </row>
    <row r="355" spans="1:40" x14ac:dyDescent="0.3">
      <c r="C355" s="42"/>
      <c r="D355" s="42"/>
      <c r="E355" s="42"/>
      <c r="J355" s="188"/>
      <c r="K355" s="188"/>
      <c r="T355" s="42"/>
      <c r="U355" s="42"/>
      <c r="Z355" s="188"/>
      <c r="AE355" s="123"/>
      <c r="AF355" s="123"/>
      <c r="AI355" s="123"/>
      <c r="AJ355" s="123"/>
      <c r="AL355" s="123"/>
      <c r="AM355" s="160"/>
      <c r="AN355" s="160"/>
    </row>
    <row r="356" spans="1:40" x14ac:dyDescent="0.3">
      <c r="D356" s="42"/>
      <c r="E356" s="42"/>
      <c r="F356" s="123"/>
      <c r="H356" s="123"/>
      <c r="I356" s="123"/>
      <c r="J356" s="238"/>
      <c r="K356" s="238"/>
      <c r="L356" s="123"/>
      <c r="M356" s="123"/>
      <c r="N356" s="160"/>
      <c r="O356" s="160"/>
      <c r="P356" s="123"/>
      <c r="Q356" s="123"/>
      <c r="R356" s="123"/>
      <c r="U356" s="42"/>
      <c r="V356" s="123"/>
      <c r="Y356" s="123"/>
      <c r="Z356" s="238"/>
      <c r="AA356" s="123"/>
      <c r="AB356" s="123"/>
      <c r="AC356" s="160"/>
      <c r="AD356" s="160"/>
      <c r="AE356" s="123"/>
      <c r="AF356" s="123"/>
      <c r="AH356" s="236"/>
      <c r="AI356" s="123"/>
      <c r="AJ356" s="123"/>
      <c r="AL356" s="123"/>
      <c r="AM356" s="160"/>
      <c r="AN356" s="160"/>
    </row>
    <row r="357" spans="1:40" x14ac:dyDescent="0.3">
      <c r="F357" s="123"/>
      <c r="H357" s="123"/>
      <c r="I357" s="123"/>
      <c r="J357" s="213"/>
      <c r="K357" s="213"/>
      <c r="L357" s="123"/>
      <c r="M357" s="123"/>
      <c r="N357" s="123"/>
      <c r="O357" s="123"/>
      <c r="P357" s="123"/>
      <c r="Q357" s="123"/>
      <c r="R357" s="123"/>
      <c r="V357" s="123"/>
      <c r="Y357" s="123"/>
      <c r="Z357" s="213"/>
      <c r="AA357" s="123"/>
      <c r="AB357" s="123"/>
      <c r="AC357" s="123"/>
      <c r="AD357" s="123"/>
      <c r="AE357" s="123"/>
      <c r="AF357" s="123"/>
      <c r="AH357" s="236"/>
      <c r="AI357" s="184"/>
      <c r="AJ357" s="184"/>
      <c r="AL357" s="123"/>
      <c r="AM357" s="160"/>
      <c r="AN357" s="160"/>
    </row>
    <row r="358" spans="1:40" x14ac:dyDescent="0.3">
      <c r="C358" s="42"/>
      <c r="F358" s="184"/>
      <c r="H358" s="184"/>
      <c r="I358" s="184"/>
      <c r="J358" s="212"/>
      <c r="K358" s="212"/>
      <c r="L358" s="123"/>
      <c r="M358" s="123"/>
      <c r="N358" s="160"/>
      <c r="O358" s="160"/>
      <c r="P358" s="123"/>
      <c r="Q358" s="123"/>
      <c r="R358" s="123"/>
      <c r="T358" s="42"/>
      <c r="V358" s="184"/>
      <c r="Y358" s="184"/>
      <c r="Z358" s="212"/>
      <c r="AA358" s="123"/>
      <c r="AB358" s="123"/>
      <c r="AC358" s="160"/>
      <c r="AD358" s="160"/>
      <c r="AE358" s="123"/>
      <c r="AF358" s="123"/>
      <c r="AH358" s="236"/>
      <c r="AI358" s="123"/>
      <c r="AJ358" s="123"/>
      <c r="AL358" s="123"/>
      <c r="AM358" s="160"/>
      <c r="AN358" s="160"/>
    </row>
    <row r="359" spans="1:40" x14ac:dyDescent="0.3">
      <c r="F359" s="135"/>
      <c r="H359" s="135"/>
      <c r="I359" s="135"/>
      <c r="L359" s="135"/>
      <c r="M359" s="135"/>
      <c r="N359" s="135"/>
      <c r="O359" s="135"/>
      <c r="P359" s="135"/>
      <c r="Q359" s="135"/>
      <c r="R359" s="135"/>
      <c r="V359" s="135"/>
      <c r="Y359" s="135"/>
      <c r="AA359" s="135"/>
      <c r="AB359" s="135"/>
      <c r="AC359" s="135"/>
      <c r="AD359" s="135"/>
      <c r="AE359" s="135"/>
      <c r="AF359" s="135"/>
      <c r="AG359" s="207"/>
      <c r="AH359" s="135"/>
      <c r="AI359" s="135"/>
      <c r="AJ359" s="135"/>
      <c r="AK359" s="207"/>
      <c r="AL359" s="135"/>
      <c r="AM359" s="135"/>
      <c r="AN359" s="135"/>
    </row>
    <row r="360" spans="1:40" x14ac:dyDescent="0.3">
      <c r="C360" s="44"/>
      <c r="F360" s="184"/>
      <c r="H360" s="184"/>
      <c r="I360" s="184"/>
      <c r="J360" s="193"/>
      <c r="K360" s="193"/>
      <c r="L360" s="184"/>
      <c r="M360" s="184"/>
      <c r="N360" s="160"/>
      <c r="O360" s="160"/>
      <c r="P360" s="184"/>
      <c r="Q360" s="184"/>
      <c r="R360" s="184"/>
      <c r="T360" s="44"/>
      <c r="V360" s="123"/>
      <c r="Y360" s="123"/>
      <c r="Z360" s="219"/>
      <c r="AA360" s="123"/>
      <c r="AB360" s="123"/>
      <c r="AC360" s="160"/>
      <c r="AD360" s="160"/>
      <c r="AH360" s="236"/>
      <c r="AI360" s="123"/>
      <c r="AJ360" s="123"/>
      <c r="AL360" s="123"/>
      <c r="AM360" s="160"/>
      <c r="AN360" s="160"/>
    </row>
    <row r="361" spans="1:40" x14ac:dyDescent="0.3">
      <c r="F361" s="241"/>
      <c r="H361" s="241"/>
      <c r="I361" s="241"/>
      <c r="J361" s="213"/>
      <c r="K361" s="213"/>
      <c r="L361" s="241"/>
      <c r="M361" s="241"/>
      <c r="N361" s="241"/>
      <c r="O361" s="241"/>
      <c r="P361" s="241"/>
      <c r="Q361" s="241"/>
      <c r="R361" s="241"/>
      <c r="V361" s="135"/>
      <c r="Y361" s="135"/>
      <c r="AA361" s="135"/>
      <c r="AB361" s="135"/>
      <c r="AC361" s="135"/>
      <c r="AD361" s="135"/>
      <c r="AE361" s="135"/>
      <c r="AF361" s="135"/>
      <c r="AG361" s="207"/>
      <c r="AH361" s="135"/>
      <c r="AI361" s="135"/>
      <c r="AJ361" s="135"/>
      <c r="AK361" s="207"/>
      <c r="AL361" s="135"/>
      <c r="AM361" s="135"/>
      <c r="AN361" s="135"/>
    </row>
    <row r="362" spans="1:40" x14ac:dyDescent="0.3">
      <c r="F362" s="184"/>
      <c r="H362" s="184"/>
      <c r="I362" s="184"/>
      <c r="J362" s="237"/>
      <c r="K362" s="237"/>
      <c r="L362" s="123"/>
      <c r="M362" s="123"/>
      <c r="N362" s="160"/>
      <c r="O362" s="160"/>
      <c r="P362" s="123"/>
      <c r="Q362" s="123"/>
      <c r="R362" s="123"/>
    </row>
    <row r="363" spans="1:40" x14ac:dyDescent="0.3">
      <c r="A363" s="42"/>
      <c r="F363" s="184"/>
      <c r="H363" s="184"/>
      <c r="I363" s="184"/>
      <c r="J363" s="193"/>
      <c r="K363" s="193"/>
      <c r="L363" s="123"/>
      <c r="M363" s="123"/>
      <c r="N363" s="160"/>
      <c r="O363" s="160"/>
      <c r="P363" s="123"/>
      <c r="Q363" s="123"/>
      <c r="R363" s="123"/>
    </row>
    <row r="364" spans="1:40" x14ac:dyDescent="0.3">
      <c r="F364" s="184"/>
      <c r="H364" s="184"/>
      <c r="I364" s="184"/>
      <c r="J364" s="193"/>
      <c r="K364" s="193"/>
      <c r="L364" s="123"/>
      <c r="M364" s="123"/>
      <c r="N364" s="160"/>
      <c r="O364" s="160"/>
      <c r="P364" s="123"/>
      <c r="Q364" s="123"/>
      <c r="R364" s="123"/>
    </row>
    <row r="365" spans="1:40" x14ac:dyDescent="0.3">
      <c r="A365" s="42"/>
    </row>
    <row r="368" spans="1:40" x14ac:dyDescent="0.3">
      <c r="H368" s="42"/>
      <c r="I368" s="42"/>
      <c r="Y368" s="42"/>
    </row>
    <row r="370" spans="1:40" x14ac:dyDescent="0.3">
      <c r="L370" s="42"/>
      <c r="M370" s="42"/>
      <c r="AA370" s="42"/>
      <c r="AB370" s="42"/>
    </row>
    <row r="371" spans="1:40" x14ac:dyDescent="0.3">
      <c r="R371" s="42"/>
      <c r="AK371" s="206"/>
      <c r="AL371" s="42"/>
    </row>
    <row r="372" spans="1:40" x14ac:dyDescent="0.3">
      <c r="R372" s="42"/>
      <c r="AK372" s="206"/>
      <c r="AL372" s="42"/>
    </row>
    <row r="373" spans="1:40" x14ac:dyDescent="0.3">
      <c r="A373" s="42"/>
      <c r="R373" s="42"/>
      <c r="AK373" s="206"/>
      <c r="AL373" s="42"/>
    </row>
    <row r="374" spans="1:40" x14ac:dyDescent="0.3">
      <c r="L374" s="42"/>
      <c r="M374" s="42"/>
      <c r="AA374" s="42"/>
      <c r="AB374" s="42"/>
    </row>
    <row r="375" spans="1:40" x14ac:dyDescent="0.3">
      <c r="A375" s="135"/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207"/>
      <c r="AH375" s="135"/>
      <c r="AI375" s="135"/>
      <c r="AJ375" s="135"/>
      <c r="AK375" s="207"/>
      <c r="AL375" s="135"/>
      <c r="AM375" s="135"/>
      <c r="AN375" s="135"/>
    </row>
    <row r="376" spans="1:40" x14ac:dyDescent="0.3">
      <c r="L376" s="44"/>
      <c r="M376" s="44"/>
      <c r="N376" s="44"/>
      <c r="O376" s="44"/>
      <c r="R376" s="44"/>
      <c r="AA376" s="44"/>
      <c r="AB376" s="44"/>
      <c r="AC376" s="44"/>
      <c r="AD376" s="44"/>
      <c r="AE376" s="44"/>
      <c r="AF376" s="44"/>
      <c r="AG376" s="168"/>
      <c r="AH376" s="44"/>
      <c r="AK376" s="168"/>
      <c r="AL376" s="44"/>
      <c r="AM376" s="44"/>
      <c r="AN376" s="44"/>
    </row>
    <row r="377" spans="1:40" x14ac:dyDescent="0.3">
      <c r="L377" s="44"/>
      <c r="M377" s="44"/>
      <c r="N377" s="44"/>
      <c r="O377" s="44"/>
      <c r="R377" s="44"/>
      <c r="Z377" s="44"/>
      <c r="AA377" s="44"/>
      <c r="AB377" s="44"/>
      <c r="AC377" s="44"/>
      <c r="AD377" s="44"/>
      <c r="AE377" s="44"/>
      <c r="AF377" s="44"/>
      <c r="AG377" s="168"/>
      <c r="AH377" s="44"/>
      <c r="AK377" s="168"/>
      <c r="AL377" s="44"/>
      <c r="AM377" s="44"/>
      <c r="AN377" s="44"/>
    </row>
    <row r="378" spans="1:40" x14ac:dyDescent="0.3">
      <c r="A378" s="44"/>
      <c r="C378" s="44"/>
      <c r="D378" s="44"/>
      <c r="E378" s="44"/>
      <c r="F378" s="44"/>
      <c r="J378" s="44"/>
      <c r="K378" s="44"/>
      <c r="L378" s="44"/>
      <c r="M378" s="44"/>
      <c r="N378" s="44"/>
      <c r="O378" s="44"/>
      <c r="P378" s="44"/>
      <c r="Q378" s="44"/>
      <c r="R378" s="44"/>
      <c r="T378" s="44"/>
      <c r="U378" s="44"/>
      <c r="V378" s="44"/>
      <c r="Z378" s="44"/>
      <c r="AA378" s="44"/>
      <c r="AB378" s="44"/>
      <c r="AC378" s="44"/>
      <c r="AD378" s="44"/>
      <c r="AE378" s="44"/>
      <c r="AF378" s="44"/>
      <c r="AG378" s="168"/>
      <c r="AH378" s="44"/>
      <c r="AI378" s="44"/>
      <c r="AJ378" s="44"/>
      <c r="AK378" s="168"/>
      <c r="AL378" s="44"/>
      <c r="AM378" s="44"/>
      <c r="AN378" s="44"/>
    </row>
    <row r="379" spans="1:40" x14ac:dyDescent="0.3">
      <c r="A379" s="44"/>
      <c r="C379" s="44"/>
      <c r="D379" s="44"/>
      <c r="E379" s="44"/>
      <c r="F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T379" s="44"/>
      <c r="U379" s="44"/>
      <c r="V379" s="44"/>
      <c r="Y379" s="44"/>
      <c r="Z379" s="44"/>
      <c r="AA379" s="44"/>
      <c r="AB379" s="44"/>
      <c r="AC379" s="44"/>
      <c r="AD379" s="44"/>
      <c r="AE379" s="44"/>
      <c r="AF379" s="44"/>
      <c r="AG379" s="168"/>
      <c r="AH379" s="44"/>
      <c r="AI379" s="44"/>
      <c r="AJ379" s="44"/>
      <c r="AK379" s="168"/>
      <c r="AL379" s="44"/>
      <c r="AM379" s="44"/>
      <c r="AN379" s="44"/>
    </row>
    <row r="380" spans="1:40" x14ac:dyDescent="0.3">
      <c r="C380" s="44"/>
      <c r="D380" s="44"/>
      <c r="E380" s="44"/>
      <c r="F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T380" s="44"/>
      <c r="U380" s="44"/>
      <c r="V380" s="44"/>
      <c r="Y380" s="44"/>
      <c r="Z380" s="44"/>
      <c r="AA380" s="44"/>
      <c r="AB380" s="44"/>
      <c r="AC380" s="44"/>
      <c r="AD380" s="44"/>
      <c r="AE380" s="44"/>
      <c r="AF380" s="44"/>
      <c r="AG380" s="168"/>
      <c r="AH380" s="44"/>
      <c r="AI380" s="44"/>
      <c r="AJ380" s="44"/>
      <c r="AK380" s="168"/>
      <c r="AL380" s="44"/>
      <c r="AM380" s="44"/>
      <c r="AN380" s="44"/>
    </row>
    <row r="381" spans="1:40" x14ac:dyDescent="0.3">
      <c r="A381" s="135"/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207"/>
      <c r="AH381" s="135"/>
      <c r="AI381" s="135"/>
      <c r="AJ381" s="135"/>
      <c r="AK381" s="207"/>
      <c r="AL381" s="135"/>
      <c r="AM381" s="135"/>
      <c r="AN381" s="135"/>
    </row>
    <row r="382" spans="1:40" x14ac:dyDescent="0.3"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Y382" s="44"/>
      <c r="Z382" s="44"/>
      <c r="AA382" s="44"/>
      <c r="AB382" s="44"/>
      <c r="AC382" s="44"/>
      <c r="AD382" s="44"/>
      <c r="AE382" s="44"/>
      <c r="AF382" s="44"/>
      <c r="AG382" s="168"/>
      <c r="AH382" s="44"/>
      <c r="AI382" s="44"/>
      <c r="AJ382" s="44"/>
      <c r="AK382" s="168"/>
      <c r="AL382" s="44"/>
      <c r="AM382" s="44"/>
      <c r="AN382" s="44"/>
    </row>
    <row r="383" spans="1:40" x14ac:dyDescent="0.3">
      <c r="C383" s="42"/>
      <c r="D383" s="42"/>
      <c r="E383" s="42"/>
      <c r="T383" s="42"/>
      <c r="U383" s="42"/>
    </row>
    <row r="385" spans="3:40" x14ac:dyDescent="0.3">
      <c r="C385" s="42"/>
      <c r="T385" s="42"/>
    </row>
    <row r="386" spans="3:40" x14ac:dyDescent="0.3">
      <c r="C386" s="42"/>
      <c r="F386" s="184"/>
      <c r="H386" s="184"/>
      <c r="I386" s="184"/>
      <c r="J386" s="213"/>
      <c r="K386" s="213"/>
      <c r="L386" s="123"/>
      <c r="M386" s="123"/>
      <c r="N386" s="160"/>
      <c r="O386" s="160"/>
      <c r="P386" s="123"/>
      <c r="Q386" s="123"/>
      <c r="R386" s="123"/>
      <c r="T386" s="42"/>
      <c r="V386" s="184"/>
      <c r="Y386" s="184"/>
      <c r="Z386" s="213"/>
      <c r="AA386" s="123"/>
      <c r="AB386" s="123"/>
      <c r="AC386" s="160"/>
      <c r="AD386" s="160"/>
      <c r="AE386" s="123"/>
      <c r="AF386" s="123"/>
      <c r="AH386" s="236"/>
      <c r="AI386" s="123"/>
      <c r="AJ386" s="123"/>
      <c r="AL386" s="123"/>
      <c r="AM386" s="160"/>
      <c r="AN386" s="160"/>
    </row>
    <row r="387" spans="3:40" x14ac:dyDescent="0.3">
      <c r="C387" s="42"/>
      <c r="T387" s="42"/>
    </row>
    <row r="388" spans="3:40" x14ac:dyDescent="0.3">
      <c r="C388" s="42"/>
      <c r="F388" s="184"/>
      <c r="H388" s="184"/>
      <c r="I388" s="184"/>
      <c r="J388" s="238"/>
      <c r="K388" s="238"/>
      <c r="L388" s="123"/>
      <c r="M388" s="123"/>
      <c r="N388" s="160"/>
      <c r="O388" s="160"/>
      <c r="P388" s="123"/>
      <c r="Q388" s="123"/>
      <c r="R388" s="123"/>
      <c r="T388" s="42"/>
      <c r="V388" s="123"/>
      <c r="Y388" s="123"/>
      <c r="Z388" s="238"/>
      <c r="AA388" s="123"/>
      <c r="AB388" s="123"/>
      <c r="AC388" s="160"/>
      <c r="AD388" s="160"/>
      <c r="AE388" s="123"/>
      <c r="AF388" s="123"/>
      <c r="AH388" s="236"/>
      <c r="AI388" s="123"/>
      <c r="AJ388" s="123"/>
      <c r="AL388" s="123"/>
      <c r="AM388" s="160"/>
      <c r="AN388" s="160"/>
    </row>
    <row r="389" spans="3:40" x14ac:dyDescent="0.3">
      <c r="C389" s="42"/>
      <c r="F389" s="184"/>
      <c r="H389" s="184"/>
      <c r="I389" s="184"/>
      <c r="J389" s="238"/>
      <c r="K389" s="238"/>
      <c r="L389" s="123"/>
      <c r="M389" s="123"/>
      <c r="N389" s="160"/>
      <c r="O389" s="160"/>
      <c r="P389" s="123"/>
      <c r="Q389" s="123"/>
      <c r="R389" s="123"/>
      <c r="T389" s="42"/>
      <c r="V389" s="123"/>
      <c r="Y389" s="123"/>
      <c r="Z389" s="238"/>
      <c r="AA389" s="123"/>
      <c r="AB389" s="123"/>
      <c r="AC389" s="160"/>
      <c r="AD389" s="160"/>
      <c r="AE389" s="123"/>
      <c r="AF389" s="123"/>
      <c r="AH389" s="236"/>
      <c r="AI389" s="123"/>
      <c r="AJ389" s="123"/>
      <c r="AL389" s="123"/>
      <c r="AM389" s="160"/>
      <c r="AN389" s="160"/>
    </row>
    <row r="390" spans="3:40" x14ac:dyDescent="0.3">
      <c r="C390" s="42"/>
      <c r="F390" s="184"/>
      <c r="H390" s="184"/>
      <c r="I390" s="184"/>
      <c r="J390" s="238"/>
      <c r="K390" s="238"/>
      <c r="L390" s="123"/>
      <c r="M390" s="123"/>
      <c r="N390" s="160"/>
      <c r="O390" s="160"/>
      <c r="P390" s="123"/>
      <c r="Q390" s="123"/>
      <c r="R390" s="123"/>
      <c r="T390" s="42"/>
      <c r="V390" s="123"/>
      <c r="Y390" s="123"/>
      <c r="Z390" s="238"/>
      <c r="AA390" s="123"/>
      <c r="AB390" s="123"/>
      <c r="AC390" s="160"/>
      <c r="AD390" s="160"/>
      <c r="AE390" s="123"/>
      <c r="AF390" s="123"/>
      <c r="AH390" s="236"/>
      <c r="AI390" s="123"/>
      <c r="AJ390" s="123"/>
      <c r="AL390" s="123"/>
      <c r="AM390" s="160"/>
      <c r="AN390" s="160"/>
    </row>
    <row r="391" spans="3:40" x14ac:dyDescent="0.3">
      <c r="C391" s="42"/>
      <c r="F391" s="184"/>
      <c r="H391" s="184"/>
      <c r="I391" s="184"/>
      <c r="J391" s="238"/>
      <c r="K391" s="238"/>
      <c r="L391" s="123"/>
      <c r="M391" s="123"/>
      <c r="N391" s="160"/>
      <c r="O391" s="160"/>
      <c r="P391" s="123"/>
      <c r="Q391" s="123"/>
      <c r="R391" s="123"/>
      <c r="T391" s="42"/>
      <c r="V391" s="123"/>
      <c r="Y391" s="123"/>
      <c r="Z391" s="238"/>
      <c r="AA391" s="123"/>
      <c r="AB391" s="123"/>
      <c r="AC391" s="160"/>
      <c r="AD391" s="160"/>
      <c r="AE391" s="123"/>
      <c r="AF391" s="123"/>
      <c r="AH391" s="236"/>
      <c r="AI391" s="123"/>
      <c r="AJ391" s="123"/>
      <c r="AL391" s="123"/>
      <c r="AM391" s="160"/>
      <c r="AN391" s="160"/>
    </row>
    <row r="392" spans="3:40" x14ac:dyDescent="0.3">
      <c r="C392" s="42"/>
      <c r="J392" s="188"/>
      <c r="K392" s="188"/>
      <c r="T392" s="42"/>
      <c r="Z392" s="188"/>
    </row>
    <row r="393" spans="3:40" x14ac:dyDescent="0.3">
      <c r="C393" s="42"/>
      <c r="F393" s="184"/>
      <c r="H393" s="184"/>
      <c r="I393" s="184"/>
      <c r="J393" s="238"/>
      <c r="K393" s="238"/>
      <c r="L393" s="123"/>
      <c r="M393" s="123"/>
      <c r="N393" s="160"/>
      <c r="O393" s="160"/>
      <c r="P393" s="123"/>
      <c r="Q393" s="123"/>
      <c r="R393" s="123"/>
      <c r="T393" s="42"/>
      <c r="V393" s="123"/>
      <c r="Y393" s="123"/>
      <c r="Z393" s="238"/>
      <c r="AA393" s="123"/>
      <c r="AB393" s="123"/>
      <c r="AC393" s="160"/>
      <c r="AD393" s="160"/>
      <c r="AE393" s="123"/>
      <c r="AF393" s="123"/>
      <c r="AH393" s="236"/>
      <c r="AI393" s="123"/>
      <c r="AJ393" s="123"/>
      <c r="AL393" s="123"/>
      <c r="AM393" s="160"/>
      <c r="AN393" s="160"/>
    </row>
    <row r="394" spans="3:40" x14ac:dyDescent="0.3">
      <c r="C394" s="42"/>
      <c r="F394" s="184"/>
      <c r="H394" s="184"/>
      <c r="I394" s="184"/>
      <c r="J394" s="238"/>
      <c r="K394" s="238"/>
      <c r="L394" s="123"/>
      <c r="M394" s="123"/>
      <c r="N394" s="160"/>
      <c r="O394" s="160"/>
      <c r="P394" s="123"/>
      <c r="Q394" s="123"/>
      <c r="R394" s="123"/>
      <c r="T394" s="42"/>
      <c r="V394" s="123"/>
      <c r="Y394" s="123"/>
      <c r="Z394" s="238"/>
      <c r="AA394" s="123"/>
      <c r="AB394" s="123"/>
      <c r="AC394" s="160"/>
      <c r="AD394" s="160"/>
      <c r="AE394" s="123"/>
      <c r="AF394" s="123"/>
      <c r="AH394" s="236"/>
      <c r="AI394" s="123"/>
      <c r="AJ394" s="123"/>
      <c r="AL394" s="123"/>
      <c r="AM394" s="160"/>
      <c r="AN394" s="160"/>
    </row>
    <row r="395" spans="3:40" x14ac:dyDescent="0.3">
      <c r="C395" s="42"/>
      <c r="F395" s="184"/>
      <c r="H395" s="184"/>
      <c r="I395" s="184"/>
      <c r="J395" s="238"/>
      <c r="K395" s="238"/>
      <c r="L395" s="123"/>
      <c r="M395" s="123"/>
      <c r="N395" s="160"/>
      <c r="O395" s="160"/>
      <c r="P395" s="123"/>
      <c r="Q395" s="123"/>
      <c r="R395" s="123"/>
      <c r="T395" s="42"/>
      <c r="V395" s="123"/>
      <c r="Y395" s="123"/>
      <c r="Z395" s="238"/>
      <c r="AA395" s="123"/>
      <c r="AB395" s="123"/>
      <c r="AC395" s="160"/>
      <c r="AD395" s="160"/>
      <c r="AE395" s="123"/>
      <c r="AF395" s="123"/>
      <c r="AH395" s="236"/>
      <c r="AI395" s="123"/>
      <c r="AJ395" s="123"/>
      <c r="AL395" s="123"/>
      <c r="AM395" s="160"/>
      <c r="AN395" s="160"/>
    </row>
    <row r="396" spans="3:40" x14ac:dyDescent="0.3">
      <c r="C396" s="42"/>
      <c r="J396" s="188"/>
      <c r="K396" s="188"/>
      <c r="T396" s="42"/>
      <c r="Z396" s="188"/>
    </row>
    <row r="397" spans="3:40" x14ac:dyDescent="0.3">
      <c r="C397" s="42"/>
      <c r="F397" s="184"/>
      <c r="H397" s="184"/>
      <c r="I397" s="184"/>
      <c r="J397" s="238"/>
      <c r="K397" s="238"/>
      <c r="L397" s="123"/>
      <c r="M397" s="123"/>
      <c r="N397" s="160"/>
      <c r="O397" s="160"/>
      <c r="P397" s="123"/>
      <c r="Q397" s="123"/>
      <c r="R397" s="123"/>
      <c r="T397" s="42"/>
      <c r="V397" s="123"/>
      <c r="Y397" s="123"/>
      <c r="Z397" s="238"/>
      <c r="AA397" s="123"/>
      <c r="AB397" s="123"/>
      <c r="AC397" s="160"/>
      <c r="AD397" s="160"/>
      <c r="AE397" s="123"/>
      <c r="AF397" s="123"/>
      <c r="AH397" s="236"/>
      <c r="AI397" s="123"/>
      <c r="AJ397" s="123"/>
      <c r="AL397" s="123"/>
      <c r="AM397" s="160"/>
      <c r="AN397" s="160"/>
    </row>
    <row r="398" spans="3:40" x14ac:dyDescent="0.3">
      <c r="C398" s="42"/>
      <c r="F398" s="184"/>
      <c r="H398" s="184"/>
      <c r="I398" s="184"/>
      <c r="J398" s="238"/>
      <c r="K398" s="238"/>
      <c r="L398" s="123"/>
      <c r="M398" s="123"/>
      <c r="N398" s="160"/>
      <c r="O398" s="160"/>
      <c r="P398" s="123"/>
      <c r="Q398" s="123"/>
      <c r="R398" s="123"/>
      <c r="T398" s="42"/>
      <c r="V398" s="123"/>
      <c r="Y398" s="123"/>
      <c r="Z398" s="238"/>
      <c r="AA398" s="123"/>
      <c r="AB398" s="123"/>
      <c r="AC398" s="160"/>
      <c r="AD398" s="160"/>
      <c r="AE398" s="123"/>
      <c r="AF398" s="123"/>
      <c r="AH398" s="236"/>
      <c r="AI398" s="123"/>
      <c r="AJ398" s="123"/>
      <c r="AL398" s="123"/>
      <c r="AM398" s="160"/>
      <c r="AN398" s="160"/>
    </row>
    <row r="399" spans="3:40" x14ac:dyDescent="0.3">
      <c r="C399" s="42"/>
      <c r="J399" s="188"/>
      <c r="K399" s="188"/>
      <c r="T399" s="42"/>
      <c r="Z399" s="188"/>
    </row>
    <row r="400" spans="3:40" x14ac:dyDescent="0.3">
      <c r="C400" s="42"/>
      <c r="F400" s="184"/>
      <c r="H400" s="184"/>
      <c r="I400" s="184"/>
      <c r="J400" s="238"/>
      <c r="K400" s="238"/>
      <c r="L400" s="123"/>
      <c r="M400" s="123"/>
      <c r="N400" s="160"/>
      <c r="O400" s="160"/>
      <c r="P400" s="123"/>
      <c r="Q400" s="123"/>
      <c r="R400" s="123"/>
      <c r="T400" s="42"/>
      <c r="V400" s="123"/>
      <c r="Y400" s="123"/>
      <c r="Z400" s="238"/>
      <c r="AA400" s="123"/>
      <c r="AB400" s="123"/>
      <c r="AC400" s="160"/>
      <c r="AD400" s="160"/>
      <c r="AE400" s="123"/>
      <c r="AF400" s="123"/>
      <c r="AH400" s="236"/>
      <c r="AI400" s="123"/>
      <c r="AJ400" s="123"/>
      <c r="AL400" s="123"/>
      <c r="AM400" s="160"/>
      <c r="AN400" s="160"/>
    </row>
    <row r="401" spans="3:40" x14ac:dyDescent="0.3">
      <c r="C401" s="42"/>
      <c r="F401" s="184"/>
      <c r="H401" s="184"/>
      <c r="I401" s="184"/>
      <c r="J401" s="238"/>
      <c r="K401" s="238"/>
      <c r="L401" s="123"/>
      <c r="M401" s="123"/>
      <c r="N401" s="160"/>
      <c r="O401" s="160"/>
      <c r="P401" s="123"/>
      <c r="Q401" s="123"/>
      <c r="R401" s="123"/>
      <c r="T401" s="42"/>
      <c r="V401" s="123"/>
      <c r="Y401" s="123"/>
      <c r="Z401" s="238"/>
      <c r="AA401" s="123"/>
      <c r="AB401" s="123"/>
      <c r="AC401" s="160"/>
      <c r="AD401" s="160"/>
      <c r="AE401" s="123"/>
      <c r="AF401" s="123"/>
      <c r="AH401" s="236"/>
      <c r="AI401" s="123"/>
      <c r="AJ401" s="123"/>
      <c r="AL401" s="123"/>
      <c r="AM401" s="160"/>
      <c r="AN401" s="160"/>
    </row>
    <row r="402" spans="3:40" x14ac:dyDescent="0.3">
      <c r="C402" s="42"/>
      <c r="F402" s="184"/>
      <c r="H402" s="184"/>
      <c r="I402" s="184"/>
      <c r="J402" s="238"/>
      <c r="K402" s="238"/>
      <c r="L402" s="123"/>
      <c r="M402" s="123"/>
      <c r="N402" s="160"/>
      <c r="O402" s="160"/>
      <c r="P402" s="123"/>
      <c r="Q402" s="123"/>
      <c r="R402" s="123"/>
      <c r="T402" s="42"/>
      <c r="V402" s="123"/>
      <c r="Y402" s="123"/>
      <c r="Z402" s="238"/>
      <c r="AA402" s="123"/>
      <c r="AB402" s="123"/>
      <c r="AC402" s="160"/>
      <c r="AD402" s="160"/>
      <c r="AE402" s="123"/>
      <c r="AF402" s="123"/>
      <c r="AH402" s="236"/>
      <c r="AI402" s="123"/>
      <c r="AJ402" s="123"/>
      <c r="AL402" s="123"/>
      <c r="AM402" s="160"/>
      <c r="AN402" s="160"/>
    </row>
    <row r="403" spans="3:40" x14ac:dyDescent="0.3">
      <c r="F403" s="210"/>
      <c r="H403" s="210"/>
      <c r="I403" s="210"/>
      <c r="J403" s="238"/>
      <c r="K403" s="238"/>
      <c r="L403" s="210"/>
      <c r="M403" s="210"/>
      <c r="N403" s="210"/>
      <c r="O403" s="210"/>
      <c r="P403" s="210"/>
      <c r="Q403" s="210"/>
      <c r="R403" s="210"/>
      <c r="V403" s="210"/>
      <c r="Y403" s="210"/>
      <c r="Z403" s="238"/>
      <c r="AA403" s="210"/>
      <c r="AB403" s="210"/>
      <c r="AC403" s="210"/>
      <c r="AD403" s="210"/>
      <c r="AE403" s="210"/>
      <c r="AF403" s="210"/>
      <c r="AI403" s="210"/>
      <c r="AJ403" s="210"/>
      <c r="AK403" s="214"/>
      <c r="AL403" s="210"/>
    </row>
    <row r="404" spans="3:40" x14ac:dyDescent="0.3">
      <c r="C404" s="44"/>
      <c r="F404" s="123"/>
      <c r="H404" s="123"/>
      <c r="I404" s="123"/>
      <c r="J404" s="188"/>
      <c r="K404" s="188"/>
      <c r="L404" s="123"/>
      <c r="M404" s="123"/>
      <c r="N404" s="236"/>
      <c r="O404" s="236"/>
      <c r="P404" s="123"/>
      <c r="Q404" s="123"/>
      <c r="R404" s="123"/>
      <c r="T404" s="44"/>
      <c r="V404" s="123"/>
      <c r="Y404" s="123"/>
      <c r="Z404" s="188"/>
      <c r="AA404" s="123"/>
      <c r="AB404" s="123"/>
      <c r="AC404" s="123"/>
      <c r="AD404" s="123"/>
      <c r="AE404" s="123"/>
      <c r="AF404" s="123"/>
      <c r="AH404" s="236"/>
      <c r="AI404" s="123"/>
      <c r="AJ404" s="123"/>
      <c r="AL404" s="123"/>
      <c r="AM404" s="160"/>
      <c r="AN404" s="160"/>
    </row>
    <row r="405" spans="3:40" x14ac:dyDescent="0.3">
      <c r="F405" s="210"/>
      <c r="H405" s="210"/>
      <c r="I405" s="210"/>
      <c r="J405" s="238"/>
      <c r="K405" s="238"/>
      <c r="L405" s="210"/>
      <c r="M405" s="210"/>
      <c r="N405" s="210"/>
      <c r="O405" s="210"/>
      <c r="P405" s="210"/>
      <c r="Q405" s="210"/>
      <c r="R405" s="210"/>
      <c r="V405" s="210"/>
      <c r="Y405" s="210"/>
      <c r="Z405" s="238"/>
      <c r="AA405" s="210"/>
      <c r="AB405" s="210"/>
      <c r="AC405" s="210"/>
      <c r="AD405" s="210"/>
      <c r="AE405" s="210"/>
      <c r="AF405" s="210"/>
      <c r="AI405" s="210"/>
      <c r="AJ405" s="210"/>
      <c r="AK405" s="214"/>
      <c r="AL405" s="210"/>
    </row>
    <row r="406" spans="3:40" x14ac:dyDescent="0.3">
      <c r="C406" s="42"/>
      <c r="J406" s="188"/>
      <c r="K406" s="188"/>
      <c r="T406" s="42"/>
      <c r="Z406" s="188"/>
    </row>
    <row r="407" spans="3:40" x14ac:dyDescent="0.3">
      <c r="C407" s="42"/>
      <c r="J407" s="188"/>
      <c r="K407" s="188"/>
      <c r="T407" s="42"/>
      <c r="Z407" s="188"/>
    </row>
    <row r="408" spans="3:40" x14ac:dyDescent="0.3">
      <c r="C408" s="42"/>
      <c r="F408" s="184"/>
      <c r="H408" s="184"/>
      <c r="I408" s="184"/>
      <c r="J408" s="238"/>
      <c r="K408" s="238"/>
      <c r="L408" s="123"/>
      <c r="M408" s="123"/>
      <c r="N408" s="160"/>
      <c r="O408" s="160"/>
      <c r="P408" s="123"/>
      <c r="Q408" s="123"/>
      <c r="R408" s="123"/>
      <c r="T408" s="42"/>
      <c r="V408" s="123"/>
      <c r="Y408" s="123"/>
      <c r="Z408" s="238"/>
      <c r="AA408" s="123"/>
      <c r="AB408" s="123"/>
      <c r="AC408" s="160"/>
      <c r="AD408" s="160"/>
      <c r="AE408" s="123"/>
      <c r="AF408" s="123"/>
      <c r="AH408" s="236"/>
      <c r="AI408" s="123"/>
      <c r="AJ408" s="123"/>
      <c r="AL408" s="123"/>
      <c r="AM408" s="160"/>
      <c r="AN408" s="160"/>
    </row>
    <row r="409" spans="3:40" x14ac:dyDescent="0.3">
      <c r="C409" s="42"/>
      <c r="F409" s="184"/>
      <c r="H409" s="184"/>
      <c r="I409" s="184"/>
      <c r="J409" s="238"/>
      <c r="K409" s="238"/>
      <c r="L409" s="123"/>
      <c r="M409" s="123"/>
      <c r="N409" s="160"/>
      <c r="O409" s="160"/>
      <c r="P409" s="123"/>
      <c r="Q409" s="123"/>
      <c r="R409" s="123"/>
      <c r="T409" s="42"/>
      <c r="V409" s="123"/>
      <c r="Y409" s="123"/>
      <c r="Z409" s="238"/>
      <c r="AA409" s="123"/>
      <c r="AB409" s="123"/>
      <c r="AC409" s="160"/>
      <c r="AD409" s="160"/>
      <c r="AE409" s="123"/>
      <c r="AF409" s="123"/>
      <c r="AH409" s="236"/>
      <c r="AI409" s="123"/>
      <c r="AJ409" s="123"/>
      <c r="AL409" s="123"/>
      <c r="AM409" s="160"/>
      <c r="AN409" s="160"/>
    </row>
    <row r="410" spans="3:40" x14ac:dyDescent="0.3">
      <c r="C410" s="42"/>
      <c r="F410" s="184"/>
      <c r="H410" s="184"/>
      <c r="I410" s="184"/>
      <c r="J410" s="238"/>
      <c r="K410" s="238"/>
      <c r="L410" s="123"/>
      <c r="M410" s="123"/>
      <c r="N410" s="160"/>
      <c r="O410" s="160"/>
      <c r="P410" s="123"/>
      <c r="Q410" s="123"/>
      <c r="R410" s="123"/>
      <c r="T410" s="42"/>
      <c r="V410" s="123"/>
      <c r="Y410" s="123"/>
      <c r="Z410" s="238"/>
      <c r="AA410" s="123"/>
      <c r="AB410" s="123"/>
      <c r="AC410" s="160"/>
      <c r="AD410" s="160"/>
      <c r="AE410" s="123"/>
      <c r="AF410" s="123"/>
      <c r="AH410" s="236"/>
      <c r="AI410" s="123"/>
      <c r="AJ410" s="123"/>
      <c r="AL410" s="123"/>
      <c r="AM410" s="160"/>
      <c r="AN410" s="160"/>
    </row>
    <row r="411" spans="3:40" x14ac:dyDescent="0.3">
      <c r="C411" s="42"/>
      <c r="F411" s="184"/>
      <c r="H411" s="184"/>
      <c r="I411" s="184"/>
      <c r="J411" s="238"/>
      <c r="K411" s="238"/>
      <c r="L411" s="123"/>
      <c r="M411" s="123"/>
      <c r="N411" s="160"/>
      <c r="O411" s="160"/>
      <c r="P411" s="123"/>
      <c r="Q411" s="123"/>
      <c r="R411" s="123"/>
      <c r="T411" s="42"/>
      <c r="V411" s="123"/>
      <c r="Y411" s="123"/>
      <c r="Z411" s="238"/>
      <c r="AA411" s="123"/>
      <c r="AB411" s="123"/>
      <c r="AC411" s="160"/>
      <c r="AD411" s="160"/>
      <c r="AE411" s="123"/>
      <c r="AF411" s="123"/>
      <c r="AH411" s="236"/>
      <c r="AI411" s="123"/>
      <c r="AJ411" s="123"/>
      <c r="AL411" s="123"/>
      <c r="AM411" s="160"/>
      <c r="AN411" s="160"/>
    </row>
    <row r="412" spans="3:40" x14ac:dyDescent="0.3">
      <c r="C412" s="42"/>
      <c r="F412" s="184"/>
      <c r="H412" s="184"/>
      <c r="I412" s="184"/>
      <c r="J412" s="238"/>
      <c r="K412" s="238"/>
      <c r="L412" s="123"/>
      <c r="M412" s="123"/>
      <c r="N412" s="160"/>
      <c r="O412" s="160"/>
      <c r="P412" s="123"/>
      <c r="Q412" s="123"/>
      <c r="R412" s="123"/>
      <c r="T412" s="42"/>
      <c r="V412" s="123"/>
      <c r="Y412" s="123"/>
      <c r="Z412" s="238"/>
      <c r="AA412" s="123"/>
      <c r="AB412" s="123"/>
      <c r="AC412" s="160"/>
      <c r="AD412" s="160"/>
      <c r="AE412" s="123"/>
      <c r="AF412" s="123"/>
      <c r="AH412" s="236"/>
      <c r="AI412" s="123"/>
      <c r="AJ412" s="123"/>
      <c r="AL412" s="123"/>
      <c r="AM412" s="160"/>
      <c r="AN412" s="160"/>
    </row>
    <row r="413" spans="3:40" x14ac:dyDescent="0.3">
      <c r="C413" s="42"/>
      <c r="F413" s="184"/>
      <c r="H413" s="184"/>
      <c r="I413" s="184"/>
      <c r="J413" s="238"/>
      <c r="K413" s="238"/>
      <c r="L413" s="123"/>
      <c r="M413" s="123"/>
      <c r="N413" s="160"/>
      <c r="O413" s="160"/>
      <c r="P413" s="123"/>
      <c r="Q413" s="123"/>
      <c r="R413" s="123"/>
      <c r="T413" s="42"/>
      <c r="V413" s="123"/>
      <c r="Y413" s="123"/>
      <c r="Z413" s="238"/>
      <c r="AA413" s="123"/>
      <c r="AB413" s="123"/>
      <c r="AC413" s="160"/>
      <c r="AD413" s="160"/>
      <c r="AE413" s="123"/>
      <c r="AF413" s="123"/>
      <c r="AH413" s="236"/>
      <c r="AI413" s="123"/>
      <c r="AJ413" s="123"/>
      <c r="AL413" s="123"/>
      <c r="AM413" s="160"/>
      <c r="AN413" s="160"/>
    </row>
    <row r="414" spans="3:40" x14ac:dyDescent="0.3">
      <c r="C414" s="42"/>
      <c r="F414" s="184"/>
      <c r="H414" s="184"/>
      <c r="I414" s="184"/>
      <c r="J414" s="238"/>
      <c r="K414" s="238"/>
      <c r="L414" s="123"/>
      <c r="M414" s="123"/>
      <c r="N414" s="160"/>
      <c r="O414" s="160"/>
      <c r="P414" s="123"/>
      <c r="Q414" s="123"/>
      <c r="R414" s="123"/>
      <c r="T414" s="42"/>
      <c r="V414" s="123"/>
      <c r="Y414" s="123"/>
      <c r="Z414" s="238"/>
      <c r="AA414" s="123"/>
      <c r="AB414" s="123"/>
      <c r="AC414" s="160"/>
      <c r="AD414" s="160"/>
      <c r="AE414" s="123"/>
      <c r="AF414" s="123"/>
      <c r="AH414" s="236"/>
      <c r="AI414" s="123"/>
      <c r="AJ414" s="123"/>
      <c r="AL414" s="123"/>
      <c r="AM414" s="160"/>
      <c r="AN414" s="160"/>
    </row>
    <row r="415" spans="3:40" x14ac:dyDescent="0.3">
      <c r="C415" s="42"/>
      <c r="J415" s="188"/>
      <c r="K415" s="188"/>
      <c r="T415" s="42"/>
      <c r="Z415" s="188"/>
    </row>
    <row r="416" spans="3:40" x14ac:dyDescent="0.3">
      <c r="C416" s="42"/>
      <c r="F416" s="184"/>
      <c r="H416" s="184"/>
      <c r="I416" s="184"/>
      <c r="J416" s="238"/>
      <c r="K416" s="238"/>
      <c r="L416" s="123"/>
      <c r="M416" s="123"/>
      <c r="N416" s="160"/>
      <c r="O416" s="160"/>
      <c r="P416" s="123"/>
      <c r="Q416" s="123"/>
      <c r="R416" s="123"/>
      <c r="T416" s="42"/>
      <c r="V416" s="123"/>
      <c r="Y416" s="123"/>
      <c r="Z416" s="238"/>
      <c r="AA416" s="123"/>
      <c r="AB416" s="123"/>
      <c r="AC416" s="160"/>
      <c r="AD416" s="160"/>
      <c r="AE416" s="123"/>
      <c r="AF416" s="123"/>
      <c r="AH416" s="236"/>
      <c r="AI416" s="123"/>
      <c r="AJ416" s="123"/>
      <c r="AL416" s="123"/>
      <c r="AM416" s="160"/>
      <c r="AN416" s="160"/>
    </row>
    <row r="417" spans="3:40" x14ac:dyDescent="0.3">
      <c r="C417" s="42"/>
      <c r="F417" s="184"/>
      <c r="H417" s="184"/>
      <c r="I417" s="184"/>
      <c r="J417" s="238"/>
      <c r="K417" s="238"/>
      <c r="L417" s="123"/>
      <c r="M417" s="123"/>
      <c r="N417" s="160"/>
      <c r="O417" s="160"/>
      <c r="P417" s="123"/>
      <c r="Q417" s="123"/>
      <c r="R417" s="123"/>
      <c r="T417" s="42"/>
      <c r="V417" s="123"/>
      <c r="Y417" s="123"/>
      <c r="Z417" s="238"/>
      <c r="AA417" s="123"/>
      <c r="AB417" s="123"/>
      <c r="AC417" s="160"/>
      <c r="AD417" s="160"/>
      <c r="AE417" s="123"/>
      <c r="AF417" s="123"/>
      <c r="AH417" s="236"/>
      <c r="AI417" s="123"/>
      <c r="AJ417" s="123"/>
      <c r="AL417" s="123"/>
      <c r="AM417" s="160"/>
      <c r="AN417" s="160"/>
    </row>
    <row r="418" spans="3:40" x14ac:dyDescent="0.3">
      <c r="C418" s="42"/>
      <c r="F418" s="184"/>
      <c r="H418" s="184"/>
      <c r="I418" s="184"/>
      <c r="J418" s="238"/>
      <c r="K418" s="238"/>
      <c r="L418" s="123"/>
      <c r="M418" s="123"/>
      <c r="N418" s="160"/>
      <c r="O418" s="160"/>
      <c r="P418" s="123"/>
      <c r="Q418" s="123"/>
      <c r="R418" s="123"/>
      <c r="T418" s="42"/>
      <c r="V418" s="123"/>
      <c r="Y418" s="123"/>
      <c r="Z418" s="238"/>
      <c r="AA418" s="123"/>
      <c r="AB418" s="123"/>
      <c r="AC418" s="160"/>
      <c r="AD418" s="160"/>
      <c r="AE418" s="123"/>
      <c r="AF418" s="123"/>
      <c r="AH418" s="236"/>
      <c r="AI418" s="123"/>
      <c r="AJ418" s="123"/>
      <c r="AL418" s="123"/>
      <c r="AM418" s="160"/>
      <c r="AN418" s="160"/>
    </row>
    <row r="419" spans="3:40" x14ac:dyDescent="0.3">
      <c r="C419" s="42"/>
      <c r="F419" s="184"/>
      <c r="H419" s="184"/>
      <c r="I419" s="184"/>
      <c r="J419" s="238"/>
      <c r="K419" s="238"/>
      <c r="L419" s="123"/>
      <c r="M419" s="123"/>
      <c r="N419" s="160"/>
      <c r="O419" s="160"/>
      <c r="P419" s="123"/>
      <c r="Q419" s="123"/>
      <c r="R419" s="123"/>
      <c r="T419" s="42"/>
      <c r="V419" s="123"/>
      <c r="Y419" s="123"/>
      <c r="Z419" s="238"/>
      <c r="AA419" s="123"/>
      <c r="AB419" s="123"/>
      <c r="AC419" s="160"/>
      <c r="AD419" s="160"/>
      <c r="AE419" s="123"/>
      <c r="AF419" s="123"/>
      <c r="AH419" s="236"/>
      <c r="AI419" s="123"/>
      <c r="AJ419" s="123"/>
      <c r="AL419" s="123"/>
      <c r="AM419" s="160"/>
      <c r="AN419" s="160"/>
    </row>
    <row r="420" spans="3:40" x14ac:dyDescent="0.3">
      <c r="C420" s="42"/>
      <c r="J420" s="188"/>
      <c r="K420" s="188"/>
      <c r="T420" s="42"/>
      <c r="Z420" s="188"/>
    </row>
    <row r="421" spans="3:40" x14ac:dyDescent="0.3">
      <c r="C421" s="42"/>
      <c r="F421" s="184"/>
      <c r="H421" s="184"/>
      <c r="I421" s="184"/>
      <c r="J421" s="238"/>
      <c r="K421" s="238"/>
      <c r="L421" s="123"/>
      <c r="M421" s="123"/>
      <c r="N421" s="160"/>
      <c r="O421" s="160"/>
      <c r="P421" s="123"/>
      <c r="Q421" s="123"/>
      <c r="R421" s="123"/>
      <c r="T421" s="42"/>
      <c r="V421" s="123"/>
      <c r="Y421" s="123"/>
      <c r="Z421" s="238"/>
      <c r="AA421" s="123"/>
      <c r="AB421" s="123"/>
      <c r="AC421" s="160"/>
      <c r="AD421" s="160"/>
      <c r="AE421" s="123"/>
      <c r="AF421" s="123"/>
      <c r="AH421" s="236"/>
      <c r="AI421" s="123"/>
      <c r="AJ421" s="123"/>
      <c r="AL421" s="123"/>
      <c r="AM421" s="160"/>
      <c r="AN421" s="160"/>
    </row>
    <row r="422" spans="3:40" x14ac:dyDescent="0.3">
      <c r="C422" s="42"/>
      <c r="F422" s="184"/>
      <c r="H422" s="184"/>
      <c r="I422" s="184"/>
      <c r="J422" s="238"/>
      <c r="K422" s="238"/>
      <c r="L422" s="123"/>
      <c r="M422" s="123"/>
      <c r="N422" s="160"/>
      <c r="O422" s="160"/>
      <c r="P422" s="123"/>
      <c r="Q422" s="123"/>
      <c r="R422" s="123"/>
      <c r="T422" s="42"/>
      <c r="V422" s="123"/>
      <c r="Y422" s="123"/>
      <c r="Z422" s="238"/>
      <c r="AA422" s="123"/>
      <c r="AB422" s="123"/>
      <c r="AC422" s="160"/>
      <c r="AD422" s="160"/>
      <c r="AE422" s="123"/>
      <c r="AF422" s="123"/>
      <c r="AH422" s="236"/>
      <c r="AI422" s="123"/>
      <c r="AJ422" s="123"/>
      <c r="AL422" s="123"/>
      <c r="AM422" s="160"/>
      <c r="AN422" s="160"/>
    </row>
    <row r="423" spans="3:40" x14ac:dyDescent="0.3">
      <c r="C423" s="42"/>
      <c r="F423" s="184"/>
      <c r="H423" s="184"/>
      <c r="I423" s="184"/>
      <c r="J423" s="238"/>
      <c r="K423" s="238"/>
      <c r="L423" s="123"/>
      <c r="M423" s="123"/>
      <c r="N423" s="160"/>
      <c r="O423" s="160"/>
      <c r="P423" s="123"/>
      <c r="Q423" s="123"/>
      <c r="R423" s="123"/>
      <c r="T423" s="42"/>
      <c r="V423" s="123"/>
      <c r="Y423" s="123"/>
      <c r="Z423" s="238"/>
      <c r="AA423" s="123"/>
      <c r="AB423" s="123"/>
      <c r="AC423" s="160"/>
      <c r="AD423" s="160"/>
      <c r="AE423" s="123"/>
      <c r="AF423" s="123"/>
      <c r="AH423" s="236"/>
      <c r="AI423" s="123"/>
      <c r="AJ423" s="123"/>
      <c r="AL423" s="123"/>
      <c r="AM423" s="160"/>
      <c r="AN423" s="160"/>
    </row>
    <row r="424" spans="3:40" x14ac:dyDescent="0.3">
      <c r="C424" s="42"/>
      <c r="F424" s="184"/>
      <c r="H424" s="184"/>
      <c r="I424" s="184"/>
      <c r="J424" s="238"/>
      <c r="K424" s="238"/>
      <c r="L424" s="123"/>
      <c r="M424" s="123"/>
      <c r="N424" s="160"/>
      <c r="O424" s="160"/>
      <c r="P424" s="123"/>
      <c r="Q424" s="123"/>
      <c r="R424" s="123"/>
      <c r="T424" s="42"/>
      <c r="V424" s="123"/>
      <c r="Y424" s="123"/>
      <c r="Z424" s="238"/>
      <c r="AA424" s="123"/>
      <c r="AB424" s="123"/>
      <c r="AC424" s="160"/>
      <c r="AD424" s="160"/>
      <c r="AE424" s="123"/>
      <c r="AF424" s="123"/>
      <c r="AH424" s="236"/>
      <c r="AI424" s="123"/>
      <c r="AJ424" s="123"/>
      <c r="AL424" s="123"/>
      <c r="AM424" s="160"/>
      <c r="AN424" s="160"/>
    </row>
    <row r="425" spans="3:40" x14ac:dyDescent="0.3">
      <c r="C425" s="42"/>
      <c r="F425" s="184"/>
      <c r="H425" s="184"/>
      <c r="I425" s="184"/>
      <c r="J425" s="238"/>
      <c r="K425" s="238"/>
      <c r="L425" s="123"/>
      <c r="M425" s="123"/>
      <c r="N425" s="160"/>
      <c r="O425" s="160"/>
      <c r="P425" s="123"/>
      <c r="Q425" s="123"/>
      <c r="R425" s="123"/>
      <c r="T425" s="42"/>
      <c r="V425" s="123"/>
      <c r="Y425" s="123"/>
      <c r="Z425" s="238"/>
      <c r="AA425" s="123"/>
      <c r="AB425" s="123"/>
      <c r="AC425" s="160"/>
      <c r="AD425" s="160"/>
      <c r="AE425" s="123"/>
      <c r="AF425" s="123"/>
      <c r="AH425" s="236"/>
      <c r="AI425" s="123"/>
      <c r="AJ425" s="123"/>
      <c r="AL425" s="123"/>
      <c r="AM425" s="160"/>
      <c r="AN425" s="160"/>
    </row>
    <row r="426" spans="3:40" x14ac:dyDescent="0.3">
      <c r="F426" s="210"/>
      <c r="H426" s="210"/>
      <c r="I426" s="210"/>
      <c r="J426" s="213"/>
      <c r="K426" s="213"/>
      <c r="L426" s="210"/>
      <c r="M426" s="210"/>
      <c r="N426" s="210"/>
      <c r="O426" s="210"/>
      <c r="P426" s="210"/>
      <c r="Q426" s="210"/>
      <c r="R426" s="210"/>
      <c r="V426" s="210"/>
      <c r="Y426" s="210"/>
      <c r="Z426" s="238"/>
      <c r="AA426" s="210"/>
      <c r="AB426" s="210"/>
      <c r="AC426" s="210"/>
      <c r="AD426" s="210"/>
      <c r="AE426" s="210"/>
      <c r="AF426" s="210"/>
      <c r="AI426" s="210"/>
      <c r="AJ426" s="210"/>
      <c r="AK426" s="214"/>
      <c r="AL426" s="210"/>
    </row>
    <row r="427" spans="3:40" x14ac:dyDescent="0.3">
      <c r="C427" s="42"/>
      <c r="F427" s="123"/>
      <c r="H427" s="123"/>
      <c r="I427" s="123"/>
      <c r="L427" s="123"/>
      <c r="M427" s="123"/>
      <c r="N427" s="236"/>
      <c r="O427" s="236"/>
      <c r="P427" s="123"/>
      <c r="Q427" s="123"/>
      <c r="R427" s="123"/>
      <c r="T427" s="42"/>
      <c r="V427" s="123"/>
      <c r="Y427" s="123"/>
      <c r="AA427" s="123"/>
      <c r="AB427" s="123"/>
      <c r="AC427" s="160"/>
      <c r="AD427" s="160"/>
      <c r="AE427" s="123"/>
      <c r="AF427" s="123"/>
      <c r="AH427" s="236"/>
      <c r="AI427" s="123"/>
      <c r="AJ427" s="123"/>
      <c r="AL427" s="123"/>
      <c r="AM427" s="160"/>
      <c r="AN427" s="160"/>
    </row>
    <row r="428" spans="3:40" x14ac:dyDescent="0.3">
      <c r="F428" s="210"/>
      <c r="H428" s="210"/>
      <c r="I428" s="210"/>
      <c r="J428" s="213"/>
      <c r="K428" s="213"/>
      <c r="L428" s="210"/>
      <c r="M428" s="210"/>
      <c r="N428" s="210"/>
      <c r="O428" s="210"/>
      <c r="P428" s="210"/>
      <c r="Q428" s="210"/>
      <c r="R428" s="210"/>
      <c r="V428" s="210"/>
      <c r="Y428" s="210"/>
      <c r="Z428" s="213"/>
      <c r="AA428" s="210"/>
      <c r="AB428" s="210"/>
      <c r="AC428" s="210"/>
      <c r="AD428" s="210"/>
      <c r="AE428" s="210"/>
      <c r="AF428" s="210"/>
      <c r="AI428" s="210"/>
      <c r="AJ428" s="210"/>
      <c r="AK428" s="214"/>
      <c r="AL428" s="210"/>
    </row>
    <row r="429" spans="3:40" x14ac:dyDescent="0.3">
      <c r="C429" s="42"/>
      <c r="T429" s="42"/>
    </row>
    <row r="430" spans="3:40" x14ac:dyDescent="0.3">
      <c r="C430" s="42"/>
      <c r="F430" s="184"/>
      <c r="H430" s="184"/>
      <c r="I430" s="184"/>
      <c r="J430" s="193"/>
      <c r="K430" s="193"/>
      <c r="L430" s="123"/>
      <c r="M430" s="123"/>
      <c r="N430" s="160"/>
      <c r="O430" s="160"/>
      <c r="P430" s="123"/>
      <c r="Q430" s="123"/>
      <c r="R430" s="123"/>
      <c r="T430" s="42"/>
      <c r="V430" s="123"/>
      <c r="Y430" s="123"/>
      <c r="Z430" s="193"/>
      <c r="AA430" s="123"/>
      <c r="AB430" s="123"/>
      <c r="AC430" s="160"/>
      <c r="AD430" s="160"/>
      <c r="AE430" s="123"/>
      <c r="AF430" s="123"/>
      <c r="AH430" s="236"/>
      <c r="AI430" s="123"/>
      <c r="AJ430" s="123"/>
      <c r="AL430" s="123"/>
      <c r="AM430" s="160"/>
      <c r="AN430" s="160"/>
    </row>
    <row r="431" spans="3:40" x14ac:dyDescent="0.3">
      <c r="C431" s="42"/>
      <c r="F431" s="184"/>
      <c r="H431" s="184"/>
      <c r="I431" s="184"/>
      <c r="J431" s="193"/>
      <c r="K431" s="193"/>
      <c r="L431" s="123"/>
      <c r="M431" s="123"/>
      <c r="N431" s="160"/>
      <c r="O431" s="160"/>
      <c r="P431" s="123"/>
      <c r="Q431" s="123"/>
      <c r="R431" s="123"/>
      <c r="T431" s="42"/>
      <c r="V431" s="123"/>
      <c r="Y431" s="123"/>
      <c r="Z431" s="193"/>
      <c r="AA431" s="123"/>
      <c r="AB431" s="123"/>
      <c r="AC431" s="160"/>
      <c r="AD431" s="160"/>
      <c r="AE431" s="123"/>
      <c r="AF431" s="123"/>
      <c r="AH431" s="236"/>
      <c r="AI431" s="123"/>
      <c r="AJ431" s="123"/>
      <c r="AL431" s="123"/>
      <c r="AM431" s="160"/>
      <c r="AN431" s="160"/>
    </row>
    <row r="432" spans="3:40" x14ac:dyDescent="0.3">
      <c r="F432" s="210"/>
      <c r="H432" s="123"/>
      <c r="I432" s="123"/>
      <c r="J432" s="213"/>
      <c r="K432" s="213"/>
      <c r="L432" s="210"/>
      <c r="M432" s="210"/>
      <c r="N432" s="210"/>
      <c r="O432" s="210"/>
      <c r="P432" s="210"/>
      <c r="Q432" s="210"/>
      <c r="R432" s="210"/>
      <c r="V432" s="210"/>
      <c r="Y432" s="123"/>
      <c r="Z432" s="213"/>
      <c r="AA432" s="210"/>
      <c r="AB432" s="210"/>
      <c r="AC432" s="210"/>
      <c r="AD432" s="210"/>
      <c r="AE432" s="210"/>
      <c r="AF432" s="210"/>
      <c r="AI432" s="210"/>
      <c r="AJ432" s="210"/>
      <c r="AK432" s="214"/>
      <c r="AL432" s="210"/>
    </row>
    <row r="433" spans="1:40" x14ac:dyDescent="0.3">
      <c r="F433" s="123"/>
      <c r="H433" s="123"/>
      <c r="I433" s="123"/>
      <c r="J433" s="213"/>
      <c r="K433" s="213"/>
      <c r="L433" s="123"/>
      <c r="M433" s="123"/>
      <c r="N433" s="123"/>
      <c r="O433" s="123"/>
      <c r="P433" s="123"/>
      <c r="Q433" s="123"/>
      <c r="R433" s="123"/>
      <c r="V433" s="123"/>
      <c r="Y433" s="123"/>
      <c r="Z433" s="213"/>
      <c r="AA433" s="123"/>
      <c r="AB433" s="123"/>
      <c r="AC433" s="123"/>
      <c r="AD433" s="123"/>
      <c r="AE433" s="123"/>
      <c r="AF433" s="123"/>
      <c r="AI433" s="123"/>
      <c r="AJ433" s="123"/>
      <c r="AL433" s="123"/>
    </row>
    <row r="434" spans="1:40" x14ac:dyDescent="0.3">
      <c r="C434" s="42"/>
      <c r="F434" s="123"/>
      <c r="H434" s="123"/>
      <c r="I434" s="123"/>
      <c r="L434" s="123"/>
      <c r="M434" s="123"/>
      <c r="N434" s="160"/>
      <c r="O434" s="160"/>
      <c r="P434" s="123"/>
      <c r="Q434" s="123"/>
      <c r="R434" s="123"/>
      <c r="T434" s="42"/>
      <c r="V434" s="123"/>
      <c r="Y434" s="123"/>
      <c r="AA434" s="123"/>
      <c r="AB434" s="123"/>
      <c r="AC434" s="160"/>
      <c r="AD434" s="160"/>
      <c r="AE434" s="123"/>
      <c r="AF434" s="123"/>
      <c r="AH434" s="236"/>
      <c r="AI434" s="184"/>
      <c r="AJ434" s="184"/>
      <c r="AL434" s="123"/>
      <c r="AM434" s="160"/>
      <c r="AN434" s="160"/>
    </row>
    <row r="435" spans="1:40" x14ac:dyDescent="0.3">
      <c r="H435" s="210"/>
      <c r="I435" s="210"/>
      <c r="J435" s="213"/>
      <c r="K435" s="213"/>
      <c r="L435" s="210"/>
      <c r="M435" s="210"/>
      <c r="N435" s="210"/>
      <c r="O435" s="210"/>
      <c r="P435" s="210"/>
      <c r="Q435" s="210"/>
      <c r="R435" s="210"/>
      <c r="V435" s="210"/>
      <c r="Y435" s="210"/>
      <c r="Z435" s="213"/>
      <c r="AA435" s="210"/>
      <c r="AB435" s="210"/>
      <c r="AC435" s="210"/>
      <c r="AD435" s="210"/>
      <c r="AE435" s="210"/>
      <c r="AF435" s="210"/>
      <c r="AI435" s="210"/>
      <c r="AJ435" s="210"/>
      <c r="AK435" s="214"/>
      <c r="AL435" s="210"/>
    </row>
    <row r="436" spans="1:40" x14ac:dyDescent="0.3">
      <c r="F436" s="210"/>
    </row>
    <row r="437" spans="1:40" x14ac:dyDescent="0.3">
      <c r="A437" s="42"/>
      <c r="T437" s="42"/>
    </row>
    <row r="438" spans="1:40" x14ac:dyDescent="0.3">
      <c r="A438" s="42"/>
      <c r="T438" s="42"/>
    </row>
    <row r="439" spans="1:40" x14ac:dyDescent="0.3">
      <c r="A439" s="42"/>
      <c r="T439" s="42"/>
    </row>
    <row r="440" spans="1:40" x14ac:dyDescent="0.3">
      <c r="A440" s="42"/>
      <c r="T440" s="42"/>
    </row>
    <row r="441" spans="1:40" x14ac:dyDescent="0.3">
      <c r="A441" s="42"/>
      <c r="T441" s="42"/>
    </row>
    <row r="442" spans="1:40" x14ac:dyDescent="0.3">
      <c r="A442" s="42"/>
      <c r="T442" s="42"/>
    </row>
    <row r="443" spans="1:40" x14ac:dyDescent="0.3">
      <c r="A443" s="42"/>
      <c r="T443" s="42"/>
    </row>
    <row r="444" spans="1:40" x14ac:dyDescent="0.3">
      <c r="A444" s="42"/>
      <c r="T444" s="42"/>
    </row>
    <row r="445" spans="1:40" x14ac:dyDescent="0.3">
      <c r="A445" s="42"/>
      <c r="T445" s="42"/>
    </row>
    <row r="447" spans="1:40" x14ac:dyDescent="0.3">
      <c r="A447" s="42"/>
    </row>
    <row r="449" spans="1:40" x14ac:dyDescent="0.3">
      <c r="H449" s="42"/>
      <c r="I449" s="42"/>
      <c r="Y449" s="42"/>
    </row>
    <row r="451" spans="1:40" x14ac:dyDescent="0.3">
      <c r="L451" s="42"/>
      <c r="M451" s="42"/>
      <c r="AA451" s="42"/>
      <c r="AB451" s="42"/>
    </row>
    <row r="452" spans="1:40" x14ac:dyDescent="0.3">
      <c r="R452" s="42"/>
      <c r="AK452" s="206"/>
      <c r="AL452" s="42"/>
    </row>
    <row r="453" spans="1:40" x14ac:dyDescent="0.3">
      <c r="R453" s="42"/>
      <c r="AK453" s="206"/>
      <c r="AL453" s="42"/>
    </row>
    <row r="454" spans="1:40" x14ac:dyDescent="0.3">
      <c r="A454" s="42"/>
      <c r="R454" s="42"/>
      <c r="AK454" s="206"/>
      <c r="AL454" s="42"/>
    </row>
    <row r="455" spans="1:40" x14ac:dyDescent="0.3">
      <c r="L455" s="42"/>
      <c r="M455" s="42"/>
      <c r="AA455" s="42"/>
      <c r="AB455" s="42"/>
    </row>
    <row r="456" spans="1:40" x14ac:dyDescent="0.3">
      <c r="A456" s="135"/>
      <c r="B456" s="135"/>
      <c r="C456" s="135"/>
      <c r="D456" s="135"/>
      <c r="E456" s="135"/>
      <c r="F456" s="135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207"/>
      <c r="AH456" s="135"/>
      <c r="AI456" s="135"/>
      <c r="AJ456" s="135"/>
      <c r="AK456" s="207"/>
      <c r="AL456" s="135"/>
      <c r="AM456" s="135"/>
      <c r="AN456" s="135"/>
    </row>
    <row r="457" spans="1:40" x14ac:dyDescent="0.3">
      <c r="L457" s="44"/>
      <c r="M457" s="44"/>
      <c r="N457" s="44"/>
      <c r="O457" s="44"/>
      <c r="R457" s="44"/>
      <c r="AA457" s="44"/>
      <c r="AB457" s="44"/>
      <c r="AC457" s="44"/>
      <c r="AD457" s="44"/>
      <c r="AE457" s="44"/>
      <c r="AF457" s="44"/>
      <c r="AG457" s="168"/>
      <c r="AH457" s="44"/>
      <c r="AK457" s="168"/>
      <c r="AL457" s="44"/>
      <c r="AM457" s="44"/>
      <c r="AN457" s="44"/>
    </row>
    <row r="458" spans="1:40" x14ac:dyDescent="0.3">
      <c r="L458" s="44"/>
      <c r="M458" s="44"/>
      <c r="N458" s="44"/>
      <c r="O458" s="44"/>
      <c r="R458" s="44"/>
      <c r="Z458" s="44"/>
      <c r="AA458" s="44"/>
      <c r="AB458" s="44"/>
      <c r="AC458" s="44"/>
      <c r="AD458" s="44"/>
      <c r="AE458" s="44"/>
      <c r="AF458" s="44"/>
      <c r="AG458" s="168"/>
      <c r="AH458" s="44"/>
      <c r="AK458" s="168"/>
      <c r="AL458" s="44"/>
      <c r="AM458" s="44"/>
      <c r="AN458" s="44"/>
    </row>
    <row r="459" spans="1:40" x14ac:dyDescent="0.3">
      <c r="A459" s="44"/>
      <c r="C459" s="44"/>
      <c r="D459" s="44"/>
      <c r="E459" s="44"/>
      <c r="F459" s="44"/>
      <c r="J459" s="44"/>
      <c r="K459" s="44"/>
      <c r="L459" s="44"/>
      <c r="M459" s="44"/>
      <c r="N459" s="44"/>
      <c r="O459" s="44"/>
      <c r="P459" s="44"/>
      <c r="Q459" s="44"/>
      <c r="R459" s="44"/>
      <c r="T459" s="44"/>
      <c r="U459" s="44"/>
      <c r="V459" s="44"/>
      <c r="Z459" s="44"/>
      <c r="AA459" s="44"/>
      <c r="AB459" s="44"/>
      <c r="AC459" s="44"/>
      <c r="AD459" s="44"/>
      <c r="AE459" s="44"/>
      <c r="AF459" s="44"/>
      <c r="AG459" s="168"/>
      <c r="AH459" s="44"/>
      <c r="AI459" s="44"/>
      <c r="AJ459" s="44"/>
      <c r="AK459" s="168"/>
      <c r="AL459" s="44"/>
      <c r="AM459" s="44"/>
      <c r="AN459" s="44"/>
    </row>
    <row r="460" spans="1:40" x14ac:dyDescent="0.3">
      <c r="A460" s="44"/>
      <c r="C460" s="44"/>
      <c r="D460" s="44"/>
      <c r="E460" s="44"/>
      <c r="F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T460" s="44"/>
      <c r="U460" s="44"/>
      <c r="V460" s="44"/>
      <c r="Y460" s="44"/>
      <c r="Z460" s="44"/>
      <c r="AA460" s="44"/>
      <c r="AB460" s="44"/>
      <c r="AC460" s="44"/>
      <c r="AD460" s="44"/>
      <c r="AE460" s="44"/>
      <c r="AF460" s="44"/>
      <c r="AG460" s="168"/>
      <c r="AH460" s="44"/>
      <c r="AI460" s="44"/>
      <c r="AJ460" s="44"/>
      <c r="AK460" s="168"/>
      <c r="AL460" s="44"/>
      <c r="AM460" s="44"/>
      <c r="AN460" s="44"/>
    </row>
    <row r="461" spans="1:40" x14ac:dyDescent="0.3">
      <c r="C461" s="44"/>
      <c r="D461" s="44"/>
      <c r="E461" s="44"/>
      <c r="F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T461" s="44"/>
      <c r="U461" s="44"/>
      <c r="V461" s="44"/>
      <c r="Y461" s="44"/>
      <c r="Z461" s="44"/>
      <c r="AA461" s="44"/>
      <c r="AB461" s="44"/>
      <c r="AC461" s="44"/>
      <c r="AD461" s="44"/>
      <c r="AE461" s="44"/>
      <c r="AF461" s="44"/>
      <c r="AG461" s="168"/>
      <c r="AH461" s="44"/>
      <c r="AI461" s="44"/>
      <c r="AJ461" s="44"/>
      <c r="AK461" s="168"/>
      <c r="AL461" s="44"/>
      <c r="AM461" s="44"/>
      <c r="AN461" s="44"/>
    </row>
    <row r="462" spans="1:40" x14ac:dyDescent="0.3">
      <c r="A462" s="135"/>
      <c r="B462" s="135"/>
      <c r="C462" s="135"/>
      <c r="D462" s="135"/>
      <c r="E462" s="135"/>
      <c r="F462" s="135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207"/>
      <c r="AH462" s="135"/>
      <c r="AI462" s="135"/>
      <c r="AJ462" s="135"/>
      <c r="AK462" s="207"/>
      <c r="AL462" s="135"/>
      <c r="AM462" s="135"/>
      <c r="AN462" s="135"/>
    </row>
    <row r="463" spans="1:40" x14ac:dyDescent="0.3"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Y463" s="44"/>
      <c r="Z463" s="44"/>
      <c r="AA463" s="44"/>
      <c r="AB463" s="44"/>
      <c r="AC463" s="44"/>
      <c r="AD463" s="44"/>
      <c r="AE463" s="44"/>
      <c r="AF463" s="44"/>
      <c r="AG463" s="168"/>
      <c r="AH463" s="44"/>
      <c r="AI463" s="44"/>
      <c r="AJ463" s="44"/>
      <c r="AK463" s="168"/>
      <c r="AL463" s="44"/>
      <c r="AM463" s="44"/>
      <c r="AN463" s="44"/>
    </row>
    <row r="464" spans="1:40" x14ac:dyDescent="0.3">
      <c r="C464" s="42"/>
      <c r="D464" s="42"/>
      <c r="E464" s="42"/>
      <c r="T464" s="42"/>
      <c r="U464" s="42"/>
    </row>
    <row r="465" spans="3:40" x14ac:dyDescent="0.3">
      <c r="D465" s="42"/>
      <c r="E465" s="42"/>
      <c r="U465" s="42"/>
    </row>
    <row r="467" spans="3:40" x14ac:dyDescent="0.3">
      <c r="C467" s="42"/>
      <c r="F467" s="123"/>
      <c r="J467" s="209"/>
      <c r="K467" s="209"/>
      <c r="L467" s="123"/>
      <c r="M467" s="123"/>
      <c r="R467" s="123"/>
      <c r="T467" s="42"/>
      <c r="V467" s="123"/>
      <c r="Z467" s="209"/>
      <c r="AA467" s="123"/>
      <c r="AB467" s="123"/>
      <c r="AH467" s="123"/>
      <c r="AL467" s="123"/>
    </row>
    <row r="468" spans="3:40" x14ac:dyDescent="0.3">
      <c r="C468" s="42"/>
      <c r="F468" s="123"/>
      <c r="R468" s="123"/>
      <c r="T468" s="42"/>
      <c r="V468" s="123"/>
      <c r="AH468" s="123"/>
      <c r="AL468" s="123"/>
    </row>
    <row r="469" spans="3:40" x14ac:dyDescent="0.3">
      <c r="AI469" s="123"/>
      <c r="AJ469" s="123"/>
      <c r="AL469" s="123"/>
      <c r="AM469" s="160"/>
      <c r="AN469" s="160"/>
    </row>
    <row r="470" spans="3:40" x14ac:dyDescent="0.3">
      <c r="C470" s="42"/>
      <c r="F470" s="184"/>
      <c r="H470" s="184"/>
      <c r="I470" s="184"/>
      <c r="J470" s="237"/>
      <c r="K470" s="237"/>
      <c r="L470" s="123"/>
      <c r="M470" s="123"/>
      <c r="N470" s="160"/>
      <c r="O470" s="160"/>
      <c r="P470" s="123"/>
      <c r="Q470" s="123"/>
      <c r="R470" s="123"/>
      <c r="T470" s="42"/>
      <c r="V470" s="123"/>
      <c r="Y470" s="123"/>
      <c r="Z470" s="237"/>
      <c r="AA470" s="123"/>
      <c r="AB470" s="123"/>
      <c r="AC470" s="160"/>
      <c r="AD470" s="160"/>
      <c r="AE470" s="123"/>
      <c r="AF470" s="123"/>
      <c r="AH470" s="236"/>
      <c r="AI470" s="123"/>
      <c r="AJ470" s="123"/>
      <c r="AL470" s="123"/>
      <c r="AM470" s="160"/>
      <c r="AN470" s="160"/>
    </row>
    <row r="471" spans="3:40" x14ac:dyDescent="0.3">
      <c r="F471" s="123"/>
      <c r="H471" s="123"/>
      <c r="I471" s="123"/>
      <c r="J471" s="219"/>
      <c r="K471" s="219"/>
      <c r="L471" s="123"/>
      <c r="M471" s="123"/>
      <c r="P471" s="123"/>
      <c r="Q471" s="123"/>
      <c r="R471" s="123"/>
      <c r="V471" s="123"/>
      <c r="Y471" s="123"/>
      <c r="Z471" s="219"/>
      <c r="AA471" s="123"/>
      <c r="AB471" s="123"/>
      <c r="AI471" s="123"/>
      <c r="AJ471" s="123"/>
      <c r="AL471" s="123"/>
      <c r="AM471" s="160"/>
      <c r="AN471" s="160"/>
    </row>
    <row r="472" spans="3:40" x14ac:dyDescent="0.3">
      <c r="F472" s="123"/>
      <c r="R472" s="123"/>
      <c r="V472" s="123"/>
      <c r="AL472" s="123"/>
      <c r="AM472" s="160"/>
      <c r="AN472" s="160"/>
    </row>
    <row r="473" spans="3:40" x14ac:dyDescent="0.3">
      <c r="C473" s="42"/>
      <c r="F473" s="123"/>
      <c r="J473" s="209"/>
      <c r="K473" s="209"/>
      <c r="L473" s="123"/>
      <c r="M473" s="123"/>
      <c r="N473" s="160"/>
      <c r="O473" s="160"/>
      <c r="R473" s="123"/>
      <c r="T473" s="42"/>
      <c r="V473" s="123"/>
      <c r="Z473" s="209"/>
      <c r="AA473" s="123"/>
      <c r="AB473" s="123"/>
      <c r="AC473" s="160"/>
      <c r="AD473" s="160"/>
      <c r="AL473" s="123"/>
      <c r="AM473" s="160"/>
      <c r="AN473" s="160"/>
    </row>
    <row r="474" spans="3:40" x14ac:dyDescent="0.3">
      <c r="C474" s="42"/>
      <c r="F474" s="123"/>
      <c r="H474" s="123"/>
      <c r="I474" s="123"/>
      <c r="J474" s="209"/>
      <c r="K474" s="209"/>
      <c r="L474" s="123"/>
      <c r="M474" s="123"/>
      <c r="N474" s="160"/>
      <c r="O474" s="160"/>
      <c r="P474" s="123"/>
      <c r="Q474" s="123"/>
      <c r="R474" s="123"/>
      <c r="T474" s="42"/>
      <c r="V474" s="123"/>
      <c r="Y474" s="123"/>
      <c r="Z474" s="209"/>
      <c r="AA474" s="123"/>
      <c r="AB474" s="123"/>
      <c r="AC474" s="160"/>
      <c r="AD474" s="160"/>
      <c r="AI474" s="123"/>
      <c r="AJ474" s="123"/>
      <c r="AL474" s="123"/>
      <c r="AM474" s="160"/>
      <c r="AN474" s="160"/>
    </row>
    <row r="475" spans="3:40" x14ac:dyDescent="0.3">
      <c r="C475" s="42"/>
      <c r="T475" s="42"/>
      <c r="AM475" s="160"/>
      <c r="AN475" s="160"/>
    </row>
    <row r="476" spans="3:40" x14ac:dyDescent="0.3">
      <c r="C476" s="42"/>
      <c r="T476" s="42"/>
      <c r="AM476" s="160"/>
      <c r="AN476" s="160"/>
    </row>
    <row r="477" spans="3:40" x14ac:dyDescent="0.3">
      <c r="AM477" s="160"/>
      <c r="AN477" s="160"/>
    </row>
    <row r="478" spans="3:40" x14ac:dyDescent="0.3">
      <c r="C478" s="42"/>
      <c r="F478" s="184"/>
      <c r="H478" s="184"/>
      <c r="I478" s="184"/>
      <c r="J478" s="237"/>
      <c r="K478" s="237"/>
      <c r="L478" s="123"/>
      <c r="M478" s="123"/>
      <c r="N478" s="160"/>
      <c r="O478" s="160"/>
      <c r="P478" s="123"/>
      <c r="Q478" s="123"/>
      <c r="R478" s="123"/>
      <c r="T478" s="42"/>
      <c r="V478" s="123"/>
      <c r="Y478" s="123"/>
      <c r="Z478" s="237"/>
      <c r="AA478" s="123"/>
      <c r="AB478" s="123"/>
      <c r="AC478" s="160"/>
      <c r="AD478" s="160"/>
      <c r="AE478" s="123"/>
      <c r="AF478" s="123"/>
      <c r="AH478" s="236"/>
      <c r="AI478" s="123"/>
      <c r="AJ478" s="123"/>
      <c r="AL478" s="123"/>
      <c r="AM478" s="160"/>
      <c r="AN478" s="160"/>
    </row>
    <row r="479" spans="3:40" x14ac:dyDescent="0.3">
      <c r="F479" s="210"/>
      <c r="H479" s="210"/>
      <c r="I479" s="210"/>
      <c r="J479" s="213"/>
      <c r="K479" s="213"/>
      <c r="L479" s="210"/>
      <c r="M479" s="210"/>
      <c r="N479" s="210"/>
      <c r="O479" s="210"/>
      <c r="P479" s="210"/>
      <c r="Q479" s="210"/>
      <c r="R479" s="210"/>
      <c r="V479" s="210"/>
      <c r="Y479" s="210"/>
      <c r="Z479" s="213"/>
      <c r="AA479" s="210"/>
      <c r="AB479" s="210"/>
      <c r="AC479" s="210"/>
      <c r="AD479" s="210"/>
      <c r="AE479" s="210"/>
      <c r="AF479" s="210"/>
      <c r="AI479" s="210"/>
      <c r="AJ479" s="210"/>
      <c r="AK479" s="214"/>
      <c r="AL479" s="210"/>
      <c r="AM479" s="160"/>
      <c r="AN479" s="160"/>
    </row>
    <row r="480" spans="3:40" x14ac:dyDescent="0.3">
      <c r="H480" s="123"/>
      <c r="I480" s="123"/>
      <c r="Y480" s="123"/>
      <c r="AM480" s="160"/>
      <c r="AN480" s="160"/>
    </row>
    <row r="481" spans="1:40" x14ac:dyDescent="0.3">
      <c r="C481" s="42"/>
      <c r="F481" s="123"/>
      <c r="H481" s="123"/>
      <c r="I481" s="123"/>
      <c r="L481" s="123"/>
      <c r="M481" s="123"/>
      <c r="N481" s="160"/>
      <c r="O481" s="160"/>
      <c r="P481" s="184"/>
      <c r="Q481" s="184"/>
      <c r="R481" s="123"/>
      <c r="T481" s="42"/>
      <c r="V481" s="123"/>
      <c r="Y481" s="123"/>
      <c r="AA481" s="123"/>
      <c r="AB481" s="123"/>
      <c r="AC481" s="160"/>
      <c r="AD481" s="160"/>
      <c r="AE481" s="123"/>
      <c r="AF481" s="123"/>
      <c r="AH481" s="236"/>
      <c r="AI481" s="184"/>
      <c r="AJ481" s="184"/>
      <c r="AL481" s="123"/>
      <c r="AM481" s="160"/>
      <c r="AN481" s="160"/>
    </row>
    <row r="482" spans="1:40" x14ac:dyDescent="0.3">
      <c r="H482" s="210"/>
      <c r="I482" s="210"/>
      <c r="J482" s="213"/>
      <c r="K482" s="213"/>
      <c r="L482" s="210"/>
      <c r="M482" s="210"/>
      <c r="N482" s="210"/>
      <c r="O482" s="210"/>
      <c r="P482" s="210"/>
      <c r="Q482" s="210"/>
      <c r="R482" s="210"/>
      <c r="V482" s="210"/>
      <c r="Y482" s="210"/>
      <c r="Z482" s="213"/>
      <c r="AA482" s="210"/>
      <c r="AB482" s="210"/>
      <c r="AC482" s="210"/>
      <c r="AD482" s="210"/>
      <c r="AE482" s="210"/>
      <c r="AF482" s="210"/>
      <c r="AI482" s="210"/>
      <c r="AJ482" s="210"/>
      <c r="AK482" s="214"/>
      <c r="AL482" s="210"/>
      <c r="AM482" s="160"/>
      <c r="AN482" s="160"/>
    </row>
    <row r="483" spans="1:40" x14ac:dyDescent="0.3">
      <c r="F483" s="210"/>
    </row>
    <row r="484" spans="1:40" x14ac:dyDescent="0.3">
      <c r="F484" s="123"/>
      <c r="H484" s="123"/>
      <c r="I484" s="123"/>
      <c r="J484" s="219"/>
      <c r="K484" s="219"/>
      <c r="L484" s="123"/>
      <c r="M484" s="123"/>
      <c r="N484" s="123"/>
      <c r="O484" s="123"/>
      <c r="P484" s="123"/>
      <c r="Q484" s="123"/>
      <c r="R484" s="123"/>
      <c r="V484" s="123"/>
      <c r="Y484" s="123"/>
      <c r="Z484" s="219"/>
      <c r="AA484" s="123"/>
      <c r="AB484" s="123"/>
      <c r="AC484" s="123"/>
      <c r="AD484" s="123"/>
      <c r="AE484" s="123"/>
      <c r="AF484" s="123"/>
      <c r="AH484" s="123"/>
      <c r="AI484" s="123"/>
      <c r="AJ484" s="123"/>
      <c r="AL484" s="123"/>
    </row>
    <row r="485" spans="1:40" x14ac:dyDescent="0.3">
      <c r="A485" s="42"/>
    </row>
    <row r="487" spans="1:40" x14ac:dyDescent="0.3">
      <c r="H487" s="42"/>
      <c r="I487" s="42"/>
      <c r="Y487" s="42"/>
    </row>
    <row r="489" spans="1:40" x14ac:dyDescent="0.3">
      <c r="L489" s="42"/>
      <c r="M489" s="42"/>
      <c r="AA489" s="42"/>
      <c r="AB489" s="42"/>
    </row>
    <row r="490" spans="1:40" x14ac:dyDescent="0.3">
      <c r="R490" s="42"/>
      <c r="AK490" s="206"/>
      <c r="AL490" s="42"/>
    </row>
    <row r="491" spans="1:40" x14ac:dyDescent="0.3">
      <c r="R491" s="42"/>
      <c r="AK491" s="206"/>
      <c r="AL491" s="42"/>
    </row>
    <row r="492" spans="1:40" x14ac:dyDescent="0.3">
      <c r="A492" s="42"/>
      <c r="R492" s="42"/>
      <c r="AK492" s="206"/>
      <c r="AL492" s="42"/>
    </row>
    <row r="493" spans="1:40" x14ac:dyDescent="0.3">
      <c r="L493" s="42"/>
      <c r="M493" s="42"/>
      <c r="AA493" s="42"/>
      <c r="AB493" s="42"/>
    </row>
    <row r="494" spans="1:40" x14ac:dyDescent="0.3">
      <c r="A494" s="135"/>
      <c r="B494" s="135"/>
      <c r="C494" s="135"/>
      <c r="D494" s="135"/>
      <c r="E494" s="135"/>
      <c r="F494" s="135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207"/>
      <c r="AH494" s="135"/>
      <c r="AI494" s="135"/>
      <c r="AJ494" s="135"/>
      <c r="AK494" s="207"/>
      <c r="AL494" s="135"/>
      <c r="AM494" s="135"/>
      <c r="AN494" s="135"/>
    </row>
    <row r="495" spans="1:40" x14ac:dyDescent="0.3">
      <c r="L495" s="44"/>
      <c r="M495" s="44"/>
      <c r="N495" s="44"/>
      <c r="O495" s="44"/>
      <c r="R495" s="44"/>
      <c r="AA495" s="44"/>
      <c r="AB495" s="44"/>
      <c r="AC495" s="44"/>
      <c r="AD495" s="44"/>
      <c r="AE495" s="44"/>
      <c r="AF495" s="44"/>
      <c r="AG495" s="168"/>
      <c r="AH495" s="44"/>
      <c r="AK495" s="168"/>
      <c r="AL495" s="44"/>
      <c r="AM495" s="44"/>
      <c r="AN495" s="44"/>
    </row>
    <row r="496" spans="1:40" x14ac:dyDescent="0.3">
      <c r="L496" s="44"/>
      <c r="M496" s="44"/>
      <c r="N496" s="44"/>
      <c r="O496" s="44"/>
      <c r="R496" s="44"/>
      <c r="Z496" s="44"/>
      <c r="AA496" s="44"/>
      <c r="AB496" s="44"/>
      <c r="AC496" s="44"/>
      <c r="AD496" s="44"/>
      <c r="AE496" s="44"/>
      <c r="AF496" s="44"/>
      <c r="AG496" s="168"/>
      <c r="AH496" s="44"/>
      <c r="AK496" s="168"/>
      <c r="AL496" s="44"/>
      <c r="AM496" s="44"/>
      <c r="AN496" s="44"/>
    </row>
    <row r="497" spans="1:40" x14ac:dyDescent="0.3">
      <c r="A497" s="44"/>
      <c r="C497" s="44"/>
      <c r="D497" s="44"/>
      <c r="E497" s="44"/>
      <c r="F497" s="44"/>
      <c r="J497" s="44"/>
      <c r="K497" s="44"/>
      <c r="L497" s="44"/>
      <c r="M497" s="44"/>
      <c r="N497" s="44"/>
      <c r="O497" s="44"/>
      <c r="P497" s="44"/>
      <c r="Q497" s="44"/>
      <c r="R497" s="44"/>
      <c r="T497" s="44"/>
      <c r="U497" s="44"/>
      <c r="V497" s="44"/>
      <c r="Z497" s="44"/>
      <c r="AA497" s="44"/>
      <c r="AB497" s="44"/>
      <c r="AC497" s="44"/>
      <c r="AD497" s="44"/>
      <c r="AE497" s="44"/>
      <c r="AF497" s="44"/>
      <c r="AG497" s="168"/>
      <c r="AH497" s="44"/>
      <c r="AI497" s="44"/>
      <c r="AJ497" s="44"/>
      <c r="AK497" s="168"/>
      <c r="AL497" s="44"/>
      <c r="AM497" s="44"/>
      <c r="AN497" s="44"/>
    </row>
    <row r="498" spans="1:40" x14ac:dyDescent="0.3">
      <c r="A498" s="44"/>
      <c r="C498" s="44"/>
      <c r="D498" s="44"/>
      <c r="E498" s="44"/>
      <c r="F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T498" s="44"/>
      <c r="U498" s="44"/>
      <c r="V498" s="44"/>
      <c r="Y498" s="44"/>
      <c r="Z498" s="44"/>
      <c r="AA498" s="44"/>
      <c r="AB498" s="44"/>
      <c r="AC498" s="44"/>
      <c r="AD498" s="44"/>
      <c r="AE498" s="44"/>
      <c r="AF498" s="44"/>
      <c r="AG498" s="168"/>
      <c r="AH498" s="44"/>
      <c r="AI498" s="44"/>
      <c r="AJ498" s="44"/>
      <c r="AK498" s="168"/>
      <c r="AL498" s="44"/>
      <c r="AM498" s="44"/>
      <c r="AN498" s="44"/>
    </row>
    <row r="499" spans="1:40" x14ac:dyDescent="0.3">
      <c r="C499" s="44"/>
      <c r="D499" s="44"/>
      <c r="E499" s="44"/>
      <c r="F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T499" s="44"/>
      <c r="U499" s="44"/>
      <c r="V499" s="44"/>
      <c r="Y499" s="44"/>
      <c r="Z499" s="44"/>
      <c r="AA499" s="44"/>
      <c r="AB499" s="44"/>
      <c r="AC499" s="44"/>
      <c r="AD499" s="44"/>
      <c r="AE499" s="44"/>
      <c r="AF499" s="44"/>
      <c r="AG499" s="168"/>
      <c r="AH499" s="44"/>
      <c r="AI499" s="44"/>
      <c r="AJ499" s="44"/>
      <c r="AK499" s="168"/>
      <c r="AL499" s="44"/>
      <c r="AM499" s="44"/>
      <c r="AN499" s="44"/>
    </row>
    <row r="500" spans="1:40" x14ac:dyDescent="0.3">
      <c r="A500" s="135"/>
      <c r="B500" s="135"/>
      <c r="C500" s="135"/>
      <c r="D500" s="135"/>
      <c r="E500" s="135"/>
      <c r="F500" s="135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207"/>
      <c r="AH500" s="135"/>
      <c r="AI500" s="135"/>
      <c r="AJ500" s="135"/>
      <c r="AK500" s="207"/>
      <c r="AL500" s="135"/>
      <c r="AM500" s="135"/>
      <c r="AN500" s="135"/>
    </row>
    <row r="501" spans="1:40" x14ac:dyDescent="0.3"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Y501" s="44"/>
      <c r="Z501" s="44"/>
      <c r="AA501" s="44"/>
      <c r="AB501" s="44"/>
      <c r="AC501" s="44"/>
      <c r="AD501" s="44"/>
      <c r="AE501" s="44"/>
      <c r="AF501" s="44"/>
      <c r="AG501" s="168"/>
      <c r="AH501" s="44"/>
      <c r="AI501" s="44"/>
      <c r="AJ501" s="44"/>
      <c r="AK501" s="168"/>
      <c r="AL501" s="44"/>
      <c r="AM501" s="44"/>
      <c r="AN501" s="44"/>
    </row>
    <row r="502" spans="1:40" x14ac:dyDescent="0.3">
      <c r="C502" s="42"/>
      <c r="D502" s="42"/>
      <c r="E502" s="42"/>
      <c r="T502" s="42"/>
      <c r="U502" s="42"/>
      <c r="V502" s="123"/>
      <c r="W502" s="123"/>
      <c r="X502" s="123"/>
      <c r="Y502" s="123"/>
      <c r="Z502" s="237"/>
    </row>
    <row r="504" spans="1:40" x14ac:dyDescent="0.3">
      <c r="C504" s="42"/>
      <c r="T504" s="42"/>
      <c r="V504" s="123"/>
      <c r="W504" s="123"/>
      <c r="X504" s="123"/>
      <c r="Y504" s="123"/>
      <c r="Z504" s="237"/>
    </row>
    <row r="505" spans="1:40" x14ac:dyDescent="0.3">
      <c r="C505" s="42"/>
      <c r="F505" s="184"/>
      <c r="H505" s="184"/>
      <c r="I505" s="184"/>
      <c r="J505" s="238"/>
      <c r="K505" s="238"/>
      <c r="L505" s="123"/>
      <c r="M505" s="123"/>
      <c r="N505" s="160"/>
      <c r="O505" s="160"/>
      <c r="P505" s="123"/>
      <c r="Q505" s="123"/>
      <c r="R505" s="123"/>
      <c r="T505" s="42"/>
      <c r="V505" s="123"/>
      <c r="W505" s="123"/>
      <c r="X505" s="123"/>
      <c r="Y505" s="123"/>
      <c r="Z505" s="238"/>
      <c r="AA505" s="123"/>
      <c r="AB505" s="123"/>
      <c r="AC505" s="160"/>
      <c r="AD505" s="160"/>
      <c r="AE505" s="123"/>
      <c r="AF505" s="123"/>
      <c r="AH505" s="236"/>
      <c r="AI505" s="123"/>
      <c r="AJ505" s="123"/>
      <c r="AL505" s="123"/>
      <c r="AM505" s="160"/>
      <c r="AN505" s="160"/>
    </row>
    <row r="506" spans="1:40" x14ac:dyDescent="0.3">
      <c r="C506" s="42"/>
      <c r="F506" s="184"/>
      <c r="H506" s="184"/>
      <c r="I506" s="184"/>
      <c r="J506" s="238"/>
      <c r="K506" s="238"/>
      <c r="L506" s="123"/>
      <c r="M506" s="123"/>
      <c r="N506" s="160"/>
      <c r="O506" s="160"/>
      <c r="P506" s="123"/>
      <c r="Q506" s="123"/>
      <c r="R506" s="123"/>
      <c r="T506" s="42"/>
      <c r="V506" s="123"/>
      <c r="W506" s="123"/>
      <c r="X506" s="123"/>
      <c r="Y506" s="123"/>
      <c r="Z506" s="238"/>
      <c r="AA506" s="123"/>
      <c r="AB506" s="123"/>
      <c r="AC506" s="160"/>
      <c r="AD506" s="160"/>
      <c r="AE506" s="123"/>
      <c r="AF506" s="123"/>
      <c r="AH506" s="236"/>
      <c r="AI506" s="123"/>
      <c r="AJ506" s="123"/>
      <c r="AL506" s="123"/>
      <c r="AM506" s="160"/>
      <c r="AN506" s="160"/>
    </row>
    <row r="507" spans="1:40" x14ac:dyDescent="0.3">
      <c r="C507" s="42"/>
      <c r="F507" s="184"/>
      <c r="H507" s="184"/>
      <c r="I507" s="184"/>
      <c r="J507" s="238"/>
      <c r="K507" s="238"/>
      <c r="L507" s="123"/>
      <c r="M507" s="123"/>
      <c r="N507" s="160"/>
      <c r="O507" s="160"/>
      <c r="P507" s="123"/>
      <c r="Q507" s="123"/>
      <c r="R507" s="123"/>
      <c r="T507" s="42"/>
      <c r="V507" s="123"/>
      <c r="W507" s="123"/>
      <c r="X507" s="123"/>
      <c r="Y507" s="123"/>
      <c r="Z507" s="238"/>
      <c r="AA507" s="123"/>
      <c r="AB507" s="123"/>
      <c r="AC507" s="160"/>
      <c r="AD507" s="160"/>
      <c r="AE507" s="123"/>
      <c r="AF507" s="123"/>
      <c r="AH507" s="236"/>
      <c r="AI507" s="123"/>
      <c r="AJ507" s="123"/>
      <c r="AL507" s="123"/>
      <c r="AM507" s="160"/>
      <c r="AN507" s="160"/>
    </row>
    <row r="508" spans="1:40" x14ac:dyDescent="0.3">
      <c r="C508" s="42"/>
      <c r="F508" s="184"/>
      <c r="H508" s="184"/>
      <c r="I508" s="184"/>
      <c r="J508" s="238"/>
      <c r="K508" s="238"/>
      <c r="L508" s="123"/>
      <c r="M508" s="123"/>
      <c r="N508" s="160"/>
      <c r="O508" s="160"/>
      <c r="P508" s="123"/>
      <c r="Q508" s="123"/>
      <c r="R508" s="123"/>
      <c r="T508" s="42"/>
      <c r="V508" s="123"/>
      <c r="W508" s="123"/>
      <c r="X508" s="123"/>
      <c r="Y508" s="123"/>
      <c r="Z508" s="238"/>
      <c r="AA508" s="123"/>
      <c r="AB508" s="123"/>
      <c r="AC508" s="160"/>
      <c r="AD508" s="160"/>
      <c r="AE508" s="123"/>
      <c r="AF508" s="123"/>
      <c r="AH508" s="236"/>
      <c r="AI508" s="123"/>
      <c r="AJ508" s="123"/>
      <c r="AL508" s="123"/>
      <c r="AM508" s="160"/>
      <c r="AN508" s="160"/>
    </row>
    <row r="509" spans="1:40" x14ac:dyDescent="0.3">
      <c r="J509" s="188"/>
      <c r="K509" s="188"/>
      <c r="V509" s="123"/>
      <c r="W509" s="123"/>
      <c r="X509" s="123"/>
      <c r="Y509" s="123"/>
      <c r="Z509" s="238"/>
    </row>
    <row r="510" spans="1:40" x14ac:dyDescent="0.3">
      <c r="C510" s="42"/>
      <c r="F510" s="184"/>
      <c r="H510" s="184"/>
      <c r="I510" s="184"/>
      <c r="J510" s="238"/>
      <c r="K510" s="238"/>
      <c r="L510" s="123"/>
      <c r="M510" s="123"/>
      <c r="N510" s="160"/>
      <c r="O510" s="160"/>
      <c r="P510" s="123"/>
      <c r="Q510" s="123"/>
      <c r="R510" s="123"/>
      <c r="T510" s="42"/>
      <c r="V510" s="123"/>
      <c r="W510" s="123"/>
      <c r="X510" s="123"/>
      <c r="Y510" s="123"/>
      <c r="Z510" s="238"/>
      <c r="AA510" s="123"/>
      <c r="AB510" s="123"/>
      <c r="AC510" s="160"/>
      <c r="AD510" s="160"/>
      <c r="AE510" s="123"/>
      <c r="AF510" s="123"/>
      <c r="AH510" s="236"/>
      <c r="AI510" s="123"/>
      <c r="AJ510" s="123"/>
      <c r="AL510" s="123"/>
      <c r="AM510" s="236"/>
      <c r="AN510" s="236"/>
    </row>
    <row r="511" spans="1:40" x14ac:dyDescent="0.3">
      <c r="C511" s="42"/>
      <c r="J511" s="188"/>
      <c r="K511" s="188"/>
      <c r="T511" s="42"/>
      <c r="V511" s="123"/>
      <c r="W511" s="123"/>
      <c r="X511" s="123"/>
      <c r="Y511" s="123"/>
      <c r="Z511" s="238"/>
    </row>
    <row r="512" spans="1:40" x14ac:dyDescent="0.3">
      <c r="C512" s="42"/>
      <c r="F512" s="184"/>
      <c r="H512" s="184"/>
      <c r="I512" s="184"/>
      <c r="J512" s="238"/>
      <c r="K512" s="238"/>
      <c r="L512" s="123"/>
      <c r="M512" s="123"/>
      <c r="N512" s="160"/>
      <c r="O512" s="160"/>
      <c r="P512" s="123"/>
      <c r="Q512" s="123"/>
      <c r="R512" s="123"/>
      <c r="T512" s="42"/>
      <c r="V512" s="123"/>
      <c r="W512" s="123"/>
      <c r="X512" s="123"/>
      <c r="Y512" s="123"/>
      <c r="Z512" s="238"/>
      <c r="AA512" s="123"/>
      <c r="AB512" s="123"/>
      <c r="AC512" s="160"/>
      <c r="AD512" s="160"/>
      <c r="AE512" s="123"/>
      <c r="AF512" s="123"/>
      <c r="AH512" s="236"/>
      <c r="AI512" s="123"/>
      <c r="AJ512" s="123"/>
      <c r="AL512" s="123"/>
      <c r="AM512" s="236"/>
      <c r="AN512" s="236"/>
    </row>
    <row r="513" spans="1:40" x14ac:dyDescent="0.3">
      <c r="J513" s="188"/>
      <c r="K513" s="188"/>
      <c r="Z513" s="188"/>
    </row>
    <row r="514" spans="1:40" x14ac:dyDescent="0.3">
      <c r="C514" s="42"/>
      <c r="J514" s="188"/>
      <c r="K514" s="188"/>
      <c r="T514" s="42"/>
      <c r="V514" s="123"/>
      <c r="W514" s="123"/>
      <c r="X514" s="123"/>
      <c r="Y514" s="123"/>
      <c r="Z514" s="238"/>
    </row>
    <row r="515" spans="1:40" x14ac:dyDescent="0.3">
      <c r="C515" s="42"/>
      <c r="F515" s="184"/>
      <c r="H515" s="184"/>
      <c r="I515" s="184"/>
      <c r="J515" s="238"/>
      <c r="K515" s="238"/>
      <c r="L515" s="123"/>
      <c r="M515" s="123"/>
      <c r="N515" s="160"/>
      <c r="O515" s="160"/>
      <c r="P515" s="123"/>
      <c r="Q515" s="123"/>
      <c r="R515" s="123"/>
      <c r="T515" s="42"/>
      <c r="V515" s="123"/>
      <c r="W515" s="123"/>
      <c r="X515" s="123"/>
      <c r="Y515" s="123"/>
      <c r="Z515" s="238"/>
      <c r="AA515" s="123"/>
      <c r="AB515" s="123"/>
      <c r="AC515" s="160"/>
      <c r="AD515" s="160"/>
      <c r="AE515" s="123"/>
      <c r="AF515" s="123"/>
      <c r="AH515" s="236"/>
      <c r="AI515" s="123"/>
      <c r="AJ515" s="123"/>
      <c r="AL515" s="123"/>
      <c r="AM515" s="236"/>
      <c r="AN515" s="236"/>
    </row>
    <row r="516" spans="1:40" x14ac:dyDescent="0.3">
      <c r="C516" s="42"/>
      <c r="F516" s="184"/>
      <c r="H516" s="184"/>
      <c r="I516" s="184"/>
      <c r="J516" s="238"/>
      <c r="K516" s="238"/>
      <c r="L516" s="123"/>
      <c r="M516" s="123"/>
      <c r="N516" s="160"/>
      <c r="O516" s="160"/>
      <c r="P516" s="123"/>
      <c r="Q516" s="123"/>
      <c r="R516" s="123"/>
      <c r="T516" s="42"/>
      <c r="V516" s="123"/>
      <c r="W516" s="123"/>
      <c r="X516" s="123"/>
      <c r="Y516" s="123"/>
      <c r="Z516" s="238"/>
      <c r="AA516" s="123"/>
      <c r="AB516" s="123"/>
      <c r="AC516" s="160"/>
      <c r="AD516" s="160"/>
      <c r="AE516" s="123"/>
      <c r="AF516" s="123"/>
      <c r="AH516" s="236"/>
      <c r="AI516" s="123"/>
      <c r="AJ516" s="123"/>
      <c r="AL516" s="123"/>
      <c r="AM516" s="236"/>
      <c r="AN516" s="236"/>
    </row>
    <row r="517" spans="1:40" x14ac:dyDescent="0.3">
      <c r="F517" s="210"/>
      <c r="H517" s="210"/>
      <c r="I517" s="210"/>
      <c r="J517" s="238"/>
      <c r="K517" s="238"/>
      <c r="L517" s="210"/>
      <c r="M517" s="210"/>
      <c r="N517" s="210"/>
      <c r="O517" s="210"/>
      <c r="P517" s="210"/>
      <c r="Q517" s="210"/>
      <c r="R517" s="210"/>
      <c r="V517" s="210"/>
      <c r="Y517" s="210"/>
      <c r="Z517" s="213"/>
      <c r="AA517" s="210"/>
      <c r="AB517" s="210"/>
      <c r="AC517" s="210"/>
      <c r="AD517" s="210"/>
      <c r="AE517" s="210"/>
      <c r="AF517" s="210"/>
      <c r="AI517" s="210"/>
      <c r="AJ517" s="210"/>
      <c r="AK517" s="214"/>
      <c r="AL517" s="210"/>
    </row>
    <row r="518" spans="1:40" x14ac:dyDescent="0.3">
      <c r="C518" s="42"/>
      <c r="F518" s="123"/>
      <c r="H518" s="123"/>
      <c r="I518" s="123"/>
      <c r="L518" s="123"/>
      <c r="M518" s="123"/>
      <c r="N518" s="160"/>
      <c r="O518" s="160"/>
      <c r="P518" s="184"/>
      <c r="Q518" s="184"/>
      <c r="R518" s="123"/>
      <c r="T518" s="42"/>
      <c r="V518" s="123"/>
      <c r="W518" s="123"/>
      <c r="X518" s="123"/>
      <c r="Y518" s="123"/>
      <c r="Z518" s="237"/>
      <c r="AA518" s="123"/>
      <c r="AB518" s="123"/>
      <c r="AC518" s="160"/>
      <c r="AD518" s="160"/>
      <c r="AE518" s="123"/>
      <c r="AF518" s="123"/>
      <c r="AH518" s="236"/>
      <c r="AI518" s="184"/>
      <c r="AJ518" s="184"/>
      <c r="AL518" s="123"/>
      <c r="AM518" s="236"/>
      <c r="AN518" s="236"/>
    </row>
    <row r="519" spans="1:40" x14ac:dyDescent="0.3">
      <c r="H519" s="210"/>
      <c r="I519" s="210"/>
      <c r="J519" s="213"/>
      <c r="K519" s="213"/>
      <c r="L519" s="210"/>
      <c r="M519" s="210"/>
      <c r="N519" s="210"/>
      <c r="O519" s="210"/>
      <c r="P519" s="210"/>
      <c r="Q519" s="210"/>
      <c r="R519" s="210"/>
      <c r="V519" s="210"/>
      <c r="Y519" s="210"/>
      <c r="Z519" s="213"/>
      <c r="AA519" s="210"/>
      <c r="AB519" s="210"/>
      <c r="AC519" s="210"/>
      <c r="AD519" s="210"/>
      <c r="AE519" s="210"/>
      <c r="AF519" s="210"/>
      <c r="AI519" s="210"/>
      <c r="AJ519" s="210"/>
      <c r="AK519" s="214"/>
      <c r="AL519" s="210"/>
    </row>
    <row r="520" spans="1:40" x14ac:dyDescent="0.3">
      <c r="F520" s="210"/>
    </row>
    <row r="522" spans="1:40" x14ac:dyDescent="0.3">
      <c r="A522" s="42"/>
    </row>
    <row r="524" spans="1:40" x14ac:dyDescent="0.3">
      <c r="H524" s="42"/>
      <c r="I524" s="42"/>
      <c r="Y524" s="42"/>
    </row>
    <row r="526" spans="1:40" x14ac:dyDescent="0.3">
      <c r="L526" s="42"/>
      <c r="M526" s="42"/>
      <c r="AA526" s="42"/>
      <c r="AB526" s="42"/>
    </row>
    <row r="527" spans="1:40" x14ac:dyDescent="0.3">
      <c r="R527" s="42"/>
      <c r="AK527" s="206"/>
      <c r="AL527" s="42"/>
    </row>
    <row r="528" spans="1:40" x14ac:dyDescent="0.3">
      <c r="R528" s="42"/>
      <c r="AK528" s="206"/>
      <c r="AL528" s="42"/>
    </row>
    <row r="529" spans="1:40" x14ac:dyDescent="0.3">
      <c r="A529" s="42"/>
      <c r="R529" s="42"/>
      <c r="AK529" s="206"/>
      <c r="AL529" s="42"/>
    </row>
    <row r="530" spans="1:40" x14ac:dyDescent="0.3">
      <c r="L530" s="42"/>
      <c r="M530" s="42"/>
      <c r="AA530" s="42"/>
      <c r="AB530" s="42"/>
    </row>
    <row r="531" spans="1:40" x14ac:dyDescent="0.3">
      <c r="A531" s="135"/>
      <c r="B531" s="135"/>
      <c r="C531" s="135"/>
      <c r="D531" s="135"/>
      <c r="E531" s="135"/>
      <c r="F531" s="135"/>
      <c r="G531" s="135"/>
      <c r="H531" s="135"/>
      <c r="I531" s="135"/>
      <c r="J531" s="135"/>
      <c r="K531" s="135"/>
      <c r="L531" s="135"/>
      <c r="M531" s="135"/>
      <c r="N531" s="135"/>
      <c r="O531" s="135"/>
      <c r="P531" s="135"/>
      <c r="Q531" s="135"/>
      <c r="R531" s="135"/>
      <c r="T531" s="135"/>
      <c r="U531" s="135"/>
      <c r="V531" s="135"/>
      <c r="W531" s="135"/>
      <c r="X531" s="135"/>
      <c r="Y531" s="135"/>
      <c r="Z531" s="135"/>
      <c r="AA531" s="135"/>
      <c r="AB531" s="135"/>
      <c r="AC531" s="135"/>
      <c r="AD531" s="135"/>
      <c r="AE531" s="135"/>
      <c r="AF531" s="135"/>
      <c r="AG531" s="207"/>
      <c r="AH531" s="135"/>
      <c r="AI531" s="135"/>
      <c r="AJ531" s="135"/>
      <c r="AK531" s="207"/>
      <c r="AL531" s="135"/>
      <c r="AM531" s="135"/>
      <c r="AN531" s="135"/>
    </row>
    <row r="532" spans="1:40" x14ac:dyDescent="0.3">
      <c r="L532" s="44"/>
      <c r="M532" s="44"/>
      <c r="N532" s="44"/>
      <c r="O532" s="44"/>
      <c r="R532" s="44"/>
      <c r="AA532" s="44"/>
      <c r="AB532" s="44"/>
      <c r="AC532" s="44"/>
      <c r="AD532" s="44"/>
      <c r="AE532" s="44"/>
      <c r="AF532" s="44"/>
      <c r="AG532" s="168"/>
      <c r="AH532" s="44"/>
      <c r="AK532" s="168"/>
      <c r="AL532" s="44"/>
      <c r="AM532" s="44"/>
      <c r="AN532" s="44"/>
    </row>
    <row r="533" spans="1:40" x14ac:dyDescent="0.3">
      <c r="L533" s="44"/>
      <c r="M533" s="44"/>
      <c r="N533" s="44"/>
      <c r="O533" s="44"/>
      <c r="R533" s="44"/>
      <c r="Z533" s="44"/>
      <c r="AA533" s="44"/>
      <c r="AB533" s="44"/>
      <c r="AC533" s="44"/>
      <c r="AD533" s="44"/>
      <c r="AE533" s="44"/>
      <c r="AF533" s="44"/>
      <c r="AG533" s="168"/>
      <c r="AH533" s="44"/>
      <c r="AK533" s="168"/>
      <c r="AL533" s="44"/>
      <c r="AM533" s="44"/>
      <c r="AN533" s="44"/>
    </row>
    <row r="534" spans="1:40" x14ac:dyDescent="0.3">
      <c r="A534" s="44"/>
      <c r="C534" s="44"/>
      <c r="D534" s="44"/>
      <c r="E534" s="44"/>
      <c r="F534" s="44"/>
      <c r="J534" s="44"/>
      <c r="K534" s="44"/>
      <c r="L534" s="44"/>
      <c r="M534" s="44"/>
      <c r="N534" s="44"/>
      <c r="O534" s="44"/>
      <c r="P534" s="44"/>
      <c r="Q534" s="44"/>
      <c r="R534" s="44"/>
      <c r="T534" s="44"/>
      <c r="U534" s="44"/>
      <c r="V534" s="44"/>
      <c r="Z534" s="44"/>
      <c r="AA534" s="44"/>
      <c r="AB534" s="44"/>
      <c r="AC534" s="44"/>
      <c r="AD534" s="44"/>
      <c r="AE534" s="44"/>
      <c r="AF534" s="44"/>
      <c r="AG534" s="168"/>
      <c r="AH534" s="44"/>
      <c r="AI534" s="44"/>
      <c r="AJ534" s="44"/>
      <c r="AK534" s="168"/>
      <c r="AL534" s="44"/>
      <c r="AM534" s="44"/>
      <c r="AN534" s="44"/>
    </row>
    <row r="535" spans="1:40" x14ac:dyDescent="0.3">
      <c r="A535" s="44"/>
      <c r="C535" s="44"/>
      <c r="D535" s="44"/>
      <c r="E535" s="44"/>
      <c r="F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T535" s="44"/>
      <c r="U535" s="44"/>
      <c r="V535" s="44"/>
      <c r="Y535" s="44"/>
      <c r="Z535" s="44"/>
      <c r="AA535" s="44"/>
      <c r="AB535" s="44"/>
      <c r="AC535" s="44"/>
      <c r="AD535" s="44"/>
      <c r="AE535" s="44"/>
      <c r="AF535" s="44"/>
      <c r="AG535" s="168"/>
      <c r="AH535" s="44"/>
      <c r="AI535" s="44"/>
      <c r="AJ535" s="44"/>
      <c r="AK535" s="168"/>
      <c r="AL535" s="44"/>
      <c r="AM535" s="44"/>
      <c r="AN535" s="44"/>
    </row>
    <row r="536" spans="1:40" x14ac:dyDescent="0.3">
      <c r="C536" s="44"/>
      <c r="D536" s="44"/>
      <c r="E536" s="44"/>
      <c r="F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T536" s="44"/>
      <c r="U536" s="44"/>
      <c r="V536" s="44"/>
      <c r="Y536" s="44"/>
      <c r="Z536" s="44"/>
      <c r="AA536" s="44"/>
      <c r="AB536" s="44"/>
      <c r="AC536" s="44"/>
      <c r="AD536" s="44"/>
      <c r="AE536" s="44"/>
      <c r="AF536" s="44"/>
      <c r="AG536" s="168"/>
      <c r="AH536" s="44"/>
      <c r="AI536" s="44"/>
      <c r="AJ536" s="44"/>
      <c r="AK536" s="168"/>
      <c r="AL536" s="44"/>
      <c r="AM536" s="44"/>
      <c r="AN536" s="44"/>
    </row>
    <row r="537" spans="1:40" x14ac:dyDescent="0.3">
      <c r="A537" s="135"/>
      <c r="B537" s="135"/>
      <c r="C537" s="135"/>
      <c r="D537" s="135"/>
      <c r="E537" s="135"/>
      <c r="F537" s="135"/>
      <c r="G537" s="135"/>
      <c r="H537" s="135"/>
      <c r="I537" s="135"/>
      <c r="J537" s="135"/>
      <c r="K537" s="135"/>
      <c r="L537" s="135"/>
      <c r="M537" s="135"/>
      <c r="N537" s="135"/>
      <c r="O537" s="135"/>
      <c r="P537" s="135"/>
      <c r="Q537" s="135"/>
      <c r="R537" s="135"/>
      <c r="T537" s="135"/>
      <c r="U537" s="135"/>
      <c r="V537" s="135"/>
      <c r="W537" s="135"/>
      <c r="X537" s="135"/>
      <c r="Y537" s="135"/>
      <c r="Z537" s="135"/>
      <c r="AA537" s="135"/>
      <c r="AB537" s="135"/>
      <c r="AC537" s="135"/>
      <c r="AD537" s="135"/>
      <c r="AE537" s="135"/>
      <c r="AF537" s="135"/>
      <c r="AG537" s="207"/>
      <c r="AH537" s="135"/>
      <c r="AI537" s="135"/>
      <c r="AJ537" s="135"/>
      <c r="AK537" s="207"/>
      <c r="AL537" s="135"/>
      <c r="AM537" s="135"/>
      <c r="AN537" s="135"/>
    </row>
    <row r="538" spans="1:40" x14ac:dyDescent="0.3"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Y538" s="44"/>
      <c r="Z538" s="44"/>
      <c r="AA538" s="44"/>
      <c r="AB538" s="44"/>
      <c r="AC538" s="44"/>
      <c r="AD538" s="44"/>
      <c r="AE538" s="44"/>
      <c r="AF538" s="44"/>
      <c r="AG538" s="168"/>
      <c r="AH538" s="44"/>
      <c r="AI538" s="44"/>
      <c r="AJ538" s="44"/>
      <c r="AK538" s="168"/>
      <c r="AL538" s="44"/>
      <c r="AM538" s="44"/>
      <c r="AN538" s="44"/>
    </row>
    <row r="539" spans="1:40" x14ac:dyDescent="0.3">
      <c r="C539" s="42"/>
      <c r="D539" s="42"/>
      <c r="E539" s="42"/>
      <c r="T539" s="42"/>
      <c r="U539" s="42"/>
    </row>
    <row r="541" spans="1:40" x14ac:dyDescent="0.3">
      <c r="C541" s="42"/>
      <c r="T541" s="42"/>
    </row>
    <row r="542" spans="1:40" x14ac:dyDescent="0.3">
      <c r="C542" s="42"/>
      <c r="T542" s="42"/>
    </row>
    <row r="543" spans="1:40" x14ac:dyDescent="0.3">
      <c r="C543" s="42"/>
      <c r="F543" s="184"/>
      <c r="H543" s="184"/>
      <c r="I543" s="184"/>
      <c r="J543" s="238"/>
      <c r="K543" s="238"/>
      <c r="L543" s="123"/>
      <c r="M543" s="123"/>
      <c r="N543" s="160"/>
      <c r="O543" s="160"/>
      <c r="P543" s="123"/>
      <c r="Q543" s="123"/>
      <c r="R543" s="123"/>
      <c r="T543" s="42"/>
      <c r="V543" s="123"/>
      <c r="W543" s="123"/>
      <c r="X543" s="123"/>
      <c r="Y543" s="123"/>
      <c r="Z543" s="238"/>
      <c r="AA543" s="123"/>
      <c r="AB543" s="123"/>
      <c r="AC543" s="160"/>
      <c r="AD543" s="160"/>
      <c r="AE543" s="123"/>
      <c r="AF543" s="123"/>
      <c r="AH543" s="236"/>
      <c r="AI543" s="123"/>
      <c r="AJ543" s="123"/>
      <c r="AL543" s="123"/>
      <c r="AM543" s="236"/>
      <c r="AN543" s="236"/>
    </row>
    <row r="544" spans="1:40" x14ac:dyDescent="0.3">
      <c r="C544" s="42"/>
      <c r="F544" s="123"/>
      <c r="H544" s="123"/>
      <c r="I544" s="123"/>
      <c r="J544" s="188"/>
      <c r="K544" s="188"/>
      <c r="L544" s="123"/>
      <c r="M544" s="123"/>
      <c r="N544" s="160"/>
      <c r="O544" s="160"/>
      <c r="P544" s="123"/>
      <c r="Q544" s="123"/>
      <c r="R544" s="123"/>
      <c r="T544" s="42"/>
      <c r="V544" s="123"/>
      <c r="W544" s="123"/>
      <c r="X544" s="123"/>
      <c r="Y544" s="123"/>
      <c r="Z544" s="188"/>
      <c r="AA544" s="123"/>
      <c r="AB544" s="123"/>
      <c r="AC544" s="160"/>
      <c r="AD544" s="160"/>
      <c r="AE544" s="123"/>
      <c r="AF544" s="123"/>
      <c r="AH544" s="236"/>
      <c r="AI544" s="123"/>
      <c r="AJ544" s="123"/>
      <c r="AL544" s="123"/>
      <c r="AM544" s="236"/>
      <c r="AN544" s="236"/>
    </row>
    <row r="545" spans="3:40" x14ac:dyDescent="0.3">
      <c r="C545" s="42"/>
      <c r="F545" s="123"/>
      <c r="H545" s="123"/>
      <c r="I545" s="123"/>
      <c r="J545" s="188"/>
      <c r="K545" s="188"/>
      <c r="L545" s="123"/>
      <c r="M545" s="123"/>
      <c r="N545" s="160"/>
      <c r="O545" s="160"/>
      <c r="P545" s="123"/>
      <c r="Q545" s="123"/>
      <c r="R545" s="123"/>
      <c r="T545" s="42"/>
      <c r="V545" s="123"/>
      <c r="W545" s="123"/>
      <c r="X545" s="123"/>
      <c r="Y545" s="123"/>
      <c r="Z545" s="188"/>
      <c r="AA545" s="123"/>
      <c r="AB545" s="123"/>
      <c r="AC545" s="160"/>
      <c r="AD545" s="160"/>
      <c r="AE545" s="123"/>
      <c r="AF545" s="123"/>
      <c r="AH545" s="236"/>
      <c r="AI545" s="123"/>
      <c r="AJ545" s="123"/>
      <c r="AL545" s="123"/>
      <c r="AM545" s="236"/>
      <c r="AN545" s="236"/>
    </row>
    <row r="546" spans="3:40" x14ac:dyDescent="0.3">
      <c r="C546" s="42"/>
      <c r="F546" s="123"/>
      <c r="H546" s="123"/>
      <c r="I546" s="123"/>
      <c r="J546" s="188"/>
      <c r="K546" s="188"/>
      <c r="T546" s="42"/>
      <c r="V546" s="123"/>
      <c r="Z546" s="188"/>
    </row>
    <row r="547" spans="3:40" x14ac:dyDescent="0.3">
      <c r="C547" s="42"/>
      <c r="F547" s="184"/>
      <c r="H547" s="184"/>
      <c r="I547" s="184"/>
      <c r="J547" s="238"/>
      <c r="K547" s="238"/>
      <c r="L547" s="123"/>
      <c r="M547" s="123"/>
      <c r="N547" s="160"/>
      <c r="O547" s="160"/>
      <c r="P547" s="123"/>
      <c r="Q547" s="123"/>
      <c r="R547" s="123"/>
      <c r="T547" s="42"/>
      <c r="V547" s="123"/>
      <c r="W547" s="123"/>
      <c r="X547" s="123"/>
      <c r="Y547" s="123"/>
      <c r="Z547" s="238"/>
      <c r="AA547" s="123"/>
      <c r="AB547" s="123"/>
      <c r="AC547" s="160"/>
      <c r="AD547" s="160"/>
      <c r="AE547" s="123"/>
      <c r="AF547" s="123"/>
      <c r="AH547" s="236"/>
      <c r="AI547" s="123"/>
      <c r="AJ547" s="123"/>
      <c r="AL547" s="123"/>
      <c r="AM547" s="236"/>
      <c r="AN547" s="236"/>
    </row>
    <row r="548" spans="3:40" x14ac:dyDescent="0.3">
      <c r="C548" s="42"/>
      <c r="F548" s="123"/>
      <c r="H548" s="123"/>
      <c r="I548" s="123"/>
      <c r="J548" s="188"/>
      <c r="K548" s="188"/>
      <c r="T548" s="42"/>
      <c r="V548" s="123"/>
      <c r="W548" s="123"/>
      <c r="X548" s="123"/>
      <c r="Y548" s="123"/>
      <c r="Z548" s="188"/>
      <c r="AC548" s="160"/>
      <c r="AD548" s="160"/>
      <c r="AE548" s="123"/>
      <c r="AF548" s="123"/>
      <c r="AH548" s="236"/>
      <c r="AI548" s="123"/>
      <c r="AJ548" s="123"/>
      <c r="AL548" s="123"/>
      <c r="AM548" s="236"/>
      <c r="AN548" s="236"/>
    </row>
    <row r="549" spans="3:40" x14ac:dyDescent="0.3">
      <c r="C549" s="42"/>
      <c r="F549" s="184"/>
      <c r="H549" s="184"/>
      <c r="I549" s="184"/>
      <c r="J549" s="238"/>
      <c r="K549" s="238"/>
      <c r="L549" s="123"/>
      <c r="M549" s="123"/>
      <c r="N549" s="160"/>
      <c r="O549" s="160"/>
      <c r="P549" s="123"/>
      <c r="Q549" s="123"/>
      <c r="R549" s="123"/>
      <c r="T549" s="42"/>
      <c r="V549" s="123"/>
      <c r="W549" s="123"/>
      <c r="X549" s="123"/>
      <c r="Y549" s="123"/>
      <c r="Z549" s="238"/>
      <c r="AA549" s="123"/>
      <c r="AB549" s="123"/>
      <c r="AC549" s="160"/>
      <c r="AD549" s="160"/>
      <c r="AE549" s="123"/>
      <c r="AF549" s="123"/>
      <c r="AH549" s="236"/>
      <c r="AI549" s="123"/>
      <c r="AJ549" s="123"/>
      <c r="AL549" s="123"/>
      <c r="AM549" s="236"/>
      <c r="AN549" s="236"/>
    </row>
    <row r="550" spans="3:40" x14ac:dyDescent="0.3">
      <c r="C550" s="42"/>
      <c r="F550" s="123"/>
      <c r="H550" s="123"/>
      <c r="I550" s="123"/>
      <c r="J550" s="188"/>
      <c r="K550" s="188"/>
      <c r="L550" s="123"/>
      <c r="M550" s="123"/>
      <c r="N550" s="160"/>
      <c r="O550" s="160"/>
      <c r="P550" s="123"/>
      <c r="Q550" s="123"/>
      <c r="R550" s="123"/>
      <c r="T550" s="42"/>
      <c r="V550" s="123"/>
      <c r="W550" s="123"/>
      <c r="X550" s="123"/>
      <c r="Y550" s="123"/>
      <c r="Z550" s="188"/>
      <c r="AA550" s="123"/>
      <c r="AB550" s="123"/>
      <c r="AC550" s="160"/>
      <c r="AD550" s="160"/>
      <c r="AE550" s="123"/>
      <c r="AF550" s="123"/>
      <c r="AH550" s="236"/>
      <c r="AI550" s="123"/>
      <c r="AJ550" s="123"/>
      <c r="AL550" s="123"/>
      <c r="AM550" s="236"/>
      <c r="AN550" s="236"/>
    </row>
    <row r="551" spans="3:40" x14ac:dyDescent="0.3">
      <c r="F551" s="123"/>
      <c r="H551" s="123"/>
      <c r="I551" s="123"/>
      <c r="J551" s="188"/>
      <c r="K551" s="188"/>
      <c r="Z551" s="188"/>
    </row>
    <row r="552" spans="3:40" x14ac:dyDescent="0.3">
      <c r="C552" s="42"/>
      <c r="F552" s="123"/>
      <c r="H552" s="184"/>
      <c r="I552" s="184"/>
      <c r="J552" s="238"/>
      <c r="K552" s="238"/>
      <c r="L552" s="123"/>
      <c r="M552" s="123"/>
      <c r="N552" s="160"/>
      <c r="O552" s="160"/>
      <c r="P552" s="123"/>
      <c r="Q552" s="123"/>
      <c r="R552" s="123"/>
      <c r="T552" s="42"/>
      <c r="V552" s="123"/>
      <c r="W552" s="123"/>
      <c r="X552" s="123"/>
      <c r="Y552" s="123"/>
      <c r="Z552" s="238"/>
      <c r="AA552" s="123"/>
      <c r="AB552" s="123"/>
      <c r="AC552" s="160"/>
      <c r="AD552" s="160"/>
      <c r="AE552" s="123"/>
      <c r="AF552" s="123"/>
      <c r="AH552" s="236"/>
      <c r="AI552" s="123"/>
      <c r="AJ552" s="123"/>
      <c r="AL552" s="123"/>
      <c r="AM552" s="236"/>
      <c r="AN552" s="236"/>
    </row>
    <row r="553" spans="3:40" x14ac:dyDescent="0.3">
      <c r="F553" s="210"/>
      <c r="H553" s="210"/>
      <c r="I553" s="210"/>
      <c r="J553" s="238"/>
      <c r="K553" s="238"/>
      <c r="L553" s="210"/>
      <c r="M553" s="210"/>
      <c r="N553" s="210"/>
      <c r="O553" s="210"/>
      <c r="P553" s="210"/>
      <c r="Q553" s="210"/>
      <c r="R553" s="210"/>
      <c r="V553" s="210"/>
      <c r="Y553" s="210"/>
      <c r="Z553" s="238"/>
      <c r="AA553" s="210"/>
      <c r="AB553" s="210"/>
      <c r="AC553" s="210"/>
      <c r="AD553" s="210"/>
      <c r="AE553" s="210"/>
      <c r="AF553" s="210"/>
      <c r="AI553" s="210"/>
      <c r="AJ553" s="210"/>
      <c r="AK553" s="214"/>
      <c r="AL553" s="210"/>
    </row>
    <row r="554" spans="3:40" x14ac:dyDescent="0.3">
      <c r="C554" s="42"/>
      <c r="F554" s="123"/>
      <c r="H554" s="123"/>
      <c r="I554" s="123"/>
      <c r="J554" s="188"/>
      <c r="K554" s="188"/>
      <c r="L554" s="123"/>
      <c r="M554" s="123"/>
      <c r="P554" s="123"/>
      <c r="Q554" s="123"/>
      <c r="R554" s="123"/>
      <c r="T554" s="42"/>
      <c r="V554" s="123"/>
      <c r="Y554" s="123"/>
      <c r="Z554" s="188"/>
      <c r="AA554" s="123"/>
      <c r="AB554" s="123"/>
      <c r="AC554" s="236"/>
      <c r="AD554" s="236"/>
      <c r="AE554" s="123"/>
      <c r="AF554" s="123"/>
      <c r="AH554" s="236"/>
      <c r="AI554" s="123"/>
      <c r="AJ554" s="123"/>
      <c r="AL554" s="123"/>
      <c r="AM554" s="236"/>
      <c r="AN554" s="236"/>
    </row>
    <row r="555" spans="3:40" x14ac:dyDescent="0.3">
      <c r="F555" s="210"/>
      <c r="H555" s="210"/>
      <c r="I555" s="210"/>
      <c r="J555" s="238"/>
      <c r="K555" s="238"/>
      <c r="L555" s="210"/>
      <c r="M555" s="210"/>
      <c r="N555" s="210"/>
      <c r="O555" s="210"/>
      <c r="P555" s="210"/>
      <c r="Q555" s="210"/>
      <c r="R555" s="210"/>
      <c r="V555" s="210"/>
      <c r="Y555" s="210"/>
      <c r="Z555" s="238"/>
      <c r="AA555" s="210"/>
      <c r="AB555" s="210"/>
      <c r="AC555" s="210"/>
      <c r="AD555" s="210"/>
      <c r="AE555" s="210"/>
      <c r="AF555" s="210"/>
      <c r="AI555" s="210"/>
      <c r="AJ555" s="210"/>
      <c r="AK555" s="214"/>
      <c r="AL555" s="210"/>
    </row>
    <row r="556" spans="3:40" x14ac:dyDescent="0.3">
      <c r="J556" s="188"/>
      <c r="K556" s="188"/>
      <c r="Z556" s="188"/>
    </row>
    <row r="557" spans="3:40" x14ac:dyDescent="0.3">
      <c r="C557" s="42"/>
      <c r="J557" s="188"/>
      <c r="K557" s="188"/>
      <c r="T557" s="42"/>
      <c r="Z557" s="188"/>
    </row>
    <row r="558" spans="3:40" x14ac:dyDescent="0.3">
      <c r="C558" s="42"/>
      <c r="J558" s="188"/>
      <c r="K558" s="188"/>
      <c r="T558" s="42"/>
      <c r="Z558" s="188"/>
    </row>
    <row r="559" spans="3:40" x14ac:dyDescent="0.3">
      <c r="C559" s="42"/>
      <c r="F559" s="184"/>
      <c r="H559" s="184"/>
      <c r="I559" s="184"/>
      <c r="J559" s="238"/>
      <c r="K559" s="238"/>
      <c r="L559" s="123"/>
      <c r="M559" s="123"/>
      <c r="N559" s="160"/>
      <c r="O559" s="160"/>
      <c r="P559" s="123"/>
      <c r="Q559" s="123"/>
      <c r="R559" s="123"/>
      <c r="T559" s="42"/>
      <c r="V559" s="123"/>
      <c r="W559" s="123"/>
      <c r="X559" s="123"/>
      <c r="Y559" s="123"/>
      <c r="Z559" s="238"/>
      <c r="AA559" s="123"/>
      <c r="AB559" s="123"/>
      <c r="AC559" s="160"/>
      <c r="AD559" s="160"/>
      <c r="AE559" s="123"/>
      <c r="AF559" s="123"/>
      <c r="AH559" s="236"/>
      <c r="AI559" s="123"/>
      <c r="AJ559" s="123"/>
      <c r="AL559" s="123"/>
      <c r="AM559" s="236"/>
      <c r="AN559" s="236"/>
    </row>
    <row r="560" spans="3:40" x14ac:dyDescent="0.3">
      <c r="C560" s="42"/>
      <c r="J560" s="188"/>
      <c r="K560" s="188"/>
      <c r="T560" s="42"/>
      <c r="Z560" s="188"/>
    </row>
    <row r="561" spans="1:40" x14ac:dyDescent="0.3">
      <c r="C561" s="42"/>
      <c r="F561" s="184"/>
      <c r="H561" s="184"/>
      <c r="I561" s="184"/>
      <c r="J561" s="238"/>
      <c r="K561" s="238"/>
      <c r="L561" s="123"/>
      <c r="M561" s="123"/>
      <c r="N561" s="160"/>
      <c r="O561" s="160"/>
      <c r="P561" s="123"/>
      <c r="Q561" s="123"/>
      <c r="R561" s="123"/>
      <c r="T561" s="42"/>
      <c r="V561" s="123"/>
      <c r="W561" s="123"/>
      <c r="X561" s="123"/>
      <c r="Y561" s="123"/>
      <c r="Z561" s="238"/>
      <c r="AA561" s="123"/>
      <c r="AB561" s="123"/>
      <c r="AC561" s="160"/>
      <c r="AD561" s="160"/>
      <c r="AE561" s="123"/>
      <c r="AF561" s="123"/>
      <c r="AH561" s="236"/>
      <c r="AI561" s="123"/>
      <c r="AJ561" s="123"/>
      <c r="AL561" s="123"/>
      <c r="AM561" s="236"/>
      <c r="AN561" s="236"/>
    </row>
    <row r="562" spans="1:40" x14ac:dyDescent="0.3">
      <c r="F562" s="210"/>
      <c r="H562" s="210"/>
      <c r="I562" s="210"/>
      <c r="J562" s="238"/>
      <c r="K562" s="238"/>
      <c r="L562" s="210"/>
      <c r="M562" s="210"/>
      <c r="N562" s="210"/>
      <c r="O562" s="210"/>
      <c r="P562" s="210"/>
      <c r="Q562" s="210"/>
      <c r="R562" s="210"/>
      <c r="V562" s="210"/>
      <c r="Y562" s="210"/>
      <c r="Z562" s="238"/>
      <c r="AA562" s="210"/>
      <c r="AB562" s="210"/>
      <c r="AC562" s="210"/>
      <c r="AD562" s="210"/>
      <c r="AE562" s="210"/>
      <c r="AF562" s="210"/>
      <c r="AI562" s="210"/>
      <c r="AJ562" s="210"/>
      <c r="AK562" s="214"/>
      <c r="AL562" s="210"/>
    </row>
    <row r="563" spans="1:40" x14ac:dyDescent="0.3">
      <c r="C563" s="42"/>
      <c r="F563" s="123"/>
      <c r="H563" s="123"/>
      <c r="I563" s="123"/>
      <c r="J563" s="188"/>
      <c r="K563" s="188"/>
      <c r="L563" s="123"/>
      <c r="M563" s="123"/>
      <c r="N563" s="236"/>
      <c r="O563" s="236"/>
      <c r="P563" s="123"/>
      <c r="Q563" s="123"/>
      <c r="R563" s="123"/>
      <c r="T563" s="42"/>
      <c r="V563" s="123"/>
      <c r="Y563" s="123"/>
      <c r="Z563" s="188"/>
      <c r="AA563" s="123"/>
      <c r="AB563" s="123"/>
      <c r="AC563" s="236"/>
      <c r="AD563" s="236"/>
      <c r="AE563" s="123"/>
      <c r="AF563" s="123"/>
      <c r="AH563" s="236"/>
      <c r="AI563" s="123"/>
      <c r="AJ563" s="123"/>
      <c r="AL563" s="123"/>
      <c r="AM563" s="236"/>
      <c r="AN563" s="236"/>
    </row>
    <row r="564" spans="1:40" x14ac:dyDescent="0.3">
      <c r="F564" s="210"/>
      <c r="H564" s="210"/>
      <c r="I564" s="210"/>
      <c r="J564" s="238"/>
      <c r="K564" s="238"/>
      <c r="L564" s="210"/>
      <c r="M564" s="210"/>
      <c r="N564" s="210"/>
      <c r="O564" s="210"/>
      <c r="P564" s="210"/>
      <c r="Q564" s="210"/>
      <c r="R564" s="210"/>
      <c r="V564" s="210"/>
      <c r="Y564" s="210"/>
      <c r="Z564" s="213"/>
      <c r="AA564" s="210"/>
      <c r="AB564" s="210"/>
      <c r="AC564" s="210"/>
      <c r="AD564" s="210"/>
      <c r="AE564" s="210"/>
      <c r="AF564" s="210"/>
      <c r="AI564" s="210"/>
      <c r="AJ564" s="210"/>
      <c r="AK564" s="214"/>
      <c r="AL564" s="210"/>
    </row>
    <row r="565" spans="1:40" x14ac:dyDescent="0.3">
      <c r="J565" s="188"/>
      <c r="K565" s="188"/>
    </row>
    <row r="566" spans="1:40" x14ac:dyDescent="0.3">
      <c r="C566" s="42"/>
      <c r="F566" s="123"/>
      <c r="H566" s="123"/>
      <c r="I566" s="123"/>
      <c r="J566" s="188"/>
      <c r="K566" s="188"/>
      <c r="L566" s="123"/>
      <c r="M566" s="123"/>
      <c r="N566" s="160"/>
      <c r="O566" s="160"/>
      <c r="P566" s="184"/>
      <c r="Q566" s="184"/>
      <c r="R566" s="123"/>
      <c r="T566" s="42"/>
      <c r="V566" s="123"/>
      <c r="Y566" s="123"/>
      <c r="AA566" s="123"/>
      <c r="AB566" s="123"/>
      <c r="AC566" s="236"/>
      <c r="AD566" s="236"/>
      <c r="AE566" s="123"/>
      <c r="AF566" s="123"/>
      <c r="AH566" s="236"/>
      <c r="AI566" s="184"/>
      <c r="AJ566" s="184"/>
      <c r="AL566" s="123"/>
      <c r="AM566" s="236"/>
      <c r="AN566" s="236"/>
    </row>
    <row r="567" spans="1:40" x14ac:dyDescent="0.3">
      <c r="H567" s="210"/>
      <c r="I567" s="210"/>
      <c r="J567" s="238"/>
      <c r="K567" s="238"/>
      <c r="L567" s="210"/>
      <c r="M567" s="210"/>
      <c r="N567" s="210"/>
      <c r="O567" s="210"/>
      <c r="P567" s="210"/>
      <c r="Q567" s="210"/>
      <c r="R567" s="210"/>
      <c r="V567" s="210"/>
      <c r="Y567" s="210"/>
      <c r="Z567" s="213"/>
      <c r="AA567" s="210"/>
      <c r="AB567" s="210"/>
      <c r="AC567" s="210"/>
      <c r="AD567" s="210"/>
      <c r="AE567" s="210"/>
      <c r="AF567" s="210"/>
      <c r="AI567" s="210"/>
      <c r="AJ567" s="210"/>
      <c r="AK567" s="214"/>
      <c r="AL567" s="210"/>
    </row>
    <row r="568" spans="1:40" x14ac:dyDescent="0.3">
      <c r="F568" s="210"/>
    </row>
    <row r="570" spans="1:40" x14ac:dyDescent="0.3">
      <c r="A570" s="42"/>
    </row>
    <row r="572" spans="1:40" x14ac:dyDescent="0.3">
      <c r="H572" s="42"/>
      <c r="I572" s="42"/>
      <c r="Y572" s="42"/>
    </row>
    <row r="574" spans="1:40" x14ac:dyDescent="0.3">
      <c r="L574" s="42"/>
      <c r="M574" s="42"/>
      <c r="AA574" s="42"/>
      <c r="AB574" s="42"/>
    </row>
    <row r="575" spans="1:40" x14ac:dyDescent="0.3">
      <c r="R575" s="42"/>
      <c r="AK575" s="206"/>
      <c r="AL575" s="42"/>
    </row>
    <row r="576" spans="1:40" x14ac:dyDescent="0.3">
      <c r="R576" s="42"/>
      <c r="AK576" s="206"/>
      <c r="AL576" s="42"/>
    </row>
    <row r="577" spans="1:40" x14ac:dyDescent="0.3">
      <c r="A577" s="42"/>
      <c r="R577" s="42"/>
      <c r="AK577" s="206"/>
      <c r="AL577" s="42"/>
    </row>
    <row r="578" spans="1:40" x14ac:dyDescent="0.3">
      <c r="L578" s="42"/>
      <c r="M578" s="42"/>
      <c r="AA578" s="42"/>
      <c r="AB578" s="42"/>
    </row>
    <row r="579" spans="1:40" x14ac:dyDescent="0.3">
      <c r="A579" s="135"/>
      <c r="B579" s="135"/>
      <c r="C579" s="135"/>
      <c r="D579" s="135"/>
      <c r="E579" s="135"/>
      <c r="F579" s="135"/>
      <c r="G579" s="135"/>
      <c r="H579" s="135"/>
      <c r="I579" s="135"/>
      <c r="J579" s="135"/>
      <c r="K579" s="135"/>
      <c r="L579" s="135"/>
      <c r="M579" s="135"/>
      <c r="N579" s="135"/>
      <c r="O579" s="135"/>
      <c r="P579" s="135"/>
      <c r="Q579" s="135"/>
      <c r="R579" s="135"/>
      <c r="T579" s="135"/>
      <c r="U579" s="135"/>
      <c r="V579" s="135"/>
      <c r="W579" s="135"/>
      <c r="X579" s="135"/>
      <c r="Y579" s="135"/>
      <c r="Z579" s="135"/>
      <c r="AA579" s="135"/>
      <c r="AB579" s="135"/>
      <c r="AC579" s="135"/>
      <c r="AD579" s="135"/>
      <c r="AE579" s="135"/>
      <c r="AF579" s="135"/>
      <c r="AG579" s="207"/>
      <c r="AH579" s="135"/>
      <c r="AI579" s="135"/>
      <c r="AJ579" s="135"/>
      <c r="AK579" s="207"/>
      <c r="AL579" s="135"/>
      <c r="AM579" s="135"/>
      <c r="AN579" s="135"/>
    </row>
    <row r="580" spans="1:40" x14ac:dyDescent="0.3">
      <c r="L580" s="44"/>
      <c r="M580" s="44"/>
      <c r="N580" s="44"/>
      <c r="O580" s="44"/>
      <c r="R580" s="44"/>
      <c r="AA580" s="44"/>
      <c r="AB580" s="44"/>
      <c r="AC580" s="44"/>
      <c r="AD580" s="44"/>
      <c r="AE580" s="44"/>
      <c r="AF580" s="44"/>
      <c r="AG580" s="168"/>
      <c r="AH580" s="44"/>
      <c r="AK580" s="168"/>
      <c r="AL580" s="44"/>
      <c r="AM580" s="44"/>
      <c r="AN580" s="44"/>
    </row>
    <row r="581" spans="1:40" x14ac:dyDescent="0.3">
      <c r="L581" s="44"/>
      <c r="M581" s="44"/>
      <c r="N581" s="44"/>
      <c r="O581" s="44"/>
      <c r="R581" s="44"/>
      <c r="Z581" s="44"/>
      <c r="AA581" s="44"/>
      <c r="AB581" s="44"/>
      <c r="AC581" s="44"/>
      <c r="AD581" s="44"/>
      <c r="AE581" s="44"/>
      <c r="AF581" s="44"/>
      <c r="AG581" s="168"/>
      <c r="AH581" s="44"/>
      <c r="AK581" s="168"/>
      <c r="AL581" s="44"/>
      <c r="AM581" s="44"/>
      <c r="AN581" s="44"/>
    </row>
    <row r="582" spans="1:40" x14ac:dyDescent="0.3">
      <c r="A582" s="44"/>
      <c r="C582" s="44"/>
      <c r="D582" s="44"/>
      <c r="E582" s="44"/>
      <c r="F582" s="44"/>
      <c r="J582" s="44"/>
      <c r="K582" s="44"/>
      <c r="L582" s="44"/>
      <c r="M582" s="44"/>
      <c r="N582" s="44"/>
      <c r="O582" s="44"/>
      <c r="P582" s="44"/>
      <c r="Q582" s="44"/>
      <c r="R582" s="44"/>
      <c r="T582" s="44"/>
      <c r="U582" s="44"/>
      <c r="V582" s="44"/>
      <c r="Z582" s="44"/>
      <c r="AA582" s="44"/>
      <c r="AB582" s="44"/>
      <c r="AC582" s="44"/>
      <c r="AD582" s="44"/>
      <c r="AE582" s="44"/>
      <c r="AF582" s="44"/>
      <c r="AG582" s="168"/>
      <c r="AH582" s="44"/>
      <c r="AI582" s="44"/>
      <c r="AJ582" s="44"/>
      <c r="AK582" s="168"/>
      <c r="AL582" s="44"/>
      <c r="AM582" s="44"/>
      <c r="AN582" s="44"/>
    </row>
    <row r="583" spans="1:40" x14ac:dyDescent="0.3">
      <c r="A583" s="44"/>
      <c r="C583" s="44"/>
      <c r="D583" s="44"/>
      <c r="E583" s="44"/>
      <c r="F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T583" s="44"/>
      <c r="U583" s="44"/>
      <c r="V583" s="44"/>
      <c r="Y583" s="44"/>
      <c r="Z583" s="44"/>
      <c r="AA583" s="44"/>
      <c r="AB583" s="44"/>
      <c r="AC583" s="44"/>
      <c r="AD583" s="44"/>
      <c r="AE583" s="44"/>
      <c r="AF583" s="44"/>
      <c r="AG583" s="168"/>
      <c r="AH583" s="44"/>
      <c r="AI583" s="44"/>
      <c r="AJ583" s="44"/>
      <c r="AK583" s="168"/>
      <c r="AL583" s="44"/>
      <c r="AM583" s="44"/>
      <c r="AN583" s="44"/>
    </row>
    <row r="584" spans="1:40" x14ac:dyDescent="0.3">
      <c r="C584" s="44"/>
      <c r="D584" s="44"/>
      <c r="E584" s="44"/>
      <c r="F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T584" s="44"/>
      <c r="U584" s="44"/>
      <c r="V584" s="44"/>
      <c r="Y584" s="44"/>
      <c r="Z584" s="44"/>
      <c r="AA584" s="44"/>
      <c r="AB584" s="44"/>
      <c r="AC584" s="44"/>
      <c r="AD584" s="44"/>
      <c r="AE584" s="44"/>
      <c r="AF584" s="44"/>
      <c r="AG584" s="168"/>
      <c r="AH584" s="44"/>
      <c r="AI584" s="44"/>
      <c r="AJ584" s="44"/>
      <c r="AK584" s="168"/>
      <c r="AL584" s="44"/>
      <c r="AM584" s="44"/>
      <c r="AN584" s="44"/>
    </row>
    <row r="585" spans="1:40" x14ac:dyDescent="0.3">
      <c r="A585" s="135"/>
      <c r="B585" s="135"/>
      <c r="C585" s="135"/>
      <c r="D585" s="135"/>
      <c r="E585" s="135"/>
      <c r="F585" s="135"/>
      <c r="G585" s="135"/>
      <c r="H585" s="135"/>
      <c r="I585" s="135"/>
      <c r="J585" s="135"/>
      <c r="K585" s="135"/>
      <c r="L585" s="135"/>
      <c r="M585" s="135"/>
      <c r="N585" s="135"/>
      <c r="O585" s="135"/>
      <c r="P585" s="135"/>
      <c r="Q585" s="135"/>
      <c r="R585" s="135"/>
      <c r="T585" s="135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207"/>
      <c r="AH585" s="135"/>
      <c r="AI585" s="135"/>
      <c r="AJ585" s="135"/>
      <c r="AK585" s="207"/>
      <c r="AL585" s="135"/>
      <c r="AM585" s="135"/>
      <c r="AN585" s="135"/>
    </row>
    <row r="586" spans="1:40" x14ac:dyDescent="0.3"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Y586" s="44"/>
      <c r="Z586" s="44"/>
      <c r="AA586" s="44"/>
      <c r="AB586" s="44"/>
      <c r="AC586" s="44"/>
      <c r="AD586" s="44"/>
      <c r="AE586" s="44"/>
      <c r="AF586" s="44"/>
      <c r="AG586" s="168"/>
      <c r="AH586" s="44"/>
      <c r="AI586" s="44"/>
      <c r="AJ586" s="44"/>
      <c r="AK586" s="168"/>
      <c r="AL586" s="44"/>
      <c r="AM586" s="44"/>
      <c r="AN586" s="44"/>
    </row>
    <row r="587" spans="1:40" x14ac:dyDescent="0.3">
      <c r="C587" s="42"/>
      <c r="D587" s="42"/>
      <c r="E587" s="42"/>
      <c r="T587" s="42"/>
      <c r="U587" s="42"/>
    </row>
    <row r="589" spans="1:40" x14ac:dyDescent="0.3">
      <c r="C589" s="42"/>
      <c r="D589" s="42"/>
      <c r="E589" s="42"/>
      <c r="T589" s="42"/>
      <c r="U589" s="42"/>
    </row>
    <row r="590" spans="1:40" x14ac:dyDescent="0.3">
      <c r="C590" s="42"/>
      <c r="T590" s="42"/>
    </row>
    <row r="591" spans="1:40" x14ac:dyDescent="0.3">
      <c r="C591" s="42"/>
      <c r="T591" s="42"/>
    </row>
    <row r="592" spans="1:40" x14ac:dyDescent="0.3">
      <c r="C592" s="42"/>
      <c r="H592" s="184"/>
      <c r="I592" s="184"/>
      <c r="J592" s="238"/>
      <c r="K592" s="238"/>
      <c r="L592" s="123"/>
      <c r="M592" s="123"/>
      <c r="N592" s="160"/>
      <c r="O592" s="160"/>
      <c r="P592" s="123"/>
      <c r="Q592" s="123"/>
      <c r="R592" s="123"/>
      <c r="T592" s="42"/>
      <c r="V592" s="123"/>
      <c r="W592" s="123"/>
      <c r="X592" s="123"/>
      <c r="Y592" s="123"/>
      <c r="Z592" s="238"/>
      <c r="AA592" s="123"/>
      <c r="AB592" s="123"/>
      <c r="AC592" s="160"/>
      <c r="AD592" s="160"/>
      <c r="AE592" s="123"/>
      <c r="AF592" s="123"/>
      <c r="AH592" s="236"/>
      <c r="AI592" s="123"/>
      <c r="AJ592" s="123"/>
      <c r="AL592" s="123"/>
      <c r="AM592" s="160"/>
      <c r="AN592" s="160"/>
    </row>
    <row r="593" spans="3:40" x14ac:dyDescent="0.3">
      <c r="C593" s="42"/>
      <c r="F593" s="184"/>
      <c r="J593" s="188"/>
      <c r="K593" s="188"/>
      <c r="T593" s="42"/>
      <c r="V593" s="123"/>
      <c r="W593" s="123"/>
      <c r="X593" s="123"/>
      <c r="Y593" s="123"/>
      <c r="Z593" s="238"/>
    </row>
    <row r="594" spans="3:40" x14ac:dyDescent="0.3">
      <c r="C594" s="42"/>
      <c r="H594" s="184"/>
      <c r="I594" s="184"/>
      <c r="J594" s="238"/>
      <c r="K594" s="238"/>
      <c r="L594" s="123"/>
      <c r="M594" s="123"/>
      <c r="N594" s="160"/>
      <c r="O594" s="160"/>
      <c r="P594" s="123"/>
      <c r="Q594" s="123"/>
      <c r="R594" s="123"/>
      <c r="T594" s="42"/>
      <c r="V594" s="123"/>
      <c r="W594" s="123"/>
      <c r="X594" s="123"/>
      <c r="Y594" s="123"/>
      <c r="Z594" s="238"/>
      <c r="AA594" s="123"/>
      <c r="AB594" s="123"/>
      <c r="AC594" s="160"/>
      <c r="AD594" s="160"/>
      <c r="AE594" s="123"/>
      <c r="AF594" s="123"/>
      <c r="AH594" s="236"/>
      <c r="AI594" s="123"/>
      <c r="AJ594" s="123"/>
      <c r="AL594" s="123"/>
      <c r="AM594" s="160"/>
      <c r="AN594" s="160"/>
    </row>
    <row r="595" spans="3:40" x14ac:dyDescent="0.3">
      <c r="C595" s="42"/>
      <c r="F595" s="184"/>
      <c r="J595" s="188"/>
      <c r="K595" s="188"/>
      <c r="T595" s="42"/>
      <c r="V595" s="123"/>
      <c r="W595" s="123"/>
      <c r="X595" s="123"/>
      <c r="Y595" s="123"/>
      <c r="Z595" s="238"/>
    </row>
    <row r="596" spans="3:40" x14ac:dyDescent="0.3">
      <c r="C596" s="42"/>
      <c r="H596" s="184"/>
      <c r="I596" s="184"/>
      <c r="J596" s="238"/>
      <c r="K596" s="238"/>
      <c r="L596" s="123"/>
      <c r="M596" s="123"/>
      <c r="N596" s="160"/>
      <c r="O596" s="160"/>
      <c r="P596" s="123"/>
      <c r="Q596" s="123"/>
      <c r="R596" s="123"/>
      <c r="T596" s="42"/>
      <c r="V596" s="123"/>
      <c r="W596" s="123"/>
      <c r="X596" s="123"/>
      <c r="Y596" s="123"/>
      <c r="Z596" s="238"/>
      <c r="AA596" s="123"/>
      <c r="AB596" s="123"/>
      <c r="AC596" s="160"/>
      <c r="AD596" s="160"/>
      <c r="AE596" s="123"/>
      <c r="AF596" s="123"/>
      <c r="AH596" s="236"/>
      <c r="AI596" s="123"/>
      <c r="AJ596" s="123"/>
      <c r="AL596" s="123"/>
      <c r="AM596" s="160"/>
      <c r="AN596" s="160"/>
    </row>
    <row r="597" spans="3:40" x14ac:dyDescent="0.3">
      <c r="C597" s="42"/>
      <c r="F597" s="184"/>
      <c r="J597" s="188"/>
      <c r="K597" s="188"/>
      <c r="T597" s="42"/>
      <c r="V597" s="123"/>
      <c r="W597" s="123"/>
      <c r="X597" s="123"/>
      <c r="Y597" s="123"/>
      <c r="Z597" s="238"/>
    </row>
    <row r="598" spans="3:40" x14ac:dyDescent="0.3">
      <c r="C598" s="42"/>
      <c r="H598" s="184"/>
      <c r="I598" s="184"/>
      <c r="J598" s="238"/>
      <c r="K598" s="238"/>
      <c r="L598" s="123"/>
      <c r="M598" s="123"/>
      <c r="N598" s="160"/>
      <c r="O598" s="160"/>
      <c r="P598" s="123"/>
      <c r="Q598" s="123"/>
      <c r="R598" s="123"/>
      <c r="T598" s="42"/>
      <c r="V598" s="123"/>
      <c r="W598" s="123"/>
      <c r="X598" s="123"/>
      <c r="Y598" s="123"/>
      <c r="Z598" s="238"/>
      <c r="AA598" s="123"/>
      <c r="AB598" s="123"/>
      <c r="AC598" s="160"/>
      <c r="AD598" s="160"/>
      <c r="AE598" s="123"/>
      <c r="AF598" s="123"/>
      <c r="AH598" s="236"/>
      <c r="AI598" s="123"/>
      <c r="AJ598" s="123"/>
      <c r="AL598" s="123"/>
      <c r="AM598" s="160"/>
      <c r="AN598" s="160"/>
    </row>
    <row r="599" spans="3:40" x14ac:dyDescent="0.3">
      <c r="C599" s="42"/>
      <c r="F599" s="184"/>
      <c r="J599" s="188"/>
      <c r="K599" s="188"/>
      <c r="T599" s="42"/>
      <c r="V599" s="123"/>
      <c r="W599" s="123"/>
      <c r="X599" s="123"/>
      <c r="Y599" s="123"/>
      <c r="Z599" s="238"/>
    </row>
    <row r="600" spans="3:40" x14ac:dyDescent="0.3">
      <c r="C600" s="42"/>
      <c r="H600" s="184"/>
      <c r="I600" s="184"/>
      <c r="J600" s="238"/>
      <c r="K600" s="238"/>
      <c r="L600" s="123"/>
      <c r="M600" s="123"/>
      <c r="N600" s="160"/>
      <c r="O600" s="160"/>
      <c r="P600" s="123"/>
      <c r="Q600" s="123"/>
      <c r="R600" s="123"/>
      <c r="T600" s="42"/>
      <c r="V600" s="123"/>
      <c r="W600" s="123"/>
      <c r="X600" s="123"/>
      <c r="Y600" s="123"/>
      <c r="Z600" s="238"/>
      <c r="AA600" s="123"/>
      <c r="AB600" s="123"/>
      <c r="AC600" s="160"/>
      <c r="AD600" s="160"/>
      <c r="AE600" s="123"/>
      <c r="AF600" s="123"/>
      <c r="AH600" s="236"/>
      <c r="AI600" s="123"/>
      <c r="AJ600" s="123"/>
      <c r="AL600" s="123"/>
      <c r="AM600" s="160"/>
      <c r="AN600" s="160"/>
    </row>
    <row r="601" spans="3:40" x14ac:dyDescent="0.3">
      <c r="C601" s="42"/>
      <c r="F601" s="184"/>
      <c r="J601" s="188"/>
      <c r="K601" s="188"/>
      <c r="T601" s="42"/>
      <c r="V601" s="123"/>
      <c r="W601" s="123"/>
      <c r="X601" s="123"/>
      <c r="Y601" s="123"/>
      <c r="Z601" s="238"/>
    </row>
    <row r="602" spans="3:40" x14ac:dyDescent="0.3">
      <c r="C602" s="42"/>
      <c r="H602" s="184"/>
      <c r="I602" s="184"/>
      <c r="J602" s="238"/>
      <c r="K602" s="238"/>
      <c r="L602" s="123"/>
      <c r="M602" s="123"/>
      <c r="N602" s="160"/>
      <c r="O602" s="160"/>
      <c r="P602" s="123"/>
      <c r="Q602" s="123"/>
      <c r="R602" s="123"/>
      <c r="T602" s="42"/>
      <c r="V602" s="123"/>
      <c r="W602" s="123"/>
      <c r="X602" s="123"/>
      <c r="Y602" s="123"/>
      <c r="Z602" s="238"/>
      <c r="AA602" s="123"/>
      <c r="AB602" s="123"/>
      <c r="AC602" s="160"/>
      <c r="AD602" s="160"/>
      <c r="AE602" s="123"/>
      <c r="AF602" s="123"/>
      <c r="AH602" s="236"/>
      <c r="AI602" s="123"/>
      <c r="AJ602" s="123"/>
      <c r="AL602" s="123"/>
      <c r="AM602" s="160"/>
      <c r="AN602" s="160"/>
    </row>
    <row r="603" spans="3:40" x14ac:dyDescent="0.3">
      <c r="F603" s="184"/>
      <c r="H603" s="210"/>
      <c r="I603" s="210"/>
      <c r="J603" s="238"/>
      <c r="K603" s="238"/>
      <c r="L603" s="210"/>
      <c r="M603" s="210"/>
      <c r="N603" s="210"/>
      <c r="O603" s="210"/>
      <c r="P603" s="210"/>
      <c r="Q603" s="210"/>
      <c r="R603" s="210"/>
      <c r="V603" s="210"/>
      <c r="Y603" s="210"/>
      <c r="Z603" s="238"/>
      <c r="AA603" s="210"/>
      <c r="AB603" s="210"/>
      <c r="AC603" s="210"/>
      <c r="AD603" s="210"/>
      <c r="AE603" s="210"/>
      <c r="AF603" s="210"/>
      <c r="AI603" s="210"/>
      <c r="AJ603" s="210"/>
      <c r="AK603" s="214"/>
      <c r="AL603" s="210"/>
      <c r="AM603" s="160"/>
      <c r="AN603" s="160"/>
    </row>
    <row r="604" spans="3:40" x14ac:dyDescent="0.3">
      <c r="C604" s="42"/>
      <c r="F604" s="210"/>
      <c r="H604" s="123"/>
      <c r="I604" s="123"/>
      <c r="J604" s="188"/>
      <c r="K604" s="188"/>
      <c r="L604" s="123"/>
      <c r="M604" s="123"/>
      <c r="N604" s="160"/>
      <c r="O604" s="160"/>
      <c r="P604" s="184"/>
      <c r="Q604" s="184"/>
      <c r="R604" s="123"/>
      <c r="T604" s="42"/>
      <c r="V604" s="123"/>
      <c r="W604" s="123"/>
      <c r="X604" s="123"/>
      <c r="Y604" s="123"/>
      <c r="Z604" s="238"/>
      <c r="AA604" s="123"/>
      <c r="AB604" s="123"/>
      <c r="AC604" s="160"/>
      <c r="AD604" s="160"/>
      <c r="AE604" s="123"/>
      <c r="AF604" s="123"/>
      <c r="AH604" s="236"/>
      <c r="AI604" s="184"/>
      <c r="AJ604" s="184"/>
      <c r="AL604" s="123"/>
      <c r="AM604" s="160"/>
      <c r="AN604" s="160"/>
    </row>
    <row r="605" spans="3:40" x14ac:dyDescent="0.3">
      <c r="F605" s="123"/>
      <c r="H605" s="210"/>
      <c r="I605" s="210"/>
      <c r="J605" s="238"/>
      <c r="K605" s="238"/>
      <c r="L605" s="210"/>
      <c r="M605" s="210"/>
      <c r="N605" s="210"/>
      <c r="O605" s="210"/>
      <c r="P605" s="210"/>
      <c r="Q605" s="210"/>
      <c r="R605" s="210"/>
      <c r="V605" s="210"/>
      <c r="Y605" s="210"/>
      <c r="Z605" s="238"/>
      <c r="AA605" s="210"/>
      <c r="AB605" s="210"/>
      <c r="AC605" s="210"/>
      <c r="AD605" s="210"/>
      <c r="AE605" s="210"/>
      <c r="AF605" s="210"/>
      <c r="AI605" s="210"/>
      <c r="AJ605" s="210"/>
      <c r="AK605" s="214"/>
      <c r="AL605" s="210"/>
    </row>
    <row r="606" spans="3:40" x14ac:dyDescent="0.3">
      <c r="C606" s="42"/>
      <c r="D606" s="42"/>
      <c r="E606" s="42"/>
      <c r="F606" s="210"/>
      <c r="J606" s="188"/>
      <c r="K606" s="188"/>
      <c r="T606" s="42"/>
      <c r="U606" s="42"/>
      <c r="V606" s="123"/>
      <c r="W606" s="123"/>
      <c r="X606" s="123"/>
      <c r="Y606" s="123"/>
      <c r="Z606" s="238"/>
    </row>
    <row r="607" spans="3:40" x14ac:dyDescent="0.3">
      <c r="C607" s="42"/>
      <c r="J607" s="188"/>
      <c r="K607" s="188"/>
      <c r="T607" s="42"/>
      <c r="V607" s="123"/>
      <c r="W607" s="123"/>
      <c r="X607" s="123"/>
      <c r="Y607" s="123"/>
      <c r="Z607" s="238"/>
    </row>
    <row r="608" spans="3:40" x14ac:dyDescent="0.3">
      <c r="C608" s="42"/>
      <c r="J608" s="188"/>
      <c r="K608" s="188"/>
      <c r="T608" s="42"/>
      <c r="V608" s="123"/>
      <c r="W608" s="123"/>
      <c r="X608" s="123"/>
      <c r="Y608" s="123"/>
      <c r="Z608" s="238"/>
    </row>
    <row r="609" spans="3:40" x14ac:dyDescent="0.3">
      <c r="C609" s="42"/>
      <c r="H609" s="184"/>
      <c r="I609" s="184"/>
      <c r="J609" s="238"/>
      <c r="K609" s="238"/>
      <c r="L609" s="123"/>
      <c r="M609" s="123"/>
      <c r="N609" s="160"/>
      <c r="O609" s="160"/>
      <c r="P609" s="123"/>
      <c r="Q609" s="123"/>
      <c r="R609" s="123"/>
      <c r="T609" s="42"/>
      <c r="V609" s="123"/>
      <c r="W609" s="123"/>
      <c r="X609" s="123"/>
      <c r="Y609" s="123"/>
      <c r="Z609" s="238"/>
      <c r="AA609" s="123"/>
      <c r="AB609" s="123"/>
      <c r="AC609" s="160"/>
      <c r="AD609" s="160"/>
      <c r="AE609" s="123"/>
      <c r="AF609" s="123"/>
      <c r="AH609" s="236"/>
      <c r="AI609" s="123"/>
      <c r="AJ609" s="123"/>
      <c r="AL609" s="123"/>
      <c r="AM609" s="160"/>
      <c r="AN609" s="160"/>
    </row>
    <row r="610" spans="3:40" x14ac:dyDescent="0.3">
      <c r="C610" s="42"/>
      <c r="F610" s="184"/>
      <c r="J610" s="188"/>
      <c r="K610" s="188"/>
      <c r="T610" s="42"/>
      <c r="V610" s="123"/>
      <c r="W610" s="123"/>
      <c r="X610" s="123"/>
      <c r="Y610" s="123"/>
      <c r="Z610" s="238"/>
    </row>
    <row r="611" spans="3:40" x14ac:dyDescent="0.3">
      <c r="C611" s="42"/>
      <c r="H611" s="184"/>
      <c r="I611" s="184"/>
      <c r="J611" s="238"/>
      <c r="K611" s="238"/>
      <c r="L611" s="123"/>
      <c r="M611" s="123"/>
      <c r="N611" s="160"/>
      <c r="O611" s="160"/>
      <c r="P611" s="123"/>
      <c r="Q611" s="123"/>
      <c r="R611" s="123"/>
      <c r="T611" s="42"/>
      <c r="V611" s="123"/>
      <c r="W611" s="123"/>
      <c r="X611" s="123"/>
      <c r="Y611" s="123"/>
      <c r="Z611" s="238"/>
      <c r="AA611" s="123"/>
      <c r="AB611" s="123"/>
      <c r="AC611" s="160"/>
      <c r="AD611" s="160"/>
      <c r="AE611" s="123"/>
      <c r="AF611" s="123"/>
      <c r="AH611" s="236"/>
      <c r="AI611" s="123"/>
      <c r="AJ611" s="123"/>
      <c r="AL611" s="123"/>
      <c r="AM611" s="160"/>
      <c r="AN611" s="160"/>
    </row>
    <row r="612" spans="3:40" x14ac:dyDescent="0.3">
      <c r="F612" s="184"/>
      <c r="H612" s="210"/>
      <c r="I612" s="210"/>
      <c r="J612" s="238"/>
      <c r="K612" s="238"/>
      <c r="L612" s="210"/>
      <c r="M612" s="210"/>
      <c r="N612" s="210"/>
      <c r="O612" s="210"/>
      <c r="P612" s="210"/>
      <c r="Q612" s="210"/>
      <c r="R612" s="210"/>
      <c r="V612" s="210"/>
      <c r="Y612" s="210"/>
      <c r="Z612" s="213"/>
      <c r="AA612" s="210"/>
      <c r="AB612" s="210"/>
      <c r="AC612" s="210"/>
      <c r="AD612" s="210"/>
      <c r="AE612" s="210"/>
      <c r="AF612" s="210"/>
      <c r="AI612" s="210"/>
      <c r="AJ612" s="210"/>
      <c r="AK612" s="214"/>
      <c r="AL612" s="210"/>
    </row>
    <row r="613" spans="3:40" x14ac:dyDescent="0.3">
      <c r="C613" s="42"/>
      <c r="F613" s="210"/>
      <c r="H613" s="123"/>
      <c r="I613" s="123"/>
      <c r="L613" s="123"/>
      <c r="M613" s="123"/>
      <c r="N613" s="160"/>
      <c r="O613" s="160"/>
      <c r="P613" s="184"/>
      <c r="Q613" s="184"/>
      <c r="R613" s="123"/>
      <c r="T613" s="42"/>
      <c r="V613" s="123"/>
      <c r="W613" s="123"/>
      <c r="X613" s="123"/>
      <c r="Y613" s="123"/>
      <c r="Z613" s="237"/>
      <c r="AA613" s="123"/>
      <c r="AB613" s="123"/>
      <c r="AC613" s="160"/>
      <c r="AD613" s="160"/>
      <c r="AE613" s="123"/>
      <c r="AF613" s="123"/>
      <c r="AH613" s="236"/>
      <c r="AI613" s="184"/>
      <c r="AJ613" s="184"/>
      <c r="AL613" s="123"/>
      <c r="AM613" s="160"/>
      <c r="AN613" s="160"/>
    </row>
    <row r="614" spans="3:40" x14ac:dyDescent="0.3">
      <c r="F614" s="123"/>
      <c r="H614" s="210"/>
      <c r="I614" s="210"/>
      <c r="J614" s="213"/>
      <c r="K614" s="213"/>
      <c r="L614" s="210"/>
      <c r="M614" s="210"/>
      <c r="N614" s="210"/>
      <c r="O614" s="210"/>
      <c r="P614" s="210"/>
      <c r="Q614" s="210"/>
      <c r="R614" s="210"/>
      <c r="V614" s="210"/>
      <c r="Y614" s="210"/>
      <c r="Z614" s="213"/>
      <c r="AA614" s="210"/>
      <c r="AB614" s="210"/>
      <c r="AC614" s="210"/>
      <c r="AD614" s="210"/>
      <c r="AE614" s="210"/>
      <c r="AF614" s="210"/>
      <c r="AI614" s="210"/>
      <c r="AJ614" s="210"/>
      <c r="AK614" s="214"/>
      <c r="AL614" s="210"/>
    </row>
    <row r="615" spans="3:40" x14ac:dyDescent="0.3">
      <c r="C615" s="42"/>
      <c r="D615" s="42"/>
      <c r="E615" s="42"/>
      <c r="F615" s="210"/>
      <c r="T615" s="42"/>
      <c r="U615" s="42"/>
      <c r="V615" s="123"/>
      <c r="W615" s="123"/>
      <c r="X615" s="123"/>
      <c r="Y615" s="123"/>
      <c r="Z615" s="237"/>
    </row>
    <row r="616" spans="3:40" x14ac:dyDescent="0.3">
      <c r="C616" s="42"/>
      <c r="T616" s="42"/>
      <c r="V616" s="123"/>
      <c r="W616" s="123"/>
      <c r="X616" s="123"/>
      <c r="Y616" s="123"/>
      <c r="Z616" s="237"/>
    </row>
    <row r="617" spans="3:40" x14ac:dyDescent="0.3">
      <c r="C617" s="42"/>
      <c r="H617" s="184"/>
      <c r="I617" s="184"/>
      <c r="J617" s="237"/>
      <c r="K617" s="237"/>
      <c r="L617" s="123"/>
      <c r="M617" s="123"/>
      <c r="N617" s="160"/>
      <c r="O617" s="160"/>
      <c r="P617" s="123"/>
      <c r="Q617" s="123"/>
      <c r="R617" s="123"/>
      <c r="T617" s="42"/>
      <c r="V617" s="123"/>
      <c r="W617" s="123"/>
      <c r="X617" s="123"/>
      <c r="Y617" s="123"/>
      <c r="Z617" s="237"/>
      <c r="AA617" s="123"/>
      <c r="AB617" s="123"/>
      <c r="AC617" s="160"/>
      <c r="AD617" s="160"/>
      <c r="AE617" s="123"/>
      <c r="AF617" s="123"/>
      <c r="AH617" s="236"/>
      <c r="AI617" s="123"/>
      <c r="AJ617" s="123"/>
      <c r="AL617" s="123"/>
      <c r="AM617" s="160"/>
      <c r="AN617" s="160"/>
    </row>
    <row r="618" spans="3:40" x14ac:dyDescent="0.3">
      <c r="C618" s="42"/>
      <c r="F618" s="184"/>
      <c r="T618" s="42"/>
      <c r="V618" s="123"/>
      <c r="W618" s="123"/>
      <c r="X618" s="123"/>
      <c r="Y618" s="123"/>
      <c r="Z618" s="237"/>
    </row>
    <row r="619" spans="3:40" x14ac:dyDescent="0.3">
      <c r="C619" s="42"/>
      <c r="H619" s="184"/>
      <c r="I619" s="184"/>
      <c r="J619" s="237"/>
      <c r="K619" s="237"/>
      <c r="L619" s="123"/>
      <c r="M619" s="123"/>
      <c r="N619" s="160"/>
      <c r="O619" s="160"/>
      <c r="P619" s="123"/>
      <c r="Q619" s="123"/>
      <c r="R619" s="123"/>
      <c r="T619" s="42"/>
      <c r="V619" s="123"/>
      <c r="W619" s="123"/>
      <c r="X619" s="123"/>
      <c r="Y619" s="123"/>
      <c r="Z619" s="237"/>
      <c r="AA619" s="123"/>
      <c r="AB619" s="123"/>
      <c r="AC619" s="160"/>
      <c r="AD619" s="160"/>
      <c r="AE619" s="123"/>
      <c r="AF619" s="123"/>
      <c r="AH619" s="236"/>
      <c r="AI619" s="123"/>
      <c r="AJ619" s="123"/>
      <c r="AL619" s="123"/>
      <c r="AM619" s="160"/>
      <c r="AN619" s="160"/>
    </row>
    <row r="620" spans="3:40" x14ac:dyDescent="0.3">
      <c r="C620" s="42"/>
      <c r="F620" s="184"/>
      <c r="T620" s="42"/>
      <c r="V620" s="123"/>
      <c r="W620" s="123"/>
      <c r="X620" s="123"/>
      <c r="Y620" s="123"/>
      <c r="Z620" s="237"/>
    </row>
    <row r="621" spans="3:40" x14ac:dyDescent="0.3">
      <c r="C621" s="42"/>
      <c r="H621" s="184"/>
      <c r="I621" s="184"/>
      <c r="J621" s="237"/>
      <c r="K621" s="237"/>
      <c r="L621" s="123"/>
      <c r="M621" s="123"/>
      <c r="N621" s="160"/>
      <c r="O621" s="160"/>
      <c r="P621" s="123"/>
      <c r="Q621" s="123"/>
      <c r="R621" s="123"/>
      <c r="T621" s="42"/>
      <c r="V621" s="123"/>
      <c r="W621" s="123"/>
      <c r="X621" s="123"/>
      <c r="Y621" s="123"/>
      <c r="Z621" s="237"/>
      <c r="AA621" s="123"/>
      <c r="AB621" s="123"/>
      <c r="AC621" s="160"/>
      <c r="AD621" s="160"/>
      <c r="AE621" s="123"/>
      <c r="AF621" s="123"/>
      <c r="AH621" s="236"/>
      <c r="AI621" s="123"/>
      <c r="AJ621" s="123"/>
      <c r="AL621" s="123"/>
      <c r="AM621" s="160"/>
      <c r="AN621" s="160"/>
    </row>
    <row r="622" spans="3:40" x14ac:dyDescent="0.3">
      <c r="C622" s="42"/>
      <c r="F622" s="184"/>
      <c r="T622" s="42"/>
      <c r="V622" s="123"/>
      <c r="W622" s="123"/>
      <c r="X622" s="123"/>
      <c r="Y622" s="123"/>
      <c r="Z622" s="237"/>
    </row>
    <row r="623" spans="3:40" x14ac:dyDescent="0.3">
      <c r="C623" s="42"/>
      <c r="H623" s="184"/>
      <c r="I623" s="184"/>
      <c r="J623" s="237"/>
      <c r="K623" s="237"/>
      <c r="L623" s="123"/>
      <c r="M623" s="123"/>
      <c r="N623" s="160"/>
      <c r="O623" s="160"/>
      <c r="P623" s="123"/>
      <c r="Q623" s="123"/>
      <c r="R623" s="123"/>
      <c r="T623" s="42"/>
      <c r="V623" s="123"/>
      <c r="W623" s="123"/>
      <c r="X623" s="123"/>
      <c r="Y623" s="123"/>
      <c r="Z623" s="237"/>
      <c r="AA623" s="123"/>
      <c r="AB623" s="123"/>
      <c r="AC623" s="160"/>
      <c r="AD623" s="160"/>
      <c r="AE623" s="123"/>
      <c r="AF623" s="123"/>
      <c r="AH623" s="236"/>
      <c r="AI623" s="123"/>
      <c r="AJ623" s="123"/>
      <c r="AL623" s="123"/>
      <c r="AM623" s="160"/>
      <c r="AN623" s="160"/>
    </row>
    <row r="624" spans="3:40" x14ac:dyDescent="0.3">
      <c r="F624" s="184"/>
      <c r="H624" s="210"/>
      <c r="I624" s="210"/>
      <c r="J624" s="213"/>
      <c r="K624" s="213"/>
      <c r="L624" s="210"/>
      <c r="M624" s="210"/>
      <c r="N624" s="210"/>
      <c r="O624" s="210"/>
      <c r="P624" s="210"/>
      <c r="Q624" s="210"/>
      <c r="R624" s="210"/>
      <c r="V624" s="210"/>
      <c r="Y624" s="210"/>
      <c r="Z624" s="213"/>
      <c r="AA624" s="210"/>
      <c r="AB624" s="210"/>
      <c r="AC624" s="210"/>
      <c r="AD624" s="210"/>
      <c r="AE624" s="210"/>
      <c r="AF624" s="210"/>
      <c r="AI624" s="210"/>
      <c r="AJ624" s="210"/>
      <c r="AK624" s="214"/>
      <c r="AL624" s="210"/>
    </row>
    <row r="625" spans="1:40" x14ac:dyDescent="0.3">
      <c r="C625" s="42"/>
      <c r="F625" s="210"/>
      <c r="H625" s="123"/>
      <c r="I625" s="123"/>
      <c r="L625" s="123"/>
      <c r="M625" s="123"/>
      <c r="N625" s="160"/>
      <c r="O625" s="160"/>
      <c r="P625" s="184"/>
      <c r="Q625" s="184"/>
      <c r="R625" s="123"/>
      <c r="T625" s="42"/>
      <c r="V625" s="123"/>
      <c r="W625" s="123"/>
      <c r="X625" s="123"/>
      <c r="Y625" s="123"/>
      <c r="Z625" s="237"/>
      <c r="AA625" s="123"/>
      <c r="AB625" s="123"/>
      <c r="AC625" s="160"/>
      <c r="AD625" s="160"/>
      <c r="AE625" s="123"/>
      <c r="AF625" s="123"/>
      <c r="AH625" s="236"/>
      <c r="AI625" s="184"/>
      <c r="AJ625" s="184"/>
      <c r="AL625" s="123"/>
      <c r="AM625" s="160"/>
      <c r="AN625" s="160"/>
    </row>
    <row r="626" spans="1:40" x14ac:dyDescent="0.3">
      <c r="F626" s="123"/>
      <c r="H626" s="210"/>
      <c r="I626" s="210"/>
      <c r="J626" s="213"/>
      <c r="K626" s="213"/>
      <c r="L626" s="210"/>
      <c r="M626" s="210"/>
      <c r="N626" s="210"/>
      <c r="O626" s="210"/>
      <c r="P626" s="210"/>
      <c r="Q626" s="210"/>
      <c r="R626" s="210"/>
      <c r="V626" s="210"/>
      <c r="Y626" s="210"/>
      <c r="Z626" s="213"/>
      <c r="AA626" s="210"/>
      <c r="AB626" s="210"/>
      <c r="AC626" s="210"/>
      <c r="AD626" s="210"/>
      <c r="AE626" s="210"/>
      <c r="AF626" s="210"/>
      <c r="AI626" s="210"/>
      <c r="AJ626" s="210"/>
      <c r="AK626" s="214"/>
      <c r="AL626" s="210"/>
    </row>
    <row r="627" spans="1:40" x14ac:dyDescent="0.3">
      <c r="C627" s="42"/>
      <c r="F627" s="210"/>
      <c r="H627" s="123"/>
      <c r="I627" s="123"/>
      <c r="L627" s="123"/>
      <c r="M627" s="123"/>
      <c r="N627" s="160"/>
      <c r="O627" s="160"/>
      <c r="P627" s="123"/>
      <c r="Q627" s="123"/>
      <c r="R627" s="123"/>
      <c r="T627" s="42"/>
      <c r="V627" s="123"/>
      <c r="W627" s="123"/>
      <c r="X627" s="123"/>
      <c r="Y627" s="123"/>
      <c r="AA627" s="123"/>
      <c r="AB627" s="123"/>
      <c r="AC627" s="160"/>
      <c r="AD627" s="160"/>
      <c r="AE627" s="123"/>
      <c r="AF627" s="123"/>
      <c r="AH627" s="236"/>
      <c r="AI627" s="123"/>
      <c r="AJ627" s="123"/>
      <c r="AL627" s="123"/>
      <c r="AM627" s="236"/>
      <c r="AN627" s="236"/>
    </row>
    <row r="628" spans="1:40" x14ac:dyDescent="0.3">
      <c r="F628" s="123"/>
      <c r="H628" s="210"/>
      <c r="I628" s="210"/>
      <c r="J628" s="213"/>
      <c r="K628" s="213"/>
      <c r="L628" s="210"/>
      <c r="M628" s="210"/>
      <c r="N628" s="210"/>
      <c r="O628" s="210"/>
      <c r="P628" s="210"/>
      <c r="Q628" s="210"/>
      <c r="R628" s="210"/>
      <c r="V628" s="210"/>
      <c r="Y628" s="210"/>
      <c r="Z628" s="213"/>
      <c r="AA628" s="210"/>
      <c r="AB628" s="210"/>
      <c r="AC628" s="210"/>
      <c r="AD628" s="210"/>
      <c r="AE628" s="210"/>
      <c r="AF628" s="210"/>
      <c r="AI628" s="210"/>
      <c r="AJ628" s="210"/>
      <c r="AK628" s="214"/>
      <c r="AL628" s="210"/>
    </row>
    <row r="630" spans="1:40" x14ac:dyDescent="0.3">
      <c r="F630" s="210"/>
    </row>
    <row r="631" spans="1:40" x14ac:dyDescent="0.3">
      <c r="A631" s="42"/>
    </row>
    <row r="633" spans="1:40" x14ac:dyDescent="0.3">
      <c r="H633" s="42"/>
      <c r="I633" s="42"/>
      <c r="Y633" s="42"/>
    </row>
    <row r="635" spans="1:40" x14ac:dyDescent="0.3">
      <c r="L635" s="42"/>
      <c r="M635" s="42"/>
      <c r="AA635" s="42"/>
      <c r="AB635" s="42"/>
    </row>
    <row r="636" spans="1:40" x14ac:dyDescent="0.3">
      <c r="R636" s="42"/>
      <c r="AK636" s="206"/>
      <c r="AL636" s="42"/>
    </row>
    <row r="637" spans="1:40" x14ac:dyDescent="0.3">
      <c r="R637" s="42"/>
      <c r="AK637" s="206"/>
      <c r="AL637" s="42"/>
    </row>
    <row r="638" spans="1:40" x14ac:dyDescent="0.3">
      <c r="A638" s="42"/>
      <c r="R638" s="42"/>
      <c r="AK638" s="206"/>
      <c r="AL638" s="42"/>
    </row>
    <row r="639" spans="1:40" x14ac:dyDescent="0.3">
      <c r="L639" s="42"/>
      <c r="M639" s="42"/>
      <c r="AA639" s="42"/>
      <c r="AB639" s="42"/>
    </row>
    <row r="640" spans="1:40" x14ac:dyDescent="0.3">
      <c r="A640" s="135"/>
      <c r="B640" s="135"/>
      <c r="C640" s="135"/>
      <c r="D640" s="135"/>
      <c r="E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207"/>
      <c r="AH640" s="135"/>
      <c r="AI640" s="135"/>
      <c r="AJ640" s="135"/>
      <c r="AK640" s="207"/>
      <c r="AL640" s="135"/>
      <c r="AM640" s="135"/>
      <c r="AN640" s="135"/>
    </row>
    <row r="641" spans="1:40" x14ac:dyDescent="0.3">
      <c r="F641" s="135"/>
      <c r="L641" s="44"/>
      <c r="M641" s="44"/>
      <c r="N641" s="44"/>
      <c r="O641" s="44"/>
      <c r="R641" s="44"/>
      <c r="AA641" s="44"/>
      <c r="AB641" s="44"/>
      <c r="AC641" s="44"/>
      <c r="AD641" s="44"/>
      <c r="AE641" s="44"/>
      <c r="AF641" s="44"/>
      <c r="AG641" s="168"/>
      <c r="AH641" s="44"/>
      <c r="AK641" s="168"/>
      <c r="AL641" s="44"/>
      <c r="AM641" s="44"/>
      <c r="AN641" s="44"/>
    </row>
    <row r="642" spans="1:40" x14ac:dyDescent="0.3">
      <c r="L642" s="44"/>
      <c r="M642" s="44"/>
      <c r="N642" s="44"/>
      <c r="O642" s="44"/>
      <c r="R642" s="44"/>
      <c r="Z642" s="44"/>
      <c r="AA642" s="44"/>
      <c r="AB642" s="44"/>
      <c r="AC642" s="44"/>
      <c r="AD642" s="44"/>
      <c r="AE642" s="44"/>
      <c r="AF642" s="44"/>
      <c r="AG642" s="168"/>
      <c r="AH642" s="44"/>
      <c r="AK642" s="168"/>
      <c r="AL642" s="44"/>
      <c r="AM642" s="44"/>
      <c r="AN642" s="44"/>
    </row>
    <row r="643" spans="1:40" x14ac:dyDescent="0.3">
      <c r="A643" s="44"/>
      <c r="C643" s="44"/>
      <c r="D643" s="44"/>
      <c r="E643" s="44"/>
      <c r="J643" s="44"/>
      <c r="K643" s="44"/>
      <c r="L643" s="44"/>
      <c r="M643" s="44"/>
      <c r="N643" s="44"/>
      <c r="O643" s="44"/>
      <c r="P643" s="44"/>
      <c r="Q643" s="44"/>
      <c r="R643" s="44"/>
      <c r="T643" s="44"/>
      <c r="U643" s="44"/>
      <c r="V643" s="44"/>
      <c r="Z643" s="44"/>
      <c r="AA643" s="44"/>
      <c r="AB643" s="44"/>
      <c r="AC643" s="44"/>
      <c r="AD643" s="44"/>
      <c r="AE643" s="44"/>
      <c r="AF643" s="44"/>
      <c r="AG643" s="168"/>
      <c r="AH643" s="44"/>
      <c r="AI643" s="44"/>
      <c r="AJ643" s="44"/>
      <c r="AK643" s="168"/>
      <c r="AL643" s="44"/>
      <c r="AM643" s="44"/>
      <c r="AN643" s="44"/>
    </row>
    <row r="644" spans="1:40" x14ac:dyDescent="0.3">
      <c r="A644" s="44"/>
      <c r="C644" s="44"/>
      <c r="D644" s="44"/>
      <c r="E644" s="44"/>
      <c r="F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T644" s="44"/>
      <c r="U644" s="44"/>
      <c r="V644" s="44"/>
      <c r="Y644" s="44"/>
      <c r="Z644" s="44"/>
      <c r="AA644" s="44"/>
      <c r="AB644" s="44"/>
      <c r="AC644" s="44"/>
      <c r="AD644" s="44"/>
      <c r="AE644" s="44"/>
      <c r="AF644" s="44"/>
      <c r="AG644" s="168"/>
      <c r="AH644" s="44"/>
      <c r="AI644" s="44"/>
      <c r="AJ644" s="44"/>
      <c r="AK644" s="168"/>
      <c r="AL644" s="44"/>
      <c r="AM644" s="44"/>
      <c r="AN644" s="44"/>
    </row>
    <row r="645" spans="1:40" x14ac:dyDescent="0.3">
      <c r="C645" s="44"/>
      <c r="D645" s="44"/>
      <c r="E645" s="44"/>
      <c r="F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T645" s="44"/>
      <c r="U645" s="44"/>
      <c r="V645" s="44"/>
      <c r="Y645" s="44"/>
      <c r="Z645" s="44"/>
      <c r="AA645" s="44"/>
      <c r="AB645" s="44"/>
      <c r="AC645" s="44"/>
      <c r="AD645" s="44"/>
      <c r="AE645" s="44"/>
      <c r="AF645" s="44"/>
      <c r="AG645" s="168"/>
      <c r="AH645" s="44"/>
      <c r="AI645" s="44"/>
      <c r="AJ645" s="44"/>
      <c r="AK645" s="168"/>
      <c r="AL645" s="44"/>
      <c r="AM645" s="44"/>
      <c r="AN645" s="44"/>
    </row>
    <row r="646" spans="1:40" x14ac:dyDescent="0.3">
      <c r="A646" s="135"/>
      <c r="B646" s="135"/>
      <c r="C646" s="135"/>
      <c r="D646" s="135"/>
      <c r="E646" s="135"/>
      <c r="F646" s="44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207"/>
      <c r="AH646" s="135"/>
      <c r="AI646" s="135"/>
      <c r="AJ646" s="135"/>
      <c r="AK646" s="207"/>
      <c r="AL646" s="135"/>
      <c r="AM646" s="135"/>
      <c r="AN646" s="135"/>
    </row>
    <row r="647" spans="1:40" x14ac:dyDescent="0.3">
      <c r="F647" s="135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Y647" s="44"/>
      <c r="Z647" s="44"/>
      <c r="AA647" s="44"/>
      <c r="AB647" s="44"/>
      <c r="AC647" s="44"/>
      <c r="AD647" s="44"/>
      <c r="AE647" s="44"/>
      <c r="AF647" s="44"/>
      <c r="AG647" s="168"/>
      <c r="AH647" s="44"/>
      <c r="AI647" s="44"/>
      <c r="AJ647" s="44"/>
      <c r="AK647" s="168"/>
      <c r="AL647" s="44"/>
      <c r="AM647" s="44"/>
      <c r="AN647" s="44"/>
    </row>
    <row r="648" spans="1:40" x14ac:dyDescent="0.3">
      <c r="C648" s="42"/>
      <c r="D648" s="42"/>
      <c r="E648" s="42"/>
      <c r="H648" s="123"/>
      <c r="I648" s="123"/>
      <c r="J648" s="219"/>
      <c r="K648" s="219"/>
      <c r="L648" s="123"/>
      <c r="M648" s="123"/>
      <c r="N648" s="219"/>
      <c r="O648" s="219"/>
      <c r="P648" s="123"/>
      <c r="Q648" s="123"/>
      <c r="R648" s="123"/>
      <c r="T648" s="42"/>
      <c r="U648" s="42"/>
      <c r="V648" s="123"/>
      <c r="Y648" s="123"/>
      <c r="Z648" s="219"/>
      <c r="AA648" s="123"/>
      <c r="AB648" s="123"/>
      <c r="AC648" s="219"/>
      <c r="AD648" s="219"/>
      <c r="AE648" s="123"/>
      <c r="AF648" s="123"/>
      <c r="AH648" s="236"/>
      <c r="AI648" s="123"/>
      <c r="AJ648" s="123"/>
      <c r="AL648" s="123"/>
      <c r="AM648" s="160"/>
      <c r="AN648" s="160"/>
    </row>
    <row r="649" spans="1:40" x14ac:dyDescent="0.3">
      <c r="F649" s="123"/>
      <c r="H649" s="210"/>
      <c r="I649" s="210"/>
      <c r="J649" s="213"/>
      <c r="K649" s="213"/>
      <c r="L649" s="210"/>
      <c r="M649" s="210"/>
      <c r="N649" s="210"/>
      <c r="O649" s="210"/>
      <c r="P649" s="210"/>
      <c r="Q649" s="210"/>
      <c r="R649" s="210"/>
      <c r="V649" s="210"/>
      <c r="Y649" s="210"/>
      <c r="Z649" s="213"/>
      <c r="AA649" s="210"/>
      <c r="AB649" s="210"/>
      <c r="AC649" s="210"/>
      <c r="AD649" s="210"/>
      <c r="AE649" s="210"/>
      <c r="AF649" s="210"/>
      <c r="AI649" s="210"/>
      <c r="AJ649" s="210"/>
      <c r="AK649" s="214"/>
      <c r="AL649" s="210"/>
      <c r="AM649" s="160"/>
      <c r="AN649" s="160"/>
    </row>
    <row r="650" spans="1:40" x14ac:dyDescent="0.3">
      <c r="C650" s="42"/>
      <c r="F650" s="210"/>
      <c r="H650" s="123"/>
      <c r="I650" s="123"/>
      <c r="J650" s="219"/>
      <c r="K650" s="219"/>
      <c r="L650" s="123"/>
      <c r="M650" s="123"/>
      <c r="N650" s="219"/>
      <c r="O650" s="219"/>
      <c r="P650" s="123"/>
      <c r="Q650" s="123"/>
      <c r="R650" s="123"/>
      <c r="T650" s="42"/>
      <c r="V650" s="123"/>
      <c r="Y650" s="123"/>
      <c r="Z650" s="219"/>
      <c r="AA650" s="123"/>
      <c r="AB650" s="123"/>
      <c r="AC650" s="219"/>
      <c r="AD650" s="219"/>
      <c r="AE650" s="123"/>
      <c r="AF650" s="123"/>
      <c r="AH650" s="236"/>
      <c r="AI650" s="123"/>
      <c r="AJ650" s="123"/>
      <c r="AL650" s="123"/>
      <c r="AM650" s="160"/>
      <c r="AN650" s="160"/>
    </row>
    <row r="651" spans="1:40" x14ac:dyDescent="0.3">
      <c r="F651" s="123"/>
      <c r="H651" s="123"/>
      <c r="I651" s="123"/>
      <c r="J651" s="219"/>
      <c r="K651" s="219"/>
      <c r="L651" s="123"/>
      <c r="M651" s="123"/>
      <c r="N651" s="219"/>
      <c r="O651" s="219"/>
      <c r="P651" s="123"/>
      <c r="Q651" s="123"/>
      <c r="R651" s="123"/>
      <c r="V651" s="123"/>
      <c r="Y651" s="123"/>
      <c r="Z651" s="219"/>
      <c r="AA651" s="123"/>
      <c r="AB651" s="123"/>
      <c r="AC651" s="219"/>
      <c r="AD651" s="219"/>
      <c r="AH651" s="236"/>
      <c r="AI651" s="123"/>
      <c r="AJ651" s="123"/>
      <c r="AL651" s="123"/>
      <c r="AM651" s="160"/>
      <c r="AN651" s="160"/>
    </row>
    <row r="652" spans="1:40" x14ac:dyDescent="0.3">
      <c r="C652" s="42"/>
      <c r="D652" s="42"/>
      <c r="E652" s="42"/>
      <c r="F652" s="123"/>
      <c r="H652" s="123"/>
      <c r="I652" s="123"/>
      <c r="J652" s="219"/>
      <c r="K652" s="219"/>
      <c r="L652" s="123"/>
      <c r="M652" s="123"/>
      <c r="N652" s="219"/>
      <c r="O652" s="219"/>
      <c r="P652" s="123"/>
      <c r="Q652" s="123"/>
      <c r="R652" s="123"/>
      <c r="T652" s="42"/>
      <c r="U652" s="42"/>
      <c r="V652" s="123"/>
      <c r="Y652" s="123"/>
      <c r="Z652" s="219"/>
      <c r="AA652" s="123"/>
      <c r="AB652" s="123"/>
      <c r="AC652" s="219"/>
      <c r="AD652" s="219"/>
      <c r="AE652" s="123"/>
      <c r="AF652" s="123"/>
      <c r="AH652" s="236"/>
      <c r="AI652" s="123"/>
      <c r="AJ652" s="123"/>
      <c r="AL652" s="123"/>
      <c r="AM652" s="160"/>
      <c r="AN652" s="160"/>
    </row>
    <row r="653" spans="1:40" x14ac:dyDescent="0.3">
      <c r="C653" s="42"/>
      <c r="D653" s="42"/>
      <c r="E653" s="42"/>
      <c r="F653" s="123"/>
      <c r="H653" s="123"/>
      <c r="I653" s="123"/>
      <c r="J653" s="219"/>
      <c r="K653" s="219"/>
      <c r="L653" s="123"/>
      <c r="M653" s="123"/>
      <c r="N653" s="219"/>
      <c r="O653" s="219"/>
      <c r="P653" s="123"/>
      <c r="Q653" s="123"/>
      <c r="R653" s="123"/>
      <c r="T653" s="42"/>
      <c r="U653" s="42"/>
      <c r="V653" s="123"/>
      <c r="Y653" s="123"/>
      <c r="Z653" s="219"/>
      <c r="AA653" s="123"/>
      <c r="AB653" s="123"/>
      <c r="AC653" s="219"/>
      <c r="AD653" s="219"/>
      <c r="AE653" s="123"/>
      <c r="AF653" s="123"/>
      <c r="AH653" s="236"/>
      <c r="AI653" s="123"/>
      <c r="AJ653" s="123"/>
      <c r="AL653" s="123"/>
      <c r="AM653" s="160"/>
      <c r="AN653" s="160"/>
    </row>
    <row r="654" spans="1:40" x14ac:dyDescent="0.3">
      <c r="C654" s="42"/>
      <c r="D654" s="42"/>
      <c r="E654" s="42"/>
      <c r="F654" s="123"/>
      <c r="H654" s="123"/>
      <c r="I654" s="123"/>
      <c r="J654" s="219"/>
      <c r="K654" s="219"/>
      <c r="L654" s="123"/>
      <c r="M654" s="123"/>
      <c r="N654" s="219"/>
      <c r="O654" s="219"/>
      <c r="P654" s="123"/>
      <c r="Q654" s="123"/>
      <c r="R654" s="123"/>
      <c r="T654" s="42"/>
      <c r="U654" s="42"/>
      <c r="V654" s="123"/>
      <c r="Y654" s="123"/>
      <c r="Z654" s="219"/>
      <c r="AA654" s="123"/>
      <c r="AB654" s="123"/>
      <c r="AC654" s="219"/>
      <c r="AD654" s="219"/>
      <c r="AE654" s="123"/>
      <c r="AF654" s="123"/>
      <c r="AH654" s="236"/>
      <c r="AI654" s="123"/>
      <c r="AJ654" s="123"/>
      <c r="AL654" s="123"/>
      <c r="AM654" s="160"/>
      <c r="AN654" s="160"/>
    </row>
    <row r="655" spans="1:40" x14ac:dyDescent="0.3">
      <c r="C655" s="42"/>
      <c r="D655" s="42"/>
      <c r="E655" s="42"/>
      <c r="F655" s="123"/>
      <c r="H655" s="123"/>
      <c r="I655" s="123"/>
      <c r="J655" s="219"/>
      <c r="K655" s="219"/>
      <c r="L655" s="123"/>
      <c r="M655" s="123"/>
      <c r="N655" s="219"/>
      <c r="O655" s="219"/>
      <c r="P655" s="123"/>
      <c r="Q655" s="123"/>
      <c r="R655" s="123"/>
      <c r="T655" s="42"/>
      <c r="U655" s="42"/>
      <c r="V655" s="123"/>
      <c r="Y655" s="123"/>
      <c r="Z655" s="219"/>
      <c r="AA655" s="123"/>
      <c r="AB655" s="123"/>
      <c r="AC655" s="219"/>
      <c r="AD655" s="219"/>
      <c r="AE655" s="123"/>
      <c r="AF655" s="123"/>
      <c r="AH655" s="236"/>
      <c r="AI655" s="123"/>
      <c r="AJ655" s="123"/>
      <c r="AL655" s="123"/>
      <c r="AM655" s="160"/>
      <c r="AN655" s="160"/>
    </row>
    <row r="656" spans="1:40" x14ac:dyDescent="0.3">
      <c r="C656" s="42"/>
      <c r="D656" s="42"/>
      <c r="E656" s="42"/>
      <c r="F656" s="123"/>
      <c r="H656" s="123"/>
      <c r="I656" s="123"/>
      <c r="J656" s="219"/>
      <c r="K656" s="219"/>
      <c r="L656" s="123"/>
      <c r="M656" s="123"/>
      <c r="N656" s="219"/>
      <c r="O656" s="219"/>
      <c r="P656" s="123"/>
      <c r="Q656" s="123"/>
      <c r="R656" s="123"/>
      <c r="T656" s="42"/>
      <c r="U656" s="42"/>
      <c r="V656" s="123"/>
      <c r="Y656" s="123"/>
      <c r="Z656" s="219"/>
      <c r="AA656" s="123"/>
      <c r="AB656" s="123"/>
      <c r="AC656" s="219"/>
      <c r="AD656" s="219"/>
      <c r="AE656" s="123"/>
      <c r="AF656" s="123"/>
      <c r="AH656" s="236"/>
      <c r="AI656" s="123"/>
      <c r="AJ656" s="123"/>
      <c r="AL656" s="123"/>
      <c r="AM656" s="160"/>
      <c r="AN656" s="160"/>
    </row>
    <row r="657" spans="3:40" x14ac:dyDescent="0.3">
      <c r="C657" s="42"/>
      <c r="D657" s="42"/>
      <c r="E657" s="42"/>
      <c r="F657" s="123"/>
      <c r="H657" s="123"/>
      <c r="I657" s="123"/>
      <c r="J657" s="219"/>
      <c r="K657" s="219"/>
      <c r="L657" s="123"/>
      <c r="M657" s="123"/>
      <c r="N657" s="219"/>
      <c r="O657" s="219"/>
      <c r="P657" s="123"/>
      <c r="Q657" s="123"/>
      <c r="R657" s="123"/>
      <c r="T657" s="42"/>
      <c r="U657" s="42"/>
      <c r="V657" s="123"/>
      <c r="Y657" s="123"/>
      <c r="Z657" s="219"/>
      <c r="AA657" s="123"/>
      <c r="AB657" s="123"/>
      <c r="AC657" s="219"/>
      <c r="AD657" s="219"/>
      <c r="AE657" s="123"/>
      <c r="AF657" s="123"/>
      <c r="AH657" s="236"/>
      <c r="AI657" s="123"/>
      <c r="AJ657" s="123"/>
      <c r="AL657" s="123"/>
      <c r="AM657" s="160"/>
      <c r="AN657" s="160"/>
    </row>
    <row r="658" spans="3:40" x14ac:dyDescent="0.3">
      <c r="F658" s="123"/>
      <c r="H658" s="210"/>
      <c r="I658" s="210"/>
      <c r="J658" s="213"/>
      <c r="K658" s="213"/>
      <c r="L658" s="210"/>
      <c r="M658" s="210"/>
      <c r="N658" s="210"/>
      <c r="O658" s="210"/>
      <c r="P658" s="210"/>
      <c r="Q658" s="210"/>
      <c r="R658" s="210"/>
      <c r="V658" s="210"/>
      <c r="Y658" s="210"/>
      <c r="Z658" s="213"/>
      <c r="AA658" s="210"/>
      <c r="AB658" s="210"/>
      <c r="AC658" s="210"/>
      <c r="AD658" s="210"/>
      <c r="AE658" s="210"/>
      <c r="AF658" s="210"/>
      <c r="AI658" s="210"/>
      <c r="AJ658" s="210"/>
      <c r="AK658" s="214"/>
      <c r="AL658" s="210"/>
      <c r="AM658" s="160"/>
      <c r="AN658" s="160"/>
    </row>
    <row r="659" spans="3:40" x14ac:dyDescent="0.3">
      <c r="C659" s="42"/>
      <c r="F659" s="210"/>
      <c r="H659" s="123"/>
      <c r="I659" s="123"/>
      <c r="J659" s="219"/>
      <c r="K659" s="219"/>
      <c r="L659" s="123"/>
      <c r="M659" s="123"/>
      <c r="N659" s="219"/>
      <c r="O659" s="219"/>
      <c r="P659" s="123"/>
      <c r="Q659" s="123"/>
      <c r="R659" s="123"/>
      <c r="T659" s="42"/>
      <c r="V659" s="123"/>
      <c r="Y659" s="123"/>
      <c r="Z659" s="219"/>
      <c r="AA659" s="123"/>
      <c r="AB659" s="123"/>
      <c r="AC659" s="219"/>
      <c r="AD659" s="219"/>
      <c r="AE659" s="123"/>
      <c r="AF659" s="123"/>
      <c r="AH659" s="236"/>
      <c r="AI659" s="123"/>
      <c r="AJ659" s="123"/>
      <c r="AL659" s="123"/>
      <c r="AM659" s="160"/>
      <c r="AN659" s="160"/>
    </row>
    <row r="660" spans="3:40" x14ac:dyDescent="0.3">
      <c r="F660" s="123"/>
      <c r="H660" s="123"/>
      <c r="I660" s="123"/>
      <c r="J660" s="219"/>
      <c r="K660" s="219"/>
      <c r="L660" s="123"/>
      <c r="M660" s="123"/>
      <c r="N660" s="219"/>
      <c r="O660" s="219"/>
      <c r="P660" s="123"/>
      <c r="Q660" s="123"/>
      <c r="R660" s="123"/>
      <c r="V660" s="123"/>
      <c r="Y660" s="123"/>
      <c r="Z660" s="219"/>
      <c r="AA660" s="123"/>
      <c r="AB660" s="123"/>
      <c r="AC660" s="219"/>
      <c r="AD660" s="219"/>
      <c r="AH660" s="236"/>
      <c r="AI660" s="123"/>
      <c r="AJ660" s="123"/>
      <c r="AL660" s="123"/>
      <c r="AM660" s="160"/>
      <c r="AN660" s="160"/>
    </row>
    <row r="661" spans="3:40" x14ac:dyDescent="0.3">
      <c r="C661" s="42"/>
      <c r="D661" s="42"/>
      <c r="E661" s="42"/>
      <c r="F661" s="123"/>
      <c r="H661" s="123"/>
      <c r="I661" s="123"/>
      <c r="J661" s="219"/>
      <c r="K661" s="219"/>
      <c r="L661" s="123"/>
      <c r="M661" s="123"/>
      <c r="N661" s="219"/>
      <c r="O661" s="219"/>
      <c r="P661" s="123"/>
      <c r="Q661" s="123"/>
      <c r="R661" s="123"/>
      <c r="T661" s="42"/>
      <c r="U661" s="42"/>
      <c r="V661" s="123"/>
      <c r="Y661" s="123"/>
      <c r="Z661" s="219"/>
      <c r="AA661" s="123"/>
      <c r="AB661" s="123"/>
      <c r="AC661" s="219"/>
      <c r="AD661" s="219"/>
      <c r="AE661" s="123"/>
      <c r="AF661" s="123"/>
      <c r="AH661" s="236"/>
      <c r="AI661" s="123"/>
      <c r="AJ661" s="123"/>
      <c r="AL661" s="123"/>
      <c r="AM661" s="160"/>
      <c r="AN661" s="160"/>
    </row>
    <row r="662" spans="3:40" x14ac:dyDescent="0.3">
      <c r="F662" s="123"/>
      <c r="H662" s="210"/>
      <c r="I662" s="210"/>
      <c r="J662" s="213"/>
      <c r="K662" s="213"/>
      <c r="L662" s="210"/>
      <c r="M662" s="210"/>
      <c r="N662" s="210"/>
      <c r="O662" s="210"/>
      <c r="P662" s="210"/>
      <c r="Q662" s="210"/>
      <c r="R662" s="210"/>
      <c r="V662" s="210"/>
      <c r="Y662" s="210"/>
      <c r="Z662" s="213"/>
      <c r="AA662" s="210"/>
      <c r="AB662" s="210"/>
      <c r="AC662" s="210"/>
      <c r="AD662" s="210"/>
      <c r="AE662" s="210"/>
      <c r="AF662" s="210"/>
      <c r="AI662" s="210"/>
      <c r="AJ662" s="210"/>
      <c r="AK662" s="214"/>
      <c r="AL662" s="210"/>
      <c r="AM662" s="160"/>
      <c r="AN662" s="160"/>
    </row>
    <row r="663" spans="3:40" x14ac:dyDescent="0.3">
      <c r="C663" s="42"/>
      <c r="F663" s="210"/>
      <c r="H663" s="123"/>
      <c r="I663" s="123"/>
      <c r="J663" s="219"/>
      <c r="K663" s="219"/>
      <c r="L663" s="123"/>
      <c r="M663" s="123"/>
      <c r="N663" s="219"/>
      <c r="O663" s="219"/>
      <c r="P663" s="123"/>
      <c r="Q663" s="123"/>
      <c r="R663" s="123"/>
      <c r="T663" s="42"/>
      <c r="V663" s="123"/>
      <c r="Y663" s="123"/>
      <c r="Z663" s="219"/>
      <c r="AA663" s="123"/>
      <c r="AB663" s="123"/>
      <c r="AC663" s="219"/>
      <c r="AD663" s="219"/>
      <c r="AE663" s="123"/>
      <c r="AF663" s="123"/>
      <c r="AH663" s="236"/>
      <c r="AI663" s="123"/>
      <c r="AJ663" s="123"/>
      <c r="AL663" s="123"/>
      <c r="AM663" s="160"/>
      <c r="AN663" s="160"/>
    </row>
    <row r="664" spans="3:40" x14ac:dyDescent="0.3">
      <c r="F664" s="123"/>
      <c r="H664" s="123"/>
      <c r="I664" s="123"/>
      <c r="J664" s="219"/>
      <c r="K664" s="219"/>
      <c r="L664" s="123"/>
      <c r="M664" s="123"/>
      <c r="N664" s="219"/>
      <c r="O664" s="219"/>
      <c r="P664" s="123"/>
      <c r="Q664" s="123"/>
      <c r="R664" s="123"/>
      <c r="V664" s="123"/>
      <c r="Y664" s="123"/>
      <c r="Z664" s="219"/>
      <c r="AA664" s="123"/>
      <c r="AB664" s="123"/>
      <c r="AC664" s="219"/>
      <c r="AD664" s="219"/>
      <c r="AH664" s="236"/>
      <c r="AI664" s="123"/>
      <c r="AJ664" s="123"/>
      <c r="AL664" s="123"/>
      <c r="AM664" s="160"/>
      <c r="AN664" s="160"/>
    </row>
    <row r="665" spans="3:40" x14ac:dyDescent="0.3">
      <c r="C665" s="42"/>
      <c r="D665" s="42"/>
      <c r="E665" s="42"/>
      <c r="F665" s="123"/>
      <c r="H665" s="123"/>
      <c r="I665" s="123"/>
      <c r="J665" s="219"/>
      <c r="K665" s="219"/>
      <c r="L665" s="123"/>
      <c r="M665" s="123"/>
      <c r="N665" s="219"/>
      <c r="O665" s="219"/>
      <c r="P665" s="123"/>
      <c r="Q665" s="123"/>
      <c r="R665" s="123"/>
      <c r="T665" s="42"/>
      <c r="U665" s="42"/>
      <c r="V665" s="123"/>
      <c r="Y665" s="123"/>
      <c r="Z665" s="219"/>
      <c r="AA665" s="123"/>
      <c r="AB665" s="123"/>
      <c r="AC665" s="219"/>
      <c r="AD665" s="219"/>
      <c r="AE665" s="123"/>
      <c r="AF665" s="123"/>
      <c r="AH665" s="236"/>
      <c r="AI665" s="123"/>
      <c r="AJ665" s="123"/>
      <c r="AL665" s="123"/>
      <c r="AM665" s="160"/>
      <c r="AN665" s="160"/>
    </row>
    <row r="666" spans="3:40" x14ac:dyDescent="0.3">
      <c r="C666" s="42"/>
      <c r="D666" s="42"/>
      <c r="E666" s="42"/>
      <c r="F666" s="123"/>
      <c r="G666" s="123"/>
      <c r="H666" s="123"/>
      <c r="I666" s="123"/>
      <c r="J666" s="219"/>
      <c r="K666" s="219"/>
      <c r="L666" s="123"/>
      <c r="M666" s="123"/>
      <c r="N666" s="219"/>
      <c r="O666" s="219"/>
      <c r="P666" s="123"/>
      <c r="Q666" s="123"/>
      <c r="R666" s="123"/>
      <c r="T666" s="42"/>
      <c r="U666" s="42"/>
      <c r="V666" s="123"/>
      <c r="W666" s="123"/>
      <c r="X666" s="123"/>
      <c r="Y666" s="123"/>
      <c r="Z666" s="219"/>
      <c r="AA666" s="123"/>
      <c r="AB666" s="123"/>
      <c r="AC666" s="219"/>
      <c r="AD666" s="219"/>
      <c r="AE666" s="123"/>
      <c r="AF666" s="123"/>
      <c r="AH666" s="236"/>
      <c r="AI666" s="123"/>
      <c r="AJ666" s="123"/>
      <c r="AL666" s="123"/>
      <c r="AM666" s="160"/>
      <c r="AN666" s="160"/>
    </row>
    <row r="667" spans="3:40" x14ac:dyDescent="0.3">
      <c r="C667" s="42"/>
      <c r="D667" s="42"/>
      <c r="E667" s="42"/>
      <c r="F667" s="123"/>
      <c r="G667" s="123"/>
      <c r="H667" s="123"/>
      <c r="I667" s="123"/>
      <c r="J667" s="219"/>
      <c r="K667" s="219"/>
      <c r="L667" s="123"/>
      <c r="M667" s="123"/>
      <c r="N667" s="219"/>
      <c r="O667" s="219"/>
      <c r="P667" s="123"/>
      <c r="Q667" s="123"/>
      <c r="R667" s="123"/>
      <c r="T667" s="42"/>
      <c r="U667" s="42"/>
      <c r="V667" s="123"/>
      <c r="W667" s="123"/>
      <c r="X667" s="123"/>
      <c r="Y667" s="123"/>
      <c r="Z667" s="219"/>
      <c r="AA667" s="123"/>
      <c r="AB667" s="123"/>
      <c r="AC667" s="219"/>
      <c r="AD667" s="219"/>
      <c r="AE667" s="123"/>
      <c r="AF667" s="123"/>
      <c r="AH667" s="236"/>
      <c r="AI667" s="123"/>
      <c r="AJ667" s="123"/>
      <c r="AL667" s="123"/>
      <c r="AM667" s="160"/>
      <c r="AN667" s="160"/>
    </row>
    <row r="668" spans="3:40" x14ac:dyDescent="0.3">
      <c r="C668" s="42"/>
      <c r="D668" s="42"/>
      <c r="E668" s="42"/>
      <c r="F668" s="123"/>
      <c r="H668" s="123"/>
      <c r="I668" s="123"/>
      <c r="J668" s="219"/>
      <c r="K668" s="219"/>
      <c r="L668" s="123"/>
      <c r="M668" s="123"/>
      <c r="N668" s="219"/>
      <c r="O668" s="219"/>
      <c r="P668" s="123"/>
      <c r="Q668" s="123"/>
      <c r="R668" s="123"/>
      <c r="T668" s="42"/>
      <c r="U668" s="42"/>
      <c r="V668" s="123"/>
      <c r="Y668" s="123"/>
      <c r="Z668" s="219"/>
      <c r="AA668" s="123"/>
      <c r="AB668" s="123"/>
      <c r="AC668" s="219"/>
      <c r="AD668" s="219"/>
      <c r="AE668" s="123"/>
      <c r="AF668" s="123"/>
      <c r="AH668" s="236"/>
      <c r="AI668" s="123"/>
      <c r="AJ668" s="123"/>
      <c r="AL668" s="123"/>
      <c r="AM668" s="160"/>
      <c r="AN668" s="160"/>
    </row>
    <row r="669" spans="3:40" x14ac:dyDescent="0.3">
      <c r="C669" s="42"/>
      <c r="D669" s="42"/>
      <c r="E669" s="42"/>
      <c r="F669" s="123"/>
      <c r="H669" s="123"/>
      <c r="I669" s="123"/>
      <c r="J669" s="219"/>
      <c r="K669" s="219"/>
      <c r="L669" s="123"/>
      <c r="M669" s="123"/>
      <c r="N669" s="219"/>
      <c r="O669" s="219"/>
      <c r="P669" s="123"/>
      <c r="Q669" s="123"/>
      <c r="R669" s="123"/>
      <c r="T669" s="42"/>
      <c r="U669" s="42"/>
      <c r="V669" s="123"/>
      <c r="Y669" s="123"/>
      <c r="Z669" s="219"/>
      <c r="AA669" s="123"/>
      <c r="AB669" s="123"/>
      <c r="AC669" s="219"/>
      <c r="AD669" s="219"/>
      <c r="AE669" s="123"/>
      <c r="AF669" s="123"/>
      <c r="AH669" s="236"/>
      <c r="AI669" s="123"/>
      <c r="AJ669" s="123"/>
      <c r="AL669" s="123"/>
      <c r="AM669" s="160"/>
      <c r="AN669" s="160"/>
    </row>
    <row r="670" spans="3:40" x14ac:dyDescent="0.3">
      <c r="C670" s="42"/>
      <c r="D670" s="42"/>
      <c r="E670" s="42"/>
      <c r="F670" s="123"/>
      <c r="H670" s="123"/>
      <c r="I670" s="123"/>
      <c r="J670" s="219"/>
      <c r="K670" s="219"/>
      <c r="L670" s="123"/>
      <c r="M670" s="123"/>
      <c r="N670" s="219"/>
      <c r="O670" s="219"/>
      <c r="P670" s="123"/>
      <c r="Q670" s="123"/>
      <c r="R670" s="123"/>
      <c r="T670" s="42"/>
      <c r="U670" s="42"/>
      <c r="V670" s="123"/>
      <c r="Y670" s="123"/>
      <c r="Z670" s="219"/>
      <c r="AA670" s="123"/>
      <c r="AB670" s="123"/>
      <c r="AC670" s="219"/>
      <c r="AD670" s="219"/>
      <c r="AE670" s="123"/>
      <c r="AF670" s="123"/>
      <c r="AH670" s="236"/>
      <c r="AI670" s="123"/>
      <c r="AJ670" s="123"/>
      <c r="AL670" s="123"/>
      <c r="AM670" s="160"/>
      <c r="AN670" s="160"/>
    </row>
    <row r="671" spans="3:40" x14ac:dyDescent="0.3">
      <c r="C671" s="42"/>
      <c r="D671" s="42"/>
      <c r="E671" s="42"/>
      <c r="F671" s="123"/>
      <c r="H671" s="123"/>
      <c r="I671" s="123"/>
      <c r="J671" s="219"/>
      <c r="K671" s="219"/>
      <c r="L671" s="123"/>
      <c r="M671" s="123"/>
      <c r="N671" s="219"/>
      <c r="O671" s="219"/>
      <c r="P671" s="123"/>
      <c r="Q671" s="123"/>
      <c r="R671" s="123"/>
      <c r="T671" s="42"/>
      <c r="U671" s="42"/>
      <c r="V671" s="123"/>
      <c r="Y671" s="123"/>
      <c r="Z671" s="219"/>
      <c r="AA671" s="123"/>
      <c r="AB671" s="123"/>
      <c r="AC671" s="219"/>
      <c r="AD671" s="219"/>
      <c r="AE671" s="123"/>
      <c r="AF671" s="123"/>
      <c r="AH671" s="236"/>
      <c r="AI671" s="123"/>
      <c r="AJ671" s="123"/>
      <c r="AL671" s="123"/>
      <c r="AM671" s="160"/>
      <c r="AN671" s="160"/>
    </row>
    <row r="672" spans="3:40" x14ac:dyDescent="0.3">
      <c r="F672" s="123"/>
      <c r="H672" s="210"/>
      <c r="I672" s="210"/>
      <c r="J672" s="213"/>
      <c r="K672" s="213"/>
      <c r="L672" s="210"/>
      <c r="M672" s="210"/>
      <c r="N672" s="210"/>
      <c r="O672" s="210"/>
      <c r="P672" s="210"/>
      <c r="Q672" s="210"/>
      <c r="R672" s="210"/>
      <c r="V672" s="210"/>
      <c r="Y672" s="210"/>
      <c r="Z672" s="213"/>
      <c r="AA672" s="210"/>
      <c r="AB672" s="210"/>
      <c r="AC672" s="210"/>
      <c r="AD672" s="210"/>
      <c r="AE672" s="210"/>
      <c r="AF672" s="210"/>
      <c r="AI672" s="210"/>
      <c r="AJ672" s="210"/>
      <c r="AK672" s="214"/>
      <c r="AL672" s="210"/>
      <c r="AM672" s="160"/>
      <c r="AN672" s="160"/>
    </row>
    <row r="673" spans="3:40" x14ac:dyDescent="0.3">
      <c r="C673" s="42"/>
      <c r="F673" s="210"/>
      <c r="H673" s="123"/>
      <c r="I673" s="123"/>
      <c r="J673" s="219"/>
      <c r="K673" s="219"/>
      <c r="L673" s="123"/>
      <c r="M673" s="123"/>
      <c r="N673" s="219"/>
      <c r="O673" s="219"/>
      <c r="P673" s="123"/>
      <c r="Q673" s="123"/>
      <c r="R673" s="123"/>
      <c r="T673" s="42"/>
      <c r="V673" s="123"/>
      <c r="Y673" s="123"/>
      <c r="Z673" s="219"/>
      <c r="AA673" s="123"/>
      <c r="AB673" s="123"/>
      <c r="AC673" s="219"/>
      <c r="AD673" s="219"/>
      <c r="AE673" s="123"/>
      <c r="AF673" s="123"/>
      <c r="AH673" s="236"/>
      <c r="AI673" s="123"/>
      <c r="AJ673" s="123"/>
      <c r="AL673" s="123"/>
      <c r="AM673" s="160"/>
      <c r="AN673" s="160"/>
    </row>
    <row r="674" spans="3:40" x14ac:dyDescent="0.3">
      <c r="F674" s="123"/>
      <c r="V674" s="123"/>
      <c r="Y674" s="123"/>
      <c r="Z674" s="213"/>
      <c r="AA674" s="123"/>
      <c r="AB674" s="123"/>
      <c r="AC674" s="123"/>
      <c r="AD674" s="123"/>
      <c r="AE674" s="123"/>
      <c r="AF674" s="123"/>
      <c r="AI674" s="123"/>
      <c r="AJ674" s="123"/>
      <c r="AL674" s="123"/>
      <c r="AM674" s="160"/>
      <c r="AN674" s="160"/>
    </row>
    <row r="675" spans="3:40" x14ac:dyDescent="0.3">
      <c r="C675" s="42"/>
      <c r="D675" s="42"/>
      <c r="E675" s="42"/>
      <c r="L675" s="123"/>
      <c r="M675" s="123"/>
      <c r="N675" s="219"/>
      <c r="O675" s="219"/>
      <c r="R675" s="123"/>
      <c r="T675" s="42"/>
      <c r="U675" s="42"/>
      <c r="AA675" s="123"/>
      <c r="AB675" s="123"/>
      <c r="AC675" s="219"/>
      <c r="AD675" s="219"/>
      <c r="AE675" s="123"/>
      <c r="AF675" s="123"/>
      <c r="AH675" s="236"/>
      <c r="AL675" s="123"/>
      <c r="AM675" s="160"/>
      <c r="AN675" s="160"/>
    </row>
    <row r="676" spans="3:40" x14ac:dyDescent="0.3">
      <c r="D676" s="42"/>
      <c r="E676" s="42"/>
      <c r="H676" s="184"/>
      <c r="I676" s="184"/>
      <c r="J676" s="219"/>
      <c r="K676" s="219"/>
      <c r="L676" s="123"/>
      <c r="M676" s="123"/>
      <c r="N676" s="219"/>
      <c r="O676" s="219"/>
      <c r="P676" s="184"/>
      <c r="Q676" s="184"/>
      <c r="R676" s="123"/>
      <c r="U676" s="42"/>
      <c r="V676" s="123"/>
      <c r="Y676" s="123"/>
      <c r="Z676" s="219"/>
      <c r="AA676" s="123"/>
      <c r="AB676" s="123"/>
      <c r="AC676" s="219"/>
      <c r="AD676" s="219"/>
      <c r="AE676" s="123"/>
      <c r="AF676" s="123"/>
      <c r="AH676" s="236"/>
      <c r="AI676" s="123"/>
      <c r="AJ676" s="123"/>
      <c r="AL676" s="123"/>
      <c r="AM676" s="160"/>
      <c r="AN676" s="160"/>
    </row>
    <row r="677" spans="3:40" x14ac:dyDescent="0.3">
      <c r="F677" s="184"/>
      <c r="H677" s="210"/>
      <c r="I677" s="210"/>
      <c r="J677" s="213"/>
      <c r="K677" s="213"/>
      <c r="L677" s="210"/>
      <c r="M677" s="210"/>
      <c r="N677" s="210"/>
      <c r="O677" s="210"/>
      <c r="P677" s="210"/>
      <c r="Q677" s="210"/>
      <c r="R677" s="210"/>
      <c r="V677" s="210"/>
      <c r="Y677" s="210"/>
      <c r="Z677" s="213"/>
      <c r="AA677" s="210"/>
      <c r="AB677" s="210"/>
      <c r="AC677" s="210"/>
      <c r="AD677" s="210"/>
      <c r="AE677" s="210"/>
      <c r="AF677" s="210"/>
      <c r="AI677" s="210"/>
      <c r="AJ677" s="210"/>
      <c r="AK677" s="214"/>
      <c r="AL677" s="210"/>
      <c r="AM677" s="160"/>
      <c r="AN677" s="160"/>
    </row>
    <row r="678" spans="3:40" x14ac:dyDescent="0.3">
      <c r="C678" s="42"/>
      <c r="F678" s="210"/>
      <c r="H678" s="123"/>
      <c r="I678" s="123"/>
      <c r="J678" s="219"/>
      <c r="K678" s="219"/>
      <c r="L678" s="123"/>
      <c r="M678" s="123"/>
      <c r="N678" s="219"/>
      <c r="O678" s="219"/>
      <c r="P678" s="123"/>
      <c r="Q678" s="123"/>
      <c r="R678" s="123"/>
      <c r="T678" s="42"/>
      <c r="V678" s="123"/>
      <c r="Y678" s="123"/>
      <c r="Z678" s="219"/>
      <c r="AA678" s="123"/>
      <c r="AB678" s="123"/>
      <c r="AC678" s="219"/>
      <c r="AD678" s="219"/>
      <c r="AE678" s="123"/>
      <c r="AF678" s="123"/>
      <c r="AH678" s="236"/>
      <c r="AI678" s="123"/>
      <c r="AJ678" s="123"/>
      <c r="AL678" s="123"/>
      <c r="AM678" s="160"/>
      <c r="AN678" s="160"/>
    </row>
    <row r="679" spans="3:40" x14ac:dyDescent="0.3">
      <c r="F679" s="123"/>
      <c r="H679" s="123"/>
      <c r="I679" s="123"/>
      <c r="J679" s="219"/>
      <c r="K679" s="219"/>
      <c r="L679" s="123"/>
      <c r="M679" s="123"/>
      <c r="N679" s="219"/>
      <c r="O679" s="219"/>
      <c r="P679" s="123"/>
      <c r="Q679" s="123"/>
      <c r="R679" s="123"/>
      <c r="V679" s="123"/>
      <c r="Y679" s="123"/>
      <c r="Z679" s="219"/>
      <c r="AA679" s="123"/>
      <c r="AB679" s="123"/>
      <c r="AC679" s="219"/>
      <c r="AD679" s="219"/>
      <c r="AH679" s="236"/>
      <c r="AI679" s="123"/>
      <c r="AJ679" s="123"/>
      <c r="AL679" s="123"/>
      <c r="AM679" s="160"/>
      <c r="AN679" s="160"/>
    </row>
    <row r="680" spans="3:40" x14ac:dyDescent="0.3">
      <c r="D680" s="42"/>
      <c r="E680" s="42"/>
      <c r="F680" s="123"/>
      <c r="H680" s="123"/>
      <c r="I680" s="123"/>
      <c r="J680" s="219"/>
      <c r="K680" s="219"/>
      <c r="L680" s="184"/>
      <c r="M680" s="184"/>
      <c r="N680" s="219"/>
      <c r="O680" s="219"/>
      <c r="P680" s="123"/>
      <c r="Q680" s="123"/>
      <c r="R680" s="123"/>
      <c r="U680" s="42"/>
      <c r="V680" s="123"/>
      <c r="Y680" s="123"/>
      <c r="Z680" s="219"/>
      <c r="AA680" s="184"/>
      <c r="AB680" s="184"/>
      <c r="AC680" s="219"/>
      <c r="AD680" s="219"/>
      <c r="AE680" s="123"/>
      <c r="AF680" s="123"/>
      <c r="AH680" s="236"/>
      <c r="AI680" s="123"/>
      <c r="AJ680" s="123"/>
      <c r="AL680" s="123"/>
      <c r="AM680" s="160"/>
      <c r="AN680" s="160"/>
    </row>
    <row r="681" spans="3:40" x14ac:dyDescent="0.3">
      <c r="D681" s="42"/>
      <c r="E681" s="42"/>
      <c r="F681" s="123"/>
      <c r="H681" s="123"/>
      <c r="I681" s="123"/>
      <c r="J681" s="219"/>
      <c r="K681" s="219"/>
      <c r="L681" s="184"/>
      <c r="M681" s="184"/>
      <c r="N681" s="219"/>
      <c r="O681" s="219"/>
      <c r="P681" s="123"/>
      <c r="Q681" s="123"/>
      <c r="R681" s="123"/>
      <c r="U681" s="42"/>
      <c r="V681" s="123"/>
      <c r="Y681" s="123"/>
      <c r="Z681" s="219"/>
      <c r="AA681" s="184"/>
      <c r="AB681" s="184"/>
      <c r="AC681" s="219"/>
      <c r="AD681" s="219"/>
      <c r="AE681" s="123"/>
      <c r="AF681" s="123"/>
      <c r="AH681" s="236"/>
      <c r="AI681" s="123"/>
      <c r="AJ681" s="123"/>
      <c r="AL681" s="123"/>
      <c r="AM681" s="160"/>
      <c r="AN681" s="160"/>
    </row>
    <row r="682" spans="3:40" x14ac:dyDescent="0.3">
      <c r="D682" s="42"/>
      <c r="E682" s="42"/>
      <c r="F682" s="123"/>
      <c r="H682" s="123"/>
      <c r="I682" s="123"/>
      <c r="J682" s="219"/>
      <c r="K682" s="219"/>
      <c r="L682" s="184"/>
      <c r="M682" s="184"/>
      <c r="N682" s="219"/>
      <c r="O682" s="219"/>
      <c r="P682" s="123"/>
      <c r="Q682" s="123"/>
      <c r="R682" s="123"/>
      <c r="U682" s="42"/>
      <c r="V682" s="123"/>
      <c r="Y682" s="123"/>
      <c r="Z682" s="219"/>
      <c r="AA682" s="184"/>
      <c r="AB682" s="184"/>
      <c r="AC682" s="219"/>
      <c r="AD682" s="219"/>
      <c r="AE682" s="123"/>
      <c r="AF682" s="123"/>
      <c r="AH682" s="236"/>
      <c r="AI682" s="123"/>
      <c r="AJ682" s="123"/>
      <c r="AL682" s="123"/>
      <c r="AM682" s="160"/>
      <c r="AN682" s="160"/>
    </row>
    <row r="683" spans="3:40" x14ac:dyDescent="0.3">
      <c r="F683" s="123"/>
      <c r="H683" s="210"/>
      <c r="I683" s="210"/>
      <c r="J683" s="213"/>
      <c r="K683" s="213"/>
      <c r="L683" s="210"/>
      <c r="M683" s="210"/>
      <c r="N683" s="210"/>
      <c r="O683" s="210"/>
      <c r="P683" s="210"/>
      <c r="Q683" s="210"/>
      <c r="R683" s="210"/>
      <c r="V683" s="210"/>
      <c r="Y683" s="210"/>
      <c r="Z683" s="213"/>
      <c r="AA683" s="210"/>
      <c r="AB683" s="210"/>
      <c r="AC683" s="210"/>
      <c r="AD683" s="210"/>
      <c r="AE683" s="210"/>
      <c r="AF683" s="210"/>
      <c r="AI683" s="210"/>
      <c r="AJ683" s="210"/>
      <c r="AK683" s="214"/>
      <c r="AL683" s="210"/>
      <c r="AM683" s="160"/>
      <c r="AN683" s="160"/>
    </row>
    <row r="684" spans="3:40" x14ac:dyDescent="0.3">
      <c r="C684" s="42"/>
      <c r="F684" s="210"/>
      <c r="H684" s="123"/>
      <c r="I684" s="123"/>
      <c r="J684" s="219"/>
      <c r="K684" s="219"/>
      <c r="L684" s="123"/>
      <c r="M684" s="123"/>
      <c r="N684" s="219"/>
      <c r="O684" s="219"/>
      <c r="P684" s="123"/>
      <c r="Q684" s="123"/>
      <c r="R684" s="123"/>
      <c r="T684" s="42"/>
      <c r="V684" s="123"/>
      <c r="Y684" s="123"/>
      <c r="Z684" s="219"/>
      <c r="AA684" s="123"/>
      <c r="AB684" s="123"/>
      <c r="AC684" s="219"/>
      <c r="AD684" s="219"/>
      <c r="AE684" s="123"/>
      <c r="AF684" s="123"/>
      <c r="AH684" s="236"/>
      <c r="AI684" s="123"/>
      <c r="AJ684" s="123"/>
      <c r="AL684" s="123"/>
      <c r="AM684" s="160"/>
      <c r="AN684" s="160"/>
    </row>
    <row r="685" spans="3:40" x14ac:dyDescent="0.3">
      <c r="F685" s="123"/>
      <c r="H685" s="123"/>
      <c r="I685" s="123"/>
      <c r="J685" s="219"/>
      <c r="K685" s="219"/>
      <c r="L685" s="123"/>
      <c r="M685" s="123"/>
      <c r="N685" s="219"/>
      <c r="O685" s="219"/>
      <c r="P685" s="123"/>
      <c r="Q685" s="123"/>
      <c r="R685" s="123"/>
      <c r="V685" s="123"/>
      <c r="Y685" s="123"/>
      <c r="Z685" s="219"/>
      <c r="AA685" s="123"/>
      <c r="AB685" s="123"/>
      <c r="AC685" s="219"/>
      <c r="AD685" s="219"/>
      <c r="AH685" s="236"/>
      <c r="AI685" s="123"/>
      <c r="AJ685" s="123"/>
      <c r="AL685" s="123"/>
      <c r="AM685" s="160"/>
      <c r="AN685" s="160"/>
    </row>
    <row r="686" spans="3:40" x14ac:dyDescent="0.3">
      <c r="C686" s="42"/>
      <c r="F686" s="123"/>
      <c r="H686" s="123"/>
      <c r="I686" s="123"/>
      <c r="J686" s="219"/>
      <c r="K686" s="219"/>
      <c r="L686" s="123"/>
      <c r="M686" s="123"/>
      <c r="N686" s="219"/>
      <c r="O686" s="219"/>
      <c r="P686" s="123"/>
      <c r="Q686" s="123"/>
      <c r="R686" s="123"/>
      <c r="T686" s="42"/>
      <c r="V686" s="123"/>
      <c r="Y686" s="123"/>
      <c r="Z686" s="219"/>
      <c r="AA686" s="123"/>
      <c r="AB686" s="123"/>
      <c r="AC686" s="219"/>
      <c r="AD686" s="219"/>
      <c r="AE686" s="123"/>
      <c r="AF686" s="123"/>
      <c r="AH686" s="236"/>
      <c r="AI686" s="123"/>
      <c r="AJ686" s="123"/>
      <c r="AL686" s="123"/>
      <c r="AM686" s="160"/>
      <c r="AN686" s="160"/>
    </row>
    <row r="687" spans="3:40" x14ac:dyDescent="0.3">
      <c r="F687" s="123"/>
      <c r="H687" s="210"/>
      <c r="I687" s="210"/>
      <c r="J687" s="213"/>
      <c r="K687" s="213"/>
      <c r="L687" s="210"/>
      <c r="M687" s="210"/>
      <c r="N687" s="210"/>
      <c r="O687" s="210"/>
      <c r="P687" s="210"/>
      <c r="Q687" s="210"/>
      <c r="R687" s="210"/>
      <c r="V687" s="210"/>
      <c r="Y687" s="210"/>
      <c r="Z687" s="213"/>
      <c r="AA687" s="210"/>
      <c r="AB687" s="210"/>
      <c r="AC687" s="210"/>
      <c r="AD687" s="210"/>
      <c r="AE687" s="210"/>
      <c r="AF687" s="210"/>
      <c r="AI687" s="210"/>
      <c r="AJ687" s="210"/>
      <c r="AK687" s="214"/>
      <c r="AL687" s="210"/>
    </row>
    <row r="689" spans="1:20" x14ac:dyDescent="0.3">
      <c r="C689" s="42"/>
      <c r="F689" s="210"/>
      <c r="L689" s="123"/>
      <c r="M689" s="123"/>
      <c r="P689" s="123"/>
      <c r="Q689" s="123"/>
      <c r="R689" s="123"/>
      <c r="T689" s="42"/>
    </row>
    <row r="690" spans="1:20" x14ac:dyDescent="0.3">
      <c r="A690" s="42"/>
      <c r="L690" s="123"/>
      <c r="M690" s="123"/>
      <c r="P690" s="123"/>
      <c r="Q690" s="123"/>
      <c r="R690" s="123"/>
    </row>
    <row r="691" spans="1:20" x14ac:dyDescent="0.3">
      <c r="L691" s="123"/>
      <c r="M691" s="123"/>
      <c r="P691" s="123"/>
      <c r="Q691" s="123"/>
      <c r="R691" s="123"/>
    </row>
    <row r="692" spans="1:20" x14ac:dyDescent="0.3">
      <c r="L692" s="123"/>
      <c r="M692" s="123"/>
      <c r="P692" s="123"/>
      <c r="Q692" s="123"/>
      <c r="R692" s="123"/>
    </row>
    <row r="693" spans="1:20" x14ac:dyDescent="0.3">
      <c r="L693" s="123"/>
      <c r="M693" s="123"/>
      <c r="P693" s="123"/>
      <c r="Q693" s="123"/>
      <c r="R693" s="123"/>
    </row>
    <row r="694" spans="1:20" x14ac:dyDescent="0.3">
      <c r="L694" s="123"/>
      <c r="M694" s="123"/>
      <c r="P694" s="123"/>
      <c r="Q694" s="123"/>
      <c r="R694" s="123"/>
    </row>
    <row r="695" spans="1:20" x14ac:dyDescent="0.3">
      <c r="L695" s="123"/>
      <c r="M695" s="123"/>
      <c r="P695" s="123"/>
      <c r="Q695" s="123"/>
      <c r="R695" s="123"/>
    </row>
    <row r="728" spans="49:49" x14ac:dyDescent="0.3">
      <c r="AW728" s="123"/>
    </row>
    <row r="729" spans="49:49" x14ac:dyDescent="0.3">
      <c r="AW729" s="123"/>
    </row>
    <row r="730" spans="49:49" x14ac:dyDescent="0.3">
      <c r="AW730" s="123"/>
    </row>
    <row r="731" spans="49:49" x14ac:dyDescent="0.3">
      <c r="AW731" s="123"/>
    </row>
    <row r="732" spans="49:49" x14ac:dyDescent="0.3">
      <c r="AW732" s="123"/>
    </row>
    <row r="733" spans="49:49" x14ac:dyDescent="0.3">
      <c r="AW733" s="123"/>
    </row>
    <row r="736" spans="49:49" x14ac:dyDescent="0.3">
      <c r="AW736" s="123"/>
    </row>
    <row r="737" spans="49:49" x14ac:dyDescent="0.3">
      <c r="AW737" s="123"/>
    </row>
    <row r="738" spans="49:49" x14ac:dyDescent="0.3">
      <c r="AW738" s="123"/>
    </row>
    <row r="739" spans="49:49" x14ac:dyDescent="0.3">
      <c r="AW739" s="123"/>
    </row>
    <row r="740" spans="49:49" x14ac:dyDescent="0.3">
      <c r="AW740" s="123"/>
    </row>
    <row r="741" spans="49:49" x14ac:dyDescent="0.3">
      <c r="AW741" s="123"/>
    </row>
    <row r="742" spans="49:49" x14ac:dyDescent="0.3">
      <c r="AW742" s="123"/>
    </row>
    <row r="743" spans="49:49" x14ac:dyDescent="0.3">
      <c r="AW743" s="123"/>
    </row>
    <row r="746" spans="49:49" x14ac:dyDescent="0.3">
      <c r="AW746" s="123"/>
    </row>
    <row r="747" spans="49:49" x14ac:dyDescent="0.3">
      <c r="AW747" s="123"/>
    </row>
    <row r="750" spans="49:49" x14ac:dyDescent="0.3">
      <c r="AW750" s="123"/>
    </row>
    <row r="751" spans="49:49" x14ac:dyDescent="0.3">
      <c r="AW751" s="123"/>
    </row>
    <row r="752" spans="49:49" x14ac:dyDescent="0.3">
      <c r="AW752" s="123"/>
    </row>
    <row r="753" spans="45:57" x14ac:dyDescent="0.3">
      <c r="AW753" s="123"/>
    </row>
    <row r="761" spans="45:57" x14ac:dyDescent="0.3">
      <c r="AY761" s="42"/>
    </row>
    <row r="762" spans="45:57" x14ac:dyDescent="0.3">
      <c r="AY762" s="42"/>
    </row>
    <row r="763" spans="45:57" x14ac:dyDescent="0.3">
      <c r="BD763" s="42"/>
    </row>
    <row r="764" spans="45:57" x14ac:dyDescent="0.3">
      <c r="BD764" s="42"/>
    </row>
    <row r="765" spans="45:57" x14ac:dyDescent="0.3">
      <c r="AS765" s="42"/>
      <c r="BD765" s="42"/>
    </row>
    <row r="767" spans="45:57" x14ac:dyDescent="0.3">
      <c r="AS767" s="135"/>
      <c r="AT767" s="135"/>
      <c r="AU767" s="135"/>
      <c r="AV767" s="135"/>
      <c r="AW767" s="135"/>
      <c r="AX767" s="135"/>
      <c r="AY767" s="135"/>
      <c r="AZ767" s="135"/>
      <c r="BA767" s="135"/>
      <c r="BB767" s="135"/>
      <c r="BC767" s="135"/>
      <c r="BD767" s="135"/>
      <c r="BE767" s="135"/>
    </row>
    <row r="768" spans="45:57" x14ac:dyDescent="0.3">
      <c r="AX768" s="42"/>
    </row>
    <row r="769" spans="45:69" x14ac:dyDescent="0.3">
      <c r="AX769" s="135"/>
      <c r="AY769" s="135"/>
      <c r="AZ769" s="135"/>
      <c r="BA769" s="135"/>
      <c r="BC769" s="44"/>
      <c r="BD769" s="44"/>
    </row>
    <row r="770" spans="45:69" x14ac:dyDescent="0.3">
      <c r="AV770" s="44"/>
      <c r="AW770" s="44"/>
      <c r="AZ770" s="44"/>
      <c r="BA770" s="44"/>
      <c r="BC770" s="44"/>
      <c r="BD770" s="44"/>
      <c r="BE770" s="44"/>
      <c r="BG770" s="135"/>
      <c r="BH770" s="42"/>
      <c r="BK770" s="135"/>
      <c r="BM770" s="135"/>
      <c r="BN770" s="42"/>
      <c r="BQ770" s="135"/>
    </row>
    <row r="771" spans="45:69" x14ac:dyDescent="0.3"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H771" s="44"/>
      <c r="BI771" s="44"/>
      <c r="BJ771" s="44"/>
      <c r="BN771" s="44"/>
      <c r="BO771" s="44"/>
      <c r="BP771" s="44"/>
    </row>
    <row r="772" spans="45:69" x14ac:dyDescent="0.3">
      <c r="AS772" s="44"/>
      <c r="AU772" s="42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G772" s="44"/>
      <c r="BH772" s="44"/>
      <c r="BI772" s="44"/>
      <c r="BJ772" s="44"/>
      <c r="BK772" s="44"/>
      <c r="BM772" s="44"/>
      <c r="BN772" s="44"/>
      <c r="BO772" s="44"/>
      <c r="BP772" s="44"/>
      <c r="BQ772" s="44"/>
    </row>
    <row r="773" spans="45:69" x14ac:dyDescent="0.3">
      <c r="AS773" s="44"/>
      <c r="AU773" s="42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G773" s="44"/>
      <c r="BH773" s="44"/>
      <c r="BI773" s="44"/>
      <c r="BJ773" s="44"/>
      <c r="BK773" s="44"/>
      <c r="BM773" s="44"/>
      <c r="BN773" s="44"/>
      <c r="BO773" s="44"/>
      <c r="BP773" s="44"/>
      <c r="BQ773" s="44"/>
    </row>
    <row r="774" spans="45:69" x14ac:dyDescent="0.3">
      <c r="AS774" s="135"/>
      <c r="AT774" s="135"/>
      <c r="AU774" s="135"/>
      <c r="AV774" s="135"/>
      <c r="AW774" s="135"/>
      <c r="AX774" s="135"/>
      <c r="AY774" s="135"/>
      <c r="AZ774" s="135"/>
      <c r="BA774" s="135"/>
      <c r="BB774" s="135"/>
      <c r="BC774" s="135"/>
      <c r="BD774" s="135"/>
      <c r="BE774" s="135"/>
      <c r="BG774" s="135"/>
      <c r="BH774" s="135"/>
      <c r="BI774" s="135"/>
      <c r="BJ774" s="135"/>
      <c r="BK774" s="135"/>
      <c r="BM774" s="135"/>
      <c r="BN774" s="135"/>
      <c r="BO774" s="135"/>
      <c r="BP774" s="135"/>
      <c r="BQ774" s="135"/>
    </row>
    <row r="775" spans="45:69" x14ac:dyDescent="0.3"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</row>
    <row r="776" spans="45:69" x14ac:dyDescent="0.3">
      <c r="AU776" s="42"/>
      <c r="AV776" s="44"/>
      <c r="AY776" s="219"/>
    </row>
    <row r="777" spans="45:69" x14ac:dyDescent="0.3">
      <c r="AV777" s="44"/>
      <c r="AW777" s="123"/>
      <c r="AX777" s="188"/>
      <c r="AY777" s="188"/>
      <c r="AZ777" s="188"/>
      <c r="BA777" s="160"/>
      <c r="BB777" s="188"/>
      <c r="BC777" s="219"/>
      <c r="BD777" s="219"/>
      <c r="BE777" s="160"/>
      <c r="BG777" s="188"/>
      <c r="BH777" s="188"/>
      <c r="BI777" s="188"/>
      <c r="BJ777" s="188"/>
      <c r="BK777" s="188"/>
      <c r="BM777" s="188"/>
      <c r="BN777" s="188"/>
      <c r="BO777" s="188"/>
      <c r="BP777" s="188"/>
      <c r="BQ777" s="188"/>
    </row>
    <row r="778" spans="45:69" x14ac:dyDescent="0.3">
      <c r="AV778" s="44"/>
      <c r="AW778" s="123"/>
      <c r="AX778" s="188"/>
      <c r="AY778" s="188"/>
      <c r="AZ778" s="188"/>
      <c r="BA778" s="160"/>
      <c r="BB778" s="188"/>
      <c r="BC778" s="219"/>
      <c r="BD778" s="219"/>
      <c r="BE778" s="160"/>
      <c r="BG778" s="188"/>
      <c r="BH778" s="188"/>
      <c r="BI778" s="188"/>
      <c r="BJ778" s="188"/>
      <c r="BK778" s="188"/>
      <c r="BM778" s="188"/>
      <c r="BN778" s="188"/>
      <c r="BO778" s="188"/>
      <c r="BP778" s="188"/>
      <c r="BQ778" s="188"/>
    </row>
    <row r="779" spans="45:69" x14ac:dyDescent="0.3">
      <c r="AV779" s="44"/>
      <c r="AW779" s="123"/>
      <c r="AX779" s="188"/>
      <c r="AY779" s="188"/>
      <c r="AZ779" s="188"/>
      <c r="BA779" s="160"/>
      <c r="BB779" s="188"/>
      <c r="BC779" s="219"/>
      <c r="BD779" s="219"/>
      <c r="BE779" s="160"/>
      <c r="BG779" s="188"/>
      <c r="BH779" s="188"/>
      <c r="BI779" s="188"/>
      <c r="BJ779" s="188"/>
      <c r="BK779" s="188"/>
      <c r="BM779" s="188"/>
      <c r="BN779" s="188"/>
      <c r="BO779" s="188"/>
      <c r="BP779" s="188"/>
      <c r="BQ779" s="188"/>
    </row>
    <row r="780" spans="45:69" x14ac:dyDescent="0.3">
      <c r="AV780" s="44"/>
      <c r="AW780" s="123"/>
      <c r="AX780" s="188"/>
      <c r="AY780" s="188"/>
      <c r="AZ780" s="188"/>
      <c r="BA780" s="160"/>
      <c r="BB780" s="188"/>
      <c r="BC780" s="219"/>
      <c r="BD780" s="219"/>
      <c r="BE780" s="160"/>
      <c r="BG780" s="188"/>
      <c r="BH780" s="188"/>
      <c r="BI780" s="188"/>
      <c r="BJ780" s="188"/>
      <c r="BK780" s="188"/>
      <c r="BM780" s="188"/>
      <c r="BN780" s="188"/>
      <c r="BO780" s="188"/>
      <c r="BP780" s="188"/>
      <c r="BQ780" s="188"/>
    </row>
    <row r="781" spans="45:69" x14ac:dyDescent="0.3">
      <c r="AV781" s="44"/>
      <c r="AW781" s="123"/>
      <c r="AX781" s="188"/>
      <c r="AY781" s="188"/>
      <c r="AZ781" s="188"/>
      <c r="BA781" s="160"/>
      <c r="BB781" s="188"/>
      <c r="BC781" s="219"/>
      <c r="BD781" s="219"/>
      <c r="BE781" s="160"/>
      <c r="BG781" s="188"/>
      <c r="BH781" s="188"/>
      <c r="BI781" s="188"/>
      <c r="BJ781" s="188"/>
      <c r="BK781" s="188"/>
      <c r="BM781" s="188"/>
      <c r="BN781" s="188"/>
      <c r="BO781" s="188"/>
      <c r="BP781" s="188"/>
      <c r="BQ781" s="188"/>
    </row>
    <row r="782" spans="45:69" x14ac:dyDescent="0.3">
      <c r="AV782" s="44"/>
      <c r="AW782" s="123"/>
      <c r="AX782" s="188"/>
      <c r="AY782" s="188"/>
      <c r="AZ782" s="188"/>
      <c r="BA782" s="160"/>
      <c r="BB782" s="188"/>
      <c r="BC782" s="219"/>
      <c r="BD782" s="219"/>
      <c r="BE782" s="160"/>
      <c r="BG782" s="188"/>
      <c r="BH782" s="188"/>
      <c r="BI782" s="188"/>
      <c r="BJ782" s="188"/>
      <c r="BK782" s="188"/>
      <c r="BM782" s="188"/>
      <c r="BN782" s="188"/>
      <c r="BO782" s="188"/>
      <c r="BP782" s="188"/>
      <c r="BQ782" s="188"/>
    </row>
    <row r="783" spans="45:69" x14ac:dyDescent="0.3">
      <c r="AV783" s="44"/>
      <c r="AW783" s="123"/>
      <c r="AX783" s="188"/>
      <c r="AY783" s="188"/>
      <c r="AZ783" s="188"/>
      <c r="BA783" s="160"/>
      <c r="BB783" s="188"/>
      <c r="BC783" s="219"/>
      <c r="BD783" s="219"/>
      <c r="BE783" s="160"/>
      <c r="BG783" s="188"/>
      <c r="BH783" s="188"/>
      <c r="BI783" s="188"/>
      <c r="BJ783" s="188"/>
      <c r="BK783" s="188"/>
      <c r="BM783" s="188"/>
      <c r="BN783" s="188"/>
      <c r="BO783" s="188"/>
      <c r="BP783" s="188"/>
      <c r="BQ783" s="188"/>
    </row>
    <row r="784" spans="45:69" x14ac:dyDescent="0.3">
      <c r="AY784" s="219"/>
      <c r="AZ784" s="188"/>
      <c r="BA784" s="160"/>
      <c r="BB784" s="188"/>
      <c r="BC784" s="219"/>
      <c r="BD784" s="219"/>
      <c r="BE784" s="160"/>
      <c r="BK784" s="188"/>
      <c r="BQ784" s="188"/>
    </row>
    <row r="785" spans="45:69" x14ac:dyDescent="0.3">
      <c r="AV785" s="44"/>
      <c r="AY785" s="219"/>
      <c r="AZ785" s="188"/>
      <c r="BA785" s="160"/>
      <c r="BB785" s="188"/>
      <c r="BC785" s="219"/>
      <c r="BD785" s="219"/>
      <c r="BE785" s="160"/>
      <c r="BK785" s="188"/>
      <c r="BQ785" s="188"/>
    </row>
    <row r="786" spans="45:69" x14ac:dyDescent="0.3">
      <c r="AV786" s="44"/>
      <c r="AW786" s="123"/>
      <c r="AX786" s="188"/>
      <c r="AY786" s="188"/>
      <c r="AZ786" s="188"/>
      <c r="BA786" s="160"/>
      <c r="BB786" s="188"/>
      <c r="BC786" s="219"/>
      <c r="BD786" s="219"/>
      <c r="BE786" s="160"/>
      <c r="BG786" s="188"/>
      <c r="BH786" s="188"/>
      <c r="BI786" s="188"/>
      <c r="BJ786" s="188"/>
      <c r="BK786" s="188"/>
      <c r="BM786" s="188"/>
      <c r="BN786" s="188"/>
      <c r="BO786" s="188"/>
      <c r="BP786" s="188"/>
      <c r="BQ786" s="188"/>
    </row>
    <row r="787" spans="45:69" x14ac:dyDescent="0.3">
      <c r="AV787" s="44"/>
      <c r="AW787" s="123"/>
      <c r="AX787" s="188"/>
      <c r="AY787" s="188"/>
      <c r="AZ787" s="188"/>
      <c r="BA787" s="160"/>
      <c r="BB787" s="188"/>
      <c r="BC787" s="219"/>
      <c r="BD787" s="219"/>
      <c r="BE787" s="160"/>
      <c r="BG787" s="188"/>
      <c r="BH787" s="188"/>
      <c r="BI787" s="188"/>
      <c r="BJ787" s="188"/>
      <c r="BK787" s="188"/>
      <c r="BM787" s="188"/>
      <c r="BN787" s="188"/>
      <c r="BO787" s="188"/>
      <c r="BP787" s="188"/>
      <c r="BQ787" s="188"/>
    </row>
    <row r="788" spans="45:69" x14ac:dyDescent="0.3">
      <c r="AV788" s="44"/>
      <c r="AW788" s="123"/>
      <c r="AX788" s="188"/>
      <c r="AY788" s="188"/>
      <c r="AZ788" s="188"/>
      <c r="BA788" s="160"/>
      <c r="BB788" s="188"/>
      <c r="BC788" s="219"/>
      <c r="BD788" s="219"/>
      <c r="BE788" s="160"/>
      <c r="BG788" s="188"/>
      <c r="BH788" s="188"/>
      <c r="BI788" s="188"/>
      <c r="BJ788" s="188"/>
      <c r="BK788" s="188"/>
      <c r="BM788" s="188"/>
      <c r="BN788" s="188"/>
      <c r="BO788" s="188"/>
      <c r="BP788" s="188"/>
      <c r="BQ788" s="188"/>
    </row>
    <row r="789" spans="45:69" x14ac:dyDescent="0.3">
      <c r="AV789" s="44"/>
      <c r="AW789" s="123"/>
      <c r="AX789" s="188"/>
      <c r="AY789" s="188"/>
      <c r="AZ789" s="188"/>
      <c r="BA789" s="160"/>
      <c r="BB789" s="188"/>
      <c r="BC789" s="219"/>
      <c r="BD789" s="219"/>
      <c r="BE789" s="160"/>
      <c r="BG789" s="188"/>
      <c r="BH789" s="188"/>
      <c r="BI789" s="188"/>
      <c r="BJ789" s="188"/>
      <c r="BK789" s="188"/>
      <c r="BM789" s="188"/>
      <c r="BN789" s="188"/>
      <c r="BO789" s="188"/>
      <c r="BP789" s="188"/>
      <c r="BQ789" s="188"/>
    </row>
    <row r="790" spans="45:69" x14ac:dyDescent="0.3">
      <c r="AV790" s="44"/>
      <c r="AW790" s="123"/>
      <c r="AX790" s="188"/>
      <c r="AY790" s="188"/>
      <c r="AZ790" s="188"/>
      <c r="BA790" s="160"/>
      <c r="BB790" s="188"/>
      <c r="BC790" s="219"/>
      <c r="BD790" s="219"/>
      <c r="BE790" s="160"/>
      <c r="BG790" s="188"/>
      <c r="BH790" s="188"/>
      <c r="BI790" s="188"/>
      <c r="BJ790" s="188"/>
      <c r="BK790" s="188"/>
      <c r="BM790" s="188"/>
      <c r="BN790" s="188"/>
      <c r="BO790" s="188"/>
      <c r="BP790" s="188"/>
      <c r="BQ790" s="188"/>
    </row>
    <row r="791" spans="45:69" x14ac:dyDescent="0.3">
      <c r="AV791" s="44"/>
      <c r="AW791" s="123"/>
      <c r="AX791" s="188"/>
      <c r="AY791" s="188"/>
      <c r="AZ791" s="188"/>
      <c r="BA791" s="160"/>
      <c r="BB791" s="188"/>
      <c r="BC791" s="219"/>
      <c r="BD791" s="219"/>
      <c r="BE791" s="160"/>
      <c r="BG791" s="188"/>
      <c r="BH791" s="188"/>
      <c r="BI791" s="188"/>
      <c r="BJ791" s="188"/>
      <c r="BK791" s="188"/>
      <c r="BM791" s="188"/>
      <c r="BN791" s="188"/>
      <c r="BO791" s="188"/>
      <c r="BP791" s="188"/>
      <c r="BQ791" s="188"/>
    </row>
    <row r="792" spans="45:69" x14ac:dyDescent="0.3">
      <c r="AV792" s="44"/>
      <c r="AW792" s="123"/>
      <c r="AX792" s="188"/>
      <c r="AY792" s="188"/>
      <c r="AZ792" s="188"/>
      <c r="BA792" s="160"/>
      <c r="BB792" s="188"/>
      <c r="BC792" s="219"/>
      <c r="BD792" s="219"/>
      <c r="BE792" s="160"/>
      <c r="BG792" s="188"/>
      <c r="BH792" s="188"/>
      <c r="BI792" s="188"/>
      <c r="BJ792" s="188"/>
      <c r="BK792" s="188"/>
      <c r="BM792" s="188"/>
      <c r="BN792" s="188"/>
      <c r="BO792" s="188"/>
      <c r="BP792" s="188"/>
      <c r="BQ792" s="188"/>
    </row>
    <row r="793" spans="45:69" x14ac:dyDescent="0.3">
      <c r="AV793" s="44"/>
      <c r="AW793" s="123"/>
      <c r="AX793" s="188"/>
      <c r="AY793" s="188"/>
      <c r="AZ793" s="188"/>
      <c r="BA793" s="160"/>
      <c r="BB793" s="188"/>
      <c r="BC793" s="219"/>
      <c r="BD793" s="219"/>
      <c r="BE793" s="160"/>
      <c r="BG793" s="188"/>
      <c r="BH793" s="188"/>
      <c r="BI793" s="188"/>
      <c r="BJ793" s="188"/>
      <c r="BK793" s="188"/>
      <c r="BM793" s="188"/>
      <c r="BN793" s="188"/>
      <c r="BO793" s="188"/>
      <c r="BP793" s="188"/>
      <c r="BQ793" s="188"/>
    </row>
    <row r="794" spans="45:69" x14ac:dyDescent="0.3">
      <c r="AY794" s="219"/>
      <c r="AZ794" s="188"/>
      <c r="BA794" s="160"/>
      <c r="BB794" s="188"/>
      <c r="BC794" s="219"/>
      <c r="BD794" s="219"/>
      <c r="BE794" s="160"/>
      <c r="BK794" s="188"/>
      <c r="BQ794" s="188"/>
    </row>
    <row r="795" spans="45:69" x14ac:dyDescent="0.3">
      <c r="AU795" s="42"/>
      <c r="AZ795" s="188"/>
      <c r="BB795" s="188"/>
      <c r="BG795" s="188"/>
      <c r="BH795" s="188"/>
      <c r="BJ795" s="188"/>
      <c r="BK795" s="188"/>
    </row>
    <row r="796" spans="45:69" x14ac:dyDescent="0.3">
      <c r="AZ796" s="188"/>
      <c r="BB796" s="188"/>
    </row>
    <row r="797" spans="45:69" x14ac:dyDescent="0.3">
      <c r="AS797" s="42"/>
      <c r="AZ797" s="188"/>
      <c r="BB797" s="188"/>
      <c r="BI797" s="188"/>
    </row>
    <row r="798" spans="45:69" x14ac:dyDescent="0.3">
      <c r="AZ798" s="188"/>
      <c r="BB798" s="188"/>
    </row>
    <row r="799" spans="45:69" x14ac:dyDescent="0.3">
      <c r="AY799" s="188"/>
      <c r="BB799" s="188"/>
    </row>
    <row r="800" spans="45:69" x14ac:dyDescent="0.3">
      <c r="AY800" s="42"/>
      <c r="AZ800" s="188"/>
      <c r="BB800" s="188"/>
    </row>
    <row r="801" spans="45:75" x14ac:dyDescent="0.3">
      <c r="AY801" s="42"/>
      <c r="AZ801" s="188"/>
      <c r="BB801" s="188"/>
    </row>
    <row r="802" spans="45:75" x14ac:dyDescent="0.3">
      <c r="AZ802" s="188"/>
      <c r="BB802" s="188"/>
      <c r="BD802" s="42"/>
    </row>
    <row r="803" spans="45:75" x14ac:dyDescent="0.3">
      <c r="AZ803" s="188"/>
      <c r="BB803" s="188"/>
      <c r="BD803" s="42"/>
    </row>
    <row r="804" spans="45:75" x14ac:dyDescent="0.3">
      <c r="AS804" s="42"/>
      <c r="AZ804" s="188"/>
      <c r="BB804" s="188"/>
      <c r="BD804" s="42"/>
    </row>
    <row r="805" spans="45:75" x14ac:dyDescent="0.3">
      <c r="AZ805" s="188"/>
      <c r="BB805" s="188"/>
    </row>
    <row r="806" spans="45:75" x14ac:dyDescent="0.3">
      <c r="AS806" s="135"/>
      <c r="AT806" s="135"/>
      <c r="AU806" s="135"/>
      <c r="AV806" s="135"/>
      <c r="AW806" s="135"/>
      <c r="AX806" s="135"/>
      <c r="AY806" s="135"/>
      <c r="AZ806" s="244"/>
      <c r="BA806" s="135"/>
      <c r="BB806" s="244"/>
      <c r="BC806" s="135"/>
      <c r="BD806" s="135"/>
      <c r="BE806" s="135"/>
    </row>
    <row r="807" spans="45:75" x14ac:dyDescent="0.3">
      <c r="AX807" s="42"/>
      <c r="AZ807" s="188"/>
      <c r="BB807" s="188"/>
    </row>
    <row r="808" spans="45:75" x14ac:dyDescent="0.3">
      <c r="AX808" s="135"/>
      <c r="AY808" s="135"/>
      <c r="AZ808" s="244"/>
      <c r="BA808" s="135"/>
      <c r="BB808" s="188"/>
      <c r="BC808" s="44"/>
      <c r="BD808" s="44"/>
    </row>
    <row r="809" spans="45:75" x14ac:dyDescent="0.3">
      <c r="AV809" s="44"/>
      <c r="AW809" s="44"/>
      <c r="AZ809" s="245"/>
      <c r="BA809" s="44"/>
      <c r="BB809" s="188"/>
      <c r="BC809" s="44"/>
      <c r="BD809" s="44"/>
      <c r="BE809" s="44"/>
      <c r="BG809" s="135"/>
      <c r="BH809" s="135"/>
      <c r="BI809" s="42"/>
      <c r="BM809" s="135"/>
      <c r="BN809" s="135"/>
      <c r="BP809" s="135"/>
      <c r="BQ809" s="135"/>
      <c r="BR809" s="42"/>
      <c r="BV809" s="135"/>
      <c r="BW809" s="135"/>
    </row>
    <row r="810" spans="45:75" x14ac:dyDescent="0.3">
      <c r="AV810" s="44"/>
      <c r="AW810" s="44"/>
      <c r="AX810" s="44"/>
      <c r="AY810" s="44"/>
      <c r="AZ810" s="245"/>
      <c r="BA810" s="44"/>
      <c r="BB810" s="245"/>
      <c r="BC810" s="44"/>
      <c r="BD810" s="44"/>
      <c r="BE810" s="44"/>
      <c r="BH810" s="44"/>
      <c r="BI810" s="44"/>
      <c r="BJ810" s="44"/>
      <c r="BK810" s="44"/>
      <c r="BL810" s="44"/>
      <c r="BM810" s="44"/>
      <c r="BQ810" s="44"/>
      <c r="BR810" s="44"/>
      <c r="BS810" s="44"/>
      <c r="BT810" s="44"/>
      <c r="BU810" s="44"/>
      <c r="BV810" s="44"/>
    </row>
    <row r="811" spans="45:75" x14ac:dyDescent="0.3">
      <c r="AS811" s="44"/>
      <c r="AU811" s="42"/>
      <c r="AV811" s="44"/>
      <c r="AW811" s="44"/>
      <c r="AX811" s="44"/>
      <c r="AY811" s="44"/>
      <c r="AZ811" s="245"/>
      <c r="BA811" s="44"/>
      <c r="BB811" s="245"/>
      <c r="BC811" s="44"/>
      <c r="BD811" s="44"/>
      <c r="BE811" s="44"/>
      <c r="BG811" s="44"/>
      <c r="BH811" s="44"/>
      <c r="BI811" s="44"/>
      <c r="BJ811" s="44"/>
      <c r="BK811" s="44"/>
      <c r="BL811" s="44"/>
      <c r="BM811" s="44"/>
      <c r="BN811" s="44"/>
      <c r="BP811" s="44"/>
      <c r="BQ811" s="44"/>
      <c r="BR811" s="44"/>
      <c r="BS811" s="44"/>
      <c r="BT811" s="44"/>
      <c r="BU811" s="44"/>
      <c r="BV811" s="44"/>
      <c r="BW811" s="44"/>
    </row>
    <row r="812" spans="45:75" x14ac:dyDescent="0.3">
      <c r="AS812" s="44"/>
      <c r="AU812" s="42"/>
      <c r="AV812" s="44"/>
      <c r="AW812" s="44"/>
      <c r="AX812" s="44"/>
      <c r="AY812" s="44"/>
      <c r="AZ812" s="245"/>
      <c r="BA812" s="44"/>
      <c r="BB812" s="245"/>
      <c r="BC812" s="44"/>
      <c r="BD812" s="44"/>
      <c r="BE812" s="44"/>
      <c r="BG812" s="44"/>
      <c r="BH812" s="44"/>
      <c r="BI812" s="44"/>
      <c r="BJ812" s="44"/>
      <c r="BK812" s="44"/>
      <c r="BL812" s="44"/>
      <c r="BM812" s="44"/>
      <c r="BN812" s="44"/>
      <c r="BP812" s="44"/>
      <c r="BQ812" s="44"/>
      <c r="BR812" s="44"/>
      <c r="BS812" s="44"/>
      <c r="BT812" s="44"/>
      <c r="BU812" s="44"/>
      <c r="BV812" s="44"/>
      <c r="BW812" s="44"/>
    </row>
    <row r="813" spans="45:75" x14ac:dyDescent="0.3">
      <c r="AS813" s="135"/>
      <c r="AT813" s="135"/>
      <c r="AU813" s="135"/>
      <c r="AV813" s="135"/>
      <c r="AW813" s="135"/>
      <c r="AX813" s="135"/>
      <c r="AY813" s="135"/>
      <c r="AZ813" s="244"/>
      <c r="BA813" s="135"/>
      <c r="BB813" s="244"/>
      <c r="BC813" s="135"/>
      <c r="BD813" s="135"/>
      <c r="BE813" s="135"/>
      <c r="BG813" s="135"/>
      <c r="BH813" s="135"/>
      <c r="BI813" s="135"/>
      <c r="BJ813" s="135"/>
      <c r="BK813" s="135"/>
      <c r="BL813" s="135"/>
      <c r="BM813" s="135"/>
      <c r="BN813" s="135"/>
      <c r="BP813" s="135"/>
      <c r="BQ813" s="135"/>
      <c r="BR813" s="135"/>
      <c r="BS813" s="135"/>
      <c r="BT813" s="135"/>
      <c r="BU813" s="135"/>
      <c r="BV813" s="135"/>
      <c r="BW813" s="135"/>
    </row>
    <row r="814" spans="45:75" x14ac:dyDescent="0.3">
      <c r="AV814" s="44"/>
      <c r="AW814" s="44"/>
      <c r="AX814" s="44"/>
      <c r="AY814" s="44"/>
      <c r="AZ814" s="245"/>
      <c r="BA814" s="44"/>
      <c r="BB814" s="245"/>
      <c r="BC814" s="44"/>
      <c r="BD814" s="44"/>
      <c r="BE814" s="44"/>
      <c r="BG814" s="188"/>
      <c r="BH814" s="188"/>
      <c r="BI814" s="188"/>
      <c r="BJ814" s="188"/>
      <c r="BK814" s="188"/>
      <c r="BL814" s="188"/>
      <c r="BM814" s="188"/>
      <c r="BN814" s="188"/>
      <c r="BO814" s="188"/>
      <c r="BP814" s="188"/>
      <c r="BQ814" s="188"/>
      <c r="BR814" s="188"/>
      <c r="BS814" s="188"/>
      <c r="BT814" s="188"/>
      <c r="BU814" s="188"/>
      <c r="BV814" s="188"/>
      <c r="BW814" s="188"/>
    </row>
    <row r="815" spans="45:75" x14ac:dyDescent="0.3">
      <c r="AU815" s="42"/>
      <c r="AW815" s="123"/>
      <c r="AX815" s="188"/>
      <c r="AY815" s="188"/>
      <c r="AZ815" s="188"/>
      <c r="BA815" s="236"/>
      <c r="BB815" s="188"/>
      <c r="BC815" s="188"/>
      <c r="BD815" s="188"/>
      <c r="BE815" s="236"/>
      <c r="BG815" s="188"/>
      <c r="BH815" s="188"/>
      <c r="BI815" s="188"/>
      <c r="BJ815" s="188"/>
      <c r="BK815" s="188"/>
      <c r="BL815" s="188"/>
      <c r="BM815" s="188"/>
      <c r="BN815" s="188"/>
      <c r="BO815" s="188"/>
      <c r="BP815" s="188"/>
      <c r="BQ815" s="188"/>
      <c r="BR815" s="188"/>
      <c r="BS815" s="188"/>
      <c r="BT815" s="188"/>
      <c r="BU815" s="188"/>
      <c r="BV815" s="188"/>
      <c r="BW815" s="188"/>
    </row>
    <row r="816" spans="45:75" x14ac:dyDescent="0.3">
      <c r="AW816" s="123"/>
      <c r="AX816" s="188"/>
      <c r="AY816" s="188"/>
      <c r="AZ816" s="188"/>
      <c r="BA816" s="236"/>
      <c r="BB816" s="188"/>
      <c r="BC816" s="188"/>
      <c r="BD816" s="188"/>
      <c r="BE816" s="236"/>
      <c r="BG816" s="188"/>
      <c r="BH816" s="188"/>
      <c r="BI816" s="188"/>
      <c r="BJ816" s="188"/>
      <c r="BK816" s="188"/>
      <c r="BL816" s="188"/>
      <c r="BM816" s="188"/>
      <c r="BN816" s="188"/>
      <c r="BO816" s="188"/>
      <c r="BP816" s="188"/>
      <c r="BQ816" s="188"/>
      <c r="BR816" s="188"/>
      <c r="BS816" s="188"/>
      <c r="BT816" s="188"/>
      <c r="BU816" s="188"/>
      <c r="BV816" s="188"/>
      <c r="BW816" s="188"/>
    </row>
    <row r="817" spans="49:75" x14ac:dyDescent="0.3">
      <c r="AW817" s="123"/>
      <c r="AX817" s="188"/>
      <c r="AY817" s="188"/>
      <c r="AZ817" s="188"/>
      <c r="BA817" s="236"/>
      <c r="BB817" s="188"/>
      <c r="BC817" s="188"/>
      <c r="BD817" s="188"/>
      <c r="BE817" s="236"/>
      <c r="BG817" s="188"/>
      <c r="BH817" s="188"/>
      <c r="BI817" s="188"/>
      <c r="BJ817" s="188"/>
      <c r="BK817" s="188"/>
      <c r="BL817" s="188"/>
      <c r="BM817" s="188"/>
      <c r="BN817" s="188"/>
      <c r="BO817" s="188"/>
      <c r="BP817" s="188"/>
      <c r="BQ817" s="188"/>
      <c r="BR817" s="188"/>
      <c r="BS817" s="188"/>
      <c r="BT817" s="188"/>
      <c r="BU817" s="188"/>
      <c r="BV817" s="188"/>
      <c r="BW817" s="188"/>
    </row>
    <row r="818" spans="49:75" x14ac:dyDescent="0.3">
      <c r="AW818" s="123"/>
      <c r="AX818" s="188"/>
      <c r="AY818" s="188"/>
      <c r="AZ818" s="188"/>
      <c r="BA818" s="236"/>
      <c r="BB818" s="188"/>
      <c r="BC818" s="188"/>
      <c r="BD818" s="188"/>
      <c r="BE818" s="236"/>
      <c r="BG818" s="188"/>
      <c r="BH818" s="188"/>
      <c r="BI818" s="188"/>
      <c r="BJ818" s="188"/>
      <c r="BK818" s="188"/>
      <c r="BL818" s="188"/>
      <c r="BM818" s="188"/>
      <c r="BN818" s="188"/>
      <c r="BO818" s="188"/>
      <c r="BP818" s="188"/>
      <c r="BQ818" s="188"/>
      <c r="BR818" s="188"/>
      <c r="BS818" s="188"/>
      <c r="BT818" s="188"/>
      <c r="BU818" s="188"/>
      <c r="BV818" s="188"/>
      <c r="BW818" s="188"/>
    </row>
    <row r="819" spans="49:75" x14ac:dyDescent="0.3">
      <c r="AW819" s="123"/>
      <c r="AX819" s="188"/>
      <c r="AY819" s="188"/>
      <c r="AZ819" s="188"/>
      <c r="BA819" s="236"/>
      <c r="BB819" s="188"/>
      <c r="BC819" s="188"/>
      <c r="BD819" s="188"/>
      <c r="BE819" s="236"/>
      <c r="BG819" s="188"/>
      <c r="BH819" s="188"/>
      <c r="BI819" s="188"/>
      <c r="BJ819" s="188"/>
      <c r="BK819" s="188"/>
      <c r="BL819" s="188"/>
      <c r="BM819" s="188"/>
      <c r="BN819" s="188"/>
      <c r="BO819" s="188"/>
      <c r="BP819" s="188"/>
      <c r="BQ819" s="188"/>
      <c r="BR819" s="188"/>
      <c r="BS819" s="188"/>
      <c r="BT819" s="188"/>
      <c r="BU819" s="188"/>
      <c r="BV819" s="188"/>
      <c r="BW819" s="188"/>
    </row>
    <row r="820" spans="49:75" x14ac:dyDescent="0.3">
      <c r="AW820" s="123"/>
      <c r="AX820" s="188"/>
      <c r="AY820" s="188"/>
      <c r="AZ820" s="188"/>
      <c r="BA820" s="236"/>
      <c r="BB820" s="188"/>
      <c r="BC820" s="188"/>
      <c r="BD820" s="188"/>
      <c r="BE820" s="236"/>
      <c r="BG820" s="188"/>
      <c r="BH820" s="188"/>
      <c r="BI820" s="188"/>
      <c r="BJ820" s="188"/>
      <c r="BK820" s="188"/>
      <c r="BL820" s="188"/>
      <c r="BM820" s="188"/>
      <c r="BN820" s="188"/>
      <c r="BO820" s="188"/>
      <c r="BP820" s="188"/>
      <c r="BQ820" s="188"/>
      <c r="BR820" s="188"/>
      <c r="BS820" s="188"/>
      <c r="BT820" s="188"/>
      <c r="BU820" s="188"/>
      <c r="BV820" s="188"/>
      <c r="BW820" s="188"/>
    </row>
    <row r="821" spans="49:75" x14ac:dyDescent="0.3">
      <c r="AW821" s="123"/>
      <c r="AX821" s="188"/>
      <c r="AY821" s="188"/>
      <c r="AZ821" s="188"/>
      <c r="BA821" s="236"/>
      <c r="BB821" s="188"/>
      <c r="BC821" s="188"/>
      <c r="BD821" s="188"/>
      <c r="BE821" s="236"/>
      <c r="BG821" s="188"/>
      <c r="BH821" s="188"/>
      <c r="BI821" s="188"/>
      <c r="BJ821" s="188"/>
      <c r="BK821" s="188"/>
      <c r="BL821" s="188"/>
      <c r="BM821" s="188"/>
      <c r="BN821" s="188"/>
      <c r="BO821" s="188"/>
      <c r="BP821" s="188"/>
      <c r="BQ821" s="188"/>
      <c r="BR821" s="188"/>
      <c r="BS821" s="188"/>
      <c r="BT821" s="188"/>
      <c r="BU821" s="188"/>
      <c r="BV821" s="188"/>
      <c r="BW821" s="188"/>
    </row>
    <row r="822" spans="49:75" x14ac:dyDescent="0.3">
      <c r="AW822" s="123"/>
      <c r="AX822" s="188"/>
      <c r="AY822" s="188"/>
      <c r="AZ822" s="188"/>
      <c r="BA822" s="236"/>
      <c r="BB822" s="188"/>
      <c r="BC822" s="188"/>
      <c r="BD822" s="188"/>
      <c r="BE822" s="236"/>
      <c r="BG822" s="188"/>
      <c r="BH822" s="188"/>
      <c r="BI822" s="188"/>
      <c r="BJ822" s="188"/>
      <c r="BK822" s="188"/>
      <c r="BL822" s="188"/>
      <c r="BM822" s="188"/>
      <c r="BN822" s="188"/>
      <c r="BO822" s="188"/>
      <c r="BP822" s="188"/>
      <c r="BQ822" s="188"/>
      <c r="BR822" s="188"/>
      <c r="BS822" s="188"/>
      <c r="BT822" s="188"/>
      <c r="BU822" s="188"/>
      <c r="BV822" s="188"/>
      <c r="BW822" s="188"/>
    </row>
    <row r="823" spans="49:75" x14ac:dyDescent="0.3">
      <c r="AW823" s="123"/>
      <c r="AX823" s="188"/>
      <c r="AY823" s="188"/>
      <c r="AZ823" s="188"/>
      <c r="BA823" s="236"/>
      <c r="BB823" s="188"/>
      <c r="BC823" s="188"/>
      <c r="BD823" s="188"/>
      <c r="BE823" s="236"/>
      <c r="BG823" s="188"/>
      <c r="BH823" s="188"/>
      <c r="BI823" s="188"/>
      <c r="BJ823" s="188"/>
      <c r="BK823" s="188"/>
      <c r="BL823" s="188"/>
      <c r="BM823" s="188"/>
      <c r="BN823" s="188"/>
      <c r="BO823" s="188"/>
      <c r="BP823" s="188"/>
      <c r="BQ823" s="188"/>
      <c r="BR823" s="188"/>
      <c r="BS823" s="188"/>
      <c r="BT823" s="188"/>
      <c r="BU823" s="188"/>
      <c r="BV823" s="188"/>
      <c r="BW823" s="188"/>
    </row>
    <row r="824" spans="49:75" x14ac:dyDescent="0.3">
      <c r="AW824" s="123"/>
      <c r="AX824" s="188"/>
      <c r="AY824" s="188"/>
      <c r="AZ824" s="188"/>
      <c r="BA824" s="236"/>
      <c r="BB824" s="188"/>
      <c r="BC824" s="188"/>
      <c r="BD824" s="188"/>
      <c r="BE824" s="236"/>
      <c r="BG824" s="188"/>
      <c r="BH824" s="188"/>
      <c r="BI824" s="188"/>
      <c r="BJ824" s="188"/>
      <c r="BK824" s="188"/>
      <c r="BL824" s="188"/>
      <c r="BM824" s="188"/>
      <c r="BN824" s="188"/>
      <c r="BO824" s="188"/>
      <c r="BP824" s="188"/>
      <c r="BQ824" s="188"/>
      <c r="BR824" s="188"/>
      <c r="BS824" s="188"/>
      <c r="BT824" s="188"/>
      <c r="BU824" s="188"/>
      <c r="BV824" s="188"/>
      <c r="BW824" s="188"/>
    </row>
    <row r="825" spans="49:75" x14ac:dyDescent="0.3">
      <c r="AW825" s="123"/>
      <c r="AX825" s="188"/>
      <c r="AY825" s="188"/>
      <c r="AZ825" s="188"/>
      <c r="BA825" s="236"/>
      <c r="BB825" s="188"/>
      <c r="BC825" s="188"/>
      <c r="BD825" s="188"/>
      <c r="BE825" s="236"/>
      <c r="BG825" s="188"/>
      <c r="BH825" s="188"/>
      <c r="BI825" s="188"/>
      <c r="BJ825" s="188"/>
      <c r="BK825" s="188"/>
      <c r="BL825" s="188"/>
      <c r="BM825" s="188"/>
      <c r="BN825" s="188"/>
      <c r="BO825" s="188"/>
      <c r="BP825" s="188"/>
      <c r="BQ825" s="188"/>
      <c r="BR825" s="188"/>
      <c r="BS825" s="188"/>
      <c r="BT825" s="188"/>
      <c r="BU825" s="188"/>
      <c r="BV825" s="188"/>
      <c r="BW825" s="188"/>
    </row>
    <row r="826" spans="49:75" x14ac:dyDescent="0.3">
      <c r="AW826" s="123"/>
      <c r="AX826" s="188"/>
      <c r="AY826" s="188"/>
      <c r="AZ826" s="188"/>
      <c r="BA826" s="236"/>
      <c r="BB826" s="188"/>
      <c r="BC826" s="188"/>
      <c r="BD826" s="188"/>
      <c r="BE826" s="236"/>
      <c r="BG826" s="188"/>
      <c r="BH826" s="188"/>
      <c r="BI826" s="188"/>
      <c r="BJ826" s="188"/>
      <c r="BK826" s="188"/>
      <c r="BL826" s="188"/>
      <c r="BM826" s="188"/>
      <c r="BN826" s="188"/>
      <c r="BO826" s="188"/>
      <c r="BP826" s="188"/>
      <c r="BQ826" s="188"/>
      <c r="BR826" s="188"/>
      <c r="BS826" s="188"/>
      <c r="BT826" s="188"/>
      <c r="BU826" s="188"/>
      <c r="BV826" s="188"/>
      <c r="BW826" s="188"/>
    </row>
    <row r="827" spans="49:75" x14ac:dyDescent="0.3">
      <c r="AW827" s="123"/>
      <c r="AX827" s="188"/>
      <c r="AY827" s="188"/>
      <c r="AZ827" s="188"/>
      <c r="BA827" s="236"/>
      <c r="BB827" s="188"/>
      <c r="BC827" s="188"/>
      <c r="BD827" s="188"/>
      <c r="BE827" s="236"/>
      <c r="BG827" s="188"/>
      <c r="BH827" s="188"/>
      <c r="BI827" s="188"/>
      <c r="BJ827" s="188"/>
      <c r="BK827" s="188"/>
      <c r="BL827" s="188"/>
      <c r="BM827" s="188"/>
      <c r="BN827" s="188"/>
      <c r="BO827" s="188"/>
      <c r="BP827" s="188"/>
      <c r="BQ827" s="188"/>
      <c r="BR827" s="188"/>
      <c r="BS827" s="188"/>
      <c r="BT827" s="188"/>
      <c r="BU827" s="188"/>
      <c r="BV827" s="188"/>
      <c r="BW827" s="188"/>
    </row>
    <row r="828" spans="49:75" x14ac:dyDescent="0.3">
      <c r="AW828" s="123"/>
      <c r="AX828" s="188"/>
      <c r="AY828" s="188"/>
      <c r="AZ828" s="188"/>
      <c r="BA828" s="236"/>
      <c r="BB828" s="188"/>
      <c r="BC828" s="188"/>
      <c r="BD828" s="188"/>
      <c r="BE828" s="236"/>
      <c r="BG828" s="188"/>
      <c r="BH828" s="188"/>
      <c r="BI828" s="188"/>
      <c r="BJ828" s="188"/>
      <c r="BK828" s="188"/>
      <c r="BL828" s="188"/>
      <c r="BM828" s="188"/>
      <c r="BN828" s="188"/>
      <c r="BO828" s="188"/>
      <c r="BP828" s="188"/>
      <c r="BQ828" s="188"/>
      <c r="BR828" s="188"/>
      <c r="BS828" s="188"/>
      <c r="BT828" s="188"/>
      <c r="BU828" s="188"/>
      <c r="BV828" s="188"/>
      <c r="BW828" s="188"/>
    </row>
    <row r="829" spans="49:75" x14ac:dyDescent="0.3">
      <c r="AW829" s="123"/>
      <c r="AX829" s="188"/>
      <c r="AY829" s="188"/>
      <c r="AZ829" s="188"/>
      <c r="BA829" s="236"/>
      <c r="BB829" s="188"/>
      <c r="BC829" s="188"/>
      <c r="BD829" s="188"/>
      <c r="BE829" s="236"/>
      <c r="BG829" s="188"/>
      <c r="BH829" s="188"/>
      <c r="BI829" s="188"/>
      <c r="BJ829" s="188"/>
      <c r="BK829" s="188"/>
      <c r="BL829" s="188"/>
      <c r="BM829" s="188"/>
      <c r="BN829" s="188"/>
      <c r="BO829" s="188"/>
      <c r="BP829" s="188"/>
      <c r="BQ829" s="188"/>
      <c r="BR829" s="188"/>
      <c r="BS829" s="188"/>
      <c r="BT829" s="188"/>
      <c r="BU829" s="188"/>
      <c r="BV829" s="188"/>
      <c r="BW829" s="188"/>
    </row>
    <row r="830" spans="49:75" x14ac:dyDescent="0.3">
      <c r="AW830" s="123"/>
      <c r="AX830" s="188"/>
      <c r="AY830" s="188"/>
      <c r="AZ830" s="188"/>
      <c r="BA830" s="236"/>
      <c r="BB830" s="188"/>
      <c r="BC830" s="188"/>
      <c r="BD830" s="188"/>
      <c r="BE830" s="236"/>
      <c r="BG830" s="188"/>
      <c r="BH830" s="188"/>
      <c r="BI830" s="188"/>
      <c r="BJ830" s="188"/>
      <c r="BK830" s="188"/>
      <c r="BL830" s="188"/>
      <c r="BM830" s="188"/>
      <c r="BN830" s="188"/>
      <c r="BO830" s="188"/>
      <c r="BP830" s="188"/>
      <c r="BQ830" s="188"/>
      <c r="BR830" s="188"/>
      <c r="BS830" s="188"/>
      <c r="BT830" s="188"/>
      <c r="BU830" s="188"/>
      <c r="BV830" s="188"/>
      <c r="BW830" s="188"/>
    </row>
    <row r="831" spans="49:75" x14ac:dyDescent="0.3">
      <c r="AW831" s="123"/>
      <c r="AX831" s="188"/>
      <c r="AY831" s="188"/>
      <c r="AZ831" s="188"/>
      <c r="BA831" s="236"/>
      <c r="BB831" s="188"/>
      <c r="BC831" s="188"/>
      <c r="BD831" s="188"/>
      <c r="BE831" s="236"/>
      <c r="BG831" s="188"/>
      <c r="BH831" s="188"/>
      <c r="BI831" s="188"/>
      <c r="BJ831" s="188"/>
      <c r="BK831" s="188"/>
      <c r="BL831" s="188"/>
      <c r="BM831" s="188"/>
      <c r="BN831" s="188"/>
      <c r="BO831" s="188"/>
      <c r="BP831" s="188"/>
      <c r="BQ831" s="188"/>
      <c r="BR831" s="188"/>
      <c r="BS831" s="188"/>
      <c r="BT831" s="188"/>
      <c r="BU831" s="188"/>
      <c r="BV831" s="188"/>
      <c r="BW831" s="188"/>
    </row>
    <row r="832" spans="49:75" x14ac:dyDescent="0.3">
      <c r="AW832" s="123"/>
      <c r="AX832" s="188"/>
      <c r="AY832" s="188"/>
      <c r="AZ832" s="188"/>
      <c r="BA832" s="236"/>
      <c r="BB832" s="188"/>
      <c r="BC832" s="188"/>
      <c r="BD832" s="188"/>
      <c r="BE832" s="236"/>
      <c r="BG832" s="188"/>
      <c r="BH832" s="188"/>
      <c r="BI832" s="188"/>
      <c r="BJ832" s="188"/>
      <c r="BK832" s="188"/>
      <c r="BL832" s="188"/>
      <c r="BM832" s="188"/>
      <c r="BN832" s="188"/>
      <c r="BO832" s="188"/>
      <c r="BP832" s="188"/>
      <c r="BQ832" s="188"/>
      <c r="BR832" s="188"/>
      <c r="BS832" s="188"/>
      <c r="BT832" s="188"/>
      <c r="BU832" s="188"/>
      <c r="BV832" s="188"/>
      <c r="BW832" s="188"/>
    </row>
    <row r="833" spans="45:75" x14ac:dyDescent="0.3">
      <c r="AW833" s="123"/>
      <c r="AX833" s="188"/>
      <c r="AY833" s="188"/>
      <c r="AZ833" s="188"/>
      <c r="BA833" s="236"/>
      <c r="BB833" s="188"/>
      <c r="BC833" s="188"/>
      <c r="BD833" s="188"/>
      <c r="BE833" s="236"/>
      <c r="BG833" s="188"/>
      <c r="BH833" s="188"/>
      <c r="BI833" s="188"/>
      <c r="BJ833" s="188"/>
      <c r="BK833" s="188"/>
      <c r="BL833" s="188"/>
      <c r="BM833" s="188"/>
      <c r="BN833" s="188"/>
      <c r="BO833" s="188"/>
      <c r="BP833" s="188"/>
      <c r="BQ833" s="188"/>
      <c r="BR833" s="188"/>
      <c r="BS833" s="188"/>
      <c r="BT833" s="188"/>
      <c r="BU833" s="188"/>
      <c r="BV833" s="188"/>
      <c r="BW833" s="188"/>
    </row>
    <row r="834" spans="45:75" x14ac:dyDescent="0.3">
      <c r="AW834" s="123"/>
      <c r="AX834" s="188"/>
      <c r="AY834" s="188"/>
      <c r="AZ834" s="188"/>
      <c r="BA834" s="236"/>
      <c r="BB834" s="188"/>
      <c r="BC834" s="188"/>
      <c r="BD834" s="188"/>
      <c r="BE834" s="236"/>
      <c r="BG834" s="188"/>
      <c r="BH834" s="188"/>
      <c r="BI834" s="188"/>
      <c r="BJ834" s="188"/>
      <c r="BK834" s="188"/>
      <c r="BL834" s="188"/>
      <c r="BM834" s="188"/>
      <c r="BN834" s="188"/>
      <c r="BO834" s="188"/>
      <c r="BP834" s="188"/>
      <c r="BQ834" s="188"/>
      <c r="BR834" s="188"/>
      <c r="BS834" s="188"/>
      <c r="BT834" s="188"/>
      <c r="BU834" s="188"/>
      <c r="BV834" s="188"/>
      <c r="BW834" s="188"/>
    </row>
    <row r="835" spans="45:75" x14ac:dyDescent="0.3">
      <c r="AW835" s="123"/>
      <c r="AX835" s="188"/>
      <c r="AY835" s="188"/>
      <c r="AZ835" s="188"/>
      <c r="BA835" s="236"/>
      <c r="BB835" s="188"/>
      <c r="BC835" s="188"/>
      <c r="BD835" s="188"/>
      <c r="BE835" s="236"/>
      <c r="BG835" s="188"/>
      <c r="BH835" s="188"/>
      <c r="BI835" s="188"/>
      <c r="BJ835" s="188"/>
      <c r="BK835" s="188"/>
      <c r="BL835" s="188"/>
      <c r="BM835" s="188"/>
      <c r="BN835" s="188"/>
      <c r="BO835" s="188"/>
      <c r="BP835" s="188"/>
      <c r="BQ835" s="188"/>
      <c r="BR835" s="188"/>
      <c r="BS835" s="188"/>
      <c r="BT835" s="188"/>
      <c r="BU835" s="188"/>
      <c r="BV835" s="188"/>
      <c r="BW835" s="188"/>
    </row>
    <row r="836" spans="45:75" x14ac:dyDescent="0.3">
      <c r="AW836" s="123"/>
      <c r="AX836" s="188"/>
      <c r="AY836" s="188"/>
      <c r="AZ836" s="188"/>
      <c r="BA836" s="236"/>
      <c r="BB836" s="188"/>
      <c r="BC836" s="188"/>
      <c r="BD836" s="188"/>
      <c r="BE836" s="236"/>
      <c r="BG836" s="135"/>
      <c r="BH836" s="135"/>
      <c r="BI836" s="42"/>
      <c r="BM836" s="135"/>
      <c r="BN836" s="135"/>
      <c r="BO836" s="188"/>
      <c r="BP836" s="135"/>
      <c r="BQ836" s="135"/>
      <c r="BR836" s="42"/>
      <c r="BV836" s="135"/>
      <c r="BW836" s="135"/>
    </row>
    <row r="837" spans="45:75" x14ac:dyDescent="0.3">
      <c r="AU837" s="42"/>
      <c r="AV837" s="44"/>
      <c r="AW837" s="123"/>
      <c r="AX837" s="188"/>
      <c r="AY837" s="188"/>
      <c r="AZ837" s="188"/>
      <c r="BA837" s="236"/>
      <c r="BB837" s="188"/>
      <c r="BC837" s="188"/>
      <c r="BD837" s="188"/>
      <c r="BE837" s="236"/>
      <c r="BG837" s="245"/>
      <c r="BH837" s="188"/>
      <c r="BI837" s="188"/>
      <c r="BJ837" s="188"/>
      <c r="BK837" s="245"/>
      <c r="BL837" s="246"/>
      <c r="BM837" s="188"/>
      <c r="BN837" s="245"/>
      <c r="BO837" s="188"/>
      <c r="BP837" s="245"/>
      <c r="BQ837" s="188"/>
      <c r="BR837" s="188"/>
      <c r="BS837" s="188"/>
      <c r="BT837" s="245"/>
      <c r="BU837" s="246"/>
      <c r="BV837" s="188"/>
      <c r="BW837" s="245"/>
    </row>
    <row r="838" spans="45:75" x14ac:dyDescent="0.3">
      <c r="AV838" s="44"/>
      <c r="AW838" s="123"/>
      <c r="AX838" s="188"/>
      <c r="AY838" s="188"/>
      <c r="AZ838" s="188"/>
      <c r="BA838" s="236"/>
      <c r="BB838" s="188"/>
      <c r="BC838" s="188"/>
      <c r="BD838" s="188"/>
      <c r="BE838" s="236"/>
      <c r="BG838" s="188"/>
      <c r="BH838" s="188"/>
      <c r="BI838" s="188"/>
      <c r="BJ838" s="188"/>
      <c r="BK838" s="188"/>
      <c r="BL838" s="246"/>
      <c r="BM838" s="188"/>
      <c r="BN838" s="188"/>
      <c r="BO838" s="188"/>
      <c r="BP838" s="188"/>
      <c r="BQ838" s="188"/>
      <c r="BR838" s="188"/>
      <c r="BS838" s="188"/>
      <c r="BT838" s="188"/>
      <c r="BU838" s="246"/>
      <c r="BV838" s="188"/>
      <c r="BW838" s="188"/>
    </row>
    <row r="839" spans="45:75" x14ac:dyDescent="0.3">
      <c r="AV839" s="44"/>
      <c r="AW839" s="123"/>
      <c r="AX839" s="188"/>
      <c r="AY839" s="188"/>
      <c r="AZ839" s="188"/>
      <c r="BA839" s="236"/>
      <c r="BB839" s="188"/>
      <c r="BC839" s="188"/>
      <c r="BD839" s="188"/>
      <c r="BE839" s="236"/>
      <c r="BG839" s="188"/>
      <c r="BH839" s="188"/>
      <c r="BI839" s="188"/>
      <c r="BJ839" s="188"/>
      <c r="BK839" s="188"/>
      <c r="BL839" s="246"/>
      <c r="BM839" s="188"/>
      <c r="BN839" s="188"/>
      <c r="BO839" s="188"/>
      <c r="BP839" s="188"/>
      <c r="BQ839" s="188"/>
      <c r="BR839" s="188"/>
      <c r="BS839" s="188"/>
      <c r="BT839" s="188"/>
      <c r="BU839" s="246"/>
      <c r="BV839" s="188"/>
      <c r="BW839" s="188"/>
    </row>
    <row r="840" spans="45:75" x14ac:dyDescent="0.3">
      <c r="AV840" s="44"/>
      <c r="AW840" s="123"/>
      <c r="AX840" s="188"/>
      <c r="AY840" s="188"/>
      <c r="AZ840" s="188"/>
      <c r="BA840" s="236"/>
      <c r="BB840" s="188"/>
      <c r="BC840" s="188"/>
      <c r="BD840" s="188"/>
      <c r="BE840" s="236"/>
      <c r="BG840" s="188"/>
      <c r="BH840" s="188"/>
      <c r="BI840" s="188"/>
      <c r="BJ840" s="188"/>
      <c r="BK840" s="188"/>
      <c r="BL840" s="246"/>
      <c r="BM840" s="188"/>
      <c r="BN840" s="188"/>
      <c r="BO840" s="188"/>
      <c r="BP840" s="188"/>
      <c r="BQ840" s="188"/>
      <c r="BR840" s="188"/>
      <c r="BS840" s="188"/>
      <c r="BT840" s="188"/>
      <c r="BU840" s="246"/>
      <c r="BV840" s="188"/>
      <c r="BW840" s="188"/>
    </row>
    <row r="841" spans="45:75" x14ac:dyDescent="0.3">
      <c r="AX841" s="188"/>
      <c r="AY841" s="188"/>
      <c r="AZ841" s="188"/>
      <c r="BA841" s="236"/>
      <c r="BB841" s="188"/>
      <c r="BC841" s="188"/>
      <c r="BD841" s="188"/>
      <c r="BE841" s="236"/>
      <c r="BG841" s="188"/>
      <c r="BH841" s="188"/>
      <c r="BI841" s="188"/>
      <c r="BJ841" s="188"/>
      <c r="BK841" s="188"/>
      <c r="BL841" s="188"/>
      <c r="BM841" s="188"/>
      <c r="BN841" s="188"/>
      <c r="BO841" s="188"/>
      <c r="BP841" s="188"/>
      <c r="BQ841" s="188"/>
      <c r="BR841" s="188"/>
      <c r="BS841" s="188"/>
      <c r="BT841" s="188"/>
      <c r="BU841" s="188"/>
      <c r="BV841" s="188"/>
    </row>
    <row r="842" spans="45:75" x14ac:dyDescent="0.3">
      <c r="AU842" s="42"/>
    </row>
    <row r="843" spans="45:75" x14ac:dyDescent="0.3">
      <c r="AU843" s="42"/>
      <c r="AZ843" s="188"/>
      <c r="BA843" s="236"/>
      <c r="BB843" s="188"/>
      <c r="BC843" s="188"/>
      <c r="BD843" s="188"/>
      <c r="BE843" s="236"/>
      <c r="BG843" s="188"/>
      <c r="BH843" s="188"/>
      <c r="BI843" s="188"/>
      <c r="BJ843" s="188"/>
      <c r="BK843" s="188"/>
      <c r="BL843" s="188"/>
      <c r="BM843" s="188"/>
      <c r="BN843" s="188"/>
      <c r="BO843" s="188"/>
      <c r="BP843" s="188"/>
      <c r="BQ843" s="188"/>
      <c r="BR843" s="188"/>
      <c r="BS843" s="188"/>
      <c r="BT843" s="188"/>
      <c r="BU843" s="188"/>
      <c r="BV843" s="188"/>
    </row>
    <row r="844" spans="45:75" x14ac:dyDescent="0.3">
      <c r="AS844" s="42"/>
      <c r="AZ844" s="188"/>
      <c r="BB844" s="188"/>
    </row>
    <row r="845" spans="45:75" x14ac:dyDescent="0.3">
      <c r="AZ845" s="188"/>
      <c r="BB845" s="188"/>
      <c r="BO845" s="188"/>
      <c r="BP845" s="188"/>
      <c r="BQ845" s="188"/>
      <c r="BR845" s="188"/>
      <c r="BS845" s="188"/>
      <c r="BT845" s="188"/>
      <c r="BU845" s="188"/>
      <c r="BV845" s="188"/>
    </row>
    <row r="846" spans="45:75" x14ac:dyDescent="0.3">
      <c r="AY846" s="188"/>
      <c r="AZ846" s="188"/>
      <c r="BB846" s="188"/>
      <c r="BO846" s="188"/>
      <c r="BP846" s="188"/>
      <c r="BQ846" s="188"/>
      <c r="BR846" s="188"/>
      <c r="BS846" s="188"/>
      <c r="BT846" s="188"/>
      <c r="BU846" s="188"/>
      <c r="BV846" s="188"/>
    </row>
    <row r="847" spans="45:75" x14ac:dyDescent="0.3">
      <c r="AY847" s="42"/>
      <c r="AZ847" s="188"/>
      <c r="BB847" s="188"/>
      <c r="BO847" s="188"/>
      <c r="BP847" s="188"/>
      <c r="BQ847" s="188"/>
      <c r="BR847" s="188"/>
      <c r="BS847" s="188"/>
      <c r="BT847" s="188"/>
      <c r="BU847" s="188"/>
      <c r="BV847" s="188"/>
    </row>
    <row r="848" spans="45:75" x14ac:dyDescent="0.3">
      <c r="AY848" s="42"/>
      <c r="AZ848" s="188"/>
      <c r="BB848" s="188"/>
      <c r="BO848" s="188"/>
      <c r="BP848" s="188"/>
      <c r="BQ848" s="188"/>
      <c r="BR848" s="188"/>
      <c r="BS848" s="188"/>
      <c r="BT848" s="188"/>
      <c r="BU848" s="188"/>
      <c r="BV848" s="188"/>
    </row>
    <row r="849" spans="45:74" x14ac:dyDescent="0.3">
      <c r="AZ849" s="188"/>
      <c r="BB849" s="188"/>
      <c r="BD849" s="42"/>
      <c r="BO849" s="188"/>
      <c r="BP849" s="188"/>
      <c r="BQ849" s="188"/>
      <c r="BR849" s="188"/>
      <c r="BS849" s="188"/>
      <c r="BT849" s="188"/>
      <c r="BU849" s="188"/>
      <c r="BV849" s="188"/>
    </row>
    <row r="850" spans="45:74" x14ac:dyDescent="0.3">
      <c r="AZ850" s="188"/>
      <c r="BB850" s="188"/>
      <c r="BD850" s="42"/>
      <c r="BO850" s="188"/>
      <c r="BP850" s="188"/>
      <c r="BQ850" s="188"/>
      <c r="BR850" s="188"/>
      <c r="BS850" s="188"/>
      <c r="BT850" s="188"/>
      <c r="BU850" s="188"/>
      <c r="BV850" s="188"/>
    </row>
    <row r="851" spans="45:74" x14ac:dyDescent="0.3">
      <c r="AS851" s="42"/>
      <c r="AZ851" s="188"/>
      <c r="BB851" s="188"/>
      <c r="BD851" s="42"/>
      <c r="BO851" s="188"/>
      <c r="BP851" s="188"/>
      <c r="BQ851" s="188"/>
      <c r="BR851" s="188"/>
      <c r="BS851" s="188"/>
      <c r="BT851" s="188"/>
      <c r="BU851" s="188"/>
      <c r="BV851" s="188"/>
    </row>
    <row r="852" spans="45:74" x14ac:dyDescent="0.3">
      <c r="AZ852" s="188"/>
      <c r="BB852" s="188"/>
      <c r="BO852" s="188"/>
      <c r="BP852" s="188"/>
      <c r="BQ852" s="188"/>
      <c r="BR852" s="188"/>
      <c r="BS852" s="188"/>
      <c r="BT852" s="188"/>
      <c r="BU852" s="188"/>
      <c r="BV852" s="188"/>
    </row>
    <row r="853" spans="45:74" x14ac:dyDescent="0.3">
      <c r="AS853" s="135"/>
      <c r="AT853" s="135"/>
      <c r="AU853" s="135"/>
      <c r="AV853" s="135"/>
      <c r="AW853" s="135"/>
      <c r="AX853" s="135"/>
      <c r="AY853" s="135"/>
      <c r="AZ853" s="244"/>
      <c r="BA853" s="135"/>
      <c r="BB853" s="244"/>
      <c r="BC853" s="135"/>
      <c r="BD853" s="135"/>
      <c r="BE853" s="135"/>
      <c r="BO853" s="188"/>
      <c r="BP853" s="188"/>
      <c r="BQ853" s="188"/>
      <c r="BR853" s="188"/>
      <c r="BS853" s="188"/>
      <c r="BT853" s="188"/>
      <c r="BU853" s="188"/>
      <c r="BV853" s="188"/>
    </row>
    <row r="854" spans="45:74" x14ac:dyDescent="0.3">
      <c r="AX854" s="42"/>
      <c r="AZ854" s="188"/>
      <c r="BB854" s="188"/>
      <c r="BO854" s="188"/>
      <c r="BP854" s="188"/>
      <c r="BQ854" s="188"/>
      <c r="BR854" s="188"/>
      <c r="BS854" s="188"/>
      <c r="BT854" s="188"/>
      <c r="BU854" s="188"/>
      <c r="BV854" s="188"/>
    </row>
    <row r="855" spans="45:74" x14ac:dyDescent="0.3">
      <c r="AX855" s="135"/>
      <c r="AY855" s="135"/>
      <c r="AZ855" s="244"/>
      <c r="BA855" s="135"/>
      <c r="BB855" s="188"/>
      <c r="BC855" s="44"/>
      <c r="BD855" s="44"/>
      <c r="BO855" s="188"/>
      <c r="BP855" s="188"/>
      <c r="BQ855" s="188"/>
      <c r="BR855" s="188"/>
      <c r="BS855" s="188"/>
      <c r="BT855" s="188"/>
      <c r="BU855" s="188"/>
      <c r="BV855" s="188"/>
    </row>
    <row r="856" spans="45:74" x14ac:dyDescent="0.3">
      <c r="AV856" s="44"/>
      <c r="AW856" s="44"/>
      <c r="AZ856" s="245"/>
      <c r="BA856" s="44"/>
      <c r="BB856" s="188"/>
      <c r="BC856" s="44"/>
      <c r="BD856" s="44"/>
      <c r="BE856" s="44"/>
      <c r="BG856" s="135"/>
      <c r="BH856" s="42"/>
      <c r="BK856" s="135"/>
      <c r="BM856" s="135"/>
      <c r="BN856" s="42"/>
      <c r="BQ856" s="135"/>
    </row>
    <row r="857" spans="45:74" x14ac:dyDescent="0.3">
      <c r="AV857" s="44"/>
      <c r="AW857" s="44"/>
      <c r="AX857" s="44"/>
      <c r="AY857" s="44"/>
      <c r="AZ857" s="245"/>
      <c r="BA857" s="44"/>
      <c r="BB857" s="245"/>
      <c r="BC857" s="44"/>
      <c r="BD857" s="44"/>
      <c r="BE857" s="44"/>
      <c r="BH857" s="44"/>
      <c r="BI857" s="44"/>
      <c r="BN857" s="44"/>
      <c r="BO857" s="44"/>
    </row>
    <row r="858" spans="45:74" x14ac:dyDescent="0.3">
      <c r="AS858" s="44"/>
      <c r="AU858" s="42"/>
      <c r="AV858" s="44"/>
      <c r="AW858" s="44"/>
      <c r="AX858" s="44"/>
      <c r="AY858" s="44"/>
      <c r="AZ858" s="245"/>
      <c r="BA858" s="44"/>
      <c r="BB858" s="245"/>
      <c r="BC858" s="44"/>
      <c r="BD858" s="44"/>
      <c r="BE858" s="44"/>
      <c r="BG858" s="44"/>
      <c r="BH858" s="44"/>
      <c r="BI858" s="44"/>
      <c r="BJ858" s="44"/>
      <c r="BK858" s="44"/>
      <c r="BM858" s="44"/>
      <c r="BN858" s="44"/>
      <c r="BO858" s="44"/>
      <c r="BP858" s="44"/>
      <c r="BQ858" s="44"/>
    </row>
    <row r="859" spans="45:74" x14ac:dyDescent="0.3">
      <c r="AS859" s="44"/>
      <c r="AU859" s="42"/>
      <c r="AV859" s="44"/>
      <c r="AW859" s="44"/>
      <c r="AX859" s="44"/>
      <c r="AY859" s="44"/>
      <c r="AZ859" s="245"/>
      <c r="BA859" s="44"/>
      <c r="BB859" s="245"/>
      <c r="BC859" s="44"/>
      <c r="BD859" s="44"/>
      <c r="BE859" s="44"/>
      <c r="BG859" s="44"/>
      <c r="BH859" s="44"/>
      <c r="BI859" s="44"/>
      <c r="BJ859" s="44"/>
      <c r="BK859" s="44"/>
      <c r="BM859" s="44"/>
      <c r="BN859" s="44"/>
      <c r="BO859" s="44"/>
      <c r="BP859" s="44"/>
      <c r="BQ859" s="44"/>
    </row>
    <row r="860" spans="45:74" x14ac:dyDescent="0.3">
      <c r="AS860" s="135"/>
      <c r="AT860" s="135"/>
      <c r="AU860" s="135"/>
      <c r="AV860" s="135"/>
      <c r="AW860" s="135"/>
      <c r="AX860" s="135"/>
      <c r="AY860" s="135"/>
      <c r="AZ860" s="244"/>
      <c r="BA860" s="135"/>
      <c r="BB860" s="244"/>
      <c r="BC860" s="135"/>
      <c r="BD860" s="135"/>
      <c r="BE860" s="135"/>
      <c r="BG860" s="135"/>
      <c r="BH860" s="135"/>
      <c r="BI860" s="135"/>
      <c r="BJ860" s="135"/>
      <c r="BK860" s="135"/>
      <c r="BM860" s="135"/>
      <c r="BN860" s="135"/>
      <c r="BO860" s="135"/>
      <c r="BP860" s="135"/>
      <c r="BQ860" s="135"/>
    </row>
    <row r="861" spans="45:74" x14ac:dyDescent="0.3">
      <c r="AV861" s="44"/>
      <c r="AW861" s="44"/>
      <c r="AX861" s="44"/>
      <c r="AY861" s="44"/>
      <c r="AZ861" s="245"/>
      <c r="BA861" s="44"/>
      <c r="BB861" s="245"/>
      <c r="BC861" s="44"/>
      <c r="BD861" s="44"/>
      <c r="BE861" s="44"/>
      <c r="BG861" s="188"/>
      <c r="BH861" s="188"/>
      <c r="BI861" s="188"/>
      <c r="BJ861" s="188"/>
      <c r="BK861" s="188"/>
      <c r="BL861" s="188"/>
      <c r="BM861" s="188"/>
      <c r="BN861" s="188"/>
      <c r="BO861" s="188"/>
      <c r="BP861" s="188"/>
      <c r="BQ861" s="188"/>
    </row>
    <row r="862" spans="45:74" x14ac:dyDescent="0.3">
      <c r="AT862" s="42"/>
      <c r="AV862" s="123"/>
      <c r="AW862" s="123"/>
      <c r="AX862" s="188"/>
      <c r="AY862" s="188"/>
      <c r="AZ862" s="188"/>
      <c r="BA862" s="236"/>
      <c r="BB862" s="188"/>
      <c r="BC862" s="188"/>
      <c r="BD862" s="188"/>
      <c r="BE862" s="236"/>
      <c r="BG862" s="188"/>
      <c r="BH862" s="188"/>
      <c r="BI862" s="188"/>
      <c r="BJ862" s="188"/>
      <c r="BK862" s="188"/>
      <c r="BL862" s="188"/>
      <c r="BM862" s="188"/>
      <c r="BN862" s="188"/>
      <c r="BO862" s="188"/>
      <c r="BP862" s="188"/>
      <c r="BQ862" s="188"/>
      <c r="BR862" s="188"/>
      <c r="BS862" s="188"/>
    </row>
    <row r="863" spans="45:74" x14ac:dyDescent="0.3">
      <c r="AV863" s="123"/>
      <c r="AW863" s="123"/>
      <c r="AX863" s="188"/>
      <c r="AY863" s="188"/>
      <c r="AZ863" s="188"/>
      <c r="BA863" s="236"/>
      <c r="BB863" s="188"/>
      <c r="BC863" s="188"/>
      <c r="BD863" s="188"/>
      <c r="BE863" s="236"/>
      <c r="BG863" s="188"/>
      <c r="BH863" s="188"/>
      <c r="BI863" s="188"/>
      <c r="BJ863" s="188"/>
      <c r="BK863" s="188"/>
      <c r="BL863" s="188"/>
      <c r="BM863" s="188"/>
      <c r="BN863" s="188"/>
      <c r="BO863" s="188"/>
      <c r="BP863" s="188"/>
      <c r="BQ863" s="188"/>
      <c r="BR863" s="188"/>
      <c r="BS863" s="188"/>
    </row>
    <row r="864" spans="45:74" x14ac:dyDescent="0.3">
      <c r="AV864" s="123"/>
      <c r="AW864" s="123"/>
      <c r="AX864" s="188"/>
      <c r="AY864" s="188"/>
      <c r="AZ864" s="188"/>
      <c r="BA864" s="236"/>
      <c r="BB864" s="188"/>
      <c r="BC864" s="188"/>
      <c r="BD864" s="188"/>
      <c r="BE864" s="236"/>
      <c r="BG864" s="188"/>
      <c r="BH864" s="188"/>
      <c r="BI864" s="188"/>
      <c r="BJ864" s="188"/>
      <c r="BK864" s="188"/>
      <c r="BL864" s="188"/>
      <c r="BM864" s="188"/>
      <c r="BN864" s="188"/>
      <c r="BO864" s="188"/>
      <c r="BP864" s="188"/>
      <c r="BQ864" s="188"/>
      <c r="BR864" s="188"/>
      <c r="BS864" s="188"/>
    </row>
    <row r="865" spans="48:71" x14ac:dyDescent="0.3">
      <c r="AV865" s="123"/>
      <c r="AW865" s="123"/>
      <c r="AX865" s="188"/>
      <c r="AY865" s="188"/>
      <c r="AZ865" s="188"/>
      <c r="BA865" s="236"/>
      <c r="BB865" s="188"/>
      <c r="BC865" s="188"/>
      <c r="BD865" s="188"/>
      <c r="BE865" s="236"/>
      <c r="BG865" s="188"/>
      <c r="BH865" s="188"/>
      <c r="BI865" s="188"/>
      <c r="BJ865" s="188"/>
      <c r="BK865" s="188"/>
      <c r="BL865" s="188"/>
      <c r="BM865" s="188"/>
      <c r="BN865" s="188"/>
      <c r="BO865" s="188"/>
      <c r="BP865" s="188"/>
      <c r="BQ865" s="188"/>
      <c r="BR865" s="188"/>
      <c r="BS865" s="188"/>
    </row>
    <row r="866" spans="48:71" x14ac:dyDescent="0.3">
      <c r="AV866" s="123"/>
      <c r="AW866" s="123"/>
      <c r="AX866" s="188"/>
      <c r="AY866" s="188"/>
      <c r="AZ866" s="188"/>
      <c r="BA866" s="236"/>
      <c r="BB866" s="188"/>
      <c r="BC866" s="188"/>
      <c r="BD866" s="188"/>
      <c r="BE866" s="236"/>
      <c r="BG866" s="188"/>
      <c r="BH866" s="188"/>
      <c r="BI866" s="188"/>
      <c r="BJ866" s="188"/>
      <c r="BK866" s="188"/>
      <c r="BL866" s="188"/>
      <c r="BM866" s="188"/>
      <c r="BN866" s="188"/>
      <c r="BO866" s="188"/>
      <c r="BP866" s="188"/>
      <c r="BQ866" s="188"/>
      <c r="BR866" s="188"/>
      <c r="BS866" s="188"/>
    </row>
    <row r="867" spans="48:71" x14ac:dyDescent="0.3">
      <c r="AV867" s="123"/>
      <c r="AW867" s="123"/>
      <c r="AX867" s="188"/>
      <c r="AY867" s="188"/>
      <c r="AZ867" s="188"/>
      <c r="BA867" s="236"/>
      <c r="BB867" s="188"/>
      <c r="BC867" s="188"/>
      <c r="BD867" s="188"/>
      <c r="BE867" s="236"/>
      <c r="BG867" s="188"/>
      <c r="BH867" s="188"/>
      <c r="BI867" s="188"/>
      <c r="BJ867" s="188"/>
      <c r="BK867" s="188"/>
      <c r="BL867" s="188"/>
      <c r="BM867" s="188"/>
      <c r="BN867" s="188"/>
      <c r="BO867" s="188"/>
      <c r="BP867" s="188"/>
      <c r="BQ867" s="188"/>
      <c r="BR867" s="188"/>
      <c r="BS867" s="188"/>
    </row>
    <row r="868" spans="48:71" x14ac:dyDescent="0.3">
      <c r="AV868" s="123"/>
      <c r="AW868" s="123"/>
      <c r="AX868" s="188"/>
      <c r="AY868" s="188"/>
      <c r="AZ868" s="188"/>
      <c r="BA868" s="236"/>
      <c r="BB868" s="188"/>
      <c r="BC868" s="188"/>
      <c r="BD868" s="188"/>
      <c r="BE868" s="236"/>
      <c r="BG868" s="188"/>
      <c r="BH868" s="188"/>
      <c r="BI868" s="188"/>
      <c r="BJ868" s="188"/>
      <c r="BK868" s="188"/>
      <c r="BL868" s="188"/>
      <c r="BM868" s="188"/>
      <c r="BN868" s="188"/>
      <c r="BO868" s="188"/>
      <c r="BP868" s="188"/>
      <c r="BQ868" s="188"/>
      <c r="BR868" s="188"/>
      <c r="BS868" s="188"/>
    </row>
    <row r="869" spans="48:71" x14ac:dyDescent="0.3">
      <c r="AV869" s="123"/>
      <c r="AW869" s="123"/>
      <c r="AX869" s="188"/>
      <c r="AY869" s="188"/>
      <c r="AZ869" s="188"/>
      <c r="BA869" s="236"/>
      <c r="BB869" s="188"/>
      <c r="BC869" s="188"/>
      <c r="BD869" s="188"/>
      <c r="BE869" s="236"/>
      <c r="BG869" s="188"/>
      <c r="BH869" s="188"/>
      <c r="BI869" s="188"/>
      <c r="BJ869" s="188"/>
      <c r="BK869" s="188"/>
      <c r="BL869" s="188"/>
      <c r="BM869" s="188"/>
      <c r="BN869" s="188"/>
      <c r="BO869" s="188"/>
      <c r="BP869" s="188"/>
      <c r="BQ869" s="188"/>
      <c r="BR869" s="188"/>
      <c r="BS869" s="188"/>
    </row>
    <row r="870" spans="48:71" x14ac:dyDescent="0.3">
      <c r="AV870" s="123"/>
      <c r="AW870" s="123"/>
      <c r="AX870" s="188"/>
      <c r="AY870" s="188"/>
      <c r="AZ870" s="188"/>
      <c r="BA870" s="236"/>
      <c r="BB870" s="188"/>
      <c r="BC870" s="188"/>
      <c r="BD870" s="188"/>
      <c r="BE870" s="236"/>
      <c r="BG870" s="188"/>
      <c r="BH870" s="188"/>
      <c r="BI870" s="188"/>
      <c r="BJ870" s="188"/>
      <c r="BK870" s="188"/>
      <c r="BL870" s="188"/>
      <c r="BM870" s="188"/>
      <c r="BN870" s="188"/>
      <c r="BO870" s="188"/>
      <c r="BP870" s="188"/>
      <c r="BQ870" s="188"/>
      <c r="BR870" s="188"/>
      <c r="BS870" s="188"/>
    </row>
    <row r="871" spans="48:71" x14ac:dyDescent="0.3">
      <c r="AV871" s="123"/>
      <c r="AW871" s="123"/>
      <c r="AX871" s="188"/>
      <c r="AY871" s="188"/>
      <c r="AZ871" s="188"/>
      <c r="BA871" s="236"/>
      <c r="BB871" s="188"/>
      <c r="BC871" s="188"/>
      <c r="BD871" s="188"/>
      <c r="BE871" s="236"/>
      <c r="BG871" s="188"/>
      <c r="BH871" s="188"/>
      <c r="BI871" s="188"/>
      <c r="BJ871" s="188"/>
      <c r="BK871" s="188"/>
      <c r="BL871" s="188"/>
      <c r="BM871" s="188"/>
      <c r="BN871" s="188"/>
      <c r="BO871" s="188"/>
      <c r="BP871" s="188"/>
      <c r="BQ871" s="188"/>
      <c r="BR871" s="188"/>
      <c r="BS871" s="188"/>
    </row>
    <row r="872" spans="48:71" x14ac:dyDescent="0.3">
      <c r="AV872" s="123"/>
      <c r="AW872" s="123"/>
      <c r="AX872" s="188"/>
      <c r="AY872" s="188"/>
      <c r="AZ872" s="188"/>
      <c r="BA872" s="236"/>
      <c r="BB872" s="188"/>
      <c r="BC872" s="188"/>
      <c r="BD872" s="188"/>
      <c r="BE872" s="236"/>
      <c r="BG872" s="188"/>
      <c r="BH872" s="188"/>
      <c r="BI872" s="188"/>
      <c r="BJ872" s="188"/>
      <c r="BK872" s="188"/>
      <c r="BL872" s="188"/>
      <c r="BM872" s="188"/>
      <c r="BN872" s="188"/>
      <c r="BO872" s="188"/>
      <c r="BP872" s="188"/>
      <c r="BQ872" s="188"/>
      <c r="BR872" s="188"/>
      <c r="BS872" s="188"/>
    </row>
    <row r="873" spans="48:71" x14ac:dyDescent="0.3">
      <c r="AV873" s="123"/>
      <c r="AW873" s="123"/>
      <c r="AX873" s="188"/>
      <c r="AY873" s="188"/>
      <c r="AZ873" s="188"/>
      <c r="BA873" s="236"/>
      <c r="BB873" s="188"/>
      <c r="BC873" s="188"/>
      <c r="BD873" s="188"/>
      <c r="BE873" s="236"/>
      <c r="BG873" s="188"/>
      <c r="BH873" s="188"/>
      <c r="BI873" s="188"/>
      <c r="BJ873" s="188"/>
      <c r="BK873" s="188"/>
      <c r="BL873" s="188"/>
      <c r="BM873" s="188"/>
      <c r="BN873" s="188"/>
      <c r="BO873" s="188"/>
      <c r="BP873" s="188"/>
      <c r="BQ873" s="188"/>
      <c r="BR873" s="188"/>
      <c r="BS873" s="188"/>
    </row>
    <row r="874" spans="48:71" x14ac:dyDescent="0.3">
      <c r="AV874" s="123"/>
      <c r="AW874" s="123"/>
      <c r="AX874" s="188"/>
      <c r="AY874" s="188"/>
      <c r="AZ874" s="188"/>
      <c r="BA874" s="236"/>
      <c r="BB874" s="188"/>
      <c r="BC874" s="188"/>
      <c r="BD874" s="188"/>
      <c r="BE874" s="236"/>
      <c r="BG874" s="188"/>
      <c r="BH874" s="188"/>
      <c r="BI874" s="188"/>
      <c r="BJ874" s="188"/>
      <c r="BK874" s="188"/>
      <c r="BL874" s="188"/>
      <c r="BM874" s="188"/>
      <c r="BN874" s="188"/>
      <c r="BO874" s="188"/>
      <c r="BP874" s="188"/>
      <c r="BQ874" s="188"/>
      <c r="BR874" s="188"/>
      <c r="BS874" s="188"/>
    </row>
    <row r="875" spans="48:71" x14ac:dyDescent="0.3">
      <c r="AV875" s="123"/>
      <c r="AW875" s="123"/>
      <c r="AX875" s="188"/>
      <c r="AY875" s="188"/>
      <c r="AZ875" s="188"/>
      <c r="BA875" s="236"/>
      <c r="BB875" s="188"/>
      <c r="BC875" s="188"/>
      <c r="BD875" s="188"/>
      <c r="BE875" s="236"/>
      <c r="BG875" s="188"/>
      <c r="BH875" s="188"/>
      <c r="BI875" s="188"/>
      <c r="BJ875" s="188"/>
      <c r="BK875" s="188"/>
      <c r="BL875" s="188"/>
      <c r="BM875" s="188"/>
      <c r="BN875" s="188"/>
      <c r="BO875" s="188"/>
      <c r="BP875" s="188"/>
      <c r="BQ875" s="188"/>
      <c r="BR875" s="188"/>
      <c r="BS875" s="188"/>
    </row>
    <row r="876" spans="48:71" x14ac:dyDescent="0.3">
      <c r="AV876" s="123"/>
      <c r="AW876" s="123"/>
      <c r="AX876" s="188"/>
      <c r="AY876" s="188"/>
      <c r="AZ876" s="188"/>
      <c r="BA876" s="236"/>
      <c r="BB876" s="188"/>
      <c r="BC876" s="188"/>
      <c r="BD876" s="188"/>
      <c r="BE876" s="236"/>
      <c r="BG876" s="188"/>
      <c r="BH876" s="188"/>
      <c r="BI876" s="188"/>
      <c r="BJ876" s="188"/>
      <c r="BK876" s="188"/>
      <c r="BL876" s="188"/>
      <c r="BM876" s="188"/>
      <c r="BN876" s="188"/>
      <c r="BO876" s="188"/>
      <c r="BP876" s="188"/>
      <c r="BQ876" s="188"/>
      <c r="BR876" s="188"/>
      <c r="BS876" s="188"/>
    </row>
    <row r="877" spans="48:71" x14ac:dyDescent="0.3">
      <c r="AV877" s="123"/>
      <c r="AW877" s="123"/>
      <c r="AX877" s="188"/>
      <c r="AY877" s="188"/>
      <c r="AZ877" s="188"/>
      <c r="BA877" s="236"/>
      <c r="BB877" s="188"/>
      <c r="BC877" s="188"/>
      <c r="BD877" s="188"/>
      <c r="BE877" s="236"/>
      <c r="BG877" s="188"/>
      <c r="BH877" s="188"/>
      <c r="BI877" s="188"/>
      <c r="BJ877" s="188"/>
      <c r="BK877" s="188"/>
      <c r="BL877" s="188"/>
      <c r="BM877" s="188"/>
      <c r="BN877" s="188"/>
      <c r="BO877" s="188"/>
      <c r="BP877" s="188"/>
      <c r="BQ877" s="188"/>
      <c r="BR877" s="188"/>
      <c r="BS877" s="188"/>
    </row>
    <row r="878" spans="48:71" x14ac:dyDescent="0.3">
      <c r="AV878" s="123"/>
      <c r="AW878" s="123"/>
      <c r="AX878" s="188"/>
      <c r="AY878" s="188"/>
      <c r="AZ878" s="188"/>
      <c r="BA878" s="236"/>
      <c r="BB878" s="188"/>
      <c r="BC878" s="188"/>
      <c r="BD878" s="188"/>
      <c r="BE878" s="236"/>
      <c r="BG878" s="188"/>
      <c r="BH878" s="188"/>
      <c r="BI878" s="188"/>
      <c r="BJ878" s="188"/>
      <c r="BK878" s="188"/>
      <c r="BL878" s="188"/>
      <c r="BM878" s="188"/>
      <c r="BN878" s="188"/>
      <c r="BO878" s="188"/>
      <c r="BP878" s="188"/>
      <c r="BQ878" s="188"/>
      <c r="BR878" s="188"/>
      <c r="BS878" s="188"/>
    </row>
    <row r="879" spans="48:71" x14ac:dyDescent="0.3">
      <c r="AV879" s="123"/>
      <c r="AW879" s="123"/>
      <c r="AX879" s="188"/>
      <c r="AY879" s="188"/>
      <c r="AZ879" s="188"/>
      <c r="BA879" s="236"/>
      <c r="BB879" s="188"/>
      <c r="BC879" s="188"/>
      <c r="BD879" s="188"/>
      <c r="BE879" s="236"/>
      <c r="BG879" s="188"/>
      <c r="BH879" s="188"/>
      <c r="BI879" s="188"/>
      <c r="BJ879" s="188"/>
      <c r="BK879" s="188"/>
      <c r="BL879" s="188"/>
      <c r="BM879" s="188"/>
      <c r="BN879" s="188"/>
      <c r="BO879" s="188"/>
      <c r="BP879" s="188"/>
      <c r="BQ879" s="188"/>
      <c r="BR879" s="188"/>
      <c r="BS879" s="188"/>
    </row>
    <row r="880" spans="48:71" x14ac:dyDescent="0.3">
      <c r="AZ880" s="188"/>
      <c r="BB880" s="188"/>
      <c r="BC880" s="188"/>
      <c r="BD880" s="188"/>
      <c r="BG880" s="188"/>
      <c r="BH880" s="188"/>
      <c r="BI880" s="188"/>
      <c r="BJ880" s="188"/>
      <c r="BK880" s="188"/>
      <c r="BL880" s="188"/>
      <c r="BM880" s="188"/>
      <c r="BN880" s="188"/>
      <c r="BO880" s="188"/>
      <c r="BP880" s="188"/>
      <c r="BQ880" s="188"/>
      <c r="BR880" s="188"/>
      <c r="BS880" s="188"/>
    </row>
    <row r="881" spans="46:57" x14ac:dyDescent="0.3">
      <c r="AT881" s="42"/>
      <c r="AV881" s="123"/>
      <c r="AW881" s="123"/>
      <c r="AX881" s="188"/>
      <c r="AY881" s="188"/>
      <c r="AZ881" s="188"/>
      <c r="BA881" s="236"/>
      <c r="BB881" s="188"/>
      <c r="BC881" s="188"/>
      <c r="BD881" s="188"/>
      <c r="BE881" s="236"/>
    </row>
    <row r="882" spans="46:57" x14ac:dyDescent="0.3">
      <c r="AV882" s="123"/>
      <c r="AW882" s="123"/>
      <c r="AX882" s="188"/>
      <c r="AY882" s="188"/>
      <c r="AZ882" s="188"/>
      <c r="BA882" s="236"/>
      <c r="BB882" s="188"/>
      <c r="BC882" s="188"/>
      <c r="BD882" s="188"/>
      <c r="BE882" s="236"/>
    </row>
    <row r="883" spans="46:57" x14ac:dyDescent="0.3">
      <c r="AV883" s="123"/>
      <c r="AW883" s="123"/>
      <c r="AX883" s="188"/>
      <c r="AY883" s="188"/>
      <c r="AZ883" s="188"/>
      <c r="BA883" s="236"/>
      <c r="BB883" s="188"/>
      <c r="BC883" s="188"/>
      <c r="BD883" s="188"/>
      <c r="BE883" s="236"/>
    </row>
    <row r="884" spans="46:57" x14ac:dyDescent="0.3">
      <c r="AV884" s="123"/>
      <c r="AW884" s="123"/>
      <c r="AX884" s="188"/>
      <c r="AY884" s="188"/>
      <c r="AZ884" s="188"/>
      <c r="BA884" s="236"/>
      <c r="BB884" s="188"/>
      <c r="BC884" s="188"/>
      <c r="BD884" s="188"/>
      <c r="BE884" s="236"/>
    </row>
    <row r="885" spans="46:57" x14ac:dyDescent="0.3">
      <c r="AV885" s="123"/>
      <c r="AW885" s="123"/>
      <c r="AX885" s="188"/>
      <c r="AY885" s="188"/>
      <c r="AZ885" s="188"/>
      <c r="BA885" s="236"/>
      <c r="BB885" s="188"/>
      <c r="BC885" s="188"/>
      <c r="BD885" s="188"/>
      <c r="BE885" s="236"/>
    </row>
    <row r="886" spans="46:57" x14ac:dyDescent="0.3">
      <c r="AV886" s="123"/>
      <c r="AW886" s="123"/>
      <c r="AX886" s="188"/>
      <c r="AY886" s="188"/>
      <c r="AZ886" s="188"/>
      <c r="BA886" s="236"/>
      <c r="BB886" s="188"/>
      <c r="BC886" s="188"/>
      <c r="BD886" s="188"/>
      <c r="BE886" s="236"/>
    </row>
    <row r="887" spans="46:57" x14ac:dyDescent="0.3">
      <c r="AV887" s="123"/>
      <c r="AW887" s="123"/>
      <c r="AX887" s="188"/>
      <c r="AY887" s="188"/>
      <c r="AZ887" s="188"/>
      <c r="BA887" s="236"/>
      <c r="BB887" s="188"/>
      <c r="BC887" s="188"/>
      <c r="BD887" s="188"/>
      <c r="BE887" s="236"/>
    </row>
    <row r="888" spans="46:57" x14ac:dyDescent="0.3">
      <c r="AV888" s="123"/>
      <c r="AW888" s="123"/>
      <c r="AX888" s="188"/>
      <c r="AY888" s="188"/>
      <c r="AZ888" s="188"/>
      <c r="BA888" s="236"/>
      <c r="BB888" s="188"/>
      <c r="BC888" s="188"/>
      <c r="BD888" s="188"/>
      <c r="BE888" s="236"/>
    </row>
    <row r="889" spans="46:57" x14ac:dyDescent="0.3">
      <c r="AV889" s="123"/>
      <c r="AW889" s="123"/>
      <c r="AX889" s="188"/>
      <c r="AY889" s="188"/>
      <c r="AZ889" s="188"/>
      <c r="BA889" s="236"/>
      <c r="BB889" s="188"/>
      <c r="BC889" s="188"/>
      <c r="BD889" s="188"/>
      <c r="BE889" s="236"/>
    </row>
    <row r="890" spans="46:57" x14ac:dyDescent="0.3">
      <c r="AV890" s="123"/>
      <c r="AW890" s="123"/>
      <c r="AX890" s="188"/>
      <c r="AY890" s="188"/>
      <c r="AZ890" s="188"/>
      <c r="BA890" s="236"/>
      <c r="BB890" s="188"/>
      <c r="BC890" s="188"/>
      <c r="BD890" s="188"/>
      <c r="BE890" s="236"/>
    </row>
    <row r="891" spans="46:57" x14ac:dyDescent="0.3">
      <c r="AV891" s="123"/>
      <c r="AW891" s="123"/>
      <c r="AX891" s="188"/>
      <c r="AY891" s="188"/>
      <c r="AZ891" s="188"/>
      <c r="BA891" s="236"/>
      <c r="BB891" s="188"/>
      <c r="BC891" s="188"/>
      <c r="BD891" s="188"/>
      <c r="BE891" s="236"/>
    </row>
    <row r="892" spans="46:57" x14ac:dyDescent="0.3">
      <c r="AV892" s="123"/>
      <c r="AW892" s="123"/>
      <c r="AX892" s="188"/>
      <c r="AY892" s="188"/>
      <c r="AZ892" s="188"/>
      <c r="BA892" s="236"/>
      <c r="BB892" s="188"/>
      <c r="BC892" s="188"/>
      <c r="BD892" s="188"/>
      <c r="BE892" s="236"/>
    </row>
    <row r="893" spans="46:57" x14ac:dyDescent="0.3">
      <c r="AV893" s="123"/>
      <c r="AW893" s="123"/>
      <c r="AX893" s="188"/>
      <c r="AY893" s="188"/>
      <c r="AZ893" s="188"/>
      <c r="BA893" s="236"/>
      <c r="BB893" s="188"/>
      <c r="BC893" s="188"/>
      <c r="BD893" s="188"/>
      <c r="BE893" s="236"/>
    </row>
    <row r="894" spans="46:57" x14ac:dyDescent="0.3">
      <c r="AV894" s="123"/>
      <c r="AW894" s="123"/>
      <c r="AX894" s="188"/>
      <c r="AY894" s="188"/>
      <c r="AZ894" s="188"/>
      <c r="BA894" s="236"/>
      <c r="BB894" s="188"/>
      <c r="BC894" s="188"/>
      <c r="BD894" s="188"/>
      <c r="BE894" s="236"/>
    </row>
    <row r="895" spans="46:57" x14ac:dyDescent="0.3">
      <c r="AV895" s="123"/>
      <c r="AW895" s="123"/>
      <c r="AX895" s="188"/>
      <c r="AY895" s="188"/>
      <c r="AZ895" s="188"/>
      <c r="BA895" s="236"/>
      <c r="BB895" s="188"/>
      <c r="BC895" s="188"/>
      <c r="BD895" s="188"/>
      <c r="BE895" s="236"/>
    </row>
    <row r="896" spans="46:57" x14ac:dyDescent="0.3">
      <c r="AV896" s="123"/>
      <c r="AW896" s="123"/>
      <c r="AX896" s="188"/>
      <c r="AY896" s="188"/>
      <c r="AZ896" s="188"/>
      <c r="BA896" s="236"/>
      <c r="BB896" s="188"/>
      <c r="BC896" s="188"/>
      <c r="BD896" s="188"/>
      <c r="BE896" s="236"/>
    </row>
    <row r="897" spans="45:57" x14ac:dyDescent="0.3">
      <c r="AV897" s="123"/>
      <c r="AW897" s="123"/>
      <c r="AX897" s="188"/>
      <c r="AY897" s="188"/>
      <c r="AZ897" s="188"/>
      <c r="BA897" s="236"/>
      <c r="BB897" s="188"/>
      <c r="BC897" s="188"/>
      <c r="BD897" s="188"/>
      <c r="BE897" s="236"/>
    </row>
    <row r="898" spans="45:57" x14ac:dyDescent="0.3">
      <c r="AV898" s="123"/>
      <c r="AW898" s="123"/>
      <c r="AX898" s="188"/>
      <c r="AY898" s="188"/>
      <c r="AZ898" s="188"/>
      <c r="BA898" s="236"/>
      <c r="BB898" s="188"/>
      <c r="BC898" s="188"/>
      <c r="BD898" s="188"/>
      <c r="BE898" s="236"/>
    </row>
    <row r="899" spans="45:57" x14ac:dyDescent="0.3">
      <c r="BB899" s="188"/>
    </row>
    <row r="900" spans="45:57" x14ac:dyDescent="0.3">
      <c r="AU900" s="42"/>
      <c r="BB900" s="188"/>
    </row>
    <row r="901" spans="45:57" x14ac:dyDescent="0.3">
      <c r="AU901" s="42"/>
    </row>
    <row r="902" spans="45:57" x14ac:dyDescent="0.3">
      <c r="AU902" s="42"/>
      <c r="BB902" s="188"/>
    </row>
    <row r="903" spans="45:57" x14ac:dyDescent="0.3">
      <c r="AS903" s="42"/>
      <c r="AZ903" s="188"/>
      <c r="BB903" s="188"/>
    </row>
    <row r="904" spans="45:57" x14ac:dyDescent="0.3">
      <c r="AZ904" s="188"/>
      <c r="BB904" s="188"/>
    </row>
    <row r="905" spans="45:57" x14ac:dyDescent="0.3">
      <c r="AY905" s="188"/>
      <c r="AZ905" s="188"/>
      <c r="BB905" s="188"/>
    </row>
    <row r="906" spans="45:57" x14ac:dyDescent="0.3">
      <c r="AY906" s="42"/>
      <c r="AZ906" s="188"/>
      <c r="BB906" s="188"/>
    </row>
    <row r="907" spans="45:57" x14ac:dyDescent="0.3">
      <c r="AY907" s="42"/>
      <c r="AZ907" s="188"/>
      <c r="BB907" s="188"/>
    </row>
    <row r="908" spans="45:57" x14ac:dyDescent="0.3">
      <c r="AZ908" s="188"/>
      <c r="BB908" s="188"/>
      <c r="BD908" s="42"/>
    </row>
    <row r="909" spans="45:57" x14ac:dyDescent="0.3">
      <c r="AZ909" s="188"/>
      <c r="BB909" s="188"/>
      <c r="BD909" s="42"/>
    </row>
    <row r="910" spans="45:57" x14ac:dyDescent="0.3">
      <c r="AS910" s="42"/>
      <c r="AZ910" s="188"/>
      <c r="BB910" s="188"/>
      <c r="BD910" s="42"/>
    </row>
    <row r="911" spans="45:57" x14ac:dyDescent="0.3">
      <c r="AZ911" s="188"/>
      <c r="BB911" s="188"/>
    </row>
    <row r="912" spans="45:57" x14ac:dyDescent="0.3">
      <c r="AS912" s="135"/>
      <c r="AT912" s="135"/>
      <c r="AU912" s="135"/>
      <c r="AV912" s="135"/>
      <c r="AW912" s="135"/>
      <c r="AX912" s="135"/>
      <c r="AY912" s="135"/>
      <c r="AZ912" s="244"/>
      <c r="BA912" s="135"/>
      <c r="BB912" s="244"/>
      <c r="BC912" s="135"/>
      <c r="BD912" s="135"/>
      <c r="BE912" s="135"/>
    </row>
    <row r="913" spans="45:57" x14ac:dyDescent="0.3">
      <c r="AX913" s="42"/>
      <c r="AZ913" s="188"/>
      <c r="BB913" s="188"/>
    </row>
    <row r="914" spans="45:57" x14ac:dyDescent="0.3">
      <c r="AX914" s="135"/>
      <c r="AY914" s="135"/>
      <c r="AZ914" s="244"/>
      <c r="BA914" s="135"/>
      <c r="BB914" s="188"/>
      <c r="BC914" s="44"/>
      <c r="BD914" s="44"/>
    </row>
    <row r="915" spans="45:57" x14ac:dyDescent="0.3">
      <c r="AV915" s="44"/>
      <c r="AW915" s="44"/>
      <c r="AZ915" s="245"/>
      <c r="BA915" s="44"/>
      <c r="BB915" s="188"/>
      <c r="BC915" s="44"/>
      <c r="BD915" s="44"/>
      <c r="BE915" s="44"/>
    </row>
    <row r="916" spans="45:57" x14ac:dyDescent="0.3">
      <c r="AV916" s="44"/>
      <c r="AW916" s="44"/>
      <c r="AX916" s="44"/>
      <c r="AY916" s="44"/>
      <c r="AZ916" s="245"/>
      <c r="BA916" s="44"/>
      <c r="BB916" s="245"/>
      <c r="BC916" s="44"/>
      <c r="BD916" s="44"/>
      <c r="BE916" s="44"/>
    </row>
    <row r="917" spans="45:57" x14ac:dyDescent="0.3">
      <c r="AS917" s="44"/>
      <c r="AU917" s="42"/>
      <c r="AV917" s="44"/>
      <c r="AW917" s="44"/>
      <c r="AX917" s="44"/>
      <c r="AY917" s="44"/>
      <c r="AZ917" s="245"/>
      <c r="BA917" s="44"/>
      <c r="BB917" s="245"/>
      <c r="BC917" s="44"/>
      <c r="BD917" s="44"/>
      <c r="BE917" s="44"/>
    </row>
    <row r="918" spans="45:57" x14ac:dyDescent="0.3">
      <c r="AS918" s="44"/>
      <c r="AU918" s="42"/>
      <c r="AV918" s="44"/>
      <c r="AW918" s="44"/>
      <c r="AX918" s="44"/>
      <c r="AY918" s="44"/>
      <c r="AZ918" s="245"/>
      <c r="BA918" s="44"/>
      <c r="BB918" s="245"/>
      <c r="BC918" s="44"/>
      <c r="BD918" s="44"/>
      <c r="BE918" s="44"/>
    </row>
    <row r="919" spans="45:57" x14ac:dyDescent="0.3">
      <c r="AS919" s="135"/>
      <c r="AT919" s="135"/>
      <c r="AU919" s="135"/>
      <c r="AV919" s="135"/>
      <c r="AW919" s="135"/>
      <c r="AX919" s="135"/>
      <c r="AY919" s="135"/>
      <c r="AZ919" s="244"/>
      <c r="BA919" s="135"/>
      <c r="BB919" s="244"/>
      <c r="BC919" s="135"/>
      <c r="BD919" s="135"/>
      <c r="BE919" s="135"/>
    </row>
    <row r="920" spans="45:57" x14ac:dyDescent="0.3">
      <c r="AV920" s="44"/>
      <c r="AW920" s="44"/>
      <c r="AX920" s="44"/>
      <c r="AY920" s="44"/>
      <c r="AZ920" s="245"/>
      <c r="BA920" s="44"/>
      <c r="BB920" s="245"/>
      <c r="BC920" s="44"/>
      <c r="BD920" s="44"/>
      <c r="BE920" s="44"/>
    </row>
    <row r="921" spans="45:57" x14ac:dyDescent="0.3">
      <c r="AT921" s="42"/>
      <c r="AV921" s="123"/>
      <c r="AW921" s="123"/>
      <c r="AX921" s="188"/>
      <c r="AY921" s="188"/>
      <c r="AZ921" s="188"/>
      <c r="BA921" s="236"/>
      <c r="BB921" s="188"/>
      <c r="BC921" s="188"/>
      <c r="BD921" s="188"/>
      <c r="BE921" s="236"/>
    </row>
    <row r="922" spans="45:57" x14ac:dyDescent="0.3">
      <c r="AV922" s="123"/>
      <c r="AW922" s="123"/>
      <c r="AX922" s="188"/>
      <c r="AY922" s="188"/>
      <c r="AZ922" s="188"/>
      <c r="BA922" s="236"/>
      <c r="BB922" s="188"/>
      <c r="BC922" s="188"/>
      <c r="BD922" s="188"/>
      <c r="BE922" s="236"/>
    </row>
    <row r="923" spans="45:57" x14ac:dyDescent="0.3">
      <c r="AV923" s="123"/>
      <c r="AW923" s="123"/>
      <c r="AX923" s="188"/>
      <c r="AY923" s="188"/>
      <c r="AZ923" s="188"/>
      <c r="BA923" s="236"/>
      <c r="BB923" s="188"/>
      <c r="BC923" s="188"/>
      <c r="BD923" s="188"/>
      <c r="BE923" s="236"/>
    </row>
    <row r="924" spans="45:57" x14ac:dyDescent="0.3">
      <c r="AV924" s="123"/>
      <c r="AW924" s="123"/>
      <c r="AX924" s="188"/>
      <c r="AY924" s="188"/>
      <c r="AZ924" s="188"/>
      <c r="BA924" s="236"/>
      <c r="BB924" s="188"/>
      <c r="BC924" s="188"/>
      <c r="BD924" s="188"/>
      <c r="BE924" s="236"/>
    </row>
    <row r="925" spans="45:57" x14ac:dyDescent="0.3">
      <c r="AV925" s="123"/>
      <c r="AW925" s="123"/>
      <c r="AX925" s="188"/>
      <c r="AY925" s="188"/>
      <c r="AZ925" s="188"/>
      <c r="BA925" s="236"/>
      <c r="BB925" s="188"/>
      <c r="BC925" s="188"/>
      <c r="BD925" s="188"/>
      <c r="BE925" s="236"/>
    </row>
    <row r="926" spans="45:57" x14ac:dyDescent="0.3">
      <c r="AV926" s="123"/>
      <c r="AW926" s="123"/>
      <c r="AX926" s="188"/>
      <c r="AY926" s="188"/>
      <c r="AZ926" s="188"/>
      <c r="BA926" s="236"/>
      <c r="BB926" s="188"/>
      <c r="BC926" s="188"/>
      <c r="BD926" s="188"/>
      <c r="BE926" s="236"/>
    </row>
    <row r="927" spans="45:57" x14ac:dyDescent="0.3">
      <c r="AV927" s="123"/>
      <c r="AW927" s="123"/>
      <c r="AX927" s="188"/>
      <c r="AY927" s="188"/>
      <c r="AZ927" s="188"/>
      <c r="BA927" s="236"/>
      <c r="BB927" s="188"/>
      <c r="BC927" s="188"/>
      <c r="BD927" s="188"/>
      <c r="BE927" s="236"/>
    </row>
    <row r="928" spans="45:57" x14ac:dyDescent="0.3">
      <c r="AV928" s="123"/>
      <c r="AW928" s="123"/>
      <c r="AX928" s="188"/>
      <c r="AY928" s="188"/>
      <c r="AZ928" s="188"/>
      <c r="BA928" s="236"/>
      <c r="BB928" s="188"/>
      <c r="BC928" s="188"/>
      <c r="BD928" s="188"/>
      <c r="BE928" s="236"/>
    </row>
    <row r="929" spans="46:57" x14ac:dyDescent="0.3">
      <c r="AV929" s="123"/>
      <c r="AW929" s="123"/>
      <c r="AX929" s="188"/>
      <c r="AY929" s="188"/>
      <c r="AZ929" s="188"/>
      <c r="BA929" s="236"/>
      <c r="BB929" s="188"/>
      <c r="BC929" s="188"/>
      <c r="BD929" s="188"/>
      <c r="BE929" s="236"/>
    </row>
    <row r="930" spans="46:57" x14ac:dyDescent="0.3">
      <c r="AV930" s="123"/>
      <c r="AW930" s="123"/>
      <c r="AX930" s="188"/>
      <c r="AY930" s="188"/>
      <c r="AZ930" s="188"/>
      <c r="BA930" s="236"/>
      <c r="BB930" s="188"/>
      <c r="BC930" s="188"/>
      <c r="BD930" s="188"/>
      <c r="BE930" s="236"/>
    </row>
    <row r="931" spans="46:57" x14ac:dyDescent="0.3">
      <c r="AV931" s="123"/>
      <c r="AW931" s="123"/>
      <c r="BB931" s="188"/>
    </row>
    <row r="932" spans="46:57" x14ac:dyDescent="0.3">
      <c r="AT932" s="42"/>
      <c r="AV932" s="123"/>
      <c r="AW932" s="123"/>
      <c r="AX932" s="188"/>
      <c r="AY932" s="188"/>
      <c r="AZ932" s="188"/>
      <c r="BA932" s="236"/>
      <c r="BB932" s="188"/>
      <c r="BC932" s="188"/>
      <c r="BD932" s="188"/>
      <c r="BE932" s="236"/>
    </row>
    <row r="933" spans="46:57" x14ac:dyDescent="0.3">
      <c r="AV933" s="123"/>
      <c r="AW933" s="123"/>
      <c r="AX933" s="188"/>
      <c r="AY933" s="188"/>
      <c r="AZ933" s="188"/>
      <c r="BA933" s="236"/>
      <c r="BB933" s="188"/>
      <c r="BC933" s="188"/>
      <c r="BD933" s="188"/>
      <c r="BE933" s="236"/>
    </row>
    <row r="934" spans="46:57" x14ac:dyDescent="0.3">
      <c r="AV934" s="123"/>
      <c r="AW934" s="123"/>
      <c r="AX934" s="188"/>
      <c r="AY934" s="188"/>
      <c r="AZ934" s="188"/>
      <c r="BA934" s="236"/>
      <c r="BB934" s="188"/>
      <c r="BC934" s="188"/>
      <c r="BD934" s="188"/>
      <c r="BE934" s="236"/>
    </row>
    <row r="935" spans="46:57" x14ac:dyDescent="0.3">
      <c r="AV935" s="123"/>
      <c r="AW935" s="123"/>
      <c r="AX935" s="188"/>
      <c r="AY935" s="188"/>
      <c r="AZ935" s="188"/>
      <c r="BA935" s="236"/>
      <c r="BB935" s="188"/>
      <c r="BC935" s="188"/>
      <c r="BD935" s="188"/>
      <c r="BE935" s="236"/>
    </row>
    <row r="936" spans="46:57" x14ac:dyDescent="0.3">
      <c r="AV936" s="123"/>
      <c r="AW936" s="123"/>
      <c r="AX936" s="188"/>
      <c r="AY936" s="188"/>
      <c r="AZ936" s="188"/>
      <c r="BA936" s="236"/>
      <c r="BB936" s="188"/>
      <c r="BC936" s="188"/>
      <c r="BD936" s="188"/>
      <c r="BE936" s="236"/>
    </row>
    <row r="937" spans="46:57" x14ac:dyDescent="0.3">
      <c r="AV937" s="123"/>
      <c r="AW937" s="123"/>
      <c r="AX937" s="188"/>
      <c r="AY937" s="188"/>
      <c r="AZ937" s="188"/>
      <c r="BA937" s="236"/>
      <c r="BB937" s="188"/>
      <c r="BC937" s="188"/>
      <c r="BD937" s="188"/>
      <c r="BE937" s="236"/>
    </row>
    <row r="938" spans="46:57" x14ac:dyDescent="0.3">
      <c r="AV938" s="123"/>
      <c r="AW938" s="123"/>
      <c r="AX938" s="188"/>
      <c r="AY938" s="188"/>
      <c r="AZ938" s="188"/>
      <c r="BA938" s="236"/>
      <c r="BB938" s="188"/>
      <c r="BC938" s="188"/>
      <c r="BD938" s="188"/>
      <c r="BE938" s="236"/>
    </row>
    <row r="939" spans="46:57" x14ac:dyDescent="0.3">
      <c r="AV939" s="123"/>
      <c r="AW939" s="123"/>
      <c r="AX939" s="188"/>
      <c r="AY939" s="188"/>
      <c r="AZ939" s="188"/>
      <c r="BA939" s="236"/>
      <c r="BB939" s="188"/>
      <c r="BC939" s="188"/>
      <c r="BD939" s="188"/>
      <c r="BE939" s="236"/>
    </row>
    <row r="940" spans="46:57" x14ac:dyDescent="0.3">
      <c r="AV940" s="123"/>
      <c r="AW940" s="123"/>
      <c r="AX940" s="188"/>
      <c r="AY940" s="188"/>
      <c r="AZ940" s="188"/>
      <c r="BA940" s="236"/>
      <c r="BB940" s="188"/>
      <c r="BC940" s="188"/>
      <c r="BD940" s="188"/>
      <c r="BE940" s="236"/>
    </row>
    <row r="941" spans="46:57" x14ac:dyDescent="0.3">
      <c r="AV941" s="123"/>
      <c r="AW941" s="123"/>
      <c r="AX941" s="188"/>
      <c r="AY941" s="188"/>
      <c r="AZ941" s="188"/>
      <c r="BA941" s="236"/>
      <c r="BB941" s="188"/>
      <c r="BC941" s="188"/>
      <c r="BD941" s="188"/>
      <c r="BE941" s="236"/>
    </row>
    <row r="943" spans="46:57" x14ac:dyDescent="0.3">
      <c r="AU943" s="42"/>
    </row>
    <row r="944" spans="46:57" x14ac:dyDescent="0.3">
      <c r="AU944" s="42"/>
    </row>
    <row r="945" spans="45:47" x14ac:dyDescent="0.3">
      <c r="AU945" s="42"/>
    </row>
    <row r="946" spans="45:47" x14ac:dyDescent="0.3">
      <c r="AS946" s="42"/>
    </row>
    <row r="967" spans="52:71" x14ac:dyDescent="0.3">
      <c r="AZ967" s="188"/>
      <c r="BB967" s="188"/>
      <c r="BC967" s="188"/>
      <c r="BD967" s="188"/>
      <c r="BG967" s="188"/>
      <c r="BH967" s="188"/>
      <c r="BI967" s="188"/>
      <c r="BJ967" s="188"/>
      <c r="BK967" s="188"/>
      <c r="BL967" s="188"/>
      <c r="BM967" s="188"/>
      <c r="BN967" s="188"/>
      <c r="BO967" s="188"/>
      <c r="BP967" s="188"/>
      <c r="BQ967" s="188"/>
      <c r="BR967" s="188"/>
      <c r="BS967" s="188"/>
    </row>
    <row r="968" spans="52:71" x14ac:dyDescent="0.3">
      <c r="AZ968" s="188"/>
      <c r="BB968" s="188"/>
      <c r="BC968" s="188"/>
      <c r="BD968" s="188"/>
      <c r="BG968" s="188"/>
      <c r="BH968" s="188"/>
      <c r="BI968" s="188"/>
      <c r="BJ968" s="188"/>
      <c r="BK968" s="188"/>
      <c r="BL968" s="188"/>
      <c r="BM968" s="188"/>
      <c r="BN968" s="188"/>
      <c r="BO968" s="188"/>
      <c r="BP968" s="188"/>
      <c r="BQ968" s="188"/>
      <c r="BR968" s="188"/>
      <c r="BS968" s="188"/>
    </row>
    <row r="969" spans="52:71" x14ac:dyDescent="0.3">
      <c r="AZ969" s="188"/>
      <c r="BB969" s="188"/>
      <c r="BC969" s="188"/>
      <c r="BD969" s="188"/>
      <c r="BG969" s="188"/>
      <c r="BH969" s="188"/>
      <c r="BI969" s="188"/>
      <c r="BJ969" s="188"/>
      <c r="BK969" s="188"/>
      <c r="BL969" s="188"/>
      <c r="BM969" s="188"/>
      <c r="BN969" s="188"/>
      <c r="BO969" s="188"/>
      <c r="BP969" s="188"/>
      <c r="BQ969" s="188"/>
      <c r="BR969" s="188"/>
      <c r="BS969" s="188"/>
    </row>
    <row r="970" spans="52:71" x14ac:dyDescent="0.3">
      <c r="AZ970" s="188"/>
      <c r="BB970" s="188"/>
      <c r="BC970" s="188"/>
      <c r="BD970" s="188"/>
      <c r="BG970" s="188"/>
      <c r="BH970" s="188"/>
      <c r="BI970" s="188"/>
      <c r="BJ970" s="188"/>
      <c r="BK970" s="188"/>
      <c r="BL970" s="188"/>
      <c r="BM970" s="188"/>
      <c r="BN970" s="188"/>
      <c r="BO970" s="188"/>
      <c r="BP970" s="188"/>
      <c r="BQ970" s="188"/>
      <c r="BR970" s="188"/>
      <c r="BS970" s="188"/>
    </row>
    <row r="971" spans="52:71" x14ac:dyDescent="0.3">
      <c r="AZ971" s="188"/>
      <c r="BB971" s="188"/>
      <c r="BC971" s="188"/>
      <c r="BD971" s="188"/>
      <c r="BG971" s="188"/>
      <c r="BH971" s="188"/>
      <c r="BI971" s="188"/>
      <c r="BJ971" s="188"/>
      <c r="BK971" s="188"/>
      <c r="BL971" s="188"/>
      <c r="BM971" s="188"/>
      <c r="BN971" s="188"/>
      <c r="BO971" s="188"/>
      <c r="BP971" s="188"/>
      <c r="BQ971" s="188"/>
      <c r="BR971" s="188"/>
      <c r="BS971" s="188"/>
    </row>
    <row r="972" spans="52:71" x14ac:dyDescent="0.3">
      <c r="AZ972" s="188"/>
      <c r="BB972" s="188"/>
      <c r="BC972" s="188"/>
      <c r="BD972" s="188"/>
      <c r="BG972" s="188"/>
      <c r="BH972" s="188"/>
      <c r="BI972" s="188"/>
      <c r="BJ972" s="188"/>
      <c r="BK972" s="188"/>
      <c r="BL972" s="188"/>
      <c r="BM972" s="188"/>
      <c r="BN972" s="188"/>
      <c r="BO972" s="188"/>
      <c r="BP972" s="188"/>
      <c r="BQ972" s="188"/>
      <c r="BR972" s="188"/>
      <c r="BS972" s="188"/>
    </row>
    <row r="973" spans="52:71" x14ac:dyDescent="0.3">
      <c r="AZ973" s="188"/>
      <c r="BB973" s="188"/>
      <c r="BC973" s="188"/>
      <c r="BD973" s="188"/>
      <c r="BG973" s="188"/>
      <c r="BH973" s="188"/>
      <c r="BI973" s="188"/>
      <c r="BJ973" s="188"/>
      <c r="BK973" s="188"/>
      <c r="BL973" s="188"/>
      <c r="BM973" s="188"/>
      <c r="BN973" s="188"/>
      <c r="BO973" s="188"/>
      <c r="BP973" s="188"/>
      <c r="BQ973" s="188"/>
      <c r="BR973" s="188"/>
      <c r="BS973" s="188"/>
    </row>
    <row r="974" spans="52:71" x14ac:dyDescent="0.3">
      <c r="AZ974" s="188"/>
      <c r="BB974" s="188"/>
      <c r="BC974" s="188"/>
      <c r="BD974" s="188"/>
      <c r="BG974" s="188"/>
      <c r="BH974" s="188"/>
      <c r="BI974" s="188"/>
      <c r="BJ974" s="188"/>
      <c r="BK974" s="188"/>
      <c r="BL974" s="188"/>
      <c r="BM974" s="188"/>
      <c r="BN974" s="188"/>
      <c r="BO974" s="188"/>
      <c r="BP974" s="188"/>
      <c r="BQ974" s="188"/>
      <c r="BR974" s="188"/>
      <c r="BS974" s="188"/>
    </row>
    <row r="975" spans="52:71" x14ac:dyDescent="0.3">
      <c r="AZ975" s="188"/>
      <c r="BB975" s="188"/>
      <c r="BC975" s="188"/>
      <c r="BD975" s="188"/>
      <c r="BG975" s="188"/>
      <c r="BH975" s="188"/>
      <c r="BI975" s="188"/>
      <c r="BJ975" s="188"/>
      <c r="BK975" s="188"/>
      <c r="BL975" s="188"/>
      <c r="BM975" s="188"/>
      <c r="BN975" s="188"/>
      <c r="BO975" s="188"/>
      <c r="BP975" s="188"/>
      <c r="BQ975" s="188"/>
      <c r="BR975" s="188"/>
      <c r="BS975" s="188"/>
    </row>
    <row r="976" spans="52:71" x14ac:dyDescent="0.3">
      <c r="AZ976" s="188"/>
      <c r="BB976" s="188"/>
      <c r="BC976" s="188"/>
      <c r="BD976" s="188"/>
      <c r="BG976" s="188"/>
      <c r="BH976" s="188"/>
      <c r="BI976" s="188"/>
      <c r="BJ976" s="188"/>
      <c r="BK976" s="188"/>
      <c r="BL976" s="188"/>
      <c r="BM976" s="188"/>
      <c r="BN976" s="188"/>
      <c r="BO976" s="188"/>
      <c r="BP976" s="188"/>
      <c r="BQ976" s="188"/>
      <c r="BR976" s="188"/>
      <c r="BS976" s="188"/>
    </row>
    <row r="977" spans="52:71" x14ac:dyDescent="0.3">
      <c r="AZ977" s="188"/>
      <c r="BB977" s="188"/>
      <c r="BC977" s="188"/>
      <c r="BD977" s="188"/>
      <c r="BG977" s="188"/>
      <c r="BH977" s="188"/>
      <c r="BI977" s="188"/>
      <c r="BJ977" s="188"/>
      <c r="BK977" s="188"/>
      <c r="BL977" s="188"/>
      <c r="BM977" s="188"/>
      <c r="BN977" s="188"/>
      <c r="BO977" s="188"/>
      <c r="BP977" s="188"/>
      <c r="BQ977" s="188"/>
      <c r="BR977" s="188"/>
      <c r="BS977" s="188"/>
    </row>
    <row r="978" spans="52:71" x14ac:dyDescent="0.3">
      <c r="AZ978" s="188"/>
      <c r="BB978" s="188"/>
      <c r="BC978" s="188"/>
      <c r="BD978" s="188"/>
      <c r="BG978" s="188"/>
      <c r="BH978" s="188"/>
      <c r="BI978" s="188"/>
      <c r="BJ978" s="188"/>
      <c r="BK978" s="188"/>
      <c r="BL978" s="188"/>
      <c r="BM978" s="188"/>
      <c r="BN978" s="188"/>
      <c r="BO978" s="188"/>
      <c r="BP978" s="188"/>
      <c r="BQ978" s="188"/>
      <c r="BR978" s="188"/>
      <c r="BS978" s="188"/>
    </row>
    <row r="979" spans="52:71" x14ac:dyDescent="0.3">
      <c r="AZ979" s="188"/>
      <c r="BG979" s="188"/>
      <c r="BH979" s="188"/>
      <c r="BI979" s="188"/>
      <c r="BJ979" s="188"/>
      <c r="BK979" s="188"/>
      <c r="BL979" s="188"/>
      <c r="BM979" s="188"/>
      <c r="BN979" s="188"/>
      <c r="BO979" s="188"/>
      <c r="BP979" s="188"/>
      <c r="BQ979" s="188"/>
      <c r="BR979" s="188"/>
      <c r="BS979" s="188"/>
    </row>
    <row r="980" spans="52:71" x14ac:dyDescent="0.3">
      <c r="AZ980" s="188"/>
      <c r="BG980" s="188"/>
      <c r="BH980" s="188"/>
      <c r="BI980" s="188"/>
      <c r="BJ980" s="188"/>
      <c r="BK980" s="188"/>
      <c r="BL980" s="188"/>
      <c r="BM980" s="188"/>
      <c r="BN980" s="188"/>
      <c r="BO980" s="188"/>
      <c r="BP980" s="188"/>
      <c r="BQ980" s="188"/>
      <c r="BR980" s="188"/>
      <c r="BS980" s="188"/>
    </row>
    <row r="981" spans="52:71" x14ac:dyDescent="0.3">
      <c r="AZ981" s="188"/>
      <c r="BG981" s="188"/>
      <c r="BH981" s="188"/>
      <c r="BI981" s="188"/>
      <c r="BJ981" s="188"/>
      <c r="BK981" s="188"/>
      <c r="BL981" s="188"/>
      <c r="BM981" s="188"/>
      <c r="BN981" s="188"/>
      <c r="BO981" s="188"/>
      <c r="BP981" s="188"/>
      <c r="BQ981" s="188"/>
      <c r="BR981" s="188"/>
      <c r="BS981" s="188"/>
    </row>
    <row r="982" spans="52:71" x14ac:dyDescent="0.3">
      <c r="AZ982" s="188"/>
      <c r="BG982" s="188"/>
      <c r="BH982" s="188"/>
      <c r="BI982" s="188"/>
      <c r="BJ982" s="188"/>
      <c r="BK982" s="188"/>
      <c r="BL982" s="188"/>
      <c r="BM982" s="188"/>
      <c r="BN982" s="188"/>
      <c r="BO982" s="188"/>
      <c r="BP982" s="188"/>
      <c r="BQ982" s="188"/>
      <c r="BR982" s="188"/>
      <c r="BS982" s="188"/>
    </row>
    <row r="983" spans="52:71" x14ac:dyDescent="0.3">
      <c r="AZ983" s="188"/>
      <c r="BG983" s="188"/>
      <c r="BH983" s="188"/>
      <c r="BI983" s="188"/>
      <c r="BJ983" s="188"/>
      <c r="BK983" s="188"/>
      <c r="BL983" s="188"/>
      <c r="BM983" s="188"/>
      <c r="BN983" s="188"/>
      <c r="BO983" s="188"/>
      <c r="BP983" s="188"/>
      <c r="BQ983" s="188"/>
      <c r="BR983" s="188"/>
      <c r="BS983" s="188"/>
    </row>
    <row r="984" spans="52:71" x14ac:dyDescent="0.3">
      <c r="AZ984" s="188"/>
      <c r="BG984" s="188"/>
      <c r="BH984" s="188"/>
      <c r="BI984" s="188"/>
      <c r="BJ984" s="188"/>
      <c r="BK984" s="188"/>
      <c r="BL984" s="188"/>
      <c r="BM984" s="188"/>
      <c r="BN984" s="188"/>
      <c r="BO984" s="188"/>
      <c r="BP984" s="188"/>
      <c r="BQ984" s="188"/>
      <c r="BR984" s="188"/>
      <c r="BS984" s="188"/>
    </row>
    <row r="985" spans="52:71" x14ac:dyDescent="0.3">
      <c r="AZ985" s="188"/>
      <c r="BG985" s="188"/>
      <c r="BH985" s="188"/>
      <c r="BI985" s="188"/>
      <c r="BJ985" s="188"/>
      <c r="BK985" s="188"/>
      <c r="BL985" s="188"/>
      <c r="BM985" s="188"/>
      <c r="BN985" s="188"/>
      <c r="BO985" s="188"/>
      <c r="BP985" s="188"/>
      <c r="BQ985" s="188"/>
      <c r="BR985" s="188"/>
      <c r="BS985" s="188"/>
    </row>
    <row r="986" spans="52:71" x14ac:dyDescent="0.3">
      <c r="AZ986" s="188"/>
    </row>
    <row r="987" spans="52:71" x14ac:dyDescent="0.3">
      <c r="AZ987" s="188"/>
    </row>
    <row r="1001" spans="1:28" x14ac:dyDescent="0.3">
      <c r="A1001" s="42"/>
    </row>
    <row r="1004" spans="1:28" x14ac:dyDescent="0.3">
      <c r="Y1004" s="42"/>
    </row>
    <row r="1005" spans="1:28" x14ac:dyDescent="0.3">
      <c r="A1005" s="42"/>
      <c r="H1005" s="42"/>
      <c r="I1005" s="42"/>
    </row>
    <row r="1006" spans="1:28" x14ac:dyDescent="0.3">
      <c r="A1006" s="42"/>
      <c r="V1006" s="44"/>
      <c r="AA1006" s="44"/>
      <c r="AB1006" s="44"/>
    </row>
    <row r="1007" spans="1:28" x14ac:dyDescent="0.3">
      <c r="A1007" s="42"/>
      <c r="V1007" s="135"/>
      <c r="AA1007" s="135"/>
      <c r="AB1007" s="135"/>
    </row>
    <row r="1008" spans="1:28" x14ac:dyDescent="0.3">
      <c r="A1008" s="42"/>
      <c r="U1008" s="42"/>
      <c r="AA1008" s="44"/>
      <c r="AB1008" s="44"/>
    </row>
    <row r="1009" spans="1:28" x14ac:dyDescent="0.3">
      <c r="A1009" s="42"/>
    </row>
    <row r="1010" spans="1:28" x14ac:dyDescent="0.3">
      <c r="A1010" s="42"/>
      <c r="U1010" s="42"/>
      <c r="AA1010" s="44"/>
      <c r="AB1010" s="44"/>
    </row>
    <row r="1011" spans="1:28" x14ac:dyDescent="0.3">
      <c r="A1011" s="42"/>
    </row>
    <row r="1012" spans="1:28" x14ac:dyDescent="0.3">
      <c r="A1012" s="42"/>
      <c r="U1012" s="42"/>
      <c r="V1012" s="247"/>
      <c r="AA1012" s="44"/>
      <c r="AB1012" s="44"/>
    </row>
    <row r="1013" spans="1:28" x14ac:dyDescent="0.3">
      <c r="A1013" s="42"/>
    </row>
    <row r="1014" spans="1:28" x14ac:dyDescent="0.3">
      <c r="A1014" s="42"/>
      <c r="U1014" s="42"/>
      <c r="AA1014" s="44"/>
      <c r="AB1014" s="44"/>
    </row>
    <row r="1015" spans="1:28" x14ac:dyDescent="0.3">
      <c r="A1015" s="42"/>
    </row>
    <row r="1016" spans="1:28" x14ac:dyDescent="0.3">
      <c r="A1016" s="42"/>
      <c r="U1016" s="42"/>
      <c r="AA1016" s="44"/>
      <c r="AB1016" s="44"/>
    </row>
    <row r="1017" spans="1:28" x14ac:dyDescent="0.3">
      <c r="A1017" s="42"/>
    </row>
    <row r="1018" spans="1:28" x14ac:dyDescent="0.3">
      <c r="A1018" s="42"/>
    </row>
    <row r="1019" spans="1:28" x14ac:dyDescent="0.3">
      <c r="A1019" s="42"/>
    </row>
    <row r="1020" spans="1:28" x14ac:dyDescent="0.3">
      <c r="A1020" s="42"/>
    </row>
    <row r="1021" spans="1:28" x14ac:dyDescent="0.3">
      <c r="A1021" s="42"/>
    </row>
    <row r="1022" spans="1:28" x14ac:dyDescent="0.3">
      <c r="A1022" s="42"/>
    </row>
    <row r="1023" spans="1:28" x14ac:dyDescent="0.3">
      <c r="A1023" s="42"/>
    </row>
    <row r="1024" spans="1:28" x14ac:dyDescent="0.3">
      <c r="A1024" s="42"/>
    </row>
    <row r="1025" spans="1:9" x14ac:dyDescent="0.3">
      <c r="A1025" s="42"/>
    </row>
    <row r="1026" spans="1:9" x14ac:dyDescent="0.3">
      <c r="A1026" s="42"/>
    </row>
    <row r="1027" spans="1:9" x14ac:dyDescent="0.3">
      <c r="A1027" s="42"/>
      <c r="H1027" s="42"/>
      <c r="I1027" s="42"/>
    </row>
    <row r="1030" spans="1:9" x14ac:dyDescent="0.3">
      <c r="A1030" s="42"/>
    </row>
    <row r="1033" spans="1:9" x14ac:dyDescent="0.3">
      <c r="A1033" s="42"/>
    </row>
    <row r="1036" spans="1:9" x14ac:dyDescent="0.3">
      <c r="A1036" s="42"/>
    </row>
    <row r="1037" spans="1:9" x14ac:dyDescent="0.3">
      <c r="A1037" s="42"/>
    </row>
    <row r="1038" spans="1:9" x14ac:dyDescent="0.3">
      <c r="A1038" s="42"/>
    </row>
    <row r="1039" spans="1:9" x14ac:dyDescent="0.3">
      <c r="A1039" s="42"/>
    </row>
    <row r="1040" spans="1:9" x14ac:dyDescent="0.3">
      <c r="A1040" s="42"/>
    </row>
    <row r="1041" spans="1:1" x14ac:dyDescent="0.3">
      <c r="A1041" s="42"/>
    </row>
    <row r="1042" spans="1:1" x14ac:dyDescent="0.3">
      <c r="A1042" s="42"/>
    </row>
    <row r="1043" spans="1:1" x14ac:dyDescent="0.3">
      <c r="A1043" s="42"/>
    </row>
    <row r="1044" spans="1:1" x14ac:dyDescent="0.3">
      <c r="A1044" s="42"/>
    </row>
    <row r="1045" spans="1:1" x14ac:dyDescent="0.3">
      <c r="A1045" s="42"/>
    </row>
    <row r="1046" spans="1:1" x14ac:dyDescent="0.3">
      <c r="A1046" s="42"/>
    </row>
    <row r="1047" spans="1:1" x14ac:dyDescent="0.3">
      <c r="A1047" s="42"/>
    </row>
    <row r="1048" spans="1:1" x14ac:dyDescent="0.3">
      <c r="A1048" s="42"/>
    </row>
    <row r="1049" spans="1:1" x14ac:dyDescent="0.3">
      <c r="A1049" s="42"/>
    </row>
    <row r="1050" spans="1:1" x14ac:dyDescent="0.3">
      <c r="A1050" s="42"/>
    </row>
    <row r="1051" spans="1:1" x14ac:dyDescent="0.3">
      <c r="A1051" s="42"/>
    </row>
    <row r="1052" spans="1:1" x14ac:dyDescent="0.3">
      <c r="A1052" s="42"/>
    </row>
    <row r="1053" spans="1:1" x14ac:dyDescent="0.3">
      <c r="A1053" s="42"/>
    </row>
    <row r="1054" spans="1:1" x14ac:dyDescent="0.3">
      <c r="A1054" s="42"/>
    </row>
    <row r="1055" spans="1:1" x14ac:dyDescent="0.3">
      <c r="A1055" s="42"/>
    </row>
    <row r="1056" spans="1:1" x14ac:dyDescent="0.3">
      <c r="A1056" s="42"/>
    </row>
    <row r="1057" spans="1:1" x14ac:dyDescent="0.3">
      <c r="A1057" s="42"/>
    </row>
    <row r="1058" spans="1:1" x14ac:dyDescent="0.3">
      <c r="A1058" s="42"/>
    </row>
    <row r="1059" spans="1:1" x14ac:dyDescent="0.3">
      <c r="A1059" s="42"/>
    </row>
    <row r="1060" spans="1:1" x14ac:dyDescent="0.3">
      <c r="A1060" s="42"/>
    </row>
    <row r="1061" spans="1:1" x14ac:dyDescent="0.3">
      <c r="A1061" s="42"/>
    </row>
    <row r="1062" spans="1:1" x14ac:dyDescent="0.3">
      <c r="A1062" s="42"/>
    </row>
    <row r="1063" spans="1:1" x14ac:dyDescent="0.3">
      <c r="A1063" s="42"/>
    </row>
    <row r="1064" spans="1:1" x14ac:dyDescent="0.3">
      <c r="A1064" s="42"/>
    </row>
    <row r="1065" spans="1:1" x14ac:dyDescent="0.3">
      <c r="A1065" s="42"/>
    </row>
    <row r="1066" spans="1:1" x14ac:dyDescent="0.3">
      <c r="A1066" s="42"/>
    </row>
    <row r="1067" spans="1:1" x14ac:dyDescent="0.3">
      <c r="A1067" s="42"/>
    </row>
    <row r="1068" spans="1:1" x14ac:dyDescent="0.3">
      <c r="A1068" s="42"/>
    </row>
    <row r="1069" spans="1:1" x14ac:dyDescent="0.3">
      <c r="A1069" s="42"/>
    </row>
    <row r="1070" spans="1:1" x14ac:dyDescent="0.3">
      <c r="A1070" s="42"/>
    </row>
    <row r="1075" spans="1:1" x14ac:dyDescent="0.3">
      <c r="A1075" s="42"/>
    </row>
    <row r="1076" spans="1:1" x14ac:dyDescent="0.3">
      <c r="A1076" s="42"/>
    </row>
    <row r="1079" spans="1:1" x14ac:dyDescent="0.3">
      <c r="A1079" s="42"/>
    </row>
    <row r="1081" spans="1:1" x14ac:dyDescent="0.3">
      <c r="A1081" s="42"/>
    </row>
    <row r="1083" spans="1:1" x14ac:dyDescent="0.3">
      <c r="A1083" s="42"/>
    </row>
    <row r="1085" spans="1:1" x14ac:dyDescent="0.3">
      <c r="A1085" s="42"/>
    </row>
    <row r="1088" spans="1:1" x14ac:dyDescent="0.3">
      <c r="A1088" s="42"/>
    </row>
    <row r="1089" spans="1:1" x14ac:dyDescent="0.3">
      <c r="A1089" s="42"/>
    </row>
    <row r="1090" spans="1:1" x14ac:dyDescent="0.3">
      <c r="A1090" s="42"/>
    </row>
    <row r="1091" spans="1:1" x14ac:dyDescent="0.3">
      <c r="A1091" s="42"/>
    </row>
    <row r="1092" spans="1:1" x14ac:dyDescent="0.3">
      <c r="A1092" s="42"/>
    </row>
    <row r="1093" spans="1:1" x14ac:dyDescent="0.3">
      <c r="A1093" s="42"/>
    </row>
    <row r="1094" spans="1:1" x14ac:dyDescent="0.3">
      <c r="A1094" s="42"/>
    </row>
    <row r="1095" spans="1:1" x14ac:dyDescent="0.3">
      <c r="A1095" s="42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A9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3"/>
      <headerFooter alignWithMargins="0"/>
    </customSheetView>
    <customSheetView guid="{2431C9E5-7CC2-4B8D-99C3-962247B1DBF5}" scale="75" fitToPage="1" showRuler="0" topLeftCell="A9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4"/>
      <headerFooter alignWithMargins="0"/>
    </customSheetView>
    <customSheetView guid="{2EA35095-1ADC-4CC7-8C3C-B487D65FA247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8"/>
      <headerFooter alignWithMargins="0"/>
    </customSheetView>
    <customSheetView guid="{0BC1F393-8A13-47D5-BC6C-0C99615B5AB9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1"/>
      <headerFooter alignWithMargins="0"/>
    </customSheetView>
    <customSheetView guid="{F562D92E-120C-4AE9-9663-89E64D41DC53}" scale="75" fitToPage="1" topLeftCell="A4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2"/>
      <headerFooter alignWithMargins="0"/>
    </customSheetView>
  </customSheetViews>
  <phoneticPr fontId="11" type="noConversion"/>
  <pageMargins left="0.5" right="0.5" top="1" bottom="0" header="0" footer="0"/>
  <pageSetup scale="50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syncVertical="1" syncRef="A1" transitionEvaluation="1" transitionEntry="1" codeName="Sheet82">
    <pageSetUpPr fitToPage="1"/>
  </sheetPr>
  <dimension ref="A1:BW1045"/>
  <sheetViews>
    <sheetView zoomScale="75" workbookViewId="0"/>
  </sheetViews>
  <sheetFormatPr defaultColWidth="9.75" defaultRowHeight="15.6" x14ac:dyDescent="0.3"/>
  <cols>
    <col min="1" max="1" width="5" style="41" customWidth="1"/>
    <col min="2" max="2" width="0.6640625" style="41" customWidth="1"/>
    <col min="3" max="3" width="8.6640625" style="41" customWidth="1"/>
    <col min="4" max="4" width="40.08203125" style="41" customWidth="1"/>
    <col min="5" max="5" width="0.7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3.66406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2.75" style="41" customWidth="1"/>
    <col min="17" max="17" width="0.58203125" style="41" customWidth="1"/>
    <col min="18" max="18" width="17.25" style="41" customWidth="1"/>
    <col min="19" max="19" width="6.6640625" style="41" customWidth="1"/>
    <col min="20" max="20" width="5.08203125" style="41" customWidth="1"/>
    <col min="21" max="21" width="0.58203125" style="41" customWidth="1"/>
    <col min="22" max="22" width="7.4140625" style="41" customWidth="1"/>
    <col min="23" max="23" width="40.6640625" style="41" customWidth="1"/>
    <col min="24" max="24" width="0.7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4140625" style="41" customWidth="1"/>
    <col min="29" max="29" width="12.25" style="41" customWidth="1"/>
    <col min="30" max="30" width="0.33203125" style="41" customWidth="1"/>
    <col min="31" max="31" width="12.9140625" style="41" customWidth="1"/>
    <col min="32" max="32" width="0.75" style="41" customWidth="1"/>
    <col min="33" max="33" width="13.6640625" style="165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165" customWidth="1"/>
    <col min="38" max="38" width="0.66406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165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REHEARING ORDER CALCULATED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157</v>
      </c>
      <c r="AK6" s="206"/>
      <c r="AL6" s="42"/>
    </row>
    <row r="7" spans="1:40" x14ac:dyDescent="0.3">
      <c r="A7" s="41" t="str">
        <f>TYPE</f>
        <v>TYPE OF FILING: _X_ ORIGINAL   ___UPDATED  ___ REVISED</v>
      </c>
      <c r="R7" s="45" t="s">
        <v>525</v>
      </c>
      <c r="AK7" s="206"/>
      <c r="AL7" s="42"/>
    </row>
    <row r="8" spans="1:40" x14ac:dyDescent="0.3">
      <c r="A8" s="42" t="s">
        <v>171</v>
      </c>
      <c r="R8" s="42" t="s">
        <v>3</v>
      </c>
      <c r="AK8" s="206"/>
      <c r="AL8" s="42"/>
    </row>
    <row r="9" spans="1:40" x14ac:dyDescent="0.3">
      <c r="A9" s="132" t="str">
        <f>TIME</f>
        <v>12 Months Projected with Riders</v>
      </c>
      <c r="R9" s="41" t="str">
        <f>WIT</f>
        <v>B. L. Sailers</v>
      </c>
      <c r="AK9" s="206"/>
      <c r="AL9" s="42"/>
    </row>
    <row r="10" spans="1:40" x14ac:dyDescent="0.3">
      <c r="A10" s="132" t="str">
        <f>INPUT!B5</f>
        <v xml:space="preserve"> </v>
      </c>
      <c r="AK10" s="206"/>
      <c r="AL10" s="42"/>
    </row>
    <row r="11" spans="1:40" x14ac:dyDescent="0.3">
      <c r="A11" s="40" t="s">
        <v>130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207"/>
      <c r="AH12" s="135"/>
      <c r="AI12" s="135"/>
      <c r="AJ12" s="135"/>
      <c r="AK12" s="207"/>
      <c r="AL12" s="135"/>
      <c r="AM12" s="135"/>
      <c r="AN12" s="135"/>
    </row>
    <row r="13" spans="1:40" ht="18" customHeight="1" x14ac:dyDescent="0.3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68"/>
      <c r="AH13" s="44"/>
      <c r="AK13" s="168"/>
      <c r="AL13" s="44"/>
      <c r="AM13" s="44"/>
      <c r="AN13" s="44"/>
    </row>
    <row r="14" spans="1:40" x14ac:dyDescent="0.3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68"/>
      <c r="AH14" s="44"/>
      <c r="AK14" s="168"/>
      <c r="AL14" s="44"/>
      <c r="AM14" s="44"/>
      <c r="AN14" s="44"/>
    </row>
    <row r="15" spans="1:4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842</v>
      </c>
      <c r="M15" s="44"/>
      <c r="N15" s="44" t="s">
        <v>842</v>
      </c>
      <c r="O15" s="44"/>
      <c r="P15" s="44" t="s">
        <v>842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68"/>
      <c r="AH15" s="44"/>
      <c r="AI15" s="44"/>
      <c r="AJ15" s="44"/>
      <c r="AK15" s="168"/>
      <c r="AL15" s="44"/>
      <c r="AM15" s="44"/>
      <c r="AN15" s="44"/>
    </row>
    <row r="16" spans="1:40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324</v>
      </c>
      <c r="Q16" s="44"/>
      <c r="R16" s="141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68"/>
      <c r="AH16" s="44"/>
      <c r="AI16" s="44"/>
      <c r="AJ16" s="44"/>
      <c r="AK16" s="168"/>
      <c r="AL16" s="44"/>
      <c r="AM16" s="44"/>
      <c r="AN16" s="44"/>
    </row>
    <row r="17" spans="1:40" x14ac:dyDescent="0.3">
      <c r="C17" s="141" t="s">
        <v>33</v>
      </c>
      <c r="D17" s="141" t="s">
        <v>34</v>
      </c>
      <c r="E17" s="141"/>
      <c r="F17" s="141" t="s">
        <v>35</v>
      </c>
      <c r="G17" s="153"/>
      <c r="H17" s="141" t="s">
        <v>36</v>
      </c>
      <c r="I17" s="141"/>
      <c r="J17" s="141" t="s">
        <v>37</v>
      </c>
      <c r="K17" s="141"/>
      <c r="L17" s="141" t="s">
        <v>38</v>
      </c>
      <c r="M17" s="141"/>
      <c r="N17" s="141" t="s">
        <v>39</v>
      </c>
      <c r="O17" s="141"/>
      <c r="P17" s="141" t="s">
        <v>40</v>
      </c>
      <c r="Q17" s="141"/>
      <c r="R17" s="141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68"/>
      <c r="AH17" s="44"/>
      <c r="AI17" s="44"/>
      <c r="AJ17" s="44"/>
      <c r="AK17" s="168"/>
      <c r="AL17" s="44"/>
      <c r="AM17" s="44"/>
      <c r="AN17" s="44"/>
    </row>
    <row r="18" spans="1:40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207"/>
      <c r="AH18" s="135"/>
      <c r="AI18" s="135"/>
      <c r="AJ18" s="135"/>
      <c r="AK18" s="207"/>
      <c r="AL18" s="135"/>
      <c r="AM18" s="135"/>
      <c r="AN18" s="135"/>
    </row>
    <row r="19" spans="1:40" ht="17.100000000000001" customHeight="1" x14ac:dyDescent="0.3">
      <c r="H19" s="172" t="s">
        <v>49</v>
      </c>
      <c r="I19" s="171"/>
      <c r="J19" s="172" t="s">
        <v>313</v>
      </c>
      <c r="K19" s="171"/>
      <c r="L19" s="171" t="s">
        <v>50</v>
      </c>
      <c r="M19" s="171"/>
      <c r="N19" s="171" t="s">
        <v>51</v>
      </c>
      <c r="O19" s="171"/>
      <c r="P19" s="171" t="s">
        <v>50</v>
      </c>
      <c r="Q19" s="171"/>
      <c r="R19" s="171" t="s">
        <v>50</v>
      </c>
      <c r="Y19" s="44"/>
      <c r="Z19" s="44"/>
      <c r="AA19" s="44"/>
      <c r="AB19" s="44"/>
      <c r="AC19" s="44"/>
      <c r="AD19" s="44"/>
      <c r="AE19" s="44"/>
      <c r="AF19" s="44"/>
      <c r="AG19" s="168"/>
      <c r="AH19" s="44"/>
      <c r="AI19" s="44"/>
      <c r="AJ19" s="44"/>
      <c r="AK19" s="168"/>
      <c r="AL19" s="44"/>
      <c r="AM19" s="44"/>
      <c r="AN19" s="44"/>
    </row>
    <row r="20" spans="1:40" x14ac:dyDescent="0.3">
      <c r="A20" s="41">
        <v>1</v>
      </c>
      <c r="C20" s="132" t="s">
        <v>307</v>
      </c>
      <c r="D20" s="153" t="s">
        <v>366</v>
      </c>
      <c r="E20" s="4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42"/>
      <c r="U20" s="42"/>
    </row>
    <row r="21" spans="1:40" x14ac:dyDescent="0.3">
      <c r="A21" s="41">
        <v>2</v>
      </c>
      <c r="C21" s="132"/>
      <c r="D21" s="153" t="s">
        <v>133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 ht="21.75" customHeight="1" x14ac:dyDescent="0.3">
      <c r="C22" s="42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T22" s="42"/>
    </row>
    <row r="23" spans="1:40" x14ac:dyDescent="0.3">
      <c r="A23" s="41">
        <v>3</v>
      </c>
      <c r="C23" s="132" t="s">
        <v>134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23"/>
      <c r="T23" s="42"/>
      <c r="V23" s="123"/>
      <c r="Y23" s="123"/>
      <c r="Z23" s="193"/>
      <c r="AA23" s="123"/>
      <c r="AB23" s="123"/>
      <c r="AC23" s="160"/>
      <c r="AD23" s="160"/>
      <c r="AE23" s="123"/>
      <c r="AF23" s="123"/>
      <c r="AH23" s="160"/>
      <c r="AI23" s="123"/>
      <c r="AJ23" s="123"/>
      <c r="AL23" s="123"/>
      <c r="AM23" s="160"/>
      <c r="AN23" s="160"/>
    </row>
    <row r="24" spans="1:40" x14ac:dyDescent="0.3">
      <c r="A24" s="41">
        <v>4</v>
      </c>
      <c r="C24" s="42" t="s">
        <v>312</v>
      </c>
      <c r="F24" s="184">
        <v>0</v>
      </c>
      <c r="G24" s="1"/>
      <c r="H24" s="159"/>
      <c r="I24" s="1"/>
      <c r="J24" s="193">
        <f>INPUT!D154</f>
        <v>183</v>
      </c>
      <c r="K24" s="1"/>
      <c r="L24" s="3">
        <f>ROUND(+F24*J24,0)</f>
        <v>0</v>
      </c>
      <c r="M24" s="1"/>
      <c r="N24" s="253">
        <v>0</v>
      </c>
      <c r="O24" s="1"/>
      <c r="P24" s="3"/>
      <c r="Q24" s="1"/>
      <c r="R24" s="3">
        <f>L24+P24</f>
        <v>0</v>
      </c>
      <c r="S24" s="123"/>
      <c r="T24" s="42"/>
      <c r="V24" s="123"/>
      <c r="Y24" s="123"/>
      <c r="Z24" s="212"/>
      <c r="AA24" s="123"/>
      <c r="AB24" s="123"/>
      <c r="AC24" s="160"/>
      <c r="AD24" s="160"/>
      <c r="AE24" s="123"/>
      <c r="AF24" s="123"/>
      <c r="AH24" s="160"/>
      <c r="AI24" s="123"/>
      <c r="AJ24" s="123"/>
      <c r="AL24" s="123"/>
      <c r="AM24" s="160"/>
      <c r="AN24" s="160"/>
    </row>
    <row r="25" spans="1:40" ht="20.100000000000001" customHeight="1" x14ac:dyDescent="0.3">
      <c r="A25" s="41">
        <v>5</v>
      </c>
      <c r="C25" s="132" t="s">
        <v>137</v>
      </c>
      <c r="F25" s="3"/>
      <c r="G25" s="1"/>
      <c r="H25" s="3"/>
      <c r="I25" s="1"/>
      <c r="J25" s="213"/>
      <c r="K25" s="1"/>
      <c r="L25" s="145">
        <f>SUM(L24:L24)</f>
        <v>0</v>
      </c>
      <c r="M25" s="1"/>
      <c r="N25" s="211">
        <v>0</v>
      </c>
      <c r="O25" s="1"/>
      <c r="P25" s="145"/>
      <c r="Q25" s="3"/>
      <c r="R25" s="145">
        <f>SUM(R24:R24)</f>
        <v>0</v>
      </c>
      <c r="S25" s="123"/>
      <c r="V25" s="210"/>
      <c r="Y25" s="210"/>
      <c r="Z25" s="213"/>
      <c r="AA25" s="210"/>
      <c r="AB25" s="210"/>
      <c r="AC25" s="210"/>
      <c r="AD25" s="210"/>
      <c r="AE25" s="210"/>
      <c r="AF25" s="210"/>
      <c r="AI25" s="210"/>
      <c r="AJ25" s="210"/>
      <c r="AK25" s="214"/>
      <c r="AL25" s="210"/>
      <c r="AM25" s="160"/>
      <c r="AN25" s="160"/>
    </row>
    <row r="26" spans="1:40" ht="19.5" customHeight="1" x14ac:dyDescent="0.3">
      <c r="C26" s="42"/>
      <c r="F26" s="3"/>
      <c r="G26" s="1"/>
      <c r="H26" s="3"/>
      <c r="I26" s="1"/>
      <c r="J26" s="213"/>
      <c r="K26" s="1"/>
      <c r="L26" s="3"/>
      <c r="M26" s="1"/>
      <c r="N26" s="4"/>
      <c r="O26" s="1"/>
      <c r="P26" s="3"/>
      <c r="Q26" s="3"/>
      <c r="R26" s="3"/>
      <c r="S26" s="123"/>
      <c r="V26" s="210"/>
      <c r="Y26" s="210"/>
      <c r="Z26" s="213"/>
      <c r="AA26" s="210"/>
      <c r="AB26" s="210"/>
      <c r="AC26" s="210"/>
      <c r="AD26" s="210"/>
      <c r="AE26" s="210"/>
      <c r="AF26" s="210"/>
      <c r="AI26" s="210"/>
      <c r="AJ26" s="210"/>
      <c r="AK26" s="214"/>
      <c r="AL26" s="210"/>
      <c r="AM26" s="160"/>
      <c r="AN26" s="160"/>
    </row>
    <row r="27" spans="1:40" x14ac:dyDescent="0.3">
      <c r="A27" s="41">
        <v>6</v>
      </c>
      <c r="C27" s="132" t="s">
        <v>374</v>
      </c>
      <c r="F27" s="3"/>
      <c r="G27" s="1"/>
      <c r="H27" s="3"/>
      <c r="I27" s="1"/>
      <c r="J27" s="219"/>
      <c r="K27" s="1"/>
      <c r="L27" s="3"/>
      <c r="M27" s="1"/>
      <c r="N27" s="4"/>
      <c r="O27" s="1"/>
      <c r="P27" s="3"/>
      <c r="Q27" s="3"/>
      <c r="R27" s="3"/>
      <c r="Y27" s="42"/>
    </row>
    <row r="28" spans="1:40" x14ac:dyDescent="0.3">
      <c r="A28" s="41">
        <v>7</v>
      </c>
      <c r="C28" s="42" t="s">
        <v>384</v>
      </c>
      <c r="F28" s="159"/>
      <c r="G28" s="1"/>
      <c r="H28" s="184">
        <v>0</v>
      </c>
      <c r="I28" s="159"/>
      <c r="J28" s="205">
        <f>INPUT!D157</f>
        <v>2.4719000000000001E-2</v>
      </c>
      <c r="K28" s="199"/>
      <c r="L28" s="3">
        <f>ROUND((H28*J28),0)</f>
        <v>0</v>
      </c>
      <c r="M28" s="3"/>
      <c r="N28" s="4">
        <v>0</v>
      </c>
      <c r="O28" s="4"/>
      <c r="P28" s="159"/>
      <c r="Q28" s="159"/>
      <c r="R28" s="3">
        <f>L28+P28</f>
        <v>0</v>
      </c>
      <c r="S28" s="123"/>
      <c r="T28" s="42"/>
      <c r="V28" s="184"/>
      <c r="Y28" s="123"/>
      <c r="Z28" s="212"/>
      <c r="AA28" s="123"/>
      <c r="AB28" s="123"/>
      <c r="AC28" s="160"/>
      <c r="AD28" s="160"/>
      <c r="AE28" s="123"/>
      <c r="AF28" s="123"/>
      <c r="AH28" s="160"/>
      <c r="AI28" s="123"/>
      <c r="AJ28" s="123"/>
      <c r="AL28" s="123"/>
      <c r="AM28" s="160"/>
      <c r="AN28" s="160"/>
    </row>
    <row r="29" spans="1:40" ht="20.100000000000001" customHeight="1" x14ac:dyDescent="0.3">
      <c r="A29" s="41">
        <v>8</v>
      </c>
      <c r="C29" s="42" t="s">
        <v>373</v>
      </c>
      <c r="F29" s="159"/>
      <c r="G29" s="1"/>
      <c r="H29" s="159">
        <f>H28</f>
        <v>0</v>
      </c>
      <c r="I29" s="159"/>
      <c r="J29" s="205">
        <f>INPUT!D161</f>
        <v>3.9684999999999998E-2</v>
      </c>
      <c r="K29" s="199"/>
      <c r="L29" s="3">
        <f>ROUND((H29*J29),0)</f>
        <v>0</v>
      </c>
      <c r="M29" s="3"/>
      <c r="N29" s="4">
        <v>0</v>
      </c>
      <c r="O29" s="4"/>
      <c r="P29" s="123">
        <f>ROUND(-H29*(CUR_FAC+CUR_BASE_FUEL),0)</f>
        <v>0</v>
      </c>
      <c r="Q29" s="159"/>
      <c r="R29" s="3">
        <f>L29+P29</f>
        <v>0</v>
      </c>
      <c r="S29" s="123"/>
      <c r="V29" s="210"/>
      <c r="Y29" s="210"/>
      <c r="Z29" s="213"/>
      <c r="AA29" s="210"/>
      <c r="AB29" s="210"/>
      <c r="AC29" s="210"/>
      <c r="AD29" s="210"/>
      <c r="AE29" s="210"/>
      <c r="AF29" s="210"/>
      <c r="AI29" s="210"/>
      <c r="AJ29" s="210"/>
      <c r="AK29" s="214"/>
      <c r="AL29" s="210"/>
      <c r="AM29" s="160"/>
      <c r="AN29" s="160"/>
    </row>
    <row r="30" spans="1:40" ht="20.100000000000001" customHeight="1" x14ac:dyDescent="0.3">
      <c r="A30" s="41">
        <v>9</v>
      </c>
      <c r="C30" s="132" t="s">
        <v>143</v>
      </c>
      <c r="F30" s="49"/>
      <c r="G30" s="1"/>
      <c r="H30" s="145">
        <f>H28</f>
        <v>0</v>
      </c>
      <c r="I30" s="3"/>
      <c r="J30" s="216"/>
      <c r="K30" s="7"/>
      <c r="L30" s="145">
        <f>SUM(L28:L29)</f>
        <v>0</v>
      </c>
      <c r="M30" s="3"/>
      <c r="N30" s="211">
        <v>0</v>
      </c>
      <c r="O30" s="4"/>
      <c r="P30" s="262">
        <f>P29</f>
        <v>0</v>
      </c>
      <c r="Q30" s="3"/>
      <c r="R30" s="145">
        <f>SUM(R28:R29)</f>
        <v>0</v>
      </c>
      <c r="S30" s="123"/>
      <c r="V30" s="210"/>
      <c r="Y30" s="210"/>
      <c r="Z30" s="213"/>
      <c r="AA30" s="210"/>
      <c r="AB30" s="210"/>
      <c r="AC30" s="210"/>
      <c r="AD30" s="210"/>
      <c r="AE30" s="210"/>
      <c r="AF30" s="210"/>
      <c r="AI30" s="210"/>
      <c r="AJ30" s="210"/>
      <c r="AK30" s="214"/>
      <c r="AL30" s="210"/>
    </row>
    <row r="31" spans="1:40" ht="20.100000000000001" customHeight="1" x14ac:dyDescent="0.3">
      <c r="A31" s="41">
        <v>10</v>
      </c>
      <c r="C31" s="178" t="s">
        <v>456</v>
      </c>
      <c r="F31" s="145">
        <f>F24</f>
        <v>0</v>
      </c>
      <c r="G31" s="1"/>
      <c r="H31" s="145">
        <f>H30</f>
        <v>0</v>
      </c>
      <c r="I31" s="3"/>
      <c r="J31" s="216"/>
      <c r="K31" s="7"/>
      <c r="L31" s="145">
        <f>L30+L25</f>
        <v>0</v>
      </c>
      <c r="M31" s="3"/>
      <c r="N31" s="253">
        <v>0</v>
      </c>
      <c r="O31" s="4"/>
      <c r="P31" s="262">
        <f>P30</f>
        <v>0</v>
      </c>
      <c r="Q31" s="3"/>
      <c r="R31" s="145">
        <f>R25+R30</f>
        <v>0</v>
      </c>
      <c r="S31" s="123"/>
      <c r="V31" s="210"/>
      <c r="Y31" s="210"/>
      <c r="Z31" s="213"/>
      <c r="AA31" s="210"/>
      <c r="AB31" s="210"/>
      <c r="AC31" s="210"/>
      <c r="AD31" s="210"/>
      <c r="AE31" s="210"/>
      <c r="AF31" s="210"/>
      <c r="AI31" s="210"/>
      <c r="AJ31" s="210"/>
      <c r="AK31" s="214"/>
      <c r="AL31" s="210"/>
    </row>
    <row r="32" spans="1:40" ht="15.75" customHeight="1" x14ac:dyDescent="0.3">
      <c r="C32" s="42"/>
      <c r="F32" s="3"/>
      <c r="G32" s="1"/>
      <c r="H32" s="3"/>
      <c r="I32" s="3"/>
      <c r="J32" s="216"/>
      <c r="K32" s="7"/>
      <c r="L32" s="3"/>
      <c r="M32" s="3"/>
      <c r="N32" s="4"/>
      <c r="O32" s="4"/>
      <c r="P32" s="159"/>
      <c r="Q32" s="3"/>
      <c r="R32" s="3"/>
      <c r="S32" s="123"/>
      <c r="V32" s="210"/>
      <c r="Y32" s="210"/>
      <c r="Z32" s="213"/>
      <c r="AA32" s="210"/>
      <c r="AB32" s="210"/>
      <c r="AC32" s="210"/>
      <c r="AD32" s="210"/>
      <c r="AE32" s="210"/>
      <c r="AF32" s="210"/>
      <c r="AI32" s="210"/>
      <c r="AJ32" s="210"/>
      <c r="AK32" s="214"/>
      <c r="AL32" s="210"/>
    </row>
    <row r="33" spans="1:43" ht="15.75" customHeight="1" x14ac:dyDescent="0.3">
      <c r="A33" s="41">
        <v>11</v>
      </c>
      <c r="C33" s="132" t="s">
        <v>432</v>
      </c>
      <c r="F33" s="3"/>
      <c r="G33" s="1"/>
      <c r="H33" s="3"/>
      <c r="I33" s="3"/>
      <c r="J33" s="216"/>
      <c r="K33" s="7"/>
      <c r="L33" s="3"/>
      <c r="M33" s="3"/>
      <c r="N33" s="4"/>
      <c r="O33" s="4"/>
      <c r="P33" s="159"/>
      <c r="Q33" s="3"/>
      <c r="R33" s="3"/>
      <c r="S33" s="123"/>
      <c r="V33" s="210"/>
      <c r="Y33" s="210"/>
      <c r="Z33" s="213"/>
      <c r="AA33" s="210"/>
      <c r="AB33" s="210"/>
      <c r="AC33" s="210"/>
      <c r="AD33" s="210"/>
      <c r="AE33" s="210"/>
      <c r="AF33" s="210"/>
      <c r="AI33" s="210"/>
      <c r="AJ33" s="210"/>
      <c r="AK33" s="214"/>
      <c r="AL33" s="210"/>
    </row>
    <row r="34" spans="1:43" ht="15.75" customHeight="1" x14ac:dyDescent="0.3">
      <c r="A34" s="41">
        <v>12</v>
      </c>
      <c r="C34" s="192" t="s">
        <v>436</v>
      </c>
      <c r="F34" s="3"/>
      <c r="G34" s="1"/>
      <c r="H34" s="3"/>
      <c r="I34" s="3"/>
      <c r="J34" s="205">
        <f>PRO_DSM_DIST</f>
        <v>3.503E-3</v>
      </c>
      <c r="K34" s="7"/>
      <c r="L34" s="3">
        <f>ROUND(H31*PRO_DSM_DIST,0)</f>
        <v>0</v>
      </c>
      <c r="M34" s="3"/>
      <c r="N34" s="175">
        <v>0</v>
      </c>
      <c r="O34" s="4"/>
      <c r="P34" s="159"/>
      <c r="Q34" s="3"/>
      <c r="R34" s="3">
        <f>L34+P34</f>
        <v>0</v>
      </c>
      <c r="S34" s="123"/>
      <c r="V34" s="210"/>
      <c r="Y34" s="210"/>
      <c r="Z34" s="213"/>
      <c r="AA34" s="210"/>
      <c r="AB34" s="210"/>
      <c r="AC34" s="210"/>
      <c r="AD34" s="210"/>
      <c r="AE34" s="210"/>
      <c r="AF34" s="210"/>
      <c r="AI34" s="210"/>
      <c r="AJ34" s="210"/>
      <c r="AK34" s="214"/>
      <c r="AL34" s="210"/>
    </row>
    <row r="35" spans="1:43" ht="15.75" customHeight="1" x14ac:dyDescent="0.3">
      <c r="A35" s="41">
        <v>13</v>
      </c>
      <c r="C35" s="192" t="s">
        <v>434</v>
      </c>
      <c r="F35" s="3"/>
      <c r="G35" s="1"/>
      <c r="H35" s="3"/>
      <c r="I35" s="3"/>
      <c r="J35" s="205">
        <f>PRO_PSM</f>
        <v>2.4750000000000002E-3</v>
      </c>
      <c r="K35" s="7"/>
      <c r="L35" s="49">
        <f>ROUND(H31*PRO_PSM,0)</f>
        <v>0</v>
      </c>
      <c r="M35" s="3"/>
      <c r="N35" s="177">
        <v>0</v>
      </c>
      <c r="O35" s="4"/>
      <c r="P35" s="196"/>
      <c r="Q35" s="3"/>
      <c r="R35" s="3">
        <f>L35+P35</f>
        <v>0</v>
      </c>
      <c r="S35" s="123"/>
      <c r="V35" s="210"/>
      <c r="Y35" s="210"/>
      <c r="Z35" s="213"/>
      <c r="AA35" s="210"/>
      <c r="AB35" s="210"/>
      <c r="AC35" s="210"/>
      <c r="AD35" s="210"/>
      <c r="AE35" s="210"/>
      <c r="AF35" s="210"/>
      <c r="AI35" s="210"/>
      <c r="AJ35" s="210"/>
      <c r="AK35" s="214"/>
      <c r="AL35" s="210"/>
    </row>
    <row r="36" spans="1:43" ht="20.100000000000001" customHeight="1" x14ac:dyDescent="0.3">
      <c r="A36" s="41">
        <v>14</v>
      </c>
      <c r="C36" s="132" t="s">
        <v>437</v>
      </c>
      <c r="F36" s="49"/>
      <c r="G36" s="1"/>
      <c r="H36" s="49"/>
      <c r="I36" s="3"/>
      <c r="J36" s="7"/>
      <c r="K36" s="7"/>
      <c r="L36" s="145">
        <f>SUM(L34:L35)</f>
        <v>0</v>
      </c>
      <c r="M36" s="3"/>
      <c r="N36" s="180">
        <v>0</v>
      </c>
      <c r="O36" s="4"/>
      <c r="P36" s="145">
        <f>SUM(P34:P35)</f>
        <v>0</v>
      </c>
      <c r="Q36" s="3"/>
      <c r="R36" s="145">
        <f>SUM(R34:R35)</f>
        <v>0</v>
      </c>
      <c r="S36" s="123"/>
      <c r="V36" s="210"/>
      <c r="Y36" s="210"/>
      <c r="Z36" s="213"/>
      <c r="AA36" s="210"/>
      <c r="AB36" s="210"/>
      <c r="AC36" s="210"/>
      <c r="AD36" s="210"/>
      <c r="AE36" s="210"/>
      <c r="AF36" s="210"/>
      <c r="AI36" s="210"/>
      <c r="AJ36" s="210"/>
      <c r="AK36" s="214"/>
      <c r="AL36" s="210"/>
    </row>
    <row r="37" spans="1:43" ht="15.75" customHeight="1" x14ac:dyDescent="0.3">
      <c r="C37" s="132"/>
      <c r="F37" s="3"/>
      <c r="G37" s="1"/>
      <c r="H37" s="3"/>
      <c r="I37" s="3"/>
      <c r="J37" s="7"/>
      <c r="K37" s="7"/>
      <c r="L37" s="3"/>
      <c r="M37" s="3"/>
      <c r="N37" s="4"/>
      <c r="O37" s="4"/>
      <c r="P37" s="159"/>
      <c r="Q37" s="3"/>
      <c r="R37" s="3"/>
      <c r="S37" s="123"/>
      <c r="V37" s="210"/>
      <c r="Y37" s="210"/>
      <c r="Z37" s="213"/>
      <c r="AA37" s="210"/>
      <c r="AB37" s="210"/>
      <c r="AC37" s="210"/>
      <c r="AD37" s="210"/>
      <c r="AE37" s="210"/>
      <c r="AF37" s="210"/>
      <c r="AI37" s="210"/>
      <c r="AJ37" s="210"/>
      <c r="AK37" s="214"/>
      <c r="AL37" s="210"/>
    </row>
    <row r="38" spans="1:43" ht="20.100000000000001" customHeight="1" thickBot="1" x14ac:dyDescent="0.35">
      <c r="A38" s="41">
        <v>15</v>
      </c>
      <c r="C38" s="178" t="s">
        <v>457</v>
      </c>
      <c r="F38" s="151">
        <f>F31</f>
        <v>0</v>
      </c>
      <c r="G38" s="1"/>
      <c r="H38" s="151">
        <f>H31</f>
        <v>0</v>
      </c>
      <c r="I38" s="1"/>
      <c r="J38" s="1"/>
      <c r="K38" s="1"/>
      <c r="L38" s="151">
        <f>L36+L31</f>
        <v>0</v>
      </c>
      <c r="M38" s="1"/>
      <c r="N38" s="218">
        <v>100</v>
      </c>
      <c r="O38" s="1"/>
      <c r="P38" s="151">
        <f>P36+P31</f>
        <v>0</v>
      </c>
      <c r="Q38" s="159"/>
      <c r="R38" s="151">
        <f>R36+R31</f>
        <v>0</v>
      </c>
    </row>
    <row r="39" spans="1:43" ht="16.2" thickTop="1" x14ac:dyDescent="0.3"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256"/>
      <c r="R39" s="1"/>
    </row>
    <row r="40" spans="1:43" x14ac:dyDescent="0.3">
      <c r="C40" s="202" t="s">
        <v>59</v>
      </c>
      <c r="L40" s="123"/>
      <c r="N40" s="123"/>
      <c r="P40" s="123"/>
      <c r="Q40" s="123"/>
      <c r="R40" s="123"/>
    </row>
    <row r="41" spans="1:43" x14ac:dyDescent="0.3">
      <c r="C41" s="42"/>
      <c r="F41" s="210">
        <v>0</v>
      </c>
      <c r="H41" s="210">
        <v>0</v>
      </c>
      <c r="J41" s="210"/>
      <c r="L41" s="213"/>
      <c r="N41" s="213"/>
      <c r="P41" s="210"/>
      <c r="Q41" s="210"/>
      <c r="R41" s="210"/>
    </row>
    <row r="42" spans="1:43" x14ac:dyDescent="0.3">
      <c r="C42" s="42"/>
      <c r="F42" s="123"/>
      <c r="H42" s="123"/>
      <c r="J42" s="123"/>
      <c r="L42" s="219"/>
      <c r="N42" s="219"/>
      <c r="P42" s="123"/>
      <c r="Q42" s="123"/>
      <c r="R42" s="123"/>
    </row>
    <row r="43" spans="1:43" x14ac:dyDescent="0.3">
      <c r="C43" s="42"/>
      <c r="F43" s="123"/>
      <c r="H43" s="123"/>
      <c r="J43" s="123"/>
      <c r="L43" s="219"/>
      <c r="N43" s="219"/>
      <c r="P43" s="123"/>
      <c r="Q43" s="123"/>
      <c r="R43" s="123"/>
    </row>
    <row r="44" spans="1:43" x14ac:dyDescent="0.3">
      <c r="F44" s="123"/>
      <c r="H44" s="123"/>
      <c r="J44" s="123"/>
      <c r="L44" s="219"/>
      <c r="N44" s="219"/>
      <c r="P44" s="123"/>
      <c r="Q44" s="123"/>
      <c r="R44" s="123"/>
    </row>
    <row r="45" spans="1:43" x14ac:dyDescent="0.3">
      <c r="A45" s="42"/>
      <c r="F45" s="123"/>
      <c r="H45" s="123"/>
      <c r="J45" s="123"/>
      <c r="L45" s="219"/>
      <c r="N45" s="219"/>
      <c r="P45" s="123"/>
      <c r="Q45" s="123"/>
      <c r="R45" s="123"/>
      <c r="T45" s="40" t="str">
        <f>NAME</f>
        <v>DUKE ENERGY KENTUCKY, INC.</v>
      </c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166"/>
      <c r="AH45" s="40"/>
      <c r="AI45" s="40"/>
      <c r="AJ45" s="40"/>
      <c r="AK45" s="166"/>
      <c r="AL45" s="40"/>
      <c r="AM45" s="40"/>
      <c r="AN45" s="40"/>
      <c r="AO45" s="40"/>
      <c r="AP45" s="40"/>
      <c r="AQ45" s="166"/>
    </row>
    <row r="46" spans="1:43" x14ac:dyDescent="0.3">
      <c r="A46" s="42"/>
      <c r="F46" s="123"/>
      <c r="H46" s="123"/>
      <c r="J46" s="123"/>
      <c r="L46" s="219"/>
      <c r="N46" s="219"/>
      <c r="P46" s="123"/>
      <c r="Q46" s="123"/>
      <c r="R46" s="123"/>
      <c r="T46" s="40" t="str">
        <f>CASE_NO</f>
        <v>CASE NO.   2024-00354</v>
      </c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166"/>
      <c r="AH46" s="40"/>
      <c r="AI46" s="40"/>
      <c r="AJ46" s="40"/>
      <c r="AK46" s="166"/>
      <c r="AL46" s="40"/>
      <c r="AM46" s="40"/>
      <c r="AN46" s="40"/>
      <c r="AO46" s="40"/>
      <c r="AP46" s="40"/>
      <c r="AQ46" s="166"/>
    </row>
    <row r="47" spans="1:43" x14ac:dyDescent="0.3">
      <c r="T47" s="40" t="str">
        <f>TITLE</f>
        <v>ANNUALIZED TEST YEAR REVENUES AT REHEARING ORDER CALCULATED VS. MOST CURRENT RATES</v>
      </c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166"/>
      <c r="AH47" s="40"/>
      <c r="AI47" s="40"/>
      <c r="AJ47" s="40"/>
      <c r="AK47" s="166"/>
      <c r="AL47" s="40"/>
      <c r="AM47" s="40"/>
      <c r="AN47" s="40"/>
      <c r="AO47" s="40"/>
      <c r="AP47" s="40"/>
      <c r="AQ47" s="166"/>
    </row>
    <row r="48" spans="1:43" x14ac:dyDescent="0.3">
      <c r="T48" s="40" t="str">
        <f>DATE</f>
        <v>FOR THE TWELVE MONTHS ENDED June 30, 2026</v>
      </c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166"/>
      <c r="AH48" s="40"/>
      <c r="AI48" s="40"/>
      <c r="AJ48" s="40"/>
      <c r="AK48" s="166"/>
      <c r="AL48" s="40"/>
      <c r="AM48" s="40"/>
      <c r="AN48" s="40"/>
      <c r="AO48" s="40"/>
      <c r="AP48" s="40"/>
      <c r="AQ48" s="166"/>
    </row>
    <row r="49" spans="1:43" x14ac:dyDescent="0.3">
      <c r="P49" s="123"/>
      <c r="Q49" s="123"/>
      <c r="R49" s="123"/>
      <c r="T49" s="40" t="str">
        <f>SERVICE</f>
        <v>(ELECTRIC SERVICE)</v>
      </c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166"/>
      <c r="AH49" s="40"/>
      <c r="AI49" s="40"/>
      <c r="AJ49" s="40"/>
      <c r="AK49" s="166"/>
      <c r="AL49" s="40"/>
      <c r="AM49" s="40"/>
      <c r="AN49" s="40"/>
      <c r="AO49" s="40"/>
      <c r="AP49" s="40"/>
      <c r="AQ49" s="166"/>
    </row>
    <row r="50" spans="1:43" x14ac:dyDescent="0.3">
      <c r="T50" s="41" t="str">
        <f>DATA_PERIOD</f>
        <v>DATA: ____ BASE PERIOD   __X__FORECASTED PERIOD</v>
      </c>
      <c r="AO50" s="42" t="s">
        <v>158</v>
      </c>
      <c r="AP50" s="42"/>
    </row>
    <row r="51" spans="1:43" x14ac:dyDescent="0.3">
      <c r="T51" s="41" t="str">
        <f>TYPE</f>
        <v>TYPE OF FILING: _X_ ORIGINAL   ___UPDATED  ___ REVISED</v>
      </c>
      <c r="AO51" s="45" t="str">
        <f>R7</f>
        <v>PAGE  xx  OF  20</v>
      </c>
      <c r="AP51" s="42"/>
    </row>
    <row r="52" spans="1:43" x14ac:dyDescent="0.3">
      <c r="H52" s="42"/>
      <c r="J52" s="42"/>
      <c r="T52" s="42" t="s">
        <v>171</v>
      </c>
      <c r="AO52" s="42" t="s">
        <v>3</v>
      </c>
      <c r="AP52" s="42"/>
    </row>
    <row r="53" spans="1:43" x14ac:dyDescent="0.3">
      <c r="T53" s="132" t="str">
        <f>TIME</f>
        <v>12 Months Projected with Riders</v>
      </c>
      <c r="AO53" s="41" t="str">
        <f>WIT</f>
        <v>B. L. Sailers</v>
      </c>
    </row>
    <row r="54" spans="1:43" x14ac:dyDescent="0.3">
      <c r="T54" s="132" t="str">
        <f>INPUT!B5</f>
        <v xml:space="preserve"> </v>
      </c>
    </row>
    <row r="55" spans="1:43" x14ac:dyDescent="0.3">
      <c r="P55" s="42"/>
      <c r="T55" s="40" t="s">
        <v>131</v>
      </c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166"/>
      <c r="AH55" s="40"/>
      <c r="AI55" s="40"/>
      <c r="AJ55" s="40"/>
      <c r="AK55" s="166"/>
      <c r="AL55" s="40"/>
      <c r="AM55" s="40"/>
      <c r="AN55" s="40"/>
      <c r="AO55" s="40"/>
      <c r="AP55" s="40"/>
      <c r="AQ55" s="166"/>
    </row>
    <row r="56" spans="1:43" x14ac:dyDescent="0.3">
      <c r="R56" s="42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167"/>
      <c r="AH56" s="43"/>
      <c r="AI56" s="43"/>
      <c r="AJ56" s="43"/>
      <c r="AK56" s="167"/>
      <c r="AL56" s="43"/>
      <c r="AM56" s="43"/>
      <c r="AN56" s="43"/>
      <c r="AO56" s="43"/>
      <c r="AP56" s="43"/>
      <c r="AQ56" s="167"/>
    </row>
    <row r="57" spans="1:43" ht="18" customHeight="1" x14ac:dyDescent="0.3">
      <c r="R57" s="42"/>
      <c r="AE57" s="44" t="s">
        <v>8</v>
      </c>
      <c r="AF57" s="44"/>
      <c r="AG57" s="168" t="s">
        <v>7</v>
      </c>
      <c r="AH57" s="44"/>
      <c r="AI57" s="44" t="s">
        <v>9</v>
      </c>
      <c r="AJ57" s="44"/>
      <c r="AK57" s="168" t="s">
        <v>10</v>
      </c>
      <c r="AL57" s="44"/>
      <c r="AO57" s="44" t="s">
        <v>8</v>
      </c>
      <c r="AP57" s="44"/>
      <c r="AQ57" s="168" t="s">
        <v>11</v>
      </c>
    </row>
    <row r="58" spans="1:43" x14ac:dyDescent="0.3">
      <c r="A58" s="42"/>
      <c r="R58" s="42"/>
      <c r="AC58" s="44" t="s">
        <v>14</v>
      </c>
      <c r="AD58" s="44"/>
      <c r="AE58" s="44" t="s">
        <v>12</v>
      </c>
      <c r="AF58" s="44"/>
      <c r="AG58" s="168" t="s">
        <v>13</v>
      </c>
      <c r="AH58" s="44"/>
      <c r="AI58" s="44" t="s">
        <v>15</v>
      </c>
      <c r="AJ58" s="44"/>
      <c r="AK58" s="168" t="s">
        <v>16</v>
      </c>
      <c r="AL58" s="44"/>
      <c r="AO58" s="44" t="s">
        <v>11</v>
      </c>
      <c r="AP58" s="44"/>
      <c r="AQ58" s="168" t="s">
        <v>9</v>
      </c>
    </row>
    <row r="59" spans="1:43" x14ac:dyDescent="0.3">
      <c r="O59" s="42"/>
      <c r="T59" s="44" t="s">
        <v>17</v>
      </c>
      <c r="V59" s="44" t="s">
        <v>18</v>
      </c>
      <c r="W59" s="44" t="s">
        <v>19</v>
      </c>
      <c r="X59" s="44"/>
      <c r="Y59" s="44" t="s">
        <v>20</v>
      </c>
      <c r="AC59" s="44" t="s">
        <v>8</v>
      </c>
      <c r="AD59" s="44"/>
      <c r="AE59" s="44" t="s">
        <v>842</v>
      </c>
      <c r="AF59" s="44"/>
      <c r="AG59" s="168" t="s">
        <v>842</v>
      </c>
      <c r="AH59" s="44"/>
      <c r="AI59" s="46" t="s">
        <v>965</v>
      </c>
      <c r="AJ59" s="44"/>
      <c r="AK59" s="169" t="s">
        <v>965</v>
      </c>
      <c r="AL59" s="44"/>
      <c r="AM59" s="44" t="s">
        <v>842</v>
      </c>
      <c r="AN59" s="44"/>
      <c r="AO59" s="44" t="s">
        <v>9</v>
      </c>
      <c r="AP59" s="44"/>
      <c r="AQ59" s="168" t="s">
        <v>21</v>
      </c>
    </row>
    <row r="60" spans="1:43" x14ac:dyDescent="0.3">
      <c r="A60" s="135"/>
      <c r="B60" s="135"/>
      <c r="C60" s="135"/>
      <c r="D60" s="135"/>
      <c r="E60" s="135"/>
      <c r="F60" s="135"/>
      <c r="G60" s="135"/>
      <c r="H60" s="135"/>
      <c r="J60" s="135"/>
      <c r="L60" s="135"/>
      <c r="N60" s="135"/>
      <c r="O60" s="135"/>
      <c r="P60" s="135"/>
      <c r="Q60" s="135"/>
      <c r="R60" s="135"/>
      <c r="T60" s="44" t="s">
        <v>22</v>
      </c>
      <c r="V60" s="44" t="s">
        <v>23</v>
      </c>
      <c r="W60" s="44" t="s">
        <v>24</v>
      </c>
      <c r="X60" s="44"/>
      <c r="Y60" s="44" t="s">
        <v>25</v>
      </c>
      <c r="AA60" s="44" t="s">
        <v>26</v>
      </c>
      <c r="AB60" s="44"/>
      <c r="AC60" s="44" t="s">
        <v>27</v>
      </c>
      <c r="AD60" s="44"/>
      <c r="AE60" s="44" t="s">
        <v>9</v>
      </c>
      <c r="AF60" s="44"/>
      <c r="AG60" s="168" t="s">
        <v>9</v>
      </c>
      <c r="AH60" s="44"/>
      <c r="AI60" s="141" t="s">
        <v>29</v>
      </c>
      <c r="AJ60" s="141"/>
      <c r="AK60" s="170" t="s">
        <v>30</v>
      </c>
      <c r="AL60" s="44"/>
      <c r="AM60" s="44" t="s">
        <v>368</v>
      </c>
      <c r="AN60" s="44"/>
      <c r="AO60" s="141" t="s">
        <v>31</v>
      </c>
      <c r="AP60" s="141"/>
      <c r="AQ60" s="170" t="s">
        <v>32</v>
      </c>
    </row>
    <row r="61" spans="1:43" x14ac:dyDescent="0.3">
      <c r="O61" s="44"/>
      <c r="P61" s="44"/>
      <c r="R61" s="44"/>
      <c r="V61" s="141" t="s">
        <v>33</v>
      </c>
      <c r="W61" s="141" t="s">
        <v>34</v>
      </c>
      <c r="X61" s="141"/>
      <c r="Y61" s="141" t="s">
        <v>35</v>
      </c>
      <c r="Z61" s="153"/>
      <c r="AA61" s="141" t="s">
        <v>36</v>
      </c>
      <c r="AB61" s="141"/>
      <c r="AC61" s="141" t="s">
        <v>42</v>
      </c>
      <c r="AD61" s="141"/>
      <c r="AE61" s="141" t="s">
        <v>43</v>
      </c>
      <c r="AF61" s="141"/>
      <c r="AG61" s="170" t="s">
        <v>44</v>
      </c>
      <c r="AH61" s="141"/>
      <c r="AI61" s="141" t="s">
        <v>45</v>
      </c>
      <c r="AJ61" s="141"/>
      <c r="AK61" s="170" t="s">
        <v>46</v>
      </c>
      <c r="AL61" s="141"/>
      <c r="AM61" s="141" t="s">
        <v>40</v>
      </c>
      <c r="AN61" s="141"/>
      <c r="AO61" s="141" t="s">
        <v>47</v>
      </c>
      <c r="AP61" s="141"/>
      <c r="AQ61" s="170" t="s">
        <v>48</v>
      </c>
    </row>
    <row r="62" spans="1:43" x14ac:dyDescent="0.3">
      <c r="O62" s="44"/>
      <c r="P62" s="44"/>
      <c r="R62" s="44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167"/>
      <c r="AH62" s="43"/>
      <c r="AI62" s="43"/>
      <c r="AJ62" s="43"/>
      <c r="AK62" s="167"/>
      <c r="AL62" s="43"/>
      <c r="AM62" s="43"/>
      <c r="AN62" s="43"/>
      <c r="AO62" s="43"/>
      <c r="AP62" s="43"/>
      <c r="AQ62" s="167"/>
    </row>
    <row r="63" spans="1:43" ht="17.100000000000001" customHeight="1" x14ac:dyDescent="0.3">
      <c r="A63" s="44"/>
      <c r="C63" s="44"/>
      <c r="D63" s="44"/>
      <c r="E63" s="44"/>
      <c r="F63" s="44"/>
      <c r="L63" s="44"/>
      <c r="N63" s="44"/>
      <c r="O63" s="44"/>
      <c r="P63" s="44"/>
      <c r="Q63" s="44"/>
      <c r="R63" s="44"/>
      <c r="AA63" s="172" t="s">
        <v>49</v>
      </c>
      <c r="AB63" s="171"/>
      <c r="AC63" s="172" t="s">
        <v>313</v>
      </c>
      <c r="AD63" s="171"/>
      <c r="AE63" s="171" t="s">
        <v>50</v>
      </c>
      <c r="AF63" s="171"/>
      <c r="AG63" s="173" t="s">
        <v>51</v>
      </c>
      <c r="AH63" s="171"/>
      <c r="AI63" s="171" t="s">
        <v>50</v>
      </c>
      <c r="AJ63" s="171"/>
      <c r="AK63" s="173" t="s">
        <v>51</v>
      </c>
      <c r="AL63" s="171"/>
      <c r="AM63" s="171" t="s">
        <v>50</v>
      </c>
      <c r="AN63" s="171"/>
      <c r="AO63" s="171" t="s">
        <v>50</v>
      </c>
      <c r="AP63" s="171"/>
      <c r="AQ63" s="173" t="s">
        <v>51</v>
      </c>
    </row>
    <row r="64" spans="1:43" x14ac:dyDescent="0.3">
      <c r="A64" s="44"/>
      <c r="C64" s="44"/>
      <c r="D64" s="44"/>
      <c r="E64" s="44"/>
      <c r="F64" s="44"/>
      <c r="H64" s="44"/>
      <c r="J64" s="44"/>
      <c r="L64" s="44"/>
      <c r="N64" s="44"/>
      <c r="O64" s="44"/>
      <c r="P64" s="44"/>
      <c r="Q64" s="44"/>
      <c r="R64" s="44"/>
      <c r="T64" s="41">
        <f t="shared" ref="T64:T80" si="0">A20</f>
        <v>1</v>
      </c>
      <c r="V64" s="132" t="s">
        <v>307</v>
      </c>
      <c r="W64" s="153" t="s">
        <v>366</v>
      </c>
      <c r="X64" s="42"/>
      <c r="Y64" s="1"/>
      <c r="Z64" s="1"/>
      <c r="AA64" s="1"/>
      <c r="AB64" s="1"/>
      <c r="AC64" s="1"/>
      <c r="AD64" s="1"/>
      <c r="AE64" s="1"/>
      <c r="AF64" s="1"/>
      <c r="AG64" s="175"/>
      <c r="AH64" s="1"/>
      <c r="AI64" s="1"/>
      <c r="AJ64" s="1"/>
      <c r="AK64" s="175"/>
      <c r="AL64" s="1"/>
      <c r="AM64" s="1"/>
      <c r="AN64" s="1"/>
      <c r="AO64" s="1"/>
      <c r="AP64" s="1"/>
      <c r="AQ64" s="175"/>
    </row>
    <row r="65" spans="3:43" x14ac:dyDescent="0.3">
      <c r="C65" s="44"/>
      <c r="D65" s="44"/>
      <c r="E65" s="44"/>
      <c r="F65" s="44"/>
      <c r="H65" s="44"/>
      <c r="J65" s="44"/>
      <c r="L65" s="44"/>
      <c r="N65" s="44"/>
      <c r="O65" s="44"/>
      <c r="P65" s="44"/>
      <c r="Q65" s="44"/>
      <c r="R65" s="44"/>
      <c r="T65" s="41">
        <f t="shared" si="0"/>
        <v>2</v>
      </c>
      <c r="V65" s="132"/>
      <c r="W65" s="153" t="s">
        <v>133</v>
      </c>
      <c r="Y65" s="1"/>
      <c r="Z65" s="1"/>
      <c r="AA65" s="1"/>
      <c r="AB65" s="1"/>
      <c r="AC65" s="1"/>
      <c r="AD65" s="1"/>
      <c r="AE65" s="1"/>
      <c r="AF65" s="1"/>
      <c r="AG65" s="175"/>
      <c r="AH65" s="1"/>
      <c r="AI65" s="1"/>
      <c r="AJ65" s="1"/>
      <c r="AK65" s="175"/>
      <c r="AL65" s="1"/>
      <c r="AM65" s="1"/>
      <c r="AN65" s="1"/>
      <c r="AO65" s="1"/>
      <c r="AP65" s="1"/>
      <c r="AQ65" s="175"/>
    </row>
    <row r="66" spans="3:43" ht="18.75" customHeight="1" x14ac:dyDescent="0.3">
      <c r="C66" s="44"/>
      <c r="D66" s="44"/>
      <c r="E66" s="44"/>
      <c r="F66" s="44"/>
      <c r="H66" s="44"/>
      <c r="J66" s="44"/>
      <c r="L66" s="44"/>
      <c r="N66" s="44"/>
      <c r="O66" s="44"/>
      <c r="P66" s="44"/>
      <c r="Q66" s="44"/>
      <c r="R66" s="44"/>
      <c r="V66" s="42"/>
      <c r="Y66" s="1"/>
      <c r="Z66" s="1"/>
      <c r="AA66" s="1"/>
      <c r="AB66" s="1"/>
      <c r="AC66" s="1"/>
      <c r="AD66" s="1"/>
      <c r="AE66" s="1"/>
      <c r="AF66" s="1"/>
      <c r="AG66" s="175"/>
      <c r="AH66" s="1"/>
      <c r="AI66" s="1"/>
      <c r="AJ66" s="1"/>
      <c r="AK66" s="175"/>
      <c r="AL66" s="1"/>
      <c r="AM66" s="1"/>
      <c r="AN66" s="1"/>
      <c r="AO66" s="1"/>
      <c r="AP66" s="1"/>
      <c r="AQ66" s="175"/>
    </row>
    <row r="67" spans="3:43" x14ac:dyDescent="0.3">
      <c r="H67" s="44"/>
      <c r="J67" s="44"/>
      <c r="L67" s="44"/>
      <c r="N67" s="44"/>
      <c r="O67" s="44"/>
      <c r="P67" s="44"/>
      <c r="Q67" s="44"/>
      <c r="R67" s="44"/>
      <c r="T67" s="41">
        <f t="shared" si="0"/>
        <v>3</v>
      </c>
      <c r="V67" s="132" t="s">
        <v>134</v>
      </c>
      <c r="Y67" s="1"/>
      <c r="Z67" s="1"/>
      <c r="AA67" s="1"/>
      <c r="AB67" s="1"/>
      <c r="AC67" s="1"/>
      <c r="AD67" s="1"/>
      <c r="AE67" s="1"/>
      <c r="AF67" s="1"/>
      <c r="AG67" s="175"/>
      <c r="AH67" s="1"/>
      <c r="AI67" s="1"/>
      <c r="AJ67" s="1"/>
      <c r="AK67" s="175"/>
      <c r="AL67" s="1"/>
      <c r="AM67" s="1"/>
      <c r="AN67" s="1"/>
      <c r="AO67" s="1"/>
      <c r="AP67" s="1"/>
      <c r="AQ67" s="175"/>
    </row>
    <row r="68" spans="3:43" x14ac:dyDescent="0.3">
      <c r="T68" s="41">
        <f t="shared" si="0"/>
        <v>4</v>
      </c>
      <c r="V68" s="42" t="s">
        <v>312</v>
      </c>
      <c r="Y68" s="3">
        <f>F24</f>
        <v>0</v>
      </c>
      <c r="Z68" s="1"/>
      <c r="AA68" s="159"/>
      <c r="AB68" s="159"/>
      <c r="AC68" s="193">
        <f>INPUT!C154</f>
        <v>183</v>
      </c>
      <c r="AD68" s="194"/>
      <c r="AE68" s="3">
        <f>ROUND(+Y68*AC68,0)</f>
        <v>0</v>
      </c>
      <c r="AF68" s="1"/>
      <c r="AG68" s="177">
        <v>0</v>
      </c>
      <c r="AH68" s="1"/>
      <c r="AI68" s="3">
        <f>L24-AE68</f>
        <v>0</v>
      </c>
      <c r="AJ68" s="3"/>
      <c r="AK68" s="177">
        <f>IF(AE68=0,0,ROUND((AI68/AE68)*100,1))</f>
        <v>0</v>
      </c>
      <c r="AL68" s="6"/>
      <c r="AM68" s="3"/>
      <c r="AN68" s="1"/>
      <c r="AO68" s="3">
        <f>AE68+AM68</f>
        <v>0</v>
      </c>
      <c r="AP68" s="1"/>
      <c r="AQ68" s="175">
        <v>0</v>
      </c>
    </row>
    <row r="69" spans="3:43" ht="20.100000000000001" customHeight="1" x14ac:dyDescent="0.3">
      <c r="C69" s="42"/>
      <c r="F69" s="184"/>
      <c r="H69" s="184"/>
      <c r="J69" s="184"/>
      <c r="L69" s="193"/>
      <c r="N69" s="193"/>
      <c r="O69" s="123"/>
      <c r="P69" s="160"/>
      <c r="R69" s="123"/>
      <c r="T69" s="41">
        <f t="shared" si="0"/>
        <v>5</v>
      </c>
      <c r="V69" s="132" t="s">
        <v>137</v>
      </c>
      <c r="Y69" s="3"/>
      <c r="Z69" s="1"/>
      <c r="AA69" s="3"/>
      <c r="AB69" s="3"/>
      <c r="AC69" s="219"/>
      <c r="AD69" s="7"/>
      <c r="AE69" s="145">
        <f>SUM(AE68:AE68)</f>
        <v>0</v>
      </c>
      <c r="AF69" s="1"/>
      <c r="AG69" s="177">
        <v>0</v>
      </c>
      <c r="AH69" s="1"/>
      <c r="AI69" s="145">
        <f>SUM(AI68:AI68)</f>
        <v>0</v>
      </c>
      <c r="AJ69" s="3"/>
      <c r="AK69" s="180">
        <f>IF(AE69=0,0,ROUND((AI69/AE69)*100,1))</f>
        <v>0</v>
      </c>
      <c r="AL69" s="6"/>
      <c r="AM69" s="145"/>
      <c r="AN69" s="1"/>
      <c r="AO69" s="145">
        <f>SUM(AO68:AO68)</f>
        <v>0</v>
      </c>
      <c r="AP69" s="1"/>
      <c r="AQ69" s="175">
        <v>0</v>
      </c>
    </row>
    <row r="70" spans="3:43" ht="24.75" customHeight="1" x14ac:dyDescent="0.3">
      <c r="C70" s="42"/>
      <c r="F70" s="184"/>
      <c r="H70" s="184"/>
      <c r="J70" s="184"/>
      <c r="L70" s="193"/>
      <c r="N70" s="193"/>
      <c r="O70" s="123"/>
      <c r="P70" s="160"/>
      <c r="R70" s="123"/>
      <c r="V70" s="42"/>
      <c r="Y70" s="3"/>
      <c r="Z70" s="1"/>
      <c r="AA70" s="3"/>
      <c r="AB70" s="3"/>
      <c r="AC70" s="219"/>
      <c r="AD70" s="7"/>
      <c r="AE70" s="3"/>
      <c r="AF70" s="1"/>
      <c r="AG70" s="175"/>
      <c r="AH70" s="1"/>
      <c r="AI70" s="3"/>
      <c r="AJ70" s="3"/>
      <c r="AK70" s="175"/>
      <c r="AL70" s="6"/>
      <c r="AM70" s="3"/>
      <c r="AN70" s="1"/>
      <c r="AO70" s="3"/>
      <c r="AP70" s="1"/>
      <c r="AQ70" s="175"/>
    </row>
    <row r="71" spans="3:43" x14ac:dyDescent="0.3">
      <c r="C71" s="42"/>
      <c r="H71" s="184"/>
      <c r="J71" s="184"/>
      <c r="L71" s="238"/>
      <c r="N71" s="238"/>
      <c r="O71" s="123"/>
      <c r="P71" s="160"/>
      <c r="Q71" s="123"/>
      <c r="R71" s="123"/>
      <c r="T71" s="41">
        <f t="shared" si="0"/>
        <v>6</v>
      </c>
      <c r="V71" s="132" t="s">
        <v>67</v>
      </c>
      <c r="Y71" s="3"/>
      <c r="Z71" s="1"/>
      <c r="AA71" s="3"/>
      <c r="AB71" s="3"/>
      <c r="AC71" s="219"/>
      <c r="AD71" s="7"/>
      <c r="AE71" s="3"/>
      <c r="AF71" s="1"/>
      <c r="AG71" s="175"/>
      <c r="AH71" s="1"/>
      <c r="AI71" s="3"/>
      <c r="AJ71" s="3"/>
      <c r="AK71" s="175"/>
      <c r="AL71" s="6"/>
      <c r="AM71" s="3"/>
      <c r="AN71" s="1"/>
      <c r="AO71" s="3"/>
      <c r="AP71" s="1"/>
      <c r="AQ71" s="175"/>
    </row>
    <row r="72" spans="3:43" x14ac:dyDescent="0.3">
      <c r="C72" s="42"/>
      <c r="H72" s="184"/>
      <c r="J72" s="184"/>
      <c r="L72" s="238"/>
      <c r="N72" s="238"/>
      <c r="O72" s="123"/>
      <c r="P72" s="160"/>
      <c r="Q72" s="123"/>
      <c r="R72" s="123"/>
      <c r="T72" s="41">
        <f t="shared" si="0"/>
        <v>7</v>
      </c>
      <c r="V72" s="42" t="s">
        <v>384</v>
      </c>
      <c r="Y72" s="3"/>
      <c r="Z72" s="1"/>
      <c r="AA72" s="3">
        <f>H28</f>
        <v>0</v>
      </c>
      <c r="AB72" s="3"/>
      <c r="AC72" s="205">
        <f>INPUT!C157</f>
        <v>1.6479000000000001E-2</v>
      </c>
      <c r="AD72" s="7"/>
      <c r="AE72" s="3">
        <f>ROUND((+AA72*AC72),0)</f>
        <v>0</v>
      </c>
      <c r="AF72" s="1"/>
      <c r="AG72" s="175">
        <v>0</v>
      </c>
      <c r="AH72" s="1"/>
      <c r="AI72" s="3">
        <f>L28-AE72</f>
        <v>0</v>
      </c>
      <c r="AJ72" s="3"/>
      <c r="AK72" s="175">
        <f>IF(AE72=0,0,ROUND((AI72/AE72)*100,1))</f>
        <v>0</v>
      </c>
      <c r="AL72" s="6"/>
      <c r="AM72" s="3"/>
      <c r="AN72" s="1"/>
      <c r="AO72" s="3">
        <f>AE72+AM72</f>
        <v>0</v>
      </c>
      <c r="AP72" s="1"/>
      <c r="AQ72" s="175">
        <v>0</v>
      </c>
    </row>
    <row r="73" spans="3:43" x14ac:dyDescent="0.3">
      <c r="F73" s="123"/>
      <c r="H73" s="123"/>
      <c r="J73" s="123"/>
      <c r="L73" s="213"/>
      <c r="N73" s="213"/>
      <c r="O73" s="210"/>
      <c r="P73" s="210"/>
      <c r="Q73" s="210"/>
      <c r="R73" s="210"/>
      <c r="T73" s="41">
        <f t="shared" si="0"/>
        <v>8</v>
      </c>
      <c r="V73" s="42" t="s">
        <v>373</v>
      </c>
      <c r="Y73" s="159"/>
      <c r="Z73" s="1"/>
      <c r="AA73" s="3">
        <f>H29</f>
        <v>0</v>
      </c>
      <c r="AB73" s="3"/>
      <c r="AC73" s="205">
        <f>INPUT!C161</f>
        <v>3.9684999999999998E-2</v>
      </c>
      <c r="AD73" s="199"/>
      <c r="AE73" s="3">
        <f>ROUND((+AA73*AC73),0)</f>
        <v>0</v>
      </c>
      <c r="AF73" s="1"/>
      <c r="AG73" s="177">
        <v>0</v>
      </c>
      <c r="AH73" s="1"/>
      <c r="AI73" s="3">
        <f>L29-AE73</f>
        <v>0</v>
      </c>
      <c r="AJ73" s="3"/>
      <c r="AK73" s="177">
        <f>IF(AE73=0,0,ROUND((AI73/AE73)*100,1))</f>
        <v>0</v>
      </c>
      <c r="AL73" s="6"/>
      <c r="AM73" s="123">
        <f>ROUND(-AA73*(CUR_FAC+CUR_BASE_FUEL),0)</f>
        <v>0</v>
      </c>
      <c r="AN73" s="1"/>
      <c r="AO73" s="3">
        <f>AE73+AM73</f>
        <v>0</v>
      </c>
      <c r="AP73" s="1"/>
      <c r="AQ73" s="175">
        <v>0</v>
      </c>
    </row>
    <row r="74" spans="3:43" ht="20.100000000000001" customHeight="1" x14ac:dyDescent="0.3">
      <c r="F74" s="123"/>
      <c r="H74" s="123"/>
      <c r="J74" s="123"/>
      <c r="L74" s="213"/>
      <c r="N74" s="213"/>
      <c r="O74" s="210"/>
      <c r="P74" s="210"/>
      <c r="Q74" s="210"/>
      <c r="R74" s="210"/>
      <c r="T74" s="41">
        <f t="shared" si="0"/>
        <v>9</v>
      </c>
      <c r="V74" s="132" t="s">
        <v>143</v>
      </c>
      <c r="Y74" s="49"/>
      <c r="Z74" s="1"/>
      <c r="AA74" s="145">
        <f>H30</f>
        <v>0</v>
      </c>
      <c r="AB74" s="3"/>
      <c r="AC74" s="257"/>
      <c r="AD74" s="183"/>
      <c r="AE74" s="145">
        <f>SUM(AE72:AE73)</f>
        <v>0</v>
      </c>
      <c r="AF74" s="1"/>
      <c r="AG74" s="177">
        <v>0</v>
      </c>
      <c r="AH74" s="1"/>
      <c r="AI74" s="145">
        <f>SUM(AI72:AI73)</f>
        <v>0</v>
      </c>
      <c r="AJ74" s="3"/>
      <c r="AK74" s="180">
        <f>IF(AE74=0,0,ROUND((AI74/AE74)*100,1))</f>
        <v>0</v>
      </c>
      <c r="AL74" s="6"/>
      <c r="AM74" s="145">
        <f>AM73</f>
        <v>0</v>
      </c>
      <c r="AN74" s="1"/>
      <c r="AO74" s="145">
        <f>SUM(AO72:AO73)</f>
        <v>0</v>
      </c>
      <c r="AP74" s="1"/>
      <c r="AQ74" s="175">
        <v>0</v>
      </c>
    </row>
    <row r="75" spans="3:43" ht="20.100000000000001" customHeight="1" x14ac:dyDescent="0.3">
      <c r="F75" s="123"/>
      <c r="H75" s="123"/>
      <c r="J75" s="123"/>
      <c r="L75" s="213"/>
      <c r="N75" s="213"/>
      <c r="O75" s="210"/>
      <c r="P75" s="210"/>
      <c r="Q75" s="210"/>
      <c r="R75" s="210"/>
      <c r="T75" s="41">
        <f t="shared" si="0"/>
        <v>10</v>
      </c>
      <c r="V75" s="178" t="s">
        <v>456</v>
      </c>
      <c r="Y75" s="145">
        <f>Y68</f>
        <v>0</v>
      </c>
      <c r="Z75" s="1"/>
      <c r="AA75" s="145">
        <f>AA74</f>
        <v>0</v>
      </c>
      <c r="AB75" s="3"/>
      <c r="AC75" s="257"/>
      <c r="AD75" s="183"/>
      <c r="AE75" s="145">
        <f>AE69+AE74</f>
        <v>0</v>
      </c>
      <c r="AF75" s="1"/>
      <c r="AG75" s="180">
        <v>0</v>
      </c>
      <c r="AH75" s="1"/>
      <c r="AI75" s="145">
        <f>AI69+AI74</f>
        <v>0</v>
      </c>
      <c r="AJ75" s="3"/>
      <c r="AK75" s="180">
        <f>IF(AE75=0,0,ROUND((AI75/AE75)*100,1))</f>
        <v>0</v>
      </c>
      <c r="AL75" s="6"/>
      <c r="AM75" s="145">
        <f>AM74+AM69</f>
        <v>0</v>
      </c>
      <c r="AN75" s="1"/>
      <c r="AO75" s="145">
        <f>AO74+AO69</f>
        <v>0</v>
      </c>
      <c r="AP75" s="1"/>
      <c r="AQ75" s="175">
        <v>0</v>
      </c>
    </row>
    <row r="76" spans="3:43" ht="15.75" customHeight="1" x14ac:dyDescent="0.3">
      <c r="F76" s="123"/>
      <c r="H76" s="123"/>
      <c r="J76" s="123"/>
      <c r="L76" s="213"/>
      <c r="N76" s="213"/>
      <c r="O76" s="210"/>
      <c r="P76" s="210"/>
      <c r="Q76" s="210"/>
      <c r="R76" s="210"/>
      <c r="V76" s="42"/>
      <c r="Y76" s="3"/>
      <c r="Z76" s="1"/>
      <c r="AA76" s="3"/>
      <c r="AB76" s="3"/>
      <c r="AC76" s="257"/>
      <c r="AD76" s="183"/>
      <c r="AE76" s="3"/>
      <c r="AF76" s="1"/>
      <c r="AG76" s="175"/>
      <c r="AH76" s="1"/>
      <c r="AI76" s="3"/>
      <c r="AJ76" s="3"/>
      <c r="AK76" s="175"/>
      <c r="AL76" s="6"/>
      <c r="AM76" s="3"/>
      <c r="AN76" s="1"/>
      <c r="AO76" s="3"/>
      <c r="AP76" s="1"/>
      <c r="AQ76" s="175"/>
    </row>
    <row r="77" spans="3:43" ht="15.75" customHeight="1" x14ac:dyDescent="0.3">
      <c r="F77" s="123"/>
      <c r="H77" s="123"/>
      <c r="J77" s="123"/>
      <c r="L77" s="213"/>
      <c r="N77" s="213"/>
      <c r="O77" s="210"/>
      <c r="P77" s="210"/>
      <c r="Q77" s="210"/>
      <c r="R77" s="210"/>
      <c r="T77" s="41">
        <f t="shared" si="0"/>
        <v>11</v>
      </c>
      <c r="V77" s="132" t="s">
        <v>432</v>
      </c>
      <c r="Y77" s="3"/>
      <c r="Z77" s="1"/>
      <c r="AA77" s="3"/>
      <c r="AB77" s="3"/>
      <c r="AC77" s="257"/>
      <c r="AD77" s="183"/>
      <c r="AE77" s="3"/>
      <c r="AF77" s="1"/>
      <c r="AG77" s="175"/>
      <c r="AH77" s="1"/>
      <c r="AI77" s="3"/>
      <c r="AJ77" s="3"/>
      <c r="AK77" s="175"/>
      <c r="AL77" s="6"/>
      <c r="AM77" s="3"/>
      <c r="AN77" s="1"/>
      <c r="AO77" s="3"/>
      <c r="AP77" s="1"/>
      <c r="AQ77" s="175"/>
    </row>
    <row r="78" spans="3:43" ht="15.75" customHeight="1" x14ac:dyDescent="0.3">
      <c r="F78" s="123"/>
      <c r="H78" s="123"/>
      <c r="J78" s="123"/>
      <c r="L78" s="213"/>
      <c r="N78" s="213"/>
      <c r="O78" s="210"/>
      <c r="P78" s="210"/>
      <c r="Q78" s="210"/>
      <c r="R78" s="210"/>
      <c r="T78" s="41">
        <f t="shared" si="0"/>
        <v>12</v>
      </c>
      <c r="V78" s="192" t="s">
        <v>436</v>
      </c>
      <c r="Y78" s="3"/>
      <c r="Z78" s="1"/>
      <c r="AA78" s="3"/>
      <c r="AB78" s="3"/>
      <c r="AC78" s="205">
        <f>DSM_DIST</f>
        <v>3.503E-3</v>
      </c>
      <c r="AD78" s="183"/>
      <c r="AE78" s="3">
        <f>ROUND(AA75*DSM_DIST,0)</f>
        <v>0</v>
      </c>
      <c r="AF78" s="1"/>
      <c r="AG78" s="175">
        <v>0</v>
      </c>
      <c r="AH78" s="1"/>
      <c r="AI78" s="3">
        <f>L34-AE78</f>
        <v>0</v>
      </c>
      <c r="AJ78" s="3"/>
      <c r="AK78" s="175">
        <f>IF(AE78=0,0,ROUND((AI78/AE78)*100,1))</f>
        <v>0</v>
      </c>
      <c r="AL78" s="6"/>
      <c r="AM78" s="3"/>
      <c r="AN78" s="1"/>
      <c r="AO78" s="3">
        <f>AE78+AM78</f>
        <v>0</v>
      </c>
      <c r="AP78" s="1"/>
      <c r="AQ78" s="175">
        <v>0</v>
      </c>
    </row>
    <row r="79" spans="3:43" ht="15.75" customHeight="1" x14ac:dyDescent="0.3">
      <c r="F79" s="123"/>
      <c r="H79" s="123"/>
      <c r="J79" s="123"/>
      <c r="L79" s="213"/>
      <c r="N79" s="213"/>
      <c r="O79" s="210"/>
      <c r="P79" s="210"/>
      <c r="Q79" s="210"/>
      <c r="R79" s="210"/>
      <c r="T79" s="41">
        <f t="shared" si="0"/>
        <v>13</v>
      </c>
      <c r="V79" s="192" t="s">
        <v>434</v>
      </c>
      <c r="Y79" s="3"/>
      <c r="Z79" s="1"/>
      <c r="AA79" s="3"/>
      <c r="AB79" s="3"/>
      <c r="AC79" s="205">
        <f>RS_PSM</f>
        <v>2.4750000000000002E-3</v>
      </c>
      <c r="AD79" s="183"/>
      <c r="AE79" s="49">
        <f>ROUND(AA75*RS_PSM,0)</f>
        <v>0</v>
      </c>
      <c r="AF79" s="1"/>
      <c r="AG79" s="177">
        <v>0</v>
      </c>
      <c r="AH79" s="1"/>
      <c r="AI79" s="49">
        <f>L35-AE79</f>
        <v>0</v>
      </c>
      <c r="AJ79" s="3"/>
      <c r="AK79" s="177">
        <f>IF(AE79=0,0,ROUND((AI79/AE79)*100,1))</f>
        <v>0</v>
      </c>
      <c r="AL79" s="6"/>
      <c r="AM79" s="49"/>
      <c r="AN79" s="1"/>
      <c r="AO79" s="49">
        <f>AE79+AM79</f>
        <v>0</v>
      </c>
      <c r="AP79" s="1"/>
      <c r="AQ79" s="175">
        <v>0</v>
      </c>
    </row>
    <row r="80" spans="3:43" ht="20.100000000000001" customHeight="1" x14ac:dyDescent="0.3">
      <c r="F80" s="123"/>
      <c r="H80" s="123"/>
      <c r="J80" s="123"/>
      <c r="L80" s="213"/>
      <c r="N80" s="213"/>
      <c r="O80" s="210"/>
      <c r="P80" s="210"/>
      <c r="Q80" s="210"/>
      <c r="R80" s="210"/>
      <c r="T80" s="41">
        <f t="shared" si="0"/>
        <v>14</v>
      </c>
      <c r="V80" s="132" t="s">
        <v>437</v>
      </c>
      <c r="Y80" s="49"/>
      <c r="Z80" s="1"/>
      <c r="AA80" s="49"/>
      <c r="AB80" s="3"/>
      <c r="AC80" s="183"/>
      <c r="AD80" s="183"/>
      <c r="AE80" s="145">
        <f>SUM(AE78:AE79)</f>
        <v>0</v>
      </c>
      <c r="AF80" s="1"/>
      <c r="AG80" s="180">
        <v>0</v>
      </c>
      <c r="AH80" s="1"/>
      <c r="AI80" s="145">
        <f>SUM(AI78:AI79)</f>
        <v>0</v>
      </c>
      <c r="AJ80" s="3"/>
      <c r="AK80" s="180">
        <f>IF(AE80=0,0,ROUND((AI80/AE80)*100,1))</f>
        <v>0</v>
      </c>
      <c r="AL80" s="6"/>
      <c r="AM80" s="145"/>
      <c r="AN80" s="1"/>
      <c r="AO80" s="145">
        <f>SUM(AO78:AO79)</f>
        <v>0</v>
      </c>
      <c r="AP80" s="1"/>
      <c r="AQ80" s="175">
        <v>0</v>
      </c>
    </row>
    <row r="81" spans="1:43" ht="15.75" customHeight="1" x14ac:dyDescent="0.3">
      <c r="F81" s="123"/>
      <c r="H81" s="123"/>
      <c r="J81" s="123"/>
      <c r="L81" s="213"/>
      <c r="N81" s="213"/>
      <c r="O81" s="210"/>
      <c r="P81" s="210"/>
      <c r="Q81" s="210"/>
      <c r="R81" s="210"/>
      <c r="V81" s="132"/>
      <c r="Y81" s="3"/>
      <c r="Z81" s="1"/>
      <c r="AA81" s="3"/>
      <c r="AB81" s="3"/>
      <c r="AC81" s="183"/>
      <c r="AD81" s="183"/>
      <c r="AE81" s="3"/>
      <c r="AF81" s="1"/>
      <c r="AG81" s="175"/>
      <c r="AH81" s="1"/>
      <c r="AI81" s="3"/>
      <c r="AJ81" s="3"/>
      <c r="AK81" s="175"/>
      <c r="AL81" s="6"/>
      <c r="AM81" s="3"/>
      <c r="AN81" s="1"/>
      <c r="AO81" s="3"/>
      <c r="AP81" s="1"/>
      <c r="AQ81" s="175"/>
    </row>
    <row r="82" spans="1:43" ht="20.100000000000001" customHeight="1" thickBot="1" x14ac:dyDescent="0.35">
      <c r="F82" s="210"/>
      <c r="H82" s="210"/>
      <c r="J82" s="210"/>
      <c r="L82" s="213"/>
      <c r="N82" s="213"/>
      <c r="O82" s="210"/>
      <c r="P82" s="210"/>
      <c r="Q82" s="210"/>
      <c r="R82" s="210"/>
      <c r="T82" s="41">
        <f>A38</f>
        <v>15</v>
      </c>
      <c r="V82" s="178" t="s">
        <v>457</v>
      </c>
      <c r="Y82" s="151">
        <f>F38</f>
        <v>0</v>
      </c>
      <c r="Z82" s="1"/>
      <c r="AA82" s="151">
        <f>H38</f>
        <v>0</v>
      </c>
      <c r="AB82" s="3"/>
      <c r="AC82" s="1"/>
      <c r="AD82" s="1"/>
      <c r="AE82" s="151">
        <f>AE80+AE75</f>
        <v>0</v>
      </c>
      <c r="AF82" s="1"/>
      <c r="AG82" s="187">
        <v>100</v>
      </c>
      <c r="AH82" s="1"/>
      <c r="AI82" s="151">
        <f>AI80+AI75</f>
        <v>0</v>
      </c>
      <c r="AJ82" s="3"/>
      <c r="AK82" s="187">
        <f>IF(AE82=0,0,ROUND((AI82/AE82)*100,1))</f>
        <v>0</v>
      </c>
      <c r="AL82" s="6"/>
      <c r="AM82" s="265">
        <f>AM80+AM75</f>
        <v>0</v>
      </c>
      <c r="AN82" s="1"/>
      <c r="AO82" s="151">
        <f>AO69+AO74</f>
        <v>0</v>
      </c>
      <c r="AP82" s="1"/>
      <c r="AQ82" s="175">
        <v>0</v>
      </c>
    </row>
    <row r="83" spans="1:43" ht="16.2" thickTop="1" x14ac:dyDescent="0.3">
      <c r="F83" s="210"/>
      <c r="H83" s="210"/>
      <c r="J83" s="210"/>
      <c r="K83" s="213"/>
      <c r="L83" s="213"/>
      <c r="N83" s="210"/>
      <c r="O83" s="210"/>
      <c r="P83" s="210"/>
      <c r="Q83" s="210"/>
      <c r="R83" s="210"/>
      <c r="S83" s="123"/>
      <c r="Y83" s="1"/>
      <c r="Z83" s="1"/>
      <c r="AA83" s="1"/>
      <c r="AB83" s="1"/>
      <c r="AC83" s="1"/>
      <c r="AD83" s="1"/>
      <c r="AE83" s="1"/>
      <c r="AF83" s="1"/>
      <c r="AG83" s="175"/>
      <c r="AH83" s="1"/>
      <c r="AI83" s="1"/>
      <c r="AJ83" s="1"/>
      <c r="AK83" s="175"/>
      <c r="AL83" s="1"/>
      <c r="AM83" s="1"/>
      <c r="AN83" s="1"/>
      <c r="AO83" s="1"/>
      <c r="AP83" s="1"/>
      <c r="AQ83" s="175"/>
    </row>
    <row r="84" spans="1:43" x14ac:dyDescent="0.3">
      <c r="C84" s="42"/>
      <c r="V84" s="202" t="s">
        <v>59</v>
      </c>
      <c r="AE84" s="123"/>
      <c r="AF84" s="123"/>
      <c r="AM84" s="123"/>
      <c r="AO84" s="123"/>
    </row>
    <row r="85" spans="1:43" x14ac:dyDescent="0.3">
      <c r="C85" s="42"/>
      <c r="F85" s="123"/>
      <c r="H85" s="123"/>
      <c r="J85" s="123"/>
      <c r="N85" s="123"/>
      <c r="O85" s="123"/>
      <c r="P85" s="160"/>
      <c r="Q85" s="184"/>
      <c r="R85" s="123"/>
      <c r="T85" s="42"/>
      <c r="V85" s="42"/>
      <c r="Y85" s="123"/>
      <c r="Z85" s="238"/>
      <c r="AA85" s="123"/>
      <c r="AB85" s="123"/>
      <c r="AC85" s="160"/>
      <c r="AD85" s="160"/>
      <c r="AE85" s="123"/>
      <c r="AF85" s="123"/>
      <c r="AI85" s="236"/>
      <c r="AJ85" s="236"/>
      <c r="AL85" s="123"/>
      <c r="AO85" s="160"/>
    </row>
    <row r="86" spans="1:43" x14ac:dyDescent="0.3">
      <c r="F86" s="210"/>
      <c r="H86" s="210"/>
      <c r="J86" s="210"/>
      <c r="K86" s="213"/>
      <c r="L86" s="213"/>
      <c r="N86" s="210"/>
      <c r="O86" s="210"/>
      <c r="P86" s="210"/>
      <c r="Q86" s="210"/>
      <c r="R86" s="210"/>
      <c r="V86" s="123"/>
      <c r="Y86" s="123"/>
      <c r="Z86" s="213"/>
      <c r="AA86" s="210"/>
      <c r="AB86" s="210"/>
      <c r="AC86" s="210"/>
      <c r="AD86" s="210"/>
      <c r="AE86" s="210"/>
      <c r="AF86" s="210"/>
      <c r="AK86" s="214"/>
      <c r="AL86" s="210"/>
      <c r="AO86" s="160"/>
      <c r="AQ86" s="214"/>
    </row>
    <row r="87" spans="1:43" x14ac:dyDescent="0.3">
      <c r="T87" s="42"/>
      <c r="V87" s="123"/>
      <c r="Y87" s="123"/>
      <c r="Z87" s="219"/>
      <c r="AA87" s="123"/>
      <c r="AB87" s="123"/>
      <c r="AC87" s="160"/>
      <c r="AD87" s="160"/>
      <c r="AE87" s="123"/>
      <c r="AF87" s="123"/>
      <c r="AI87" s="236"/>
      <c r="AJ87" s="236"/>
      <c r="AL87" s="123"/>
      <c r="AO87" s="160"/>
    </row>
    <row r="88" spans="1:43" x14ac:dyDescent="0.3">
      <c r="C88" s="42"/>
      <c r="N88" s="123"/>
      <c r="O88" s="123"/>
      <c r="P88" s="123"/>
      <c r="Q88" s="123"/>
      <c r="R88" s="123"/>
      <c r="S88" s="123"/>
      <c r="V88" s="123"/>
      <c r="Y88" s="123"/>
      <c r="Z88" s="213"/>
      <c r="AA88" s="210"/>
      <c r="AB88" s="210"/>
      <c r="AC88" s="210"/>
      <c r="AD88" s="210"/>
      <c r="AE88" s="210"/>
      <c r="AF88" s="210"/>
      <c r="AK88" s="214"/>
      <c r="AL88" s="210"/>
      <c r="AO88" s="160"/>
      <c r="AQ88" s="214"/>
    </row>
    <row r="89" spans="1:43" x14ac:dyDescent="0.3">
      <c r="A89" s="42"/>
      <c r="T89" s="42"/>
      <c r="V89" s="123"/>
      <c r="Y89" s="123"/>
      <c r="Z89" s="219"/>
      <c r="AA89" s="123"/>
      <c r="AB89" s="123"/>
      <c r="AC89" s="160"/>
      <c r="AD89" s="160"/>
      <c r="AE89" s="123"/>
      <c r="AF89" s="123"/>
      <c r="AI89" s="236"/>
      <c r="AJ89" s="236"/>
      <c r="AL89" s="123"/>
      <c r="AO89" s="160"/>
    </row>
    <row r="90" spans="1:43" x14ac:dyDescent="0.3">
      <c r="T90" s="42"/>
      <c r="V90" s="184"/>
      <c r="Y90" s="123"/>
      <c r="Z90" s="227"/>
      <c r="AA90" s="123"/>
      <c r="AB90" s="123"/>
      <c r="AC90" s="160"/>
      <c r="AD90" s="160"/>
      <c r="AE90" s="123"/>
      <c r="AF90" s="123"/>
      <c r="AI90" s="236"/>
      <c r="AJ90" s="236"/>
      <c r="AL90" s="123"/>
      <c r="AO90" s="160"/>
    </row>
    <row r="91" spans="1:43" x14ac:dyDescent="0.3">
      <c r="H91" s="42"/>
      <c r="J91" s="42"/>
      <c r="V91" s="210"/>
      <c r="Y91" s="210"/>
      <c r="Z91" s="213"/>
      <c r="AA91" s="210"/>
      <c r="AB91" s="210"/>
      <c r="AC91" s="210"/>
      <c r="AD91" s="210"/>
      <c r="AE91" s="210"/>
      <c r="AF91" s="210"/>
      <c r="AK91" s="214"/>
      <c r="AL91" s="210"/>
      <c r="AO91" s="160"/>
      <c r="AQ91" s="214"/>
    </row>
    <row r="92" spans="1:43" x14ac:dyDescent="0.3">
      <c r="T92" s="42"/>
      <c r="V92" s="123"/>
      <c r="Y92" s="123"/>
      <c r="Z92" s="213"/>
      <c r="AA92" s="123"/>
      <c r="AB92" s="123"/>
      <c r="AC92" s="160"/>
      <c r="AD92" s="160"/>
      <c r="AE92" s="123"/>
      <c r="AF92" s="123"/>
      <c r="AI92" s="160"/>
      <c r="AJ92" s="160"/>
      <c r="AL92" s="123"/>
      <c r="AO92" s="160"/>
    </row>
    <row r="93" spans="1:43" x14ac:dyDescent="0.3">
      <c r="M93" s="42"/>
      <c r="N93" s="42"/>
      <c r="V93" s="210"/>
      <c r="Y93" s="210"/>
      <c r="Z93" s="213"/>
      <c r="AA93" s="210"/>
      <c r="AB93" s="210"/>
      <c r="AC93" s="210"/>
      <c r="AD93" s="210"/>
      <c r="AE93" s="210"/>
      <c r="AF93" s="210"/>
      <c r="AK93" s="214"/>
      <c r="AL93" s="210"/>
      <c r="AO93" s="160"/>
      <c r="AQ93" s="214"/>
    </row>
    <row r="94" spans="1:43" x14ac:dyDescent="0.3">
      <c r="R94" s="42"/>
      <c r="T94" s="42"/>
      <c r="V94" s="184"/>
      <c r="Y94" s="184"/>
      <c r="Z94" s="213"/>
      <c r="AA94" s="123"/>
      <c r="AB94" s="123"/>
      <c r="AC94" s="160"/>
      <c r="AD94" s="160"/>
      <c r="AE94" s="123"/>
      <c r="AF94" s="123"/>
      <c r="AL94" s="123"/>
      <c r="AO94" s="160"/>
    </row>
    <row r="95" spans="1:43" x14ac:dyDescent="0.3">
      <c r="R95" s="42"/>
    </row>
    <row r="96" spans="1:43" x14ac:dyDescent="0.3">
      <c r="A96" s="42"/>
      <c r="R96" s="42"/>
      <c r="T96" s="42"/>
    </row>
    <row r="97" spans="1:43" x14ac:dyDescent="0.3">
      <c r="M97" s="42"/>
      <c r="N97" s="42"/>
      <c r="T97" s="42"/>
      <c r="V97" s="123"/>
      <c r="Y97" s="184"/>
      <c r="Z97" s="193"/>
      <c r="AA97" s="123"/>
      <c r="AB97" s="123"/>
      <c r="AC97" s="160"/>
      <c r="AD97" s="160"/>
      <c r="AE97" s="123"/>
      <c r="AF97" s="123"/>
      <c r="AG97" s="233"/>
      <c r="AI97" s="234"/>
      <c r="AJ97" s="234"/>
      <c r="AO97" s="235"/>
    </row>
    <row r="98" spans="1:43" x14ac:dyDescent="0.3">
      <c r="A98" s="135"/>
      <c r="B98" s="135"/>
      <c r="C98" s="135"/>
      <c r="D98" s="135"/>
      <c r="E98" s="135"/>
      <c r="F98" s="135"/>
      <c r="G98" s="135"/>
      <c r="H98" s="135"/>
      <c r="J98" s="135"/>
      <c r="K98" s="135"/>
      <c r="L98" s="135"/>
      <c r="M98" s="135"/>
      <c r="N98" s="135"/>
      <c r="O98" s="135"/>
      <c r="P98" s="135"/>
      <c r="Q98" s="135"/>
      <c r="R98" s="135"/>
      <c r="T98" s="42"/>
      <c r="V98" s="123"/>
      <c r="Y98" s="184"/>
      <c r="Z98" s="193"/>
      <c r="AA98" s="123"/>
      <c r="AB98" s="123"/>
      <c r="AC98" s="160"/>
      <c r="AD98" s="160"/>
      <c r="AE98" s="123"/>
      <c r="AF98" s="123"/>
      <c r="AI98" s="236"/>
      <c r="AJ98" s="236"/>
      <c r="AO98" s="160"/>
    </row>
    <row r="99" spans="1:43" x14ac:dyDescent="0.3">
      <c r="M99" s="44"/>
      <c r="N99" s="44"/>
      <c r="O99" s="44"/>
      <c r="P99" s="44"/>
      <c r="R99" s="44"/>
      <c r="T99" s="42"/>
      <c r="V99" s="123"/>
      <c r="Y99" s="184"/>
      <c r="Z99" s="193"/>
      <c r="AA99" s="123"/>
      <c r="AB99" s="123"/>
      <c r="AC99" s="160"/>
      <c r="AD99" s="160"/>
      <c r="AE99" s="123"/>
      <c r="AF99" s="123"/>
      <c r="AI99" s="236"/>
      <c r="AJ99" s="236"/>
      <c r="AO99" s="160"/>
    </row>
    <row r="100" spans="1:43" x14ac:dyDescent="0.3">
      <c r="M100" s="44"/>
      <c r="N100" s="44"/>
      <c r="O100" s="44"/>
      <c r="P100" s="44"/>
      <c r="R100" s="44"/>
      <c r="V100" s="210"/>
      <c r="Y100" s="123"/>
      <c r="Z100" s="213"/>
      <c r="AA100" s="210"/>
      <c r="AB100" s="210"/>
      <c r="AC100" s="210"/>
      <c r="AD100" s="210"/>
      <c r="AE100" s="210"/>
      <c r="AF100" s="210"/>
      <c r="AK100" s="214"/>
      <c r="AL100" s="210"/>
      <c r="AO100" s="160"/>
      <c r="AQ100" s="214"/>
    </row>
    <row r="101" spans="1:43" x14ac:dyDescent="0.3">
      <c r="A101" s="44"/>
      <c r="C101" s="44"/>
      <c r="D101" s="44"/>
      <c r="E101" s="44"/>
      <c r="F101" s="44"/>
      <c r="K101" s="44"/>
      <c r="L101" s="44"/>
      <c r="M101" s="44"/>
      <c r="N101" s="44"/>
      <c r="O101" s="44"/>
      <c r="P101" s="44"/>
      <c r="Q101" s="44"/>
      <c r="R101" s="44"/>
      <c r="T101" s="42"/>
      <c r="V101" s="123"/>
      <c r="Y101" s="123"/>
      <c r="Z101" s="213"/>
      <c r="AA101" s="123"/>
      <c r="AB101" s="123"/>
      <c r="AC101" s="160"/>
      <c r="AD101" s="160"/>
      <c r="AE101" s="123"/>
      <c r="AF101" s="123"/>
      <c r="AI101" s="236"/>
      <c r="AJ101" s="236"/>
      <c r="AL101" s="123"/>
      <c r="AO101" s="160"/>
    </row>
    <row r="102" spans="1:43" x14ac:dyDescent="0.3">
      <c r="A102" s="44"/>
      <c r="C102" s="44"/>
      <c r="D102" s="44"/>
      <c r="E102" s="44"/>
      <c r="F102" s="44"/>
      <c r="H102" s="44"/>
      <c r="J102" s="44"/>
      <c r="K102" s="44"/>
      <c r="L102" s="44"/>
      <c r="M102" s="44"/>
      <c r="N102" s="44"/>
      <c r="O102" s="44"/>
      <c r="P102" s="44"/>
      <c r="Q102" s="44"/>
      <c r="R102" s="44"/>
      <c r="V102" s="210"/>
      <c r="Y102" s="123"/>
      <c r="Z102" s="213"/>
      <c r="AA102" s="210"/>
      <c r="AB102" s="210"/>
      <c r="AC102" s="210"/>
      <c r="AD102" s="210"/>
      <c r="AE102" s="210"/>
      <c r="AF102" s="210"/>
      <c r="AK102" s="214"/>
      <c r="AL102" s="210"/>
      <c r="AO102" s="160"/>
      <c r="AQ102" s="214"/>
    </row>
    <row r="103" spans="1:43" x14ac:dyDescent="0.3">
      <c r="C103" s="44"/>
      <c r="D103" s="44"/>
      <c r="E103" s="44"/>
      <c r="F103" s="44"/>
      <c r="H103" s="44"/>
      <c r="J103" s="44"/>
      <c r="K103" s="44"/>
      <c r="L103" s="44"/>
      <c r="M103" s="44"/>
      <c r="N103" s="44"/>
      <c r="O103" s="44"/>
      <c r="P103" s="44"/>
      <c r="Q103" s="44"/>
      <c r="R103" s="44"/>
      <c r="T103" s="42"/>
      <c r="V103" s="184"/>
      <c r="Y103" s="184"/>
      <c r="Z103" s="237"/>
      <c r="AA103" s="123"/>
      <c r="AB103" s="123"/>
      <c r="AC103" s="160"/>
      <c r="AD103" s="160"/>
      <c r="AE103" s="123"/>
      <c r="AF103" s="123"/>
      <c r="AI103" s="160"/>
      <c r="AJ103" s="160"/>
      <c r="AL103" s="123"/>
      <c r="AO103" s="160"/>
    </row>
    <row r="104" spans="1:43" x14ac:dyDescent="0.3">
      <c r="A104" s="135"/>
      <c r="B104" s="135"/>
      <c r="C104" s="135"/>
      <c r="D104" s="135"/>
      <c r="E104" s="135"/>
      <c r="F104" s="135"/>
      <c r="G104" s="135"/>
      <c r="H104" s="135"/>
      <c r="J104" s="135"/>
      <c r="K104" s="135"/>
      <c r="L104" s="135"/>
      <c r="M104" s="135"/>
      <c r="N104" s="135"/>
      <c r="O104" s="135"/>
      <c r="P104" s="135"/>
      <c r="Q104" s="135"/>
      <c r="R104" s="135"/>
      <c r="T104" s="42"/>
      <c r="V104" s="184"/>
      <c r="Y104" s="123"/>
      <c r="Z104" s="193"/>
      <c r="AA104" s="123"/>
      <c r="AB104" s="123"/>
      <c r="AC104" s="160"/>
      <c r="AD104" s="160"/>
      <c r="AE104" s="123"/>
      <c r="AF104" s="123"/>
      <c r="AI104" s="236"/>
      <c r="AJ104" s="236"/>
      <c r="AL104" s="123"/>
      <c r="AO104" s="160"/>
    </row>
    <row r="105" spans="1:43" x14ac:dyDescent="0.3">
      <c r="H105" s="44"/>
      <c r="J105" s="44"/>
      <c r="K105" s="44"/>
      <c r="L105" s="44"/>
      <c r="M105" s="44"/>
      <c r="N105" s="44"/>
      <c r="O105" s="44"/>
      <c r="P105" s="44"/>
      <c r="Q105" s="44"/>
      <c r="R105" s="44"/>
      <c r="T105" s="42"/>
      <c r="V105" s="184"/>
      <c r="Y105" s="123"/>
      <c r="Z105" s="193"/>
      <c r="AA105" s="123"/>
      <c r="AB105" s="123"/>
      <c r="AC105" s="160"/>
      <c r="AD105" s="160"/>
      <c r="AE105" s="123"/>
      <c r="AF105" s="123"/>
      <c r="AI105" s="236"/>
      <c r="AJ105" s="236"/>
      <c r="AL105" s="123"/>
      <c r="AO105" s="160"/>
    </row>
    <row r="106" spans="1:43" x14ac:dyDescent="0.3">
      <c r="C106" s="42"/>
      <c r="D106" s="42"/>
      <c r="E106" s="42"/>
      <c r="V106" s="123"/>
      <c r="Y106" s="210"/>
      <c r="Z106" s="213"/>
      <c r="AA106" s="210"/>
      <c r="AB106" s="210"/>
      <c r="AC106" s="210"/>
      <c r="AD106" s="210"/>
      <c r="AE106" s="210"/>
      <c r="AF106" s="210"/>
      <c r="AK106" s="214"/>
      <c r="AL106" s="210"/>
      <c r="AO106" s="160"/>
      <c r="AQ106" s="214"/>
    </row>
    <row r="107" spans="1:43" x14ac:dyDescent="0.3">
      <c r="D107" s="42"/>
      <c r="E107" s="42"/>
      <c r="T107" s="42"/>
      <c r="V107" s="123"/>
      <c r="Y107" s="123"/>
      <c r="Z107" s="213"/>
      <c r="AA107" s="123"/>
      <c r="AB107" s="123"/>
      <c r="AC107" s="160"/>
      <c r="AD107" s="160"/>
      <c r="AE107" s="123"/>
      <c r="AF107" s="123"/>
      <c r="AI107" s="236"/>
      <c r="AJ107" s="236"/>
      <c r="AL107" s="123"/>
      <c r="AO107" s="160"/>
    </row>
    <row r="108" spans="1:43" x14ac:dyDescent="0.3">
      <c r="V108" s="123"/>
      <c r="Y108" s="210"/>
      <c r="Z108" s="213"/>
      <c r="AA108" s="210"/>
      <c r="AB108" s="210"/>
      <c r="AC108" s="210"/>
      <c r="AD108" s="210"/>
      <c r="AE108" s="210"/>
      <c r="AF108" s="210"/>
      <c r="AK108" s="214"/>
      <c r="AL108" s="210"/>
      <c r="AO108" s="160"/>
      <c r="AQ108" s="214"/>
    </row>
    <row r="109" spans="1:43" x14ac:dyDescent="0.3">
      <c r="C109" s="42"/>
      <c r="F109" s="184"/>
      <c r="H109" s="184"/>
      <c r="J109" s="184"/>
      <c r="K109" s="193"/>
      <c r="L109" s="193"/>
      <c r="M109" s="123"/>
      <c r="N109" s="123"/>
      <c r="O109" s="160"/>
      <c r="P109" s="160"/>
      <c r="R109" s="123"/>
      <c r="T109" s="42"/>
      <c r="V109" s="123"/>
      <c r="Y109" s="123"/>
      <c r="Z109" s="213"/>
      <c r="AA109" s="123"/>
      <c r="AB109" s="123"/>
      <c r="AC109" s="123"/>
      <c r="AD109" s="123"/>
      <c r="AE109" s="123"/>
      <c r="AF109" s="123"/>
      <c r="AI109" s="236"/>
      <c r="AJ109" s="236"/>
      <c r="AL109" s="123"/>
      <c r="AO109" s="160"/>
    </row>
    <row r="110" spans="1:43" x14ac:dyDescent="0.3">
      <c r="C110" s="42"/>
      <c r="F110" s="184"/>
      <c r="H110" s="184"/>
      <c r="J110" s="184"/>
      <c r="K110" s="193"/>
      <c r="L110" s="193"/>
      <c r="M110" s="123"/>
      <c r="N110" s="123"/>
      <c r="O110" s="160"/>
      <c r="P110" s="160"/>
      <c r="R110" s="123"/>
      <c r="T110" s="42"/>
      <c r="V110" s="123"/>
      <c r="Y110" s="123"/>
      <c r="Z110" s="238"/>
      <c r="AA110" s="123"/>
      <c r="AB110" s="123"/>
      <c r="AC110" s="160"/>
      <c r="AD110" s="160"/>
      <c r="AE110" s="123"/>
      <c r="AF110" s="123"/>
      <c r="AI110" s="236"/>
      <c r="AJ110" s="236"/>
      <c r="AL110" s="123"/>
      <c r="AO110" s="160"/>
    </row>
    <row r="111" spans="1:43" x14ac:dyDescent="0.3">
      <c r="F111" s="210"/>
      <c r="H111" s="123"/>
      <c r="J111" s="123"/>
      <c r="K111" s="213"/>
      <c r="L111" s="213"/>
      <c r="M111" s="210"/>
      <c r="N111" s="210"/>
      <c r="O111" s="210"/>
      <c r="P111" s="210"/>
      <c r="Q111" s="210"/>
      <c r="R111" s="210"/>
      <c r="T111" s="42"/>
      <c r="Y111" s="123"/>
      <c r="Z111" s="238"/>
      <c r="AA111" s="123"/>
      <c r="AB111" s="123"/>
      <c r="AC111" s="160"/>
      <c r="AD111" s="160"/>
      <c r="AE111" s="123"/>
      <c r="AF111" s="123"/>
      <c r="AI111" s="236"/>
      <c r="AJ111" s="236"/>
      <c r="AL111" s="123"/>
      <c r="AO111" s="160"/>
    </row>
    <row r="112" spans="1:43" x14ac:dyDescent="0.3">
      <c r="C112" s="42"/>
      <c r="F112" s="123"/>
      <c r="H112" s="123"/>
      <c r="J112" s="123"/>
      <c r="K112" s="213"/>
      <c r="L112" s="213"/>
      <c r="M112" s="123"/>
      <c r="N112" s="123"/>
      <c r="O112" s="160"/>
      <c r="P112" s="160"/>
      <c r="Q112" s="123"/>
      <c r="R112" s="123"/>
      <c r="V112" s="123"/>
      <c r="Y112" s="123"/>
      <c r="Z112" s="213"/>
      <c r="AA112" s="210"/>
      <c r="AB112" s="210"/>
      <c r="AC112" s="210"/>
      <c r="AD112" s="210"/>
      <c r="AE112" s="210"/>
      <c r="AF112" s="210"/>
      <c r="AK112" s="214"/>
      <c r="AL112" s="210"/>
      <c r="AO112" s="160"/>
      <c r="AQ112" s="214"/>
    </row>
    <row r="113" spans="3:43" x14ac:dyDescent="0.3">
      <c r="F113" s="210"/>
      <c r="H113" s="123"/>
      <c r="J113" s="123"/>
      <c r="K113" s="213"/>
      <c r="L113" s="213"/>
      <c r="M113" s="210"/>
      <c r="N113" s="210"/>
      <c r="O113" s="210"/>
      <c r="P113" s="210"/>
      <c r="Q113" s="210"/>
      <c r="R113" s="210"/>
      <c r="T113" s="42"/>
      <c r="V113" s="123"/>
      <c r="Y113" s="123"/>
      <c r="Z113" s="219"/>
      <c r="AA113" s="123"/>
      <c r="AB113" s="123"/>
      <c r="AC113" s="160"/>
      <c r="AD113" s="160"/>
      <c r="AE113" s="123"/>
      <c r="AF113" s="123"/>
      <c r="AI113" s="236"/>
      <c r="AJ113" s="236"/>
      <c r="AL113" s="123"/>
      <c r="AO113" s="160"/>
    </row>
    <row r="114" spans="3:43" x14ac:dyDescent="0.3">
      <c r="F114" s="123"/>
      <c r="H114" s="123"/>
      <c r="J114" s="123"/>
      <c r="K114" s="213"/>
      <c r="L114" s="213"/>
      <c r="M114" s="123"/>
      <c r="N114" s="123"/>
      <c r="O114" s="160"/>
      <c r="P114" s="160"/>
      <c r="Q114" s="123"/>
      <c r="R114" s="123"/>
      <c r="V114" s="123"/>
      <c r="Y114" s="123"/>
      <c r="Z114" s="213"/>
      <c r="AA114" s="210"/>
      <c r="AB114" s="210"/>
      <c r="AC114" s="210"/>
      <c r="AD114" s="210"/>
      <c r="AE114" s="210"/>
      <c r="AF114" s="210"/>
      <c r="AK114" s="214"/>
      <c r="AL114" s="210"/>
      <c r="AO114" s="160"/>
      <c r="AQ114" s="214"/>
    </row>
    <row r="115" spans="3:43" x14ac:dyDescent="0.3">
      <c r="C115" s="42"/>
      <c r="F115" s="184"/>
      <c r="H115" s="184"/>
      <c r="J115" s="184"/>
      <c r="K115" s="193"/>
      <c r="L115" s="193"/>
      <c r="M115" s="123"/>
      <c r="N115" s="123"/>
      <c r="O115" s="160"/>
      <c r="P115" s="160"/>
      <c r="Q115" s="123"/>
      <c r="R115" s="123"/>
      <c r="T115" s="42"/>
      <c r="V115" s="123"/>
      <c r="Y115" s="123"/>
      <c r="Z115" s="219"/>
      <c r="AA115" s="123"/>
      <c r="AB115" s="123"/>
      <c r="AC115" s="160"/>
      <c r="AD115" s="160"/>
      <c r="AE115" s="123"/>
      <c r="AF115" s="123"/>
      <c r="AI115" s="236"/>
      <c r="AJ115" s="236"/>
      <c r="AL115" s="123"/>
      <c r="AO115" s="160"/>
    </row>
    <row r="116" spans="3:43" x14ac:dyDescent="0.3">
      <c r="C116" s="42"/>
      <c r="F116" s="184"/>
      <c r="H116" s="184"/>
      <c r="J116" s="184"/>
      <c r="K116" s="193"/>
      <c r="L116" s="193"/>
      <c r="M116" s="123"/>
      <c r="N116" s="123"/>
      <c r="O116" s="160"/>
      <c r="P116" s="160"/>
      <c r="Q116" s="123"/>
      <c r="R116" s="123"/>
      <c r="T116" s="42"/>
      <c r="V116" s="184"/>
      <c r="Y116" s="123"/>
      <c r="Z116" s="227"/>
      <c r="AA116" s="123"/>
      <c r="AB116" s="123"/>
      <c r="AC116" s="160"/>
      <c r="AD116" s="160"/>
      <c r="AE116" s="123"/>
      <c r="AF116" s="123"/>
      <c r="AI116" s="236"/>
      <c r="AJ116" s="236"/>
      <c r="AL116" s="123"/>
      <c r="AO116" s="160"/>
    </row>
    <row r="117" spans="3:43" x14ac:dyDescent="0.3">
      <c r="F117" s="123"/>
      <c r="H117" s="210"/>
      <c r="J117" s="210"/>
      <c r="K117" s="213"/>
      <c r="L117" s="213"/>
      <c r="M117" s="210"/>
      <c r="N117" s="210"/>
      <c r="O117" s="210"/>
      <c r="P117" s="210"/>
      <c r="Q117" s="210"/>
      <c r="R117" s="210"/>
      <c r="V117" s="210"/>
      <c r="Y117" s="210"/>
      <c r="Z117" s="213"/>
      <c r="AA117" s="210"/>
      <c r="AB117" s="210"/>
      <c r="AC117" s="210"/>
      <c r="AD117" s="210"/>
      <c r="AE117" s="210"/>
      <c r="AF117" s="210"/>
      <c r="AK117" s="214"/>
      <c r="AL117" s="210"/>
      <c r="AO117" s="160"/>
      <c r="AQ117" s="214"/>
    </row>
    <row r="118" spans="3:43" x14ac:dyDescent="0.3">
      <c r="C118" s="42"/>
      <c r="F118" s="123"/>
      <c r="H118" s="123"/>
      <c r="J118" s="123"/>
      <c r="K118" s="213"/>
      <c r="L118" s="213"/>
      <c r="M118" s="123"/>
      <c r="N118" s="123"/>
      <c r="O118" s="160"/>
      <c r="P118" s="160"/>
      <c r="Q118" s="123"/>
      <c r="R118" s="123"/>
      <c r="T118" s="42"/>
      <c r="V118" s="123"/>
      <c r="Y118" s="123"/>
      <c r="Z118" s="213"/>
      <c r="AA118" s="123"/>
      <c r="AB118" s="123"/>
      <c r="AC118" s="160"/>
      <c r="AD118" s="160"/>
      <c r="AE118" s="123"/>
      <c r="AF118" s="123"/>
      <c r="AI118" s="160"/>
      <c r="AJ118" s="160"/>
      <c r="AL118" s="123"/>
      <c r="AO118" s="160"/>
    </row>
    <row r="119" spans="3:43" x14ac:dyDescent="0.3">
      <c r="F119" s="123"/>
      <c r="H119" s="210"/>
      <c r="J119" s="210"/>
      <c r="K119" s="213"/>
      <c r="L119" s="213"/>
      <c r="M119" s="210"/>
      <c r="N119" s="210"/>
      <c r="O119" s="210"/>
      <c r="P119" s="210"/>
      <c r="Q119" s="210"/>
      <c r="R119" s="210"/>
      <c r="V119" s="210"/>
      <c r="Y119" s="210"/>
      <c r="Z119" s="213"/>
      <c r="AA119" s="210"/>
      <c r="AB119" s="210"/>
      <c r="AC119" s="210"/>
      <c r="AD119" s="210"/>
      <c r="AE119" s="210"/>
      <c r="AF119" s="210"/>
      <c r="AK119" s="214"/>
      <c r="AL119" s="210"/>
      <c r="AO119" s="160"/>
      <c r="AQ119" s="214"/>
    </row>
    <row r="120" spans="3:43" x14ac:dyDescent="0.3">
      <c r="F120" s="123"/>
      <c r="H120" s="123"/>
      <c r="J120" s="123"/>
      <c r="K120" s="213"/>
      <c r="L120" s="213"/>
      <c r="M120" s="123"/>
      <c r="N120" s="123"/>
      <c r="O120" s="123"/>
      <c r="P120" s="123"/>
      <c r="Q120" s="123"/>
      <c r="R120" s="123"/>
      <c r="T120" s="42"/>
    </row>
    <row r="121" spans="3:43" x14ac:dyDescent="0.3">
      <c r="C121" s="42"/>
      <c r="F121" s="184"/>
      <c r="H121" s="184"/>
      <c r="J121" s="184"/>
      <c r="K121" s="227"/>
      <c r="L121" s="227"/>
      <c r="M121" s="123"/>
      <c r="N121" s="123"/>
      <c r="O121" s="160"/>
      <c r="P121" s="160"/>
      <c r="Q121" s="184"/>
      <c r="R121" s="123"/>
      <c r="T121" s="42"/>
      <c r="V121" s="123"/>
      <c r="Y121" s="123"/>
      <c r="AA121" s="123"/>
      <c r="AB121" s="123"/>
      <c r="AC121" s="160"/>
      <c r="AD121" s="160"/>
      <c r="AE121" s="123"/>
      <c r="AF121" s="123"/>
      <c r="AI121" s="160"/>
      <c r="AJ121" s="160"/>
      <c r="AK121" s="233"/>
      <c r="AL121" s="184"/>
      <c r="AO121" s="160"/>
    </row>
    <row r="122" spans="3:43" x14ac:dyDescent="0.3">
      <c r="C122" s="42"/>
      <c r="F122" s="184"/>
      <c r="H122" s="184"/>
      <c r="J122" s="184"/>
      <c r="K122" s="227"/>
      <c r="L122" s="227"/>
      <c r="M122" s="123"/>
      <c r="N122" s="123"/>
      <c r="O122" s="160"/>
      <c r="P122" s="160"/>
      <c r="Q122" s="184"/>
      <c r="R122" s="123"/>
      <c r="V122" s="210"/>
      <c r="Y122" s="210"/>
      <c r="Z122" s="213"/>
      <c r="AA122" s="210"/>
      <c r="AB122" s="210"/>
      <c r="AC122" s="210"/>
      <c r="AD122" s="210"/>
      <c r="AE122" s="210"/>
      <c r="AF122" s="210"/>
      <c r="AK122" s="214"/>
      <c r="AL122" s="210"/>
      <c r="AQ122" s="214"/>
    </row>
    <row r="123" spans="3:43" x14ac:dyDescent="0.3">
      <c r="C123" s="42"/>
      <c r="F123" s="184"/>
      <c r="H123" s="184"/>
      <c r="J123" s="184"/>
      <c r="K123" s="227"/>
      <c r="L123" s="227"/>
      <c r="M123" s="123"/>
      <c r="N123" s="123"/>
      <c r="O123" s="160"/>
      <c r="P123" s="160"/>
      <c r="Q123" s="184"/>
      <c r="R123" s="123"/>
    </row>
    <row r="124" spans="3:43" x14ac:dyDescent="0.3">
      <c r="F124" s="210"/>
      <c r="H124" s="210"/>
      <c r="J124" s="210"/>
      <c r="K124" s="213"/>
      <c r="L124" s="213"/>
      <c r="M124" s="210"/>
      <c r="N124" s="210"/>
      <c r="O124" s="210"/>
      <c r="P124" s="210"/>
      <c r="Q124" s="210"/>
      <c r="R124" s="210"/>
      <c r="T124" s="42"/>
      <c r="AA124" s="123"/>
      <c r="AB124" s="123"/>
      <c r="AC124" s="123"/>
      <c r="AD124" s="123"/>
      <c r="AI124" s="123"/>
      <c r="AJ124" s="123"/>
      <c r="AL124" s="123"/>
    </row>
    <row r="125" spans="3:43" x14ac:dyDescent="0.3">
      <c r="C125" s="42"/>
      <c r="F125" s="123"/>
      <c r="H125" s="123"/>
      <c r="J125" s="123"/>
      <c r="K125" s="219"/>
      <c r="L125" s="219"/>
      <c r="M125" s="123"/>
      <c r="N125" s="123"/>
      <c r="O125" s="160"/>
      <c r="P125" s="160"/>
      <c r="Q125" s="123"/>
      <c r="R125" s="123"/>
    </row>
    <row r="126" spans="3:43" x14ac:dyDescent="0.3">
      <c r="F126" s="210"/>
      <c r="H126" s="210"/>
      <c r="J126" s="210"/>
      <c r="K126" s="213"/>
      <c r="L126" s="213"/>
      <c r="M126" s="210"/>
      <c r="N126" s="210"/>
      <c r="O126" s="210"/>
      <c r="P126" s="210"/>
      <c r="Q126" s="210"/>
      <c r="R126" s="210"/>
    </row>
    <row r="127" spans="3:43" x14ac:dyDescent="0.3">
      <c r="C127" s="42"/>
      <c r="F127" s="123"/>
      <c r="H127" s="123"/>
      <c r="J127" s="123"/>
      <c r="K127" s="219"/>
      <c r="L127" s="219"/>
      <c r="M127" s="123"/>
      <c r="N127" s="123"/>
      <c r="O127" s="160"/>
      <c r="P127" s="160"/>
      <c r="Q127" s="123"/>
      <c r="R127" s="123"/>
      <c r="Y127" s="42"/>
    </row>
    <row r="128" spans="3:43" x14ac:dyDescent="0.3">
      <c r="C128" s="42"/>
      <c r="F128" s="123"/>
      <c r="H128" s="123"/>
      <c r="I128" s="123"/>
      <c r="J128" s="219"/>
      <c r="K128" s="219"/>
      <c r="L128" s="123"/>
      <c r="M128" s="123"/>
      <c r="N128" s="160"/>
      <c r="O128" s="160"/>
      <c r="P128" s="123"/>
      <c r="Q128" s="123"/>
      <c r="R128" s="123"/>
    </row>
    <row r="129" spans="1:40" x14ac:dyDescent="0.3">
      <c r="F129" s="210"/>
      <c r="H129" s="210"/>
      <c r="I129" s="210"/>
      <c r="J129" s="213"/>
      <c r="K129" s="213"/>
      <c r="L129" s="210"/>
      <c r="M129" s="210"/>
      <c r="N129" s="210"/>
      <c r="O129" s="210"/>
      <c r="P129" s="210"/>
      <c r="Q129" s="210"/>
      <c r="R129" s="210"/>
      <c r="AA129" s="42"/>
      <c r="AB129" s="42"/>
    </row>
    <row r="130" spans="1:40" x14ac:dyDescent="0.3">
      <c r="F130" s="123"/>
      <c r="H130" s="123"/>
      <c r="I130" s="123"/>
      <c r="J130" s="219"/>
      <c r="K130" s="219"/>
      <c r="L130" s="123"/>
      <c r="M130" s="123"/>
      <c r="N130" s="123"/>
      <c r="O130" s="123"/>
      <c r="P130" s="123"/>
      <c r="Q130" s="123"/>
      <c r="R130" s="123"/>
      <c r="AK130" s="206"/>
      <c r="AL130" s="42"/>
    </row>
    <row r="131" spans="1:40" x14ac:dyDescent="0.3">
      <c r="C131" s="42"/>
      <c r="F131" s="123"/>
      <c r="H131" s="123"/>
      <c r="I131" s="123"/>
      <c r="J131" s="219"/>
      <c r="K131" s="219"/>
      <c r="L131" s="123"/>
      <c r="M131" s="123"/>
      <c r="N131" s="123"/>
      <c r="O131" s="123"/>
      <c r="P131" s="123"/>
      <c r="Q131" s="123"/>
      <c r="R131" s="123"/>
      <c r="AK131" s="206"/>
      <c r="AL131" s="42"/>
    </row>
    <row r="132" spans="1:40" x14ac:dyDescent="0.3">
      <c r="A132" s="42"/>
      <c r="AK132" s="206"/>
      <c r="AL132" s="42"/>
    </row>
    <row r="134" spans="1:40" x14ac:dyDescent="0.3">
      <c r="H134" s="42"/>
      <c r="I134" s="42"/>
      <c r="Y134" s="42"/>
    </row>
    <row r="136" spans="1:40" x14ac:dyDescent="0.3">
      <c r="L136" s="42"/>
      <c r="M136" s="42"/>
      <c r="AA136" s="42"/>
      <c r="AB136" s="42"/>
    </row>
    <row r="137" spans="1:40" x14ac:dyDescent="0.3">
      <c r="R137" s="42"/>
      <c r="AK137" s="206"/>
      <c r="AL137" s="42"/>
    </row>
    <row r="138" spans="1:40" x14ac:dyDescent="0.3">
      <c r="R138" s="42"/>
      <c r="AK138" s="206"/>
      <c r="AL138" s="42"/>
    </row>
    <row r="139" spans="1:40" x14ac:dyDescent="0.3">
      <c r="A139" s="42"/>
      <c r="R139" s="42"/>
      <c r="AK139" s="206"/>
      <c r="AL139" s="42"/>
    </row>
    <row r="140" spans="1:40" x14ac:dyDescent="0.3">
      <c r="L140" s="42"/>
      <c r="M140" s="42"/>
      <c r="AA140" s="42"/>
      <c r="AB140" s="42"/>
    </row>
    <row r="141" spans="1:40" x14ac:dyDescent="0.3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207"/>
      <c r="AH141" s="135"/>
      <c r="AI141" s="135"/>
      <c r="AJ141" s="135"/>
      <c r="AK141" s="207"/>
      <c r="AL141" s="135"/>
      <c r="AM141" s="135"/>
      <c r="AN141" s="135"/>
    </row>
    <row r="142" spans="1:40" x14ac:dyDescent="0.3">
      <c r="L142" s="44"/>
      <c r="M142" s="44"/>
      <c r="N142" s="44"/>
      <c r="O142" s="44"/>
      <c r="R142" s="44"/>
      <c r="AA142" s="44"/>
      <c r="AB142" s="44"/>
      <c r="AC142" s="44"/>
      <c r="AD142" s="44"/>
      <c r="AE142" s="44"/>
      <c r="AF142" s="44"/>
      <c r="AG142" s="168"/>
      <c r="AH142" s="44"/>
      <c r="AK142" s="168"/>
      <c r="AL142" s="44"/>
      <c r="AM142" s="44"/>
      <c r="AN142" s="44"/>
    </row>
    <row r="143" spans="1:40" x14ac:dyDescent="0.3">
      <c r="L143" s="44"/>
      <c r="M143" s="44"/>
      <c r="N143" s="44"/>
      <c r="O143" s="44"/>
      <c r="R143" s="44"/>
      <c r="Z143" s="44"/>
      <c r="AA143" s="44"/>
      <c r="AB143" s="44"/>
      <c r="AC143" s="44"/>
      <c r="AD143" s="44"/>
      <c r="AE143" s="44"/>
      <c r="AF143" s="44"/>
      <c r="AG143" s="168"/>
      <c r="AH143" s="44"/>
      <c r="AK143" s="168"/>
      <c r="AL143" s="44"/>
      <c r="AM143" s="44"/>
      <c r="AN143" s="44"/>
    </row>
    <row r="144" spans="1:40" x14ac:dyDescent="0.3">
      <c r="A144" s="44"/>
      <c r="C144" s="44"/>
      <c r="D144" s="44"/>
      <c r="E144" s="44"/>
      <c r="F144" s="44"/>
      <c r="J144" s="44"/>
      <c r="K144" s="44"/>
      <c r="L144" s="44"/>
      <c r="M144" s="44"/>
      <c r="N144" s="44"/>
      <c r="O144" s="44"/>
      <c r="P144" s="44"/>
      <c r="Q144" s="44"/>
      <c r="R144" s="44"/>
      <c r="T144" s="44"/>
      <c r="U144" s="44"/>
      <c r="V144" s="44"/>
      <c r="Z144" s="44"/>
      <c r="AA144" s="44"/>
      <c r="AB144" s="44"/>
      <c r="AC144" s="44"/>
      <c r="AD144" s="44"/>
      <c r="AE144" s="44"/>
      <c r="AF144" s="44"/>
      <c r="AG144" s="168"/>
      <c r="AH144" s="44"/>
      <c r="AI144" s="44"/>
      <c r="AJ144" s="44"/>
      <c r="AK144" s="168"/>
      <c r="AL144" s="44"/>
      <c r="AM144" s="44"/>
      <c r="AN144" s="44"/>
    </row>
    <row r="145" spans="1:40" x14ac:dyDescent="0.3">
      <c r="A145" s="44"/>
      <c r="C145" s="44"/>
      <c r="D145" s="44"/>
      <c r="E145" s="44"/>
      <c r="F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T145" s="44"/>
      <c r="U145" s="44"/>
      <c r="V145" s="44"/>
      <c r="Y145" s="44"/>
      <c r="Z145" s="44"/>
      <c r="AA145" s="44"/>
      <c r="AB145" s="44"/>
      <c r="AC145" s="44"/>
      <c r="AD145" s="44"/>
      <c r="AE145" s="44"/>
      <c r="AF145" s="44"/>
      <c r="AG145" s="168"/>
      <c r="AH145" s="44"/>
      <c r="AI145" s="44"/>
      <c r="AJ145" s="44"/>
      <c r="AK145" s="168"/>
      <c r="AL145" s="44"/>
      <c r="AM145" s="44"/>
      <c r="AN145" s="44"/>
    </row>
    <row r="146" spans="1:40" x14ac:dyDescent="0.3">
      <c r="C146" s="44"/>
      <c r="D146" s="44"/>
      <c r="E146" s="44"/>
      <c r="F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T146" s="44"/>
      <c r="U146" s="44"/>
      <c r="V146" s="44"/>
      <c r="Y146" s="44"/>
      <c r="Z146" s="44"/>
      <c r="AA146" s="44"/>
      <c r="AB146" s="44"/>
      <c r="AC146" s="44"/>
      <c r="AD146" s="44"/>
      <c r="AE146" s="44"/>
      <c r="AF146" s="44"/>
      <c r="AG146" s="168"/>
      <c r="AH146" s="44"/>
      <c r="AI146" s="44"/>
      <c r="AJ146" s="44"/>
      <c r="AK146" s="168"/>
      <c r="AL146" s="44"/>
      <c r="AM146" s="44"/>
      <c r="AN146" s="44"/>
    </row>
    <row r="147" spans="1:40" x14ac:dyDescent="0.3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207"/>
      <c r="AH147" s="135"/>
      <c r="AI147" s="135"/>
      <c r="AJ147" s="135"/>
      <c r="AK147" s="207"/>
      <c r="AL147" s="135"/>
      <c r="AM147" s="135"/>
      <c r="AN147" s="135"/>
    </row>
    <row r="148" spans="1:40" x14ac:dyDescent="0.3"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Y148" s="44"/>
      <c r="Z148" s="44"/>
      <c r="AA148" s="44"/>
      <c r="AB148" s="44"/>
      <c r="AC148" s="44"/>
      <c r="AD148" s="44"/>
      <c r="AE148" s="44"/>
      <c r="AF148" s="44"/>
      <c r="AG148" s="168"/>
      <c r="AH148" s="44"/>
      <c r="AI148" s="44"/>
      <c r="AJ148" s="44"/>
      <c r="AK148" s="168"/>
      <c r="AL148" s="44"/>
      <c r="AM148" s="44"/>
      <c r="AN148" s="44"/>
    </row>
    <row r="149" spans="1:40" x14ac:dyDescent="0.3">
      <c r="C149" s="42"/>
      <c r="D149" s="42"/>
      <c r="E149" s="42"/>
      <c r="T149" s="42"/>
      <c r="U149" s="42"/>
    </row>
    <row r="151" spans="1:40" x14ac:dyDescent="0.3">
      <c r="C151" s="42"/>
      <c r="F151" s="184"/>
      <c r="H151" s="222"/>
      <c r="I151" s="222"/>
      <c r="J151" s="193"/>
      <c r="K151" s="193"/>
      <c r="L151" s="123"/>
      <c r="M151" s="123"/>
      <c r="R151" s="123"/>
      <c r="T151" s="42"/>
      <c r="V151" s="123"/>
      <c r="Z151" s="193"/>
      <c r="AA151" s="123"/>
      <c r="AB151" s="123"/>
      <c r="AE151" s="123"/>
      <c r="AF151" s="123"/>
      <c r="AG151" s="233"/>
      <c r="AH151" s="234"/>
      <c r="AI151" s="123"/>
      <c r="AJ151" s="123"/>
      <c r="AL151" s="123"/>
      <c r="AM151" s="235"/>
      <c r="AN151" s="235"/>
    </row>
    <row r="152" spans="1:40" x14ac:dyDescent="0.3">
      <c r="F152" s="184"/>
      <c r="H152" s="222"/>
      <c r="I152" s="222"/>
      <c r="J152" s="222"/>
      <c r="K152" s="222"/>
      <c r="R152" s="123"/>
      <c r="V152" s="123"/>
      <c r="Z152" s="222"/>
    </row>
    <row r="153" spans="1:40" x14ac:dyDescent="0.3">
      <c r="C153" s="42"/>
      <c r="F153" s="184"/>
      <c r="H153" s="184"/>
      <c r="I153" s="184"/>
      <c r="J153" s="227"/>
      <c r="K153" s="227"/>
      <c r="L153" s="123"/>
      <c r="M153" s="123"/>
      <c r="N153" s="160"/>
      <c r="O153" s="160"/>
      <c r="P153" s="184"/>
      <c r="Q153" s="184"/>
      <c r="R153" s="123"/>
      <c r="T153" s="42"/>
      <c r="V153" s="123"/>
      <c r="Y153" s="123"/>
      <c r="Z153" s="212"/>
      <c r="AA153" s="123"/>
      <c r="AB153" s="123"/>
      <c r="AC153" s="160"/>
      <c r="AD153" s="160"/>
      <c r="AE153" s="123"/>
      <c r="AF153" s="123"/>
      <c r="AH153" s="236"/>
      <c r="AI153" s="184"/>
      <c r="AJ153" s="184"/>
      <c r="AL153" s="123"/>
      <c r="AM153" s="160"/>
      <c r="AN153" s="160"/>
    </row>
    <row r="154" spans="1:40" x14ac:dyDescent="0.3">
      <c r="F154" s="210"/>
      <c r="H154" s="210"/>
      <c r="I154" s="210"/>
      <c r="J154" s="213"/>
      <c r="K154" s="213"/>
      <c r="L154" s="210"/>
      <c r="M154" s="210"/>
      <c r="N154" s="210"/>
      <c r="O154" s="210"/>
      <c r="P154" s="210"/>
      <c r="Q154" s="210"/>
      <c r="R154" s="210"/>
      <c r="V154" s="210"/>
      <c r="Y154" s="210"/>
      <c r="Z154" s="213"/>
      <c r="AA154" s="210"/>
      <c r="AB154" s="210"/>
      <c r="AC154" s="210"/>
      <c r="AD154" s="210"/>
      <c r="AE154" s="210"/>
      <c r="AF154" s="210"/>
      <c r="AI154" s="210"/>
      <c r="AJ154" s="210"/>
      <c r="AK154" s="214"/>
      <c r="AL154" s="210"/>
    </row>
    <row r="155" spans="1:40" x14ac:dyDescent="0.3">
      <c r="D155" s="42"/>
      <c r="E155" s="42"/>
      <c r="F155" s="123"/>
      <c r="H155" s="123"/>
      <c r="I155" s="123"/>
      <c r="J155" s="219"/>
      <c r="K155" s="219"/>
      <c r="L155" s="123"/>
      <c r="M155" s="123"/>
      <c r="N155" s="160"/>
      <c r="O155" s="160"/>
      <c r="P155" s="123"/>
      <c r="Q155" s="123"/>
      <c r="R155" s="123"/>
      <c r="U155" s="42"/>
      <c r="V155" s="123"/>
      <c r="Y155" s="123"/>
      <c r="Z155" s="219"/>
      <c r="AA155" s="123"/>
      <c r="AB155" s="123"/>
      <c r="AC155" s="160"/>
      <c r="AD155" s="160"/>
      <c r="AE155" s="123"/>
      <c r="AF155" s="123"/>
      <c r="AH155" s="236"/>
      <c r="AI155" s="123"/>
      <c r="AJ155" s="123"/>
      <c r="AL155" s="123"/>
      <c r="AM155" s="160"/>
      <c r="AN155" s="160"/>
    </row>
    <row r="156" spans="1:40" x14ac:dyDescent="0.3">
      <c r="F156" s="210"/>
      <c r="H156" s="210"/>
      <c r="I156" s="210"/>
      <c r="J156" s="213"/>
      <c r="K156" s="213"/>
      <c r="L156" s="210"/>
      <c r="M156" s="210"/>
      <c r="N156" s="210"/>
      <c r="O156" s="210"/>
      <c r="P156" s="210"/>
      <c r="Q156" s="210"/>
      <c r="R156" s="210"/>
      <c r="V156" s="210"/>
      <c r="Y156" s="210"/>
      <c r="Z156" s="213"/>
      <c r="AA156" s="210"/>
      <c r="AB156" s="210"/>
      <c r="AC156" s="210"/>
      <c r="AD156" s="210"/>
      <c r="AE156" s="210"/>
      <c r="AF156" s="210"/>
      <c r="AI156" s="210"/>
      <c r="AJ156" s="210"/>
      <c r="AK156" s="214"/>
      <c r="AL156" s="210"/>
    </row>
    <row r="157" spans="1:40" x14ac:dyDescent="0.3">
      <c r="R157" s="123"/>
    </row>
    <row r="158" spans="1:40" x14ac:dyDescent="0.3">
      <c r="R158" s="123"/>
    </row>
    <row r="159" spans="1:40" x14ac:dyDescent="0.3">
      <c r="R159" s="123"/>
    </row>
    <row r="160" spans="1:40" x14ac:dyDescent="0.3">
      <c r="C160" s="42"/>
      <c r="D160" s="42"/>
      <c r="E160" s="42"/>
      <c r="H160" s="123"/>
      <c r="I160" s="123"/>
      <c r="J160" s="219"/>
      <c r="K160" s="219"/>
      <c r="L160" s="123"/>
      <c r="M160" s="123"/>
      <c r="N160" s="160"/>
      <c r="O160" s="160"/>
      <c r="P160" s="123"/>
      <c r="Q160" s="123"/>
      <c r="R160" s="123"/>
      <c r="T160" s="42"/>
      <c r="U160" s="42"/>
      <c r="Y160" s="123"/>
      <c r="Z160" s="219"/>
      <c r="AA160" s="123"/>
      <c r="AB160" s="123"/>
      <c r="AC160" s="160"/>
      <c r="AD160" s="160"/>
    </row>
    <row r="161" spans="1:40" x14ac:dyDescent="0.3">
      <c r="H161" s="123"/>
      <c r="I161" s="123"/>
      <c r="J161" s="219"/>
      <c r="K161" s="219"/>
      <c r="L161" s="123"/>
      <c r="M161" s="123"/>
      <c r="N161" s="160"/>
      <c r="O161" s="160"/>
      <c r="P161" s="123"/>
      <c r="Q161" s="123"/>
      <c r="R161" s="123"/>
      <c r="Y161" s="123"/>
      <c r="Z161" s="219"/>
      <c r="AA161" s="123"/>
      <c r="AB161" s="123"/>
      <c r="AC161" s="160"/>
      <c r="AD161" s="160"/>
    </row>
    <row r="162" spans="1:40" x14ac:dyDescent="0.3">
      <c r="C162" s="42"/>
      <c r="F162" s="184"/>
      <c r="H162" s="184"/>
      <c r="I162" s="184"/>
      <c r="J162" s="240"/>
      <c r="K162" s="240"/>
      <c r="L162" s="184"/>
      <c r="M162" s="184"/>
      <c r="N162" s="160"/>
      <c r="O162" s="160"/>
      <c r="P162" s="123"/>
      <c r="Q162" s="123"/>
      <c r="R162" s="123"/>
      <c r="T162" s="42"/>
      <c r="V162" s="123"/>
      <c r="Y162" s="123"/>
      <c r="Z162" s="240"/>
      <c r="AA162" s="123"/>
      <c r="AB162" s="123"/>
      <c r="AC162" s="160"/>
      <c r="AD162" s="160"/>
      <c r="AE162" s="123"/>
      <c r="AF162" s="123"/>
      <c r="AH162" s="236"/>
      <c r="AI162" s="123"/>
      <c r="AJ162" s="123"/>
      <c r="AL162" s="123"/>
      <c r="AM162" s="160"/>
      <c r="AN162" s="160"/>
    </row>
    <row r="163" spans="1:40" x14ac:dyDescent="0.3">
      <c r="F163" s="184"/>
      <c r="H163" s="222"/>
      <c r="I163" s="222"/>
      <c r="J163" s="222"/>
      <c r="K163" s="222"/>
      <c r="R163" s="123"/>
      <c r="V163" s="123"/>
      <c r="Z163" s="222"/>
    </row>
    <row r="164" spans="1:40" x14ac:dyDescent="0.3">
      <c r="C164" s="42"/>
      <c r="F164" s="184"/>
      <c r="H164" s="184"/>
      <c r="I164" s="184"/>
      <c r="J164" s="193"/>
      <c r="K164" s="193"/>
      <c r="L164" s="123"/>
      <c r="M164" s="123"/>
      <c r="N164" s="160"/>
      <c r="O164" s="160"/>
      <c r="P164" s="123"/>
      <c r="Q164" s="123"/>
      <c r="R164" s="123"/>
      <c r="T164" s="42"/>
      <c r="V164" s="123"/>
      <c r="Y164" s="123"/>
      <c r="Z164" s="193"/>
      <c r="AA164" s="123"/>
      <c r="AB164" s="123"/>
      <c r="AC164" s="160"/>
      <c r="AD164" s="160"/>
      <c r="AE164" s="123"/>
      <c r="AF164" s="123"/>
      <c r="AH164" s="236"/>
      <c r="AI164" s="123"/>
      <c r="AJ164" s="123"/>
      <c r="AL164" s="123"/>
      <c r="AM164" s="160"/>
      <c r="AN164" s="160"/>
    </row>
    <row r="165" spans="1:40" x14ac:dyDescent="0.3">
      <c r="F165" s="184"/>
      <c r="H165" s="222"/>
      <c r="I165" s="222"/>
      <c r="J165" s="222"/>
      <c r="K165" s="222"/>
      <c r="R165" s="123"/>
      <c r="V165" s="123"/>
      <c r="Z165" s="222"/>
    </row>
    <row r="166" spans="1:40" x14ac:dyDescent="0.3">
      <c r="C166" s="42"/>
      <c r="F166" s="184"/>
      <c r="H166" s="184"/>
      <c r="I166" s="184"/>
      <c r="J166" s="227"/>
      <c r="K166" s="227"/>
      <c r="L166" s="123"/>
      <c r="M166" s="123"/>
      <c r="N166" s="160"/>
      <c r="O166" s="160"/>
      <c r="P166" s="123"/>
      <c r="Q166" s="123"/>
      <c r="R166" s="123"/>
      <c r="T166" s="42"/>
      <c r="V166" s="123"/>
      <c r="Y166" s="123"/>
      <c r="Z166" s="212"/>
      <c r="AA166" s="123"/>
      <c r="AB166" s="123"/>
      <c r="AC166" s="160"/>
      <c r="AD166" s="160"/>
      <c r="AE166" s="123"/>
      <c r="AF166" s="123"/>
      <c r="AH166" s="236"/>
      <c r="AI166" s="123"/>
      <c r="AJ166" s="123"/>
      <c r="AL166" s="123"/>
      <c r="AM166" s="160"/>
      <c r="AN166" s="160"/>
    </row>
    <row r="167" spans="1:40" x14ac:dyDescent="0.3">
      <c r="F167" s="210"/>
      <c r="H167" s="210"/>
      <c r="I167" s="210"/>
      <c r="J167" s="213"/>
      <c r="K167" s="213"/>
      <c r="L167" s="210"/>
      <c r="M167" s="210"/>
      <c r="N167" s="210"/>
      <c r="O167" s="210"/>
      <c r="P167" s="210"/>
      <c r="Q167" s="210"/>
      <c r="R167" s="210"/>
      <c r="S167" s="123"/>
      <c r="V167" s="210"/>
      <c r="Y167" s="210"/>
      <c r="Z167" s="213"/>
      <c r="AA167" s="210"/>
      <c r="AB167" s="210"/>
      <c r="AC167" s="210"/>
      <c r="AD167" s="210"/>
      <c r="AE167" s="210"/>
      <c r="AF167" s="210"/>
      <c r="AI167" s="210"/>
      <c r="AJ167" s="210"/>
      <c r="AK167" s="214"/>
      <c r="AL167" s="210"/>
    </row>
    <row r="168" spans="1:40" x14ac:dyDescent="0.3">
      <c r="D168" s="42"/>
      <c r="E168" s="42"/>
      <c r="F168" s="123"/>
      <c r="H168" s="123"/>
      <c r="I168" s="123"/>
      <c r="J168" s="219"/>
      <c r="K168" s="219"/>
      <c r="L168" s="123"/>
      <c r="M168" s="123"/>
      <c r="N168" s="160"/>
      <c r="O168" s="160"/>
      <c r="P168" s="184"/>
      <c r="Q168" s="184"/>
      <c r="R168" s="123"/>
      <c r="S168" s="123"/>
      <c r="U168" s="42"/>
      <c r="V168" s="123"/>
      <c r="Y168" s="123"/>
      <c r="Z168" s="219"/>
      <c r="AA168" s="123"/>
      <c r="AB168" s="123"/>
      <c r="AC168" s="160"/>
      <c r="AD168" s="160"/>
      <c r="AE168" s="123"/>
      <c r="AF168" s="123"/>
      <c r="AH168" s="236"/>
      <c r="AI168" s="184"/>
      <c r="AJ168" s="184"/>
      <c r="AL168" s="123"/>
      <c r="AM168" s="160"/>
      <c r="AN168" s="160"/>
    </row>
    <row r="169" spans="1:40" x14ac:dyDescent="0.3">
      <c r="F169" s="210"/>
      <c r="H169" s="210"/>
      <c r="I169" s="210"/>
      <c r="J169" s="213"/>
      <c r="K169" s="213"/>
      <c r="L169" s="210"/>
      <c r="M169" s="210"/>
      <c r="N169" s="210"/>
      <c r="O169" s="210"/>
      <c r="P169" s="210"/>
      <c r="Q169" s="210"/>
      <c r="R169" s="210"/>
      <c r="S169" s="123"/>
      <c r="V169" s="210"/>
      <c r="Y169" s="210"/>
      <c r="Z169" s="213"/>
      <c r="AA169" s="210"/>
      <c r="AB169" s="210"/>
      <c r="AC169" s="210"/>
      <c r="AD169" s="210"/>
      <c r="AE169" s="210"/>
      <c r="AF169" s="210"/>
      <c r="AI169" s="210"/>
      <c r="AJ169" s="210"/>
      <c r="AK169" s="214"/>
      <c r="AL169" s="210"/>
    </row>
    <row r="170" spans="1:40" x14ac:dyDescent="0.3">
      <c r="R170" s="123"/>
    </row>
    <row r="171" spans="1:40" x14ac:dyDescent="0.3">
      <c r="F171" s="123"/>
      <c r="H171" s="123"/>
      <c r="I171" s="123"/>
      <c r="J171" s="219"/>
      <c r="K171" s="219"/>
      <c r="L171" s="123"/>
      <c r="M171" s="123"/>
      <c r="N171" s="123"/>
      <c r="O171" s="123"/>
      <c r="P171" s="123"/>
      <c r="Q171" s="123"/>
      <c r="R171" s="123"/>
      <c r="V171" s="123"/>
      <c r="Y171" s="123"/>
      <c r="Z171" s="219"/>
      <c r="AA171" s="123"/>
      <c r="AB171" s="123"/>
      <c r="AC171" s="123"/>
      <c r="AD171" s="123"/>
    </row>
    <row r="172" spans="1:40" x14ac:dyDescent="0.3">
      <c r="C172" s="42"/>
      <c r="F172" s="123"/>
      <c r="H172" s="123"/>
      <c r="I172" s="123"/>
      <c r="J172" s="219"/>
      <c r="K172" s="219"/>
      <c r="L172" s="123"/>
      <c r="M172" s="123"/>
      <c r="N172" s="123"/>
      <c r="O172" s="123"/>
      <c r="P172" s="123"/>
      <c r="Q172" s="123"/>
      <c r="R172" s="123"/>
      <c r="T172" s="42"/>
      <c r="V172" s="123"/>
      <c r="Y172" s="123"/>
      <c r="Z172" s="219"/>
      <c r="AA172" s="123"/>
      <c r="AB172" s="123"/>
      <c r="AC172" s="123"/>
      <c r="AD172" s="123"/>
    </row>
    <row r="173" spans="1:40" x14ac:dyDescent="0.3">
      <c r="C173" s="42"/>
      <c r="T173" s="42"/>
    </row>
    <row r="174" spans="1:40" x14ac:dyDescent="0.3">
      <c r="A174" s="42"/>
    </row>
    <row r="177" spans="1:40" x14ac:dyDescent="0.3">
      <c r="H177" s="42"/>
      <c r="I177" s="42"/>
      <c r="Y177" s="42"/>
    </row>
    <row r="179" spans="1:40" x14ac:dyDescent="0.3">
      <c r="L179" s="42"/>
      <c r="M179" s="42"/>
      <c r="AA179" s="42"/>
      <c r="AB179" s="42"/>
    </row>
    <row r="180" spans="1:40" x14ac:dyDescent="0.3">
      <c r="R180" s="42"/>
      <c r="AK180" s="206"/>
      <c r="AL180" s="42"/>
    </row>
    <row r="181" spans="1:40" x14ac:dyDescent="0.3">
      <c r="R181" s="42"/>
      <c r="AK181" s="206"/>
      <c r="AL181" s="42"/>
    </row>
    <row r="182" spans="1:40" x14ac:dyDescent="0.3">
      <c r="A182" s="42"/>
      <c r="R182" s="42"/>
      <c r="AK182" s="206"/>
      <c r="AL182" s="42"/>
    </row>
    <row r="183" spans="1:40" x14ac:dyDescent="0.3">
      <c r="L183" s="42"/>
      <c r="M183" s="42"/>
      <c r="AA183" s="42"/>
      <c r="AB183" s="42"/>
    </row>
    <row r="184" spans="1:40" x14ac:dyDescent="0.3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207"/>
      <c r="AH184" s="135"/>
      <c r="AI184" s="135"/>
      <c r="AJ184" s="135"/>
      <c r="AK184" s="207"/>
      <c r="AL184" s="135"/>
      <c r="AM184" s="135"/>
      <c r="AN184" s="135"/>
    </row>
    <row r="185" spans="1:40" x14ac:dyDescent="0.3">
      <c r="L185" s="44"/>
      <c r="M185" s="44"/>
      <c r="N185" s="44"/>
      <c r="O185" s="44"/>
      <c r="R185" s="44"/>
      <c r="AA185" s="44"/>
      <c r="AB185" s="44"/>
      <c r="AC185" s="44"/>
      <c r="AD185" s="44"/>
      <c r="AE185" s="44"/>
      <c r="AF185" s="44"/>
      <c r="AG185" s="168"/>
      <c r="AH185" s="44"/>
      <c r="AK185" s="168"/>
      <c r="AL185" s="44"/>
      <c r="AM185" s="44"/>
      <c r="AN185" s="44"/>
    </row>
    <row r="186" spans="1:40" x14ac:dyDescent="0.3">
      <c r="L186" s="44"/>
      <c r="M186" s="44"/>
      <c r="N186" s="44"/>
      <c r="O186" s="44"/>
      <c r="R186" s="44"/>
      <c r="Z186" s="44"/>
      <c r="AA186" s="44"/>
      <c r="AB186" s="44"/>
      <c r="AC186" s="44"/>
      <c r="AD186" s="44"/>
      <c r="AE186" s="44"/>
      <c r="AF186" s="44"/>
      <c r="AG186" s="168"/>
      <c r="AH186" s="44"/>
      <c r="AK186" s="168"/>
      <c r="AL186" s="44"/>
      <c r="AM186" s="44"/>
      <c r="AN186" s="44"/>
    </row>
    <row r="187" spans="1:40" x14ac:dyDescent="0.3">
      <c r="A187" s="44"/>
      <c r="C187" s="44"/>
      <c r="D187" s="44"/>
      <c r="E187" s="44"/>
      <c r="F187" s="44"/>
      <c r="J187" s="44"/>
      <c r="K187" s="44"/>
      <c r="L187" s="44"/>
      <c r="M187" s="44"/>
      <c r="N187" s="44"/>
      <c r="O187" s="44"/>
      <c r="P187" s="44"/>
      <c r="Q187" s="44"/>
      <c r="R187" s="44"/>
      <c r="T187" s="44"/>
      <c r="U187" s="44"/>
      <c r="V187" s="44"/>
      <c r="Z187" s="44"/>
      <c r="AA187" s="44"/>
      <c r="AB187" s="44"/>
      <c r="AC187" s="44"/>
      <c r="AD187" s="44"/>
      <c r="AE187" s="44"/>
      <c r="AF187" s="44"/>
      <c r="AG187" s="168"/>
      <c r="AH187" s="44"/>
      <c r="AI187" s="44"/>
      <c r="AJ187" s="44"/>
      <c r="AK187" s="168"/>
      <c r="AL187" s="44"/>
      <c r="AM187" s="44"/>
      <c r="AN187" s="44"/>
    </row>
    <row r="188" spans="1:40" x14ac:dyDescent="0.3">
      <c r="A188" s="44"/>
      <c r="C188" s="44"/>
      <c r="D188" s="44"/>
      <c r="E188" s="44"/>
      <c r="F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T188" s="44"/>
      <c r="U188" s="44"/>
      <c r="V188" s="44"/>
      <c r="Y188" s="44"/>
      <c r="Z188" s="44"/>
      <c r="AA188" s="44"/>
      <c r="AB188" s="44"/>
      <c r="AC188" s="44"/>
      <c r="AD188" s="44"/>
      <c r="AE188" s="44"/>
      <c r="AF188" s="44"/>
      <c r="AG188" s="168"/>
      <c r="AH188" s="44"/>
      <c r="AI188" s="44"/>
      <c r="AJ188" s="44"/>
      <c r="AK188" s="168"/>
      <c r="AL188" s="44"/>
      <c r="AM188" s="44"/>
      <c r="AN188" s="44"/>
    </row>
    <row r="189" spans="1:40" x14ac:dyDescent="0.3">
      <c r="C189" s="44"/>
      <c r="D189" s="44"/>
      <c r="E189" s="44"/>
      <c r="F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T189" s="44"/>
      <c r="U189" s="44"/>
      <c r="V189" s="44"/>
      <c r="Y189" s="44"/>
      <c r="Z189" s="44"/>
      <c r="AA189" s="44"/>
      <c r="AB189" s="44"/>
      <c r="AC189" s="44"/>
      <c r="AD189" s="44"/>
      <c r="AE189" s="44"/>
      <c r="AF189" s="44"/>
      <c r="AG189" s="168"/>
      <c r="AH189" s="44"/>
      <c r="AI189" s="44"/>
      <c r="AJ189" s="44"/>
      <c r="AK189" s="168"/>
      <c r="AL189" s="44"/>
      <c r="AM189" s="44"/>
      <c r="AN189" s="44"/>
    </row>
    <row r="190" spans="1:40" x14ac:dyDescent="0.3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207"/>
      <c r="AH190" s="135"/>
      <c r="AI190" s="135"/>
      <c r="AJ190" s="135"/>
      <c r="AK190" s="207"/>
      <c r="AL190" s="135"/>
      <c r="AM190" s="135"/>
      <c r="AN190" s="135"/>
    </row>
    <row r="191" spans="1:40" x14ac:dyDescent="0.3"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Y191" s="44"/>
      <c r="Z191" s="44"/>
      <c r="AA191" s="44"/>
      <c r="AB191" s="44"/>
      <c r="AC191" s="44"/>
      <c r="AD191" s="44"/>
      <c r="AE191" s="44"/>
      <c r="AF191" s="44"/>
      <c r="AG191" s="168"/>
      <c r="AH191" s="44"/>
      <c r="AI191" s="44"/>
      <c r="AJ191" s="44"/>
      <c r="AK191" s="168"/>
      <c r="AL191" s="44"/>
      <c r="AM191" s="44"/>
      <c r="AN191" s="44"/>
    </row>
    <row r="192" spans="1:40" x14ac:dyDescent="0.3">
      <c r="C192" s="42"/>
      <c r="D192" s="42"/>
      <c r="E192" s="42"/>
      <c r="T192" s="42"/>
      <c r="U192" s="42"/>
    </row>
    <row r="193" spans="3:40" x14ac:dyDescent="0.3">
      <c r="D193" s="42"/>
      <c r="E193" s="42"/>
      <c r="U193" s="42"/>
    </row>
    <row r="195" spans="3:40" x14ac:dyDescent="0.3">
      <c r="C195" s="42"/>
      <c r="F195" s="123"/>
      <c r="J195" s="209"/>
      <c r="K195" s="209"/>
      <c r="L195" s="123"/>
      <c r="M195" s="123"/>
      <c r="R195" s="123"/>
      <c r="T195" s="42"/>
      <c r="V195" s="123"/>
      <c r="Z195" s="209"/>
      <c r="AA195" s="123"/>
      <c r="AB195" s="123"/>
      <c r="AL195" s="123"/>
    </row>
    <row r="196" spans="3:40" x14ac:dyDescent="0.3">
      <c r="F196" s="123"/>
      <c r="R196" s="123"/>
      <c r="V196" s="123"/>
      <c r="AL196" s="123"/>
    </row>
    <row r="197" spans="3:40" x14ac:dyDescent="0.3">
      <c r="C197" s="42"/>
      <c r="F197" s="184"/>
      <c r="H197" s="184"/>
      <c r="I197" s="184"/>
      <c r="J197" s="193"/>
      <c r="K197" s="193"/>
      <c r="L197" s="123"/>
      <c r="M197" s="123"/>
      <c r="N197" s="160"/>
      <c r="O197" s="160"/>
      <c r="P197" s="123"/>
      <c r="Q197" s="123"/>
      <c r="R197" s="123"/>
      <c r="T197" s="42"/>
      <c r="V197" s="123"/>
      <c r="Y197" s="123"/>
      <c r="Z197" s="193"/>
      <c r="AA197" s="123"/>
      <c r="AB197" s="123"/>
      <c r="AC197" s="160"/>
      <c r="AD197" s="160"/>
      <c r="AE197" s="123"/>
      <c r="AF197" s="123"/>
      <c r="AH197" s="236"/>
      <c r="AI197" s="123"/>
      <c r="AJ197" s="123"/>
      <c r="AL197" s="123"/>
      <c r="AM197" s="160"/>
      <c r="AN197" s="160"/>
    </row>
    <row r="198" spans="3:40" x14ac:dyDescent="0.3">
      <c r="C198" s="42"/>
      <c r="F198" s="184"/>
      <c r="H198" s="222"/>
      <c r="I198" s="222"/>
      <c r="J198" s="193"/>
      <c r="K198" s="193"/>
      <c r="L198" s="123"/>
      <c r="M198" s="123"/>
      <c r="N198" s="160"/>
      <c r="O198" s="160"/>
      <c r="P198" s="123"/>
      <c r="Q198" s="123"/>
      <c r="R198" s="123"/>
      <c r="T198" s="42"/>
      <c r="V198" s="123"/>
      <c r="Y198" s="123"/>
      <c r="Z198" s="193"/>
      <c r="AA198" s="123"/>
      <c r="AB198" s="123"/>
      <c r="AC198" s="160"/>
      <c r="AD198" s="160"/>
      <c r="AE198" s="123"/>
      <c r="AF198" s="123"/>
      <c r="AH198" s="236"/>
      <c r="AI198" s="123"/>
      <c r="AJ198" s="123"/>
      <c r="AL198" s="123"/>
      <c r="AM198" s="160"/>
      <c r="AN198" s="160"/>
    </row>
    <row r="199" spans="3:40" x14ac:dyDescent="0.3">
      <c r="F199" s="210"/>
      <c r="H199" s="123"/>
      <c r="I199" s="123"/>
      <c r="J199" s="213"/>
      <c r="K199" s="213"/>
      <c r="L199" s="210"/>
      <c r="M199" s="210"/>
      <c r="N199" s="210"/>
      <c r="O199" s="210"/>
      <c r="P199" s="210"/>
      <c r="Q199" s="210"/>
      <c r="R199" s="210"/>
      <c r="V199" s="210"/>
      <c r="Y199" s="123"/>
      <c r="Z199" s="213"/>
      <c r="AA199" s="210"/>
      <c r="AB199" s="210"/>
      <c r="AC199" s="210"/>
      <c r="AD199" s="210"/>
      <c r="AE199" s="210"/>
      <c r="AF199" s="210"/>
      <c r="AI199" s="210"/>
      <c r="AJ199" s="210"/>
      <c r="AK199" s="214"/>
      <c r="AL199" s="210"/>
    </row>
    <row r="200" spans="3:40" x14ac:dyDescent="0.3">
      <c r="C200" s="42"/>
      <c r="F200" s="123"/>
      <c r="H200" s="123"/>
      <c r="I200" s="123"/>
      <c r="J200" s="219"/>
      <c r="K200" s="219"/>
      <c r="L200" s="123"/>
      <c r="M200" s="123"/>
      <c r="N200" s="160"/>
      <c r="O200" s="160"/>
      <c r="P200" s="123"/>
      <c r="Q200" s="123"/>
      <c r="R200" s="123"/>
      <c r="T200" s="42"/>
      <c r="V200" s="123"/>
      <c r="Y200" s="123"/>
      <c r="Z200" s="219"/>
      <c r="AA200" s="123"/>
      <c r="AB200" s="123"/>
      <c r="AC200" s="160"/>
      <c r="AD200" s="160"/>
      <c r="AE200" s="123"/>
      <c r="AF200" s="123"/>
      <c r="AH200" s="236"/>
      <c r="AI200" s="123"/>
      <c r="AJ200" s="123"/>
      <c r="AL200" s="123"/>
      <c r="AM200" s="160"/>
      <c r="AN200" s="160"/>
    </row>
    <row r="201" spans="3:40" x14ac:dyDescent="0.3">
      <c r="F201" s="210"/>
      <c r="H201" s="123"/>
      <c r="I201" s="123"/>
      <c r="J201" s="213"/>
      <c r="K201" s="213"/>
      <c r="L201" s="210"/>
      <c r="M201" s="210"/>
      <c r="N201" s="210"/>
      <c r="O201" s="210"/>
      <c r="P201" s="210"/>
      <c r="Q201" s="210"/>
      <c r="R201" s="210"/>
      <c r="V201" s="210"/>
      <c r="Y201" s="123"/>
      <c r="Z201" s="213"/>
      <c r="AA201" s="210"/>
      <c r="AB201" s="210"/>
      <c r="AC201" s="210"/>
      <c r="AD201" s="210"/>
      <c r="AE201" s="210"/>
      <c r="AF201" s="210"/>
      <c r="AI201" s="210"/>
      <c r="AJ201" s="210"/>
      <c r="AK201" s="214"/>
      <c r="AL201" s="210"/>
    </row>
    <row r="202" spans="3:40" x14ac:dyDescent="0.3">
      <c r="F202" s="123"/>
      <c r="R202" s="123"/>
      <c r="V202" s="123"/>
      <c r="AL202" s="123"/>
    </row>
    <row r="203" spans="3:40" x14ac:dyDescent="0.3">
      <c r="C203" s="42"/>
      <c r="F203" s="123"/>
      <c r="R203" s="123"/>
      <c r="T203" s="42"/>
      <c r="V203" s="123"/>
      <c r="AL203" s="123"/>
    </row>
    <row r="204" spans="3:40" x14ac:dyDescent="0.3">
      <c r="F204" s="123"/>
      <c r="R204" s="123"/>
      <c r="V204" s="123"/>
      <c r="AL204" s="123"/>
    </row>
    <row r="205" spans="3:40" x14ac:dyDescent="0.3">
      <c r="C205" s="42"/>
      <c r="F205" s="123"/>
      <c r="H205" s="184"/>
      <c r="I205" s="184"/>
      <c r="J205" s="227"/>
      <c r="K205" s="227"/>
      <c r="L205" s="123"/>
      <c r="M205" s="123"/>
      <c r="N205" s="160"/>
      <c r="O205" s="160"/>
      <c r="P205" s="184"/>
      <c r="Q205" s="184"/>
      <c r="R205" s="123"/>
      <c r="T205" s="42"/>
      <c r="V205" s="123"/>
      <c r="Y205" s="123"/>
      <c r="Z205" s="212"/>
      <c r="AA205" s="123"/>
      <c r="AB205" s="123"/>
      <c r="AC205" s="160"/>
      <c r="AD205" s="160"/>
      <c r="AE205" s="123"/>
      <c r="AF205" s="123"/>
      <c r="AH205" s="236"/>
      <c r="AI205" s="184"/>
      <c r="AJ205" s="184"/>
      <c r="AL205" s="123"/>
      <c r="AM205" s="160"/>
      <c r="AN205" s="160"/>
    </row>
    <row r="206" spans="3:40" x14ac:dyDescent="0.3">
      <c r="F206" s="210"/>
      <c r="H206" s="210"/>
      <c r="I206" s="210"/>
      <c r="J206" s="213"/>
      <c r="K206" s="213"/>
      <c r="L206" s="210"/>
      <c r="M206" s="210"/>
      <c r="N206" s="210"/>
      <c r="O206" s="210"/>
      <c r="P206" s="210"/>
      <c r="Q206" s="210"/>
      <c r="R206" s="210"/>
      <c r="V206" s="210"/>
      <c r="Y206" s="210"/>
      <c r="Z206" s="213"/>
      <c r="AA206" s="210"/>
      <c r="AB206" s="210"/>
      <c r="AC206" s="210"/>
      <c r="AD206" s="210"/>
      <c r="AE206" s="210"/>
      <c r="AF206" s="210"/>
      <c r="AI206" s="210"/>
      <c r="AJ206" s="210"/>
      <c r="AK206" s="214"/>
      <c r="AL206" s="210"/>
    </row>
    <row r="208" spans="3:40" x14ac:dyDescent="0.3">
      <c r="C208" s="42"/>
      <c r="F208" s="123"/>
      <c r="H208" s="123"/>
      <c r="I208" s="123"/>
      <c r="J208" s="209"/>
      <c r="K208" s="209"/>
      <c r="L208" s="123"/>
      <c r="M208" s="123"/>
      <c r="N208" s="160"/>
      <c r="O208" s="160"/>
      <c r="P208" s="123"/>
      <c r="Q208" s="123"/>
      <c r="R208" s="123"/>
      <c r="T208" s="42"/>
      <c r="V208" s="123"/>
      <c r="Y208" s="123"/>
      <c r="Z208" s="209"/>
      <c r="AA208" s="123"/>
      <c r="AB208" s="123"/>
      <c r="AC208" s="160"/>
      <c r="AD208" s="160"/>
      <c r="AE208" s="123"/>
      <c r="AF208" s="123"/>
      <c r="AH208" s="236"/>
      <c r="AI208" s="123"/>
      <c r="AJ208" s="123"/>
      <c r="AL208" s="123"/>
      <c r="AM208" s="160"/>
      <c r="AN208" s="160"/>
    </row>
    <row r="209" spans="1:40" x14ac:dyDescent="0.3">
      <c r="F209" s="210"/>
      <c r="H209" s="210"/>
      <c r="I209" s="210"/>
      <c r="J209" s="213"/>
      <c r="K209" s="213"/>
      <c r="L209" s="210"/>
      <c r="M209" s="210"/>
      <c r="N209" s="210"/>
      <c r="O209" s="210"/>
      <c r="P209" s="210"/>
      <c r="Q209" s="210"/>
      <c r="R209" s="210"/>
      <c r="V209" s="210"/>
      <c r="Y209" s="210"/>
      <c r="Z209" s="213"/>
      <c r="AA209" s="210"/>
      <c r="AB209" s="210"/>
      <c r="AC209" s="210"/>
      <c r="AD209" s="210"/>
      <c r="AE209" s="210"/>
      <c r="AF209" s="210"/>
      <c r="AI209" s="210"/>
      <c r="AJ209" s="210"/>
      <c r="AK209" s="214"/>
      <c r="AL209" s="210"/>
    </row>
    <row r="210" spans="1:40" x14ac:dyDescent="0.3">
      <c r="R210" s="123"/>
      <c r="AH210" s="123"/>
    </row>
    <row r="211" spans="1:40" x14ac:dyDescent="0.3">
      <c r="F211" s="123"/>
      <c r="H211" s="123"/>
      <c r="I211" s="123"/>
      <c r="J211" s="219"/>
      <c r="K211" s="219"/>
      <c r="L211" s="123"/>
      <c r="M211" s="123"/>
      <c r="N211" s="123"/>
      <c r="O211" s="123"/>
      <c r="P211" s="123"/>
      <c r="Q211" s="123"/>
      <c r="R211" s="123"/>
      <c r="V211" s="123"/>
      <c r="Y211" s="123"/>
      <c r="Z211" s="219"/>
      <c r="AA211" s="123"/>
      <c r="AB211" s="123"/>
      <c r="AC211" s="123"/>
      <c r="AD211" s="123"/>
      <c r="AE211" s="123"/>
      <c r="AF211" s="123"/>
      <c r="AH211" s="123"/>
    </row>
    <row r="212" spans="1:40" x14ac:dyDescent="0.3">
      <c r="C212" s="42"/>
      <c r="F212" s="123"/>
      <c r="H212" s="123"/>
      <c r="I212" s="123"/>
      <c r="J212" s="219"/>
      <c r="K212" s="219"/>
      <c r="L212" s="123"/>
      <c r="M212" s="123"/>
      <c r="N212" s="123"/>
      <c r="O212" s="123"/>
      <c r="P212" s="123"/>
      <c r="Q212" s="123"/>
      <c r="R212" s="123"/>
      <c r="T212" s="42"/>
      <c r="V212" s="123"/>
      <c r="Y212" s="123"/>
      <c r="Z212" s="219"/>
      <c r="AA212" s="123"/>
      <c r="AB212" s="123"/>
      <c r="AC212" s="123"/>
      <c r="AD212" s="123"/>
      <c r="AE212" s="123"/>
      <c r="AF212" s="123"/>
      <c r="AH212" s="123"/>
    </row>
    <row r="213" spans="1:40" x14ac:dyDescent="0.3">
      <c r="A213" s="42"/>
    </row>
    <row r="216" spans="1:40" x14ac:dyDescent="0.3">
      <c r="H216" s="42"/>
      <c r="I216" s="42"/>
      <c r="Y216" s="42"/>
    </row>
    <row r="218" spans="1:40" x14ac:dyDescent="0.3">
      <c r="L218" s="42"/>
      <c r="M218" s="42"/>
      <c r="AA218" s="42"/>
      <c r="AB218" s="42"/>
    </row>
    <row r="219" spans="1:40" x14ac:dyDescent="0.3">
      <c r="R219" s="42"/>
      <c r="AK219" s="206"/>
      <c r="AL219" s="42"/>
    </row>
    <row r="220" spans="1:40" x14ac:dyDescent="0.3">
      <c r="R220" s="42"/>
      <c r="AK220" s="206"/>
      <c r="AL220" s="42"/>
    </row>
    <row r="221" spans="1:40" x14ac:dyDescent="0.3">
      <c r="A221" s="42"/>
      <c r="R221" s="42"/>
      <c r="AK221" s="206"/>
      <c r="AL221" s="42"/>
    </row>
    <row r="222" spans="1:40" x14ac:dyDescent="0.3">
      <c r="L222" s="42"/>
      <c r="M222" s="42"/>
      <c r="AA222" s="42"/>
      <c r="AB222" s="42"/>
    </row>
    <row r="223" spans="1:40" x14ac:dyDescent="0.3">
      <c r="A223" s="135"/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207"/>
      <c r="AH223" s="135"/>
      <c r="AI223" s="135"/>
      <c r="AJ223" s="135"/>
      <c r="AK223" s="207"/>
      <c r="AL223" s="135"/>
      <c r="AM223" s="135"/>
      <c r="AN223" s="135"/>
    </row>
    <row r="224" spans="1:40" x14ac:dyDescent="0.3">
      <c r="L224" s="44"/>
      <c r="M224" s="44"/>
      <c r="N224" s="44"/>
      <c r="O224" s="44"/>
      <c r="R224" s="44"/>
      <c r="AA224" s="44"/>
      <c r="AB224" s="44"/>
      <c r="AC224" s="44"/>
      <c r="AD224" s="44"/>
      <c r="AE224" s="44"/>
      <c r="AF224" s="44"/>
      <c r="AG224" s="168"/>
      <c r="AH224" s="44"/>
      <c r="AK224" s="168"/>
      <c r="AL224" s="44"/>
      <c r="AM224" s="44"/>
      <c r="AN224" s="44"/>
    </row>
    <row r="225" spans="1:40" x14ac:dyDescent="0.3">
      <c r="L225" s="44"/>
      <c r="M225" s="44"/>
      <c r="N225" s="44"/>
      <c r="O225" s="44"/>
      <c r="R225" s="44"/>
      <c r="Z225" s="44"/>
      <c r="AA225" s="44"/>
      <c r="AB225" s="44"/>
      <c r="AC225" s="44"/>
      <c r="AD225" s="44"/>
      <c r="AE225" s="44"/>
      <c r="AF225" s="44"/>
      <c r="AG225" s="168"/>
      <c r="AH225" s="44"/>
      <c r="AK225" s="168"/>
      <c r="AL225" s="44"/>
      <c r="AM225" s="44"/>
      <c r="AN225" s="44"/>
    </row>
    <row r="226" spans="1:40" x14ac:dyDescent="0.3">
      <c r="A226" s="44"/>
      <c r="C226" s="44"/>
      <c r="D226" s="44"/>
      <c r="E226" s="44"/>
      <c r="F226" s="44"/>
      <c r="J226" s="44"/>
      <c r="K226" s="44"/>
      <c r="L226" s="44"/>
      <c r="M226" s="44"/>
      <c r="N226" s="44"/>
      <c r="O226" s="44"/>
      <c r="P226" s="44"/>
      <c r="Q226" s="44"/>
      <c r="R226" s="44"/>
      <c r="T226" s="44"/>
      <c r="U226" s="44"/>
      <c r="V226" s="44"/>
      <c r="Z226" s="44"/>
      <c r="AA226" s="44"/>
      <c r="AB226" s="44"/>
      <c r="AC226" s="44"/>
      <c r="AD226" s="44"/>
      <c r="AE226" s="44"/>
      <c r="AF226" s="44"/>
      <c r="AG226" s="168"/>
      <c r="AH226" s="44"/>
      <c r="AI226" s="44"/>
      <c r="AJ226" s="44"/>
      <c r="AK226" s="168"/>
      <c r="AL226" s="44"/>
      <c r="AM226" s="44"/>
      <c r="AN226" s="44"/>
    </row>
    <row r="227" spans="1:40" x14ac:dyDescent="0.3">
      <c r="A227" s="44"/>
      <c r="C227" s="44"/>
      <c r="D227" s="44"/>
      <c r="E227" s="44"/>
      <c r="F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T227" s="44"/>
      <c r="U227" s="44"/>
      <c r="V227" s="44"/>
      <c r="Y227" s="44"/>
      <c r="Z227" s="44"/>
      <c r="AA227" s="44"/>
      <c r="AB227" s="44"/>
      <c r="AC227" s="44"/>
      <c r="AD227" s="44"/>
      <c r="AE227" s="44"/>
      <c r="AF227" s="44"/>
      <c r="AG227" s="168"/>
      <c r="AH227" s="44"/>
      <c r="AI227" s="44"/>
      <c r="AJ227" s="44"/>
      <c r="AK227" s="168"/>
      <c r="AL227" s="44"/>
      <c r="AM227" s="44"/>
      <c r="AN227" s="44"/>
    </row>
    <row r="228" spans="1:40" x14ac:dyDescent="0.3">
      <c r="C228" s="44"/>
      <c r="D228" s="44"/>
      <c r="E228" s="44"/>
      <c r="F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T228" s="44"/>
      <c r="U228" s="44"/>
      <c r="V228" s="44"/>
      <c r="Y228" s="44"/>
      <c r="Z228" s="44"/>
      <c r="AA228" s="44"/>
      <c r="AB228" s="44"/>
      <c r="AC228" s="44"/>
      <c r="AD228" s="44"/>
      <c r="AE228" s="44"/>
      <c r="AF228" s="44"/>
      <c r="AG228" s="168"/>
      <c r="AH228" s="44"/>
      <c r="AI228" s="44"/>
      <c r="AJ228" s="44"/>
      <c r="AK228" s="168"/>
      <c r="AL228" s="44"/>
      <c r="AM228" s="44"/>
      <c r="AN228" s="44"/>
    </row>
    <row r="229" spans="1:40" x14ac:dyDescent="0.3">
      <c r="A229" s="135"/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207"/>
      <c r="AH229" s="135"/>
      <c r="AI229" s="135"/>
      <c r="AJ229" s="135"/>
      <c r="AK229" s="207"/>
      <c r="AL229" s="135"/>
      <c r="AM229" s="135"/>
      <c r="AN229" s="135"/>
    </row>
    <row r="230" spans="1:40" x14ac:dyDescent="0.3"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Y230" s="44"/>
      <c r="Z230" s="44"/>
      <c r="AA230" s="44"/>
      <c r="AB230" s="44"/>
      <c r="AC230" s="44"/>
      <c r="AD230" s="44"/>
      <c r="AE230" s="44"/>
      <c r="AF230" s="44"/>
      <c r="AG230" s="168"/>
      <c r="AH230" s="44"/>
      <c r="AI230" s="44"/>
      <c r="AJ230" s="44"/>
      <c r="AK230" s="168"/>
      <c r="AL230" s="44"/>
      <c r="AM230" s="44"/>
      <c r="AN230" s="44"/>
    </row>
    <row r="231" spans="1:40" x14ac:dyDescent="0.3">
      <c r="C231" s="42"/>
      <c r="D231" s="42"/>
      <c r="E231" s="42"/>
      <c r="T231" s="42"/>
      <c r="U231" s="42"/>
    </row>
    <row r="232" spans="1:40" x14ac:dyDescent="0.3">
      <c r="C232" s="42"/>
      <c r="T232" s="42"/>
    </row>
    <row r="234" spans="1:40" x14ac:dyDescent="0.3">
      <c r="C234" s="42"/>
      <c r="F234" s="184"/>
      <c r="H234" s="184"/>
      <c r="I234" s="184"/>
      <c r="J234" s="193"/>
      <c r="K234" s="193"/>
      <c r="L234" s="123"/>
      <c r="M234" s="123"/>
      <c r="N234" s="160"/>
      <c r="O234" s="160"/>
      <c r="R234" s="123"/>
      <c r="T234" s="42"/>
      <c r="V234" s="123"/>
      <c r="Y234" s="184"/>
      <c r="Z234" s="193"/>
      <c r="AA234" s="123"/>
      <c r="AB234" s="123"/>
      <c r="AC234" s="160"/>
      <c r="AD234" s="160"/>
      <c r="AE234" s="123"/>
      <c r="AF234" s="123"/>
      <c r="AH234" s="236"/>
      <c r="AL234" s="123"/>
      <c r="AM234" s="160"/>
      <c r="AN234" s="160"/>
    </row>
    <row r="235" spans="1:40" x14ac:dyDescent="0.3">
      <c r="F235" s="210"/>
      <c r="H235" s="123"/>
      <c r="I235" s="123"/>
      <c r="J235" s="213"/>
      <c r="K235" s="213"/>
      <c r="L235" s="210"/>
      <c r="M235" s="210"/>
      <c r="N235" s="210"/>
      <c r="O235" s="210"/>
      <c r="P235" s="210"/>
      <c r="Q235" s="210"/>
      <c r="R235" s="210"/>
      <c r="V235" s="210"/>
      <c r="Y235" s="123"/>
      <c r="Z235" s="213"/>
      <c r="AA235" s="210"/>
      <c r="AB235" s="210"/>
      <c r="AC235" s="210"/>
      <c r="AD235" s="210"/>
      <c r="AE235" s="210"/>
      <c r="AF235" s="210"/>
      <c r="AI235" s="210"/>
      <c r="AJ235" s="210"/>
      <c r="AK235" s="214"/>
      <c r="AL235" s="210"/>
      <c r="AM235" s="160"/>
      <c r="AN235" s="160"/>
    </row>
    <row r="236" spans="1:40" x14ac:dyDescent="0.3">
      <c r="C236" s="42"/>
      <c r="F236" s="184"/>
      <c r="H236" s="184"/>
      <c r="I236" s="184"/>
      <c r="J236" s="237"/>
      <c r="K236" s="237"/>
      <c r="L236" s="123"/>
      <c r="M236" s="123"/>
      <c r="N236" s="160"/>
      <c r="O236" s="160"/>
      <c r="P236" s="123"/>
      <c r="Q236" s="123"/>
      <c r="R236" s="123"/>
      <c r="S236" s="123"/>
      <c r="T236" s="42"/>
      <c r="V236" s="184"/>
      <c r="Y236" s="184"/>
      <c r="Z236" s="237"/>
      <c r="AA236" s="123"/>
      <c r="AB236" s="123"/>
      <c r="AC236" s="160"/>
      <c r="AD236" s="160"/>
      <c r="AE236" s="123"/>
      <c r="AF236" s="123"/>
      <c r="AH236" s="160"/>
      <c r="AI236" s="123"/>
      <c r="AJ236" s="123"/>
      <c r="AL236" s="123"/>
      <c r="AM236" s="160"/>
      <c r="AN236" s="160"/>
    </row>
    <row r="237" spans="1:40" x14ac:dyDescent="0.3">
      <c r="C237" s="42"/>
      <c r="F237" s="184"/>
      <c r="H237" s="184"/>
      <c r="I237" s="184"/>
      <c r="J237" s="193"/>
      <c r="K237" s="193"/>
      <c r="L237" s="123"/>
      <c r="M237" s="123"/>
      <c r="N237" s="160"/>
      <c r="O237" s="160"/>
      <c r="P237" s="123"/>
      <c r="Q237" s="123"/>
      <c r="R237" s="123"/>
      <c r="T237" s="42"/>
      <c r="V237" s="184"/>
      <c r="Y237" s="123"/>
      <c r="Z237" s="193"/>
      <c r="AA237" s="123"/>
      <c r="AB237" s="123"/>
      <c r="AC237" s="160"/>
      <c r="AD237" s="160"/>
      <c r="AE237" s="123"/>
      <c r="AF237" s="123"/>
      <c r="AH237" s="236"/>
      <c r="AI237" s="123"/>
      <c r="AJ237" s="123"/>
      <c r="AL237" s="123"/>
      <c r="AM237" s="160"/>
      <c r="AN237" s="160"/>
    </row>
    <row r="238" spans="1:40" x14ac:dyDescent="0.3">
      <c r="C238" s="42"/>
      <c r="F238" s="184"/>
      <c r="H238" s="184"/>
      <c r="I238" s="184"/>
      <c r="J238" s="193"/>
      <c r="K238" s="193"/>
      <c r="L238" s="123"/>
      <c r="M238" s="123"/>
      <c r="N238" s="160"/>
      <c r="O238" s="160"/>
      <c r="P238" s="123"/>
      <c r="Q238" s="123"/>
      <c r="R238" s="123"/>
      <c r="T238" s="42"/>
      <c r="V238" s="184"/>
      <c r="Y238" s="123"/>
      <c r="Z238" s="193"/>
      <c r="AA238" s="123"/>
      <c r="AB238" s="123"/>
      <c r="AC238" s="160"/>
      <c r="AD238" s="160"/>
      <c r="AE238" s="123"/>
      <c r="AF238" s="123"/>
      <c r="AH238" s="236"/>
      <c r="AI238" s="123"/>
      <c r="AJ238" s="123"/>
      <c r="AL238" s="123"/>
      <c r="AM238" s="160"/>
      <c r="AN238" s="160"/>
    </row>
    <row r="239" spans="1:40" x14ac:dyDescent="0.3">
      <c r="F239" s="210"/>
      <c r="H239" s="210"/>
      <c r="I239" s="210"/>
      <c r="J239" s="213"/>
      <c r="K239" s="213"/>
      <c r="L239" s="210"/>
      <c r="M239" s="210"/>
      <c r="N239" s="210"/>
      <c r="O239" s="210"/>
      <c r="P239" s="210"/>
      <c r="Q239" s="210"/>
      <c r="R239" s="210"/>
      <c r="V239" s="210"/>
      <c r="Y239" s="210"/>
      <c r="Z239" s="213"/>
      <c r="AA239" s="210"/>
      <c r="AB239" s="210"/>
      <c r="AC239" s="210"/>
      <c r="AD239" s="210"/>
      <c r="AE239" s="210"/>
      <c r="AF239" s="210"/>
      <c r="AI239" s="210"/>
      <c r="AJ239" s="210"/>
      <c r="AK239" s="214"/>
      <c r="AL239" s="210"/>
      <c r="AM239" s="160"/>
      <c r="AN239" s="160"/>
    </row>
    <row r="240" spans="1:40" x14ac:dyDescent="0.3">
      <c r="C240" s="42"/>
      <c r="F240" s="123"/>
      <c r="H240" s="123"/>
      <c r="I240" s="123"/>
      <c r="J240" s="219"/>
      <c r="K240" s="219"/>
      <c r="L240" s="123"/>
      <c r="M240" s="123"/>
      <c r="N240" s="160"/>
      <c r="O240" s="160"/>
      <c r="P240" s="123"/>
      <c r="Q240" s="123"/>
      <c r="R240" s="123"/>
      <c r="T240" s="42"/>
      <c r="V240" s="123"/>
      <c r="Y240" s="123"/>
      <c r="Z240" s="219"/>
      <c r="AA240" s="123"/>
      <c r="AB240" s="123"/>
      <c r="AC240" s="160"/>
      <c r="AD240" s="160"/>
      <c r="AE240" s="123"/>
      <c r="AF240" s="123"/>
      <c r="AH240" s="236"/>
      <c r="AI240" s="123"/>
      <c r="AJ240" s="123"/>
      <c r="AL240" s="123"/>
      <c r="AM240" s="160"/>
      <c r="AN240" s="160"/>
    </row>
    <row r="241" spans="3:40" x14ac:dyDescent="0.3">
      <c r="F241" s="210"/>
      <c r="H241" s="210"/>
      <c r="I241" s="210"/>
      <c r="J241" s="213"/>
      <c r="K241" s="213"/>
      <c r="L241" s="210"/>
      <c r="M241" s="210"/>
      <c r="N241" s="210"/>
      <c r="O241" s="210"/>
      <c r="P241" s="210"/>
      <c r="Q241" s="210"/>
      <c r="R241" s="210"/>
      <c r="V241" s="210"/>
      <c r="Y241" s="210"/>
      <c r="Z241" s="213"/>
      <c r="AA241" s="210"/>
      <c r="AB241" s="210"/>
      <c r="AC241" s="210"/>
      <c r="AD241" s="210"/>
      <c r="AE241" s="210"/>
      <c r="AF241" s="210"/>
      <c r="AI241" s="210"/>
      <c r="AJ241" s="210"/>
      <c r="AK241" s="214"/>
      <c r="AL241" s="210"/>
      <c r="AM241" s="160"/>
      <c r="AN241" s="160"/>
    </row>
    <row r="242" spans="3:40" x14ac:dyDescent="0.3">
      <c r="C242" s="42"/>
      <c r="F242" s="123"/>
      <c r="H242" s="123"/>
      <c r="I242" s="123"/>
      <c r="J242" s="219"/>
      <c r="K242" s="219"/>
      <c r="L242" s="123"/>
      <c r="M242" s="123"/>
      <c r="N242" s="160"/>
      <c r="O242" s="160"/>
      <c r="P242" s="123"/>
      <c r="Q242" s="123"/>
      <c r="R242" s="123"/>
      <c r="T242" s="42"/>
      <c r="V242" s="123"/>
      <c r="Y242" s="123"/>
      <c r="Z242" s="219"/>
      <c r="AA242" s="123"/>
      <c r="AB242" s="123"/>
      <c r="AC242" s="160"/>
      <c r="AD242" s="160"/>
      <c r="AE242" s="123"/>
      <c r="AF242" s="123"/>
      <c r="AH242" s="236"/>
      <c r="AI242" s="123"/>
      <c r="AJ242" s="123"/>
      <c r="AL242" s="123"/>
      <c r="AM242" s="160"/>
      <c r="AN242" s="160"/>
    </row>
    <row r="243" spans="3:40" x14ac:dyDescent="0.3">
      <c r="C243" s="42"/>
      <c r="F243" s="123"/>
      <c r="H243" s="184"/>
      <c r="I243" s="184"/>
      <c r="J243" s="227"/>
      <c r="K243" s="227"/>
      <c r="L243" s="123"/>
      <c r="M243" s="123"/>
      <c r="N243" s="160"/>
      <c r="O243" s="160"/>
      <c r="P243" s="123"/>
      <c r="Q243" s="123"/>
      <c r="R243" s="123"/>
      <c r="T243" s="42"/>
      <c r="V243" s="123"/>
      <c r="Y243" s="123"/>
      <c r="Z243" s="212"/>
      <c r="AA243" s="123"/>
      <c r="AB243" s="123"/>
      <c r="AC243" s="160"/>
      <c r="AD243" s="160"/>
      <c r="AE243" s="123"/>
      <c r="AF243" s="123"/>
      <c r="AH243" s="236"/>
      <c r="AI243" s="123"/>
      <c r="AJ243" s="123"/>
      <c r="AL243" s="123"/>
      <c r="AM243" s="160"/>
      <c r="AN243" s="160"/>
    </row>
    <row r="244" spans="3:40" x14ac:dyDescent="0.3">
      <c r="F244" s="210"/>
      <c r="H244" s="210"/>
      <c r="I244" s="210"/>
      <c r="J244" s="213"/>
      <c r="K244" s="213"/>
      <c r="L244" s="210"/>
      <c r="M244" s="210"/>
      <c r="N244" s="210"/>
      <c r="O244" s="210"/>
      <c r="P244" s="210"/>
      <c r="Q244" s="210"/>
      <c r="R244" s="210"/>
      <c r="V244" s="210"/>
      <c r="Y244" s="210"/>
      <c r="Z244" s="213"/>
      <c r="AA244" s="210"/>
      <c r="AB244" s="210"/>
      <c r="AC244" s="210"/>
      <c r="AD244" s="210"/>
      <c r="AE244" s="210"/>
      <c r="AF244" s="210"/>
      <c r="AI244" s="210"/>
      <c r="AJ244" s="210"/>
      <c r="AK244" s="214"/>
      <c r="AL244" s="210"/>
      <c r="AM244" s="160"/>
      <c r="AN244" s="160"/>
    </row>
    <row r="246" spans="3:40" x14ac:dyDescent="0.3">
      <c r="C246" s="42"/>
      <c r="F246" s="123"/>
      <c r="H246" s="123"/>
      <c r="I246" s="123"/>
      <c r="J246" s="213"/>
      <c r="K246" s="213"/>
      <c r="L246" s="123"/>
      <c r="M246" s="123"/>
      <c r="N246" s="160"/>
      <c r="O246" s="160"/>
      <c r="P246" s="123"/>
      <c r="Q246" s="123"/>
      <c r="R246" s="123"/>
      <c r="S246" s="123"/>
      <c r="T246" s="42"/>
      <c r="V246" s="123"/>
      <c r="Y246" s="123"/>
      <c r="Z246" s="213"/>
      <c r="AA246" s="123"/>
      <c r="AB246" s="123"/>
      <c r="AC246" s="160"/>
      <c r="AD246" s="160"/>
      <c r="AE246" s="123"/>
      <c r="AF246" s="123"/>
      <c r="AH246" s="160"/>
      <c r="AI246" s="123"/>
      <c r="AJ246" s="123"/>
      <c r="AL246" s="123"/>
      <c r="AM246" s="160"/>
      <c r="AN246" s="160"/>
    </row>
    <row r="247" spans="3:40" x14ac:dyDescent="0.3">
      <c r="F247" s="210"/>
      <c r="H247" s="210"/>
      <c r="I247" s="210"/>
      <c r="J247" s="213"/>
      <c r="K247" s="213"/>
      <c r="L247" s="210"/>
      <c r="M247" s="210"/>
      <c r="N247" s="210"/>
      <c r="O247" s="210"/>
      <c r="P247" s="210"/>
      <c r="Q247" s="210"/>
      <c r="R247" s="210"/>
      <c r="S247" s="123"/>
      <c r="V247" s="210"/>
      <c r="Y247" s="210"/>
      <c r="Z247" s="213"/>
      <c r="AA247" s="210"/>
      <c r="AB247" s="210"/>
      <c r="AC247" s="210"/>
      <c r="AD247" s="210"/>
      <c r="AE247" s="210"/>
      <c r="AF247" s="210"/>
      <c r="AI247" s="210"/>
      <c r="AJ247" s="210"/>
      <c r="AK247" s="214"/>
      <c r="AL247" s="210"/>
      <c r="AM247" s="160"/>
      <c r="AN247" s="160"/>
    </row>
    <row r="248" spans="3:40" x14ac:dyDescent="0.3">
      <c r="C248" s="42"/>
      <c r="F248" s="184"/>
      <c r="H248" s="184"/>
      <c r="I248" s="184"/>
      <c r="J248" s="213"/>
      <c r="K248" s="213"/>
      <c r="L248" s="123"/>
      <c r="M248" s="123"/>
      <c r="N248" s="160"/>
      <c r="O248" s="160"/>
      <c r="P248" s="123"/>
      <c r="Q248" s="123"/>
      <c r="R248" s="123"/>
      <c r="S248" s="123"/>
      <c r="T248" s="42"/>
      <c r="V248" s="184"/>
      <c r="Y248" s="184"/>
      <c r="Z248" s="213"/>
      <c r="AA248" s="123"/>
      <c r="AB248" s="123"/>
      <c r="AC248" s="160"/>
      <c r="AD248" s="160"/>
      <c r="AE248" s="123"/>
      <c r="AF248" s="123"/>
      <c r="AI248" s="123"/>
      <c r="AJ248" s="123"/>
      <c r="AL248" s="123"/>
      <c r="AM248" s="160"/>
      <c r="AN248" s="160"/>
    </row>
    <row r="250" spans="3:40" x14ac:dyDescent="0.3">
      <c r="C250" s="42"/>
      <c r="F250" s="184"/>
      <c r="H250" s="184"/>
      <c r="I250" s="184"/>
      <c r="J250" s="193"/>
      <c r="K250" s="193"/>
      <c r="L250" s="123"/>
      <c r="M250" s="123"/>
      <c r="N250" s="160"/>
      <c r="O250" s="160"/>
      <c r="R250" s="123"/>
      <c r="T250" s="42"/>
      <c r="V250" s="123"/>
      <c r="Y250" s="184"/>
      <c r="Z250" s="193"/>
      <c r="AA250" s="123"/>
      <c r="AB250" s="123"/>
      <c r="AC250" s="160"/>
      <c r="AD250" s="160"/>
      <c r="AE250" s="123"/>
      <c r="AF250" s="123"/>
      <c r="AH250" s="236"/>
      <c r="AL250" s="123"/>
      <c r="AM250" s="160"/>
      <c r="AN250" s="160"/>
    </row>
    <row r="251" spans="3:40" x14ac:dyDescent="0.3">
      <c r="F251" s="210"/>
      <c r="H251" s="123"/>
      <c r="I251" s="123"/>
      <c r="J251" s="213"/>
      <c r="K251" s="213"/>
      <c r="L251" s="210"/>
      <c r="M251" s="210"/>
      <c r="N251" s="210"/>
      <c r="O251" s="210"/>
      <c r="P251" s="210"/>
      <c r="Q251" s="210"/>
      <c r="R251" s="210"/>
      <c r="V251" s="210"/>
      <c r="Y251" s="123"/>
      <c r="Z251" s="213"/>
      <c r="AA251" s="210"/>
      <c r="AB251" s="210"/>
      <c r="AC251" s="210"/>
      <c r="AD251" s="210"/>
      <c r="AE251" s="210"/>
      <c r="AF251" s="210"/>
      <c r="AI251" s="210"/>
      <c r="AJ251" s="210"/>
      <c r="AK251" s="214"/>
      <c r="AL251" s="210"/>
      <c r="AM251" s="160"/>
      <c r="AN251" s="160"/>
    </row>
    <row r="252" spans="3:40" x14ac:dyDescent="0.3">
      <c r="C252" s="42"/>
      <c r="F252" s="184"/>
      <c r="H252" s="184"/>
      <c r="I252" s="184"/>
      <c r="J252" s="237"/>
      <c r="K252" s="237"/>
      <c r="L252" s="123"/>
      <c r="M252" s="123"/>
      <c r="N252" s="160"/>
      <c r="O252" s="160"/>
      <c r="P252" s="123"/>
      <c r="Q252" s="123"/>
      <c r="R252" s="123"/>
      <c r="S252" s="123"/>
      <c r="T252" s="42"/>
      <c r="V252" s="184"/>
      <c r="Y252" s="184"/>
      <c r="Z252" s="237"/>
      <c r="AA252" s="123"/>
      <c r="AB252" s="123"/>
      <c r="AC252" s="160"/>
      <c r="AD252" s="160"/>
      <c r="AE252" s="123"/>
      <c r="AF252" s="123"/>
      <c r="AH252" s="160"/>
      <c r="AI252" s="123"/>
      <c r="AJ252" s="123"/>
      <c r="AL252" s="123"/>
      <c r="AM252" s="160"/>
      <c r="AN252" s="160"/>
    </row>
    <row r="253" spans="3:40" x14ac:dyDescent="0.3">
      <c r="C253" s="42"/>
      <c r="F253" s="184"/>
      <c r="H253" s="184"/>
      <c r="I253" s="184"/>
      <c r="J253" s="193"/>
      <c r="K253" s="193"/>
      <c r="L253" s="123"/>
      <c r="M253" s="123"/>
      <c r="N253" s="160"/>
      <c r="O253" s="160"/>
      <c r="P253" s="123"/>
      <c r="Q253" s="123"/>
      <c r="R253" s="123"/>
      <c r="T253" s="42"/>
      <c r="V253" s="184"/>
      <c r="Y253" s="123"/>
      <c r="Z253" s="193"/>
      <c r="AA253" s="123"/>
      <c r="AB253" s="123"/>
      <c r="AC253" s="160"/>
      <c r="AD253" s="160"/>
      <c r="AE253" s="123"/>
      <c r="AF253" s="123"/>
      <c r="AH253" s="236"/>
      <c r="AI253" s="123"/>
      <c r="AJ253" s="123"/>
      <c r="AL253" s="123"/>
      <c r="AM253" s="160"/>
      <c r="AN253" s="160"/>
    </row>
    <row r="254" spans="3:40" x14ac:dyDescent="0.3">
      <c r="C254" s="42"/>
      <c r="F254" s="184"/>
      <c r="H254" s="184"/>
      <c r="I254" s="184"/>
      <c r="J254" s="193"/>
      <c r="K254" s="193"/>
      <c r="L254" s="123"/>
      <c r="M254" s="123"/>
      <c r="N254" s="160"/>
      <c r="O254" s="160"/>
      <c r="P254" s="123"/>
      <c r="Q254" s="123"/>
      <c r="R254" s="123"/>
      <c r="T254" s="42"/>
      <c r="V254" s="184"/>
      <c r="Y254" s="123"/>
      <c r="Z254" s="193"/>
      <c r="AA254" s="123"/>
      <c r="AB254" s="123"/>
      <c r="AC254" s="160"/>
      <c r="AD254" s="160"/>
      <c r="AE254" s="123"/>
      <c r="AF254" s="123"/>
      <c r="AH254" s="236"/>
      <c r="AI254" s="123"/>
      <c r="AJ254" s="123"/>
      <c r="AL254" s="123"/>
      <c r="AM254" s="160"/>
      <c r="AN254" s="160"/>
    </row>
    <row r="255" spans="3:40" x14ac:dyDescent="0.3">
      <c r="F255" s="210"/>
      <c r="H255" s="210"/>
      <c r="I255" s="210"/>
      <c r="J255" s="213"/>
      <c r="K255" s="213"/>
      <c r="L255" s="210"/>
      <c r="M255" s="210"/>
      <c r="N255" s="210"/>
      <c r="O255" s="210"/>
      <c r="P255" s="210"/>
      <c r="Q255" s="210"/>
      <c r="R255" s="210"/>
      <c r="V255" s="210"/>
      <c r="Y255" s="210"/>
      <c r="Z255" s="213"/>
      <c r="AA255" s="210"/>
      <c r="AB255" s="210"/>
      <c r="AC255" s="210"/>
      <c r="AD255" s="210"/>
      <c r="AE255" s="210"/>
      <c r="AF255" s="210"/>
      <c r="AI255" s="210"/>
      <c r="AJ255" s="210"/>
      <c r="AK255" s="214"/>
      <c r="AL255" s="210"/>
      <c r="AM255" s="160"/>
      <c r="AN255" s="160"/>
    </row>
    <row r="256" spans="3:40" x14ac:dyDescent="0.3">
      <c r="C256" s="42"/>
      <c r="F256" s="123"/>
      <c r="H256" s="123"/>
      <c r="I256" s="123"/>
      <c r="J256" s="219"/>
      <c r="K256" s="219"/>
      <c r="L256" s="123"/>
      <c r="M256" s="123"/>
      <c r="N256" s="160"/>
      <c r="O256" s="160"/>
      <c r="P256" s="123"/>
      <c r="Q256" s="123"/>
      <c r="R256" s="123"/>
      <c r="T256" s="42"/>
      <c r="V256" s="123"/>
      <c r="Y256" s="123"/>
      <c r="Z256" s="219"/>
      <c r="AA256" s="123"/>
      <c r="AB256" s="123"/>
      <c r="AC256" s="160"/>
      <c r="AD256" s="160"/>
      <c r="AE256" s="123"/>
      <c r="AF256" s="123"/>
      <c r="AH256" s="236"/>
      <c r="AI256" s="123"/>
      <c r="AJ256" s="123"/>
      <c r="AL256" s="123"/>
      <c r="AM256" s="160"/>
      <c r="AN256" s="160"/>
    </row>
    <row r="257" spans="1:40" x14ac:dyDescent="0.3">
      <c r="F257" s="210"/>
      <c r="H257" s="210"/>
      <c r="I257" s="210"/>
      <c r="J257" s="213"/>
      <c r="K257" s="213"/>
      <c r="L257" s="210"/>
      <c r="M257" s="210"/>
      <c r="N257" s="210"/>
      <c r="O257" s="210"/>
      <c r="P257" s="210"/>
      <c r="Q257" s="210"/>
      <c r="R257" s="210"/>
      <c r="V257" s="210"/>
      <c r="Y257" s="210"/>
      <c r="Z257" s="213"/>
      <c r="AA257" s="210"/>
      <c r="AB257" s="210"/>
      <c r="AC257" s="210"/>
      <c r="AD257" s="210"/>
      <c r="AE257" s="210"/>
      <c r="AF257" s="210"/>
      <c r="AI257" s="210"/>
      <c r="AJ257" s="210"/>
      <c r="AK257" s="214"/>
      <c r="AL257" s="210"/>
      <c r="AM257" s="160"/>
      <c r="AN257" s="160"/>
    </row>
    <row r="258" spans="1:40" x14ac:dyDescent="0.3">
      <c r="C258" s="42"/>
      <c r="F258" s="123"/>
      <c r="H258" s="123"/>
      <c r="I258" s="123"/>
      <c r="J258" s="219"/>
      <c r="K258" s="219"/>
      <c r="L258" s="123"/>
      <c r="M258" s="123"/>
      <c r="N258" s="160"/>
      <c r="O258" s="160"/>
      <c r="P258" s="123"/>
      <c r="Q258" s="123"/>
      <c r="R258" s="123"/>
      <c r="T258" s="42"/>
      <c r="V258" s="123"/>
      <c r="Y258" s="123"/>
      <c r="Z258" s="219"/>
      <c r="AA258" s="123"/>
      <c r="AB258" s="123"/>
      <c r="AC258" s="160"/>
      <c r="AD258" s="160"/>
      <c r="AE258" s="123"/>
      <c r="AF258" s="123"/>
      <c r="AH258" s="236"/>
      <c r="AI258" s="123"/>
      <c r="AJ258" s="123"/>
      <c r="AL258" s="123"/>
      <c r="AM258" s="160"/>
      <c r="AN258" s="160"/>
    </row>
    <row r="259" spans="1:40" x14ac:dyDescent="0.3">
      <c r="C259" s="42"/>
      <c r="F259" s="123"/>
      <c r="H259" s="184"/>
      <c r="I259" s="184"/>
      <c r="J259" s="227"/>
      <c r="K259" s="227"/>
      <c r="L259" s="123"/>
      <c r="M259" s="123"/>
      <c r="N259" s="160"/>
      <c r="O259" s="160"/>
      <c r="P259" s="123"/>
      <c r="Q259" s="123"/>
      <c r="R259" s="123"/>
      <c r="T259" s="42"/>
      <c r="V259" s="123"/>
      <c r="Y259" s="123"/>
      <c r="Z259" s="212"/>
      <c r="AA259" s="123"/>
      <c r="AB259" s="123"/>
      <c r="AC259" s="160"/>
      <c r="AD259" s="160"/>
      <c r="AE259" s="123"/>
      <c r="AF259" s="123"/>
      <c r="AH259" s="236"/>
      <c r="AI259" s="123"/>
      <c r="AJ259" s="123"/>
      <c r="AL259" s="123"/>
      <c r="AM259" s="160"/>
      <c r="AN259" s="160"/>
    </row>
    <row r="260" spans="1:40" x14ac:dyDescent="0.3">
      <c r="F260" s="210"/>
      <c r="H260" s="210"/>
      <c r="I260" s="210"/>
      <c r="J260" s="213"/>
      <c r="K260" s="213"/>
      <c r="L260" s="210"/>
      <c r="M260" s="210"/>
      <c r="N260" s="210"/>
      <c r="O260" s="210"/>
      <c r="P260" s="210"/>
      <c r="Q260" s="210"/>
      <c r="R260" s="210"/>
      <c r="V260" s="210"/>
      <c r="Y260" s="210"/>
      <c r="Z260" s="213"/>
      <c r="AA260" s="210"/>
      <c r="AB260" s="210"/>
      <c r="AC260" s="210"/>
      <c r="AD260" s="210"/>
      <c r="AE260" s="210"/>
      <c r="AF260" s="210"/>
      <c r="AI260" s="210"/>
      <c r="AJ260" s="210"/>
      <c r="AK260" s="214"/>
      <c r="AL260" s="210"/>
      <c r="AM260" s="160"/>
      <c r="AN260" s="160"/>
    </row>
    <row r="262" spans="1:40" x14ac:dyDescent="0.3">
      <c r="C262" s="42"/>
      <c r="F262" s="123"/>
      <c r="H262" s="123"/>
      <c r="I262" s="123"/>
      <c r="J262" s="213"/>
      <c r="K262" s="213"/>
      <c r="L262" s="123"/>
      <c r="M262" s="123"/>
      <c r="N262" s="160"/>
      <c r="O262" s="160"/>
      <c r="P262" s="123"/>
      <c r="Q262" s="123"/>
      <c r="R262" s="123"/>
      <c r="S262" s="123"/>
      <c r="T262" s="42"/>
      <c r="V262" s="123"/>
      <c r="Y262" s="123"/>
      <c r="Z262" s="213"/>
      <c r="AA262" s="123"/>
      <c r="AB262" s="123"/>
      <c r="AC262" s="160"/>
      <c r="AD262" s="160"/>
      <c r="AE262" s="123"/>
      <c r="AF262" s="123"/>
      <c r="AH262" s="160"/>
      <c r="AI262" s="123"/>
      <c r="AJ262" s="123"/>
      <c r="AL262" s="123"/>
      <c r="AM262" s="160"/>
      <c r="AN262" s="160"/>
    </row>
    <row r="263" spans="1:40" x14ac:dyDescent="0.3">
      <c r="F263" s="210"/>
      <c r="H263" s="210"/>
      <c r="I263" s="210"/>
      <c r="J263" s="213"/>
      <c r="K263" s="213"/>
      <c r="L263" s="210"/>
      <c r="M263" s="210"/>
      <c r="N263" s="210"/>
      <c r="O263" s="210"/>
      <c r="P263" s="210"/>
      <c r="Q263" s="210"/>
      <c r="R263" s="210"/>
      <c r="S263" s="123"/>
      <c r="V263" s="210"/>
      <c r="Y263" s="210"/>
      <c r="Z263" s="213"/>
      <c r="AA263" s="210"/>
      <c r="AB263" s="210"/>
      <c r="AC263" s="210"/>
      <c r="AD263" s="210"/>
      <c r="AE263" s="210"/>
      <c r="AF263" s="210"/>
      <c r="AI263" s="210"/>
      <c r="AJ263" s="210"/>
      <c r="AK263" s="214"/>
      <c r="AL263" s="210"/>
      <c r="AM263" s="160"/>
      <c r="AN263" s="160"/>
    </row>
    <row r="264" spans="1:40" x14ac:dyDescent="0.3">
      <c r="C264" s="42"/>
      <c r="T264" s="42"/>
    </row>
    <row r="265" spans="1:40" x14ac:dyDescent="0.3">
      <c r="C265" s="42"/>
      <c r="F265" s="123"/>
      <c r="H265" s="123"/>
      <c r="I265" s="123"/>
      <c r="L265" s="123"/>
      <c r="M265" s="123"/>
      <c r="N265" s="160"/>
      <c r="O265" s="160"/>
      <c r="P265" s="184"/>
      <c r="Q265" s="184"/>
      <c r="R265" s="123"/>
      <c r="T265" s="42"/>
      <c r="V265" s="123"/>
      <c r="Y265" s="123"/>
      <c r="AA265" s="123"/>
      <c r="AB265" s="123"/>
      <c r="AC265" s="160"/>
      <c r="AD265" s="160"/>
      <c r="AE265" s="123"/>
      <c r="AF265" s="123"/>
      <c r="AH265" s="160"/>
      <c r="AI265" s="184"/>
      <c r="AJ265" s="184"/>
      <c r="AL265" s="123"/>
      <c r="AM265" s="160"/>
      <c r="AN265" s="160"/>
    </row>
    <row r="266" spans="1:40" x14ac:dyDescent="0.3">
      <c r="F266" s="210"/>
      <c r="H266" s="210"/>
      <c r="I266" s="210"/>
      <c r="J266" s="213"/>
      <c r="K266" s="213"/>
      <c r="L266" s="210"/>
      <c r="M266" s="210"/>
      <c r="N266" s="210"/>
      <c r="O266" s="210"/>
      <c r="P266" s="210"/>
      <c r="Q266" s="210"/>
      <c r="R266" s="210"/>
      <c r="V266" s="210"/>
      <c r="Y266" s="210"/>
      <c r="Z266" s="213"/>
      <c r="AA266" s="210"/>
      <c r="AB266" s="210"/>
      <c r="AC266" s="210"/>
      <c r="AD266" s="210"/>
      <c r="AE266" s="210"/>
      <c r="AF266" s="210"/>
      <c r="AI266" s="210"/>
      <c r="AJ266" s="210"/>
      <c r="AK266" s="214"/>
      <c r="AL266" s="210"/>
    </row>
    <row r="268" spans="1:40" x14ac:dyDescent="0.3">
      <c r="C268" s="42"/>
      <c r="L268" s="123"/>
      <c r="M268" s="123"/>
      <c r="N268" s="123"/>
      <c r="O268" s="123"/>
      <c r="P268" s="123"/>
      <c r="Q268" s="123"/>
      <c r="R268" s="123"/>
      <c r="S268" s="123"/>
      <c r="T268" s="42"/>
      <c r="AA268" s="123"/>
      <c r="AB268" s="123"/>
      <c r="AC268" s="123"/>
      <c r="AD268" s="123"/>
      <c r="AI268" s="123"/>
      <c r="AJ268" s="123"/>
      <c r="AL268" s="123"/>
    </row>
    <row r="269" spans="1:40" x14ac:dyDescent="0.3">
      <c r="A269" s="42"/>
    </row>
    <row r="271" spans="1:40" x14ac:dyDescent="0.3">
      <c r="H271" s="42"/>
      <c r="I271" s="42"/>
      <c r="Y271" s="42"/>
    </row>
    <row r="273" spans="1:40" x14ac:dyDescent="0.3">
      <c r="L273" s="42"/>
      <c r="M273" s="42"/>
      <c r="AA273" s="42"/>
      <c r="AB273" s="42"/>
    </row>
    <row r="274" spans="1:40" x14ac:dyDescent="0.3">
      <c r="R274" s="42"/>
      <c r="AK274" s="206"/>
      <c r="AL274" s="42"/>
    </row>
    <row r="275" spans="1:40" x14ac:dyDescent="0.3">
      <c r="R275" s="42"/>
      <c r="AK275" s="206"/>
      <c r="AL275" s="42"/>
    </row>
    <row r="276" spans="1:40" x14ac:dyDescent="0.3">
      <c r="A276" s="42"/>
      <c r="R276" s="42"/>
      <c r="AK276" s="206"/>
      <c r="AL276" s="42"/>
    </row>
    <row r="277" spans="1:40" x14ac:dyDescent="0.3">
      <c r="L277" s="42"/>
      <c r="M277" s="42"/>
      <c r="AA277" s="42"/>
      <c r="AB277" s="42"/>
    </row>
    <row r="278" spans="1:40" x14ac:dyDescent="0.3">
      <c r="A278" s="135"/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207"/>
      <c r="AH278" s="135"/>
      <c r="AI278" s="135"/>
      <c r="AJ278" s="135"/>
      <c r="AK278" s="207"/>
      <c r="AL278" s="135"/>
      <c r="AM278" s="135"/>
      <c r="AN278" s="135"/>
    </row>
    <row r="279" spans="1:40" x14ac:dyDescent="0.3">
      <c r="L279" s="44"/>
      <c r="M279" s="44"/>
      <c r="N279" s="44"/>
      <c r="O279" s="44"/>
      <c r="R279" s="44"/>
      <c r="AA279" s="44"/>
      <c r="AB279" s="44"/>
      <c r="AC279" s="44"/>
      <c r="AD279" s="44"/>
      <c r="AE279" s="44"/>
      <c r="AF279" s="44"/>
      <c r="AG279" s="168"/>
      <c r="AH279" s="44"/>
      <c r="AK279" s="168"/>
      <c r="AL279" s="44"/>
      <c r="AM279" s="44"/>
      <c r="AN279" s="44"/>
    </row>
    <row r="280" spans="1:40" x14ac:dyDescent="0.3">
      <c r="L280" s="44"/>
      <c r="M280" s="44"/>
      <c r="N280" s="44"/>
      <c r="O280" s="44"/>
      <c r="R280" s="44"/>
      <c r="Z280" s="44"/>
      <c r="AA280" s="44"/>
      <c r="AB280" s="44"/>
      <c r="AC280" s="44"/>
      <c r="AD280" s="44"/>
      <c r="AE280" s="44"/>
      <c r="AF280" s="44"/>
      <c r="AG280" s="168"/>
      <c r="AH280" s="44"/>
      <c r="AK280" s="168"/>
      <c r="AL280" s="44"/>
      <c r="AM280" s="44"/>
      <c r="AN280" s="44"/>
    </row>
    <row r="281" spans="1:40" x14ac:dyDescent="0.3">
      <c r="A281" s="44"/>
      <c r="C281" s="44"/>
      <c r="D281" s="44"/>
      <c r="E281" s="44"/>
      <c r="F281" s="44"/>
      <c r="J281" s="44"/>
      <c r="K281" s="44"/>
      <c r="L281" s="44"/>
      <c r="M281" s="44"/>
      <c r="N281" s="44"/>
      <c r="O281" s="44"/>
      <c r="P281" s="44"/>
      <c r="Q281" s="44"/>
      <c r="R281" s="44"/>
      <c r="T281" s="44"/>
      <c r="U281" s="44"/>
      <c r="V281" s="44"/>
      <c r="Z281" s="44"/>
      <c r="AA281" s="44"/>
      <c r="AB281" s="44"/>
      <c r="AC281" s="44"/>
      <c r="AD281" s="44"/>
      <c r="AE281" s="44"/>
      <c r="AF281" s="44"/>
      <c r="AG281" s="168"/>
      <c r="AH281" s="44"/>
      <c r="AI281" s="44"/>
      <c r="AJ281" s="44"/>
      <c r="AK281" s="168"/>
      <c r="AL281" s="44"/>
      <c r="AM281" s="44"/>
      <c r="AN281" s="44"/>
    </row>
    <row r="282" spans="1:40" x14ac:dyDescent="0.3">
      <c r="A282" s="44"/>
      <c r="C282" s="44"/>
      <c r="D282" s="44"/>
      <c r="E282" s="44"/>
      <c r="F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T282" s="44"/>
      <c r="U282" s="44"/>
      <c r="V282" s="44"/>
      <c r="Y282" s="44"/>
      <c r="Z282" s="44"/>
      <c r="AA282" s="44"/>
      <c r="AB282" s="44"/>
      <c r="AC282" s="44"/>
      <c r="AD282" s="44"/>
      <c r="AE282" s="44"/>
      <c r="AF282" s="44"/>
      <c r="AG282" s="168"/>
      <c r="AH282" s="44"/>
      <c r="AI282" s="44"/>
      <c r="AJ282" s="44"/>
      <c r="AK282" s="168"/>
      <c r="AL282" s="44"/>
      <c r="AM282" s="44"/>
      <c r="AN282" s="44"/>
    </row>
    <row r="283" spans="1:40" x14ac:dyDescent="0.3">
      <c r="C283" s="44"/>
      <c r="D283" s="44"/>
      <c r="E283" s="44"/>
      <c r="F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T283" s="44"/>
      <c r="U283" s="44"/>
      <c r="V283" s="44"/>
      <c r="Y283" s="44"/>
      <c r="Z283" s="44"/>
      <c r="AA283" s="44"/>
      <c r="AB283" s="44"/>
      <c r="AC283" s="44"/>
      <c r="AD283" s="44"/>
      <c r="AE283" s="44"/>
      <c r="AF283" s="44"/>
      <c r="AG283" s="168"/>
      <c r="AH283" s="44"/>
      <c r="AI283" s="44"/>
      <c r="AJ283" s="44"/>
      <c r="AK283" s="168"/>
      <c r="AL283" s="44"/>
      <c r="AM283" s="44"/>
      <c r="AN283" s="44"/>
    </row>
    <row r="284" spans="1:40" x14ac:dyDescent="0.3">
      <c r="A284" s="135"/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207"/>
      <c r="AH284" s="135"/>
      <c r="AI284" s="135"/>
      <c r="AJ284" s="135"/>
      <c r="AK284" s="207"/>
      <c r="AL284" s="135"/>
      <c r="AM284" s="135"/>
      <c r="AN284" s="135"/>
    </row>
    <row r="285" spans="1:40" x14ac:dyDescent="0.3"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Y285" s="44"/>
      <c r="Z285" s="44"/>
      <c r="AA285" s="44"/>
      <c r="AB285" s="44"/>
      <c r="AC285" s="44"/>
      <c r="AD285" s="44"/>
      <c r="AE285" s="44"/>
      <c r="AF285" s="44"/>
      <c r="AG285" s="168"/>
      <c r="AH285" s="44"/>
      <c r="AI285" s="44"/>
      <c r="AJ285" s="44"/>
      <c r="AK285" s="168"/>
      <c r="AL285" s="44"/>
      <c r="AM285" s="44"/>
      <c r="AN285" s="44"/>
    </row>
    <row r="286" spans="1:40" x14ac:dyDescent="0.3">
      <c r="C286" s="42"/>
      <c r="D286" s="42"/>
      <c r="E286" s="42"/>
      <c r="T286" s="42"/>
      <c r="U286" s="42"/>
    </row>
    <row r="287" spans="1:40" x14ac:dyDescent="0.3">
      <c r="D287" s="42"/>
      <c r="E287" s="42"/>
      <c r="U287" s="42"/>
    </row>
    <row r="289" spans="3:40" x14ac:dyDescent="0.3">
      <c r="C289" s="42"/>
      <c r="T289" s="42"/>
    </row>
    <row r="290" spans="3:40" x14ac:dyDescent="0.3">
      <c r="C290" s="42"/>
      <c r="F290" s="184"/>
      <c r="H290" s="184"/>
      <c r="I290" s="184"/>
      <c r="J290" s="238"/>
      <c r="K290" s="238"/>
      <c r="L290" s="123"/>
      <c r="M290" s="123"/>
      <c r="N290" s="160"/>
      <c r="O290" s="160"/>
      <c r="P290" s="123"/>
      <c r="Q290" s="123"/>
      <c r="R290" s="123"/>
      <c r="T290" s="42"/>
      <c r="V290" s="184"/>
      <c r="W290" s="123"/>
      <c r="X290" s="123"/>
      <c r="Y290" s="184"/>
      <c r="Z290" s="238"/>
      <c r="AA290" s="123"/>
      <c r="AB290" s="123"/>
      <c r="AC290" s="160"/>
      <c r="AD290" s="160"/>
      <c r="AE290" s="123"/>
      <c r="AF290" s="123"/>
      <c r="AH290" s="236"/>
      <c r="AI290" s="123"/>
      <c r="AJ290" s="123"/>
      <c r="AL290" s="123"/>
      <c r="AM290" s="160"/>
      <c r="AN290" s="160"/>
    </row>
    <row r="291" spans="3:40" x14ac:dyDescent="0.3">
      <c r="C291" s="42"/>
      <c r="F291" s="123"/>
      <c r="H291" s="123"/>
      <c r="I291" s="123"/>
      <c r="J291" s="213"/>
      <c r="K291" s="213"/>
      <c r="L291" s="123"/>
      <c r="M291" s="123"/>
      <c r="N291" s="160"/>
      <c r="O291" s="160"/>
      <c r="P291" s="123"/>
      <c r="Q291" s="123"/>
      <c r="R291" s="123"/>
      <c r="T291" s="42"/>
      <c r="V291" s="184"/>
      <c r="W291" s="123"/>
      <c r="X291" s="123"/>
      <c r="Y291" s="184"/>
      <c r="Z291" s="213"/>
      <c r="AA291" s="123"/>
      <c r="AB291" s="123"/>
      <c r="AC291" s="160"/>
      <c r="AD291" s="160"/>
      <c r="AE291" s="123"/>
      <c r="AF291" s="123"/>
      <c r="AH291" s="236"/>
      <c r="AI291" s="123"/>
      <c r="AJ291" s="123"/>
      <c r="AL291" s="123"/>
      <c r="AM291" s="160"/>
      <c r="AN291" s="160"/>
    </row>
    <row r="292" spans="3:40" x14ac:dyDescent="0.3">
      <c r="C292" s="42"/>
      <c r="F292" s="184"/>
      <c r="H292" s="184"/>
      <c r="I292" s="184"/>
      <c r="J292" s="238"/>
      <c r="K292" s="238"/>
      <c r="L292" s="123"/>
      <c r="M292" s="123"/>
      <c r="N292" s="160"/>
      <c r="O292" s="160"/>
      <c r="P292" s="123"/>
      <c r="Q292" s="123"/>
      <c r="R292" s="123"/>
      <c r="T292" s="42"/>
      <c r="V292" s="184"/>
      <c r="W292" s="123"/>
      <c r="X292" s="123"/>
      <c r="Y292" s="184"/>
      <c r="Z292" s="238"/>
      <c r="AA292" s="123"/>
      <c r="AB292" s="123"/>
      <c r="AC292" s="160"/>
      <c r="AD292" s="160"/>
      <c r="AE292" s="123"/>
      <c r="AF292" s="123"/>
      <c r="AH292" s="236"/>
      <c r="AI292" s="123"/>
      <c r="AJ292" s="123"/>
      <c r="AL292" s="123"/>
      <c r="AM292" s="160"/>
      <c r="AN292" s="160"/>
    </row>
    <row r="293" spans="3:40" x14ac:dyDescent="0.3">
      <c r="C293" s="42"/>
      <c r="F293" s="184"/>
      <c r="H293" s="184"/>
      <c r="I293" s="184"/>
      <c r="J293" s="238"/>
      <c r="K293" s="238"/>
      <c r="L293" s="123"/>
      <c r="M293" s="123"/>
      <c r="N293" s="160"/>
      <c r="O293" s="160"/>
      <c r="P293" s="123"/>
      <c r="Q293" s="123"/>
      <c r="R293" s="123"/>
      <c r="T293" s="42"/>
      <c r="V293" s="184"/>
      <c r="W293" s="123"/>
      <c r="X293" s="123"/>
      <c r="Y293" s="184"/>
      <c r="Z293" s="238"/>
      <c r="AA293" s="123"/>
      <c r="AB293" s="123"/>
      <c r="AC293" s="160"/>
      <c r="AD293" s="160"/>
      <c r="AE293" s="123"/>
      <c r="AF293" s="123"/>
      <c r="AH293" s="236"/>
      <c r="AI293" s="123"/>
      <c r="AJ293" s="123"/>
      <c r="AL293" s="123"/>
      <c r="AM293" s="160"/>
      <c r="AN293" s="160"/>
    </row>
    <row r="294" spans="3:40" x14ac:dyDescent="0.3">
      <c r="C294" s="42"/>
      <c r="F294" s="184"/>
      <c r="H294" s="184"/>
      <c r="I294" s="184"/>
      <c r="J294" s="238"/>
      <c r="K294" s="238"/>
      <c r="L294" s="123"/>
      <c r="M294" s="123"/>
      <c r="N294" s="160"/>
      <c r="O294" s="160"/>
      <c r="P294" s="123"/>
      <c r="Q294" s="123"/>
      <c r="R294" s="123"/>
      <c r="T294" s="42"/>
      <c r="V294" s="184"/>
      <c r="W294" s="123"/>
      <c r="X294" s="123"/>
      <c r="Y294" s="184"/>
      <c r="Z294" s="238"/>
      <c r="AA294" s="123"/>
      <c r="AB294" s="123"/>
      <c r="AC294" s="160"/>
      <c r="AD294" s="160"/>
      <c r="AE294" s="123"/>
      <c r="AF294" s="123"/>
      <c r="AH294" s="236"/>
      <c r="AI294" s="123"/>
      <c r="AJ294" s="123"/>
      <c r="AL294" s="123"/>
      <c r="AM294" s="160"/>
      <c r="AN294" s="160"/>
    </row>
    <row r="295" spans="3:40" x14ac:dyDescent="0.3">
      <c r="C295" s="42"/>
      <c r="F295" s="123"/>
      <c r="H295" s="123"/>
      <c r="I295" s="123"/>
      <c r="J295" s="238"/>
      <c r="K295" s="238"/>
      <c r="L295" s="123"/>
      <c r="M295" s="123"/>
      <c r="N295" s="160"/>
      <c r="O295" s="160"/>
      <c r="P295" s="123"/>
      <c r="Q295" s="123"/>
      <c r="R295" s="123"/>
      <c r="T295" s="42"/>
      <c r="V295" s="184"/>
      <c r="W295" s="123"/>
      <c r="X295" s="123"/>
      <c r="Y295" s="184"/>
      <c r="Z295" s="238"/>
      <c r="AA295" s="123"/>
      <c r="AB295" s="123"/>
      <c r="AC295" s="160"/>
      <c r="AD295" s="160"/>
      <c r="AE295" s="123"/>
      <c r="AF295" s="123"/>
      <c r="AH295" s="236"/>
      <c r="AI295" s="123"/>
      <c r="AJ295" s="123"/>
      <c r="AL295" s="123"/>
      <c r="AM295" s="160"/>
      <c r="AN295" s="160"/>
    </row>
    <row r="296" spans="3:40" x14ac:dyDescent="0.3">
      <c r="C296" s="42"/>
      <c r="F296" s="123"/>
      <c r="H296" s="123"/>
      <c r="I296" s="123"/>
      <c r="J296" s="238"/>
      <c r="K296" s="238"/>
      <c r="L296" s="123"/>
      <c r="M296" s="123"/>
      <c r="N296" s="160"/>
      <c r="O296" s="160"/>
      <c r="P296" s="123"/>
      <c r="Q296" s="123"/>
      <c r="R296" s="123"/>
      <c r="T296" s="42"/>
      <c r="V296" s="184"/>
      <c r="W296" s="123"/>
      <c r="X296" s="123"/>
      <c r="Y296" s="184"/>
      <c r="Z296" s="238"/>
      <c r="AA296" s="123"/>
      <c r="AB296" s="123"/>
      <c r="AC296" s="160"/>
      <c r="AD296" s="160"/>
      <c r="AE296" s="123"/>
      <c r="AF296" s="123"/>
      <c r="AH296" s="236"/>
      <c r="AI296" s="123"/>
      <c r="AJ296" s="123"/>
      <c r="AL296" s="123"/>
      <c r="AM296" s="160"/>
      <c r="AN296" s="160"/>
    </row>
    <row r="297" spans="3:40" x14ac:dyDescent="0.3">
      <c r="F297" s="241"/>
      <c r="H297" s="242"/>
      <c r="I297" s="242"/>
      <c r="J297" s="238"/>
      <c r="K297" s="238"/>
      <c r="L297" s="241"/>
      <c r="M297" s="241"/>
      <c r="N297" s="210"/>
      <c r="O297" s="210"/>
      <c r="P297" s="241"/>
      <c r="Q297" s="241"/>
      <c r="R297" s="241"/>
      <c r="V297" s="241"/>
      <c r="W297" s="123"/>
      <c r="X297" s="123"/>
      <c r="Y297" s="241"/>
      <c r="Z297" s="238"/>
      <c r="AA297" s="241"/>
      <c r="AB297" s="241"/>
      <c r="AC297" s="243"/>
      <c r="AD297" s="243"/>
      <c r="AE297" s="241"/>
      <c r="AF297" s="241"/>
      <c r="AH297" s="236"/>
      <c r="AI297" s="241"/>
      <c r="AJ297" s="241"/>
      <c r="AK297" s="207"/>
      <c r="AL297" s="241"/>
      <c r="AM297" s="160"/>
      <c r="AN297" s="160"/>
    </row>
    <row r="298" spans="3:40" x14ac:dyDescent="0.3">
      <c r="C298" s="42"/>
      <c r="F298" s="123"/>
      <c r="H298" s="123"/>
      <c r="I298" s="123"/>
      <c r="J298" s="238"/>
      <c r="K298" s="238"/>
      <c r="L298" s="123"/>
      <c r="M298" s="123"/>
      <c r="N298" s="236"/>
      <c r="O298" s="236"/>
      <c r="P298" s="123"/>
      <c r="Q298" s="123"/>
      <c r="R298" s="123"/>
      <c r="T298" s="44"/>
      <c r="V298" s="123"/>
      <c r="W298" s="123"/>
      <c r="X298" s="123"/>
      <c r="Y298" s="123"/>
      <c r="Z298" s="238"/>
      <c r="AA298" s="123"/>
      <c r="AB298" s="123"/>
      <c r="AC298" s="236"/>
      <c r="AD298" s="236"/>
      <c r="AE298" s="123"/>
      <c r="AF298" s="123"/>
      <c r="AH298" s="236"/>
      <c r="AI298" s="123"/>
      <c r="AJ298" s="123"/>
      <c r="AL298" s="123"/>
      <c r="AM298" s="160"/>
      <c r="AN298" s="160"/>
    </row>
    <row r="299" spans="3:40" x14ac:dyDescent="0.3">
      <c r="F299" s="135"/>
      <c r="H299" s="135"/>
      <c r="I299" s="135"/>
      <c r="L299" s="135"/>
      <c r="M299" s="135"/>
      <c r="N299" s="243"/>
      <c r="O299" s="243"/>
      <c r="P299" s="241"/>
      <c r="Q299" s="241"/>
      <c r="R299" s="241"/>
      <c r="V299" s="241"/>
      <c r="Y299" s="241"/>
      <c r="Z299" s="213"/>
      <c r="AA299" s="241"/>
      <c r="AB299" s="241"/>
      <c r="AC299" s="241"/>
      <c r="AD299" s="241"/>
      <c r="AE299" s="241"/>
      <c r="AF299" s="241"/>
      <c r="AI299" s="241"/>
      <c r="AJ299" s="241"/>
      <c r="AK299" s="207"/>
      <c r="AL299" s="241"/>
      <c r="AM299" s="243"/>
      <c r="AN299" s="243"/>
    </row>
    <row r="304" spans="3:40" x14ac:dyDescent="0.3">
      <c r="N304" s="123"/>
      <c r="O304" s="123"/>
      <c r="P304" s="123"/>
      <c r="Q304" s="123"/>
      <c r="R304" s="123"/>
      <c r="V304" s="123"/>
      <c r="Y304" s="123"/>
      <c r="Z304" s="219"/>
      <c r="AA304" s="123"/>
      <c r="AB304" s="123"/>
      <c r="AC304" s="160"/>
      <c r="AD304" s="160"/>
      <c r="AE304" s="123"/>
      <c r="AF304" s="123"/>
      <c r="AH304" s="236"/>
      <c r="AI304" s="123"/>
      <c r="AJ304" s="123"/>
      <c r="AL304" s="123"/>
      <c r="AM304" s="160"/>
      <c r="AN304" s="160"/>
    </row>
    <row r="305" spans="1:40" x14ac:dyDescent="0.3">
      <c r="C305" s="42"/>
      <c r="D305" s="42"/>
      <c r="E305" s="42"/>
      <c r="J305" s="188"/>
      <c r="K305" s="188"/>
      <c r="T305" s="42"/>
      <c r="U305" s="42"/>
      <c r="Z305" s="188"/>
      <c r="AE305" s="123"/>
      <c r="AF305" s="123"/>
      <c r="AI305" s="123"/>
      <c r="AJ305" s="123"/>
      <c r="AL305" s="123"/>
      <c r="AM305" s="160"/>
      <c r="AN305" s="160"/>
    </row>
    <row r="306" spans="1:40" x14ac:dyDescent="0.3">
      <c r="D306" s="42"/>
      <c r="E306" s="42"/>
      <c r="F306" s="123"/>
      <c r="H306" s="123"/>
      <c r="I306" s="123"/>
      <c r="J306" s="238"/>
      <c r="K306" s="238"/>
      <c r="L306" s="123"/>
      <c r="M306" s="123"/>
      <c r="N306" s="160"/>
      <c r="O306" s="160"/>
      <c r="P306" s="123"/>
      <c r="Q306" s="123"/>
      <c r="R306" s="123"/>
      <c r="U306" s="42"/>
      <c r="V306" s="123"/>
      <c r="Y306" s="123"/>
      <c r="Z306" s="238"/>
      <c r="AA306" s="123"/>
      <c r="AB306" s="123"/>
      <c r="AC306" s="160"/>
      <c r="AD306" s="160"/>
      <c r="AE306" s="123"/>
      <c r="AF306" s="123"/>
      <c r="AH306" s="236"/>
      <c r="AI306" s="123"/>
      <c r="AJ306" s="123"/>
      <c r="AL306" s="123"/>
      <c r="AM306" s="160"/>
      <c r="AN306" s="160"/>
    </row>
    <row r="307" spans="1:40" x14ac:dyDescent="0.3">
      <c r="F307" s="123"/>
      <c r="H307" s="123"/>
      <c r="I307" s="123"/>
      <c r="J307" s="213"/>
      <c r="K307" s="213"/>
      <c r="L307" s="123"/>
      <c r="M307" s="123"/>
      <c r="N307" s="123"/>
      <c r="O307" s="123"/>
      <c r="P307" s="123"/>
      <c r="Q307" s="123"/>
      <c r="R307" s="123"/>
      <c r="V307" s="123"/>
      <c r="Y307" s="123"/>
      <c r="Z307" s="213"/>
      <c r="AA307" s="123"/>
      <c r="AB307" s="123"/>
      <c r="AC307" s="123"/>
      <c r="AD307" s="123"/>
      <c r="AE307" s="123"/>
      <c r="AF307" s="123"/>
      <c r="AH307" s="236"/>
      <c r="AI307" s="184"/>
      <c r="AJ307" s="184"/>
      <c r="AL307" s="123"/>
      <c r="AM307" s="160"/>
      <c r="AN307" s="160"/>
    </row>
    <row r="308" spans="1:40" x14ac:dyDescent="0.3">
      <c r="C308" s="42"/>
      <c r="F308" s="184"/>
      <c r="H308" s="184"/>
      <c r="I308" s="184"/>
      <c r="J308" s="212"/>
      <c r="K308" s="212"/>
      <c r="L308" s="123"/>
      <c r="M308" s="123"/>
      <c r="N308" s="160"/>
      <c r="O308" s="160"/>
      <c r="P308" s="123"/>
      <c r="Q308" s="123"/>
      <c r="R308" s="123"/>
      <c r="T308" s="42"/>
      <c r="V308" s="184"/>
      <c r="Y308" s="184"/>
      <c r="Z308" s="212"/>
      <c r="AA308" s="123"/>
      <c r="AB308" s="123"/>
      <c r="AC308" s="160"/>
      <c r="AD308" s="160"/>
      <c r="AE308" s="123"/>
      <c r="AF308" s="123"/>
      <c r="AH308" s="236"/>
      <c r="AI308" s="123"/>
      <c r="AJ308" s="123"/>
      <c r="AL308" s="123"/>
      <c r="AM308" s="160"/>
      <c r="AN308" s="160"/>
    </row>
    <row r="309" spans="1:40" x14ac:dyDescent="0.3">
      <c r="F309" s="135"/>
      <c r="H309" s="135"/>
      <c r="I309" s="135"/>
      <c r="L309" s="135"/>
      <c r="M309" s="135"/>
      <c r="N309" s="135"/>
      <c r="O309" s="135"/>
      <c r="P309" s="135"/>
      <c r="Q309" s="135"/>
      <c r="R309" s="135"/>
      <c r="V309" s="135"/>
      <c r="Y309" s="135"/>
      <c r="AA309" s="135"/>
      <c r="AB309" s="135"/>
      <c r="AC309" s="135"/>
      <c r="AD309" s="135"/>
      <c r="AE309" s="135"/>
      <c r="AF309" s="135"/>
      <c r="AG309" s="207"/>
      <c r="AH309" s="135"/>
      <c r="AI309" s="135"/>
      <c r="AJ309" s="135"/>
      <c r="AK309" s="207"/>
      <c r="AL309" s="135"/>
      <c r="AM309" s="135"/>
      <c r="AN309" s="135"/>
    </row>
    <row r="310" spans="1:40" x14ac:dyDescent="0.3">
      <c r="C310" s="44"/>
      <c r="F310" s="184"/>
      <c r="H310" s="184"/>
      <c r="I310" s="184"/>
      <c r="J310" s="193"/>
      <c r="K310" s="193"/>
      <c r="L310" s="184"/>
      <c r="M310" s="184"/>
      <c r="N310" s="160"/>
      <c r="O310" s="160"/>
      <c r="P310" s="184"/>
      <c r="Q310" s="184"/>
      <c r="R310" s="184"/>
      <c r="T310" s="44"/>
      <c r="V310" s="123"/>
      <c r="Y310" s="123"/>
      <c r="Z310" s="219"/>
      <c r="AA310" s="123"/>
      <c r="AB310" s="123"/>
      <c r="AC310" s="160"/>
      <c r="AD310" s="160"/>
      <c r="AH310" s="236"/>
      <c r="AI310" s="123"/>
      <c r="AJ310" s="123"/>
      <c r="AL310" s="123"/>
      <c r="AM310" s="160"/>
      <c r="AN310" s="160"/>
    </row>
    <row r="311" spans="1:40" x14ac:dyDescent="0.3">
      <c r="F311" s="241"/>
      <c r="H311" s="241"/>
      <c r="I311" s="241"/>
      <c r="J311" s="213"/>
      <c r="K311" s="213"/>
      <c r="L311" s="241"/>
      <c r="M311" s="241"/>
      <c r="N311" s="241"/>
      <c r="O311" s="241"/>
      <c r="P311" s="241"/>
      <c r="Q311" s="241"/>
      <c r="R311" s="241"/>
      <c r="V311" s="135"/>
      <c r="Y311" s="135"/>
      <c r="AA311" s="135"/>
      <c r="AB311" s="135"/>
      <c r="AC311" s="135"/>
      <c r="AD311" s="135"/>
      <c r="AE311" s="135"/>
      <c r="AF311" s="135"/>
      <c r="AG311" s="207"/>
      <c r="AH311" s="135"/>
      <c r="AI311" s="135"/>
      <c r="AJ311" s="135"/>
      <c r="AK311" s="207"/>
      <c r="AL311" s="135"/>
      <c r="AM311" s="135"/>
      <c r="AN311" s="135"/>
    </row>
    <row r="312" spans="1:40" x14ac:dyDescent="0.3">
      <c r="F312" s="184"/>
      <c r="H312" s="184"/>
      <c r="I312" s="184"/>
      <c r="J312" s="237"/>
      <c r="K312" s="237"/>
      <c r="L312" s="123"/>
      <c r="M312" s="123"/>
      <c r="N312" s="160"/>
      <c r="O312" s="160"/>
      <c r="P312" s="123"/>
      <c r="Q312" s="123"/>
      <c r="R312" s="123"/>
    </row>
    <row r="313" spans="1:40" x14ac:dyDescent="0.3">
      <c r="A313" s="42"/>
      <c r="F313" s="184"/>
      <c r="H313" s="184"/>
      <c r="I313" s="184"/>
      <c r="J313" s="193"/>
      <c r="K313" s="193"/>
      <c r="L313" s="123"/>
      <c r="M313" s="123"/>
      <c r="N313" s="160"/>
      <c r="O313" s="160"/>
      <c r="P313" s="123"/>
      <c r="Q313" s="123"/>
      <c r="R313" s="123"/>
    </row>
    <row r="314" spans="1:40" x14ac:dyDescent="0.3">
      <c r="F314" s="184"/>
      <c r="H314" s="184"/>
      <c r="I314" s="184"/>
      <c r="J314" s="193"/>
      <c r="K314" s="193"/>
      <c r="L314" s="123"/>
      <c r="M314" s="123"/>
      <c r="N314" s="160"/>
      <c r="O314" s="160"/>
      <c r="P314" s="123"/>
      <c r="Q314" s="123"/>
      <c r="R314" s="123"/>
    </row>
    <row r="315" spans="1:40" x14ac:dyDescent="0.3">
      <c r="A315" s="42"/>
    </row>
    <row r="318" spans="1:40" x14ac:dyDescent="0.3">
      <c r="H318" s="42"/>
      <c r="I318" s="42"/>
      <c r="Y318" s="42"/>
    </row>
    <row r="320" spans="1:40" x14ac:dyDescent="0.3">
      <c r="L320" s="42"/>
      <c r="M320" s="42"/>
      <c r="AA320" s="42"/>
      <c r="AB320" s="42"/>
    </row>
    <row r="321" spans="1:40" x14ac:dyDescent="0.3">
      <c r="R321" s="42"/>
      <c r="AK321" s="206"/>
      <c r="AL321" s="42"/>
    </row>
    <row r="322" spans="1:40" x14ac:dyDescent="0.3">
      <c r="R322" s="42"/>
      <c r="AK322" s="206"/>
      <c r="AL322" s="42"/>
    </row>
    <row r="323" spans="1:40" x14ac:dyDescent="0.3">
      <c r="A323" s="42"/>
      <c r="R323" s="42"/>
      <c r="AK323" s="206"/>
      <c r="AL323" s="42"/>
    </row>
    <row r="324" spans="1:40" x14ac:dyDescent="0.3">
      <c r="L324" s="42"/>
      <c r="M324" s="42"/>
      <c r="AA324" s="42"/>
      <c r="AB324" s="42"/>
    </row>
    <row r="325" spans="1:40" x14ac:dyDescent="0.3">
      <c r="A325" s="135"/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207"/>
      <c r="AH325" s="135"/>
      <c r="AI325" s="135"/>
      <c r="AJ325" s="135"/>
      <c r="AK325" s="207"/>
      <c r="AL325" s="135"/>
      <c r="AM325" s="135"/>
      <c r="AN325" s="135"/>
    </row>
    <row r="326" spans="1:40" x14ac:dyDescent="0.3">
      <c r="L326" s="44"/>
      <c r="M326" s="44"/>
      <c r="N326" s="44"/>
      <c r="O326" s="44"/>
      <c r="R326" s="44"/>
      <c r="AA326" s="44"/>
      <c r="AB326" s="44"/>
      <c r="AC326" s="44"/>
      <c r="AD326" s="44"/>
      <c r="AE326" s="44"/>
      <c r="AF326" s="44"/>
      <c r="AG326" s="168"/>
      <c r="AH326" s="44"/>
      <c r="AK326" s="168"/>
      <c r="AL326" s="44"/>
      <c r="AM326" s="44"/>
      <c r="AN326" s="44"/>
    </row>
    <row r="327" spans="1:40" x14ac:dyDescent="0.3">
      <c r="L327" s="44"/>
      <c r="M327" s="44"/>
      <c r="N327" s="44"/>
      <c r="O327" s="44"/>
      <c r="R327" s="44"/>
      <c r="Z327" s="44"/>
      <c r="AA327" s="44"/>
      <c r="AB327" s="44"/>
      <c r="AC327" s="44"/>
      <c r="AD327" s="44"/>
      <c r="AE327" s="44"/>
      <c r="AF327" s="44"/>
      <c r="AG327" s="168"/>
      <c r="AH327" s="44"/>
      <c r="AK327" s="168"/>
      <c r="AL327" s="44"/>
      <c r="AM327" s="44"/>
      <c r="AN327" s="44"/>
    </row>
    <row r="328" spans="1:40" x14ac:dyDescent="0.3">
      <c r="A328" s="44"/>
      <c r="C328" s="44"/>
      <c r="D328" s="44"/>
      <c r="E328" s="44"/>
      <c r="F328" s="44"/>
      <c r="J328" s="44"/>
      <c r="K328" s="44"/>
      <c r="L328" s="44"/>
      <c r="M328" s="44"/>
      <c r="N328" s="44"/>
      <c r="O328" s="44"/>
      <c r="P328" s="44"/>
      <c r="Q328" s="44"/>
      <c r="R328" s="44"/>
      <c r="T328" s="44"/>
      <c r="U328" s="44"/>
      <c r="V328" s="44"/>
      <c r="Z328" s="44"/>
      <c r="AA328" s="44"/>
      <c r="AB328" s="44"/>
      <c r="AC328" s="44"/>
      <c r="AD328" s="44"/>
      <c r="AE328" s="44"/>
      <c r="AF328" s="44"/>
      <c r="AG328" s="168"/>
      <c r="AH328" s="44"/>
      <c r="AI328" s="44"/>
      <c r="AJ328" s="44"/>
      <c r="AK328" s="168"/>
      <c r="AL328" s="44"/>
      <c r="AM328" s="44"/>
      <c r="AN328" s="44"/>
    </row>
    <row r="329" spans="1:40" x14ac:dyDescent="0.3">
      <c r="A329" s="44"/>
      <c r="C329" s="44"/>
      <c r="D329" s="44"/>
      <c r="E329" s="44"/>
      <c r="F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T329" s="44"/>
      <c r="U329" s="44"/>
      <c r="V329" s="44"/>
      <c r="Y329" s="44"/>
      <c r="Z329" s="44"/>
      <c r="AA329" s="44"/>
      <c r="AB329" s="44"/>
      <c r="AC329" s="44"/>
      <c r="AD329" s="44"/>
      <c r="AE329" s="44"/>
      <c r="AF329" s="44"/>
      <c r="AG329" s="168"/>
      <c r="AH329" s="44"/>
      <c r="AI329" s="44"/>
      <c r="AJ329" s="44"/>
      <c r="AK329" s="168"/>
      <c r="AL329" s="44"/>
      <c r="AM329" s="44"/>
      <c r="AN329" s="44"/>
    </row>
    <row r="330" spans="1:40" x14ac:dyDescent="0.3">
      <c r="C330" s="44"/>
      <c r="D330" s="44"/>
      <c r="E330" s="44"/>
      <c r="F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T330" s="44"/>
      <c r="U330" s="44"/>
      <c r="V330" s="44"/>
      <c r="Y330" s="44"/>
      <c r="Z330" s="44"/>
      <c r="AA330" s="44"/>
      <c r="AB330" s="44"/>
      <c r="AC330" s="44"/>
      <c r="AD330" s="44"/>
      <c r="AE330" s="44"/>
      <c r="AF330" s="44"/>
      <c r="AG330" s="168"/>
      <c r="AH330" s="44"/>
      <c r="AI330" s="44"/>
      <c r="AJ330" s="44"/>
      <c r="AK330" s="168"/>
      <c r="AL330" s="44"/>
      <c r="AM330" s="44"/>
      <c r="AN330" s="44"/>
    </row>
    <row r="331" spans="1:40" x14ac:dyDescent="0.3">
      <c r="A331" s="135"/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207"/>
      <c r="AH331" s="135"/>
      <c r="AI331" s="135"/>
      <c r="AJ331" s="135"/>
      <c r="AK331" s="207"/>
      <c r="AL331" s="135"/>
      <c r="AM331" s="135"/>
      <c r="AN331" s="135"/>
    </row>
    <row r="332" spans="1:40" x14ac:dyDescent="0.3"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Y332" s="44"/>
      <c r="Z332" s="44"/>
      <c r="AA332" s="44"/>
      <c r="AB332" s="44"/>
      <c r="AC332" s="44"/>
      <c r="AD332" s="44"/>
      <c r="AE332" s="44"/>
      <c r="AF332" s="44"/>
      <c r="AG332" s="168"/>
      <c r="AH332" s="44"/>
      <c r="AI332" s="44"/>
      <c r="AJ332" s="44"/>
      <c r="AK332" s="168"/>
      <c r="AL332" s="44"/>
      <c r="AM332" s="44"/>
      <c r="AN332" s="44"/>
    </row>
    <row r="333" spans="1:40" x14ac:dyDescent="0.3">
      <c r="C333" s="42"/>
      <c r="D333" s="42"/>
      <c r="E333" s="42"/>
      <c r="T333" s="42"/>
      <c r="U333" s="42"/>
    </row>
    <row r="335" spans="1:40" x14ac:dyDescent="0.3">
      <c r="C335" s="42"/>
      <c r="T335" s="42"/>
    </row>
    <row r="336" spans="1:40" x14ac:dyDescent="0.3">
      <c r="C336" s="42"/>
      <c r="F336" s="184"/>
      <c r="H336" s="184"/>
      <c r="I336" s="184"/>
      <c r="J336" s="213"/>
      <c r="K336" s="213"/>
      <c r="L336" s="123"/>
      <c r="M336" s="123"/>
      <c r="N336" s="160"/>
      <c r="O336" s="160"/>
      <c r="P336" s="123"/>
      <c r="Q336" s="123"/>
      <c r="R336" s="123"/>
      <c r="T336" s="42"/>
      <c r="V336" s="184"/>
      <c r="Y336" s="184"/>
      <c r="Z336" s="213"/>
      <c r="AA336" s="123"/>
      <c r="AB336" s="123"/>
      <c r="AC336" s="160"/>
      <c r="AD336" s="160"/>
      <c r="AE336" s="123"/>
      <c r="AF336" s="123"/>
      <c r="AH336" s="236"/>
      <c r="AI336" s="123"/>
      <c r="AJ336" s="123"/>
      <c r="AL336" s="123"/>
      <c r="AM336" s="160"/>
      <c r="AN336" s="160"/>
    </row>
    <row r="337" spans="3:40" x14ac:dyDescent="0.3">
      <c r="C337" s="42"/>
      <c r="T337" s="42"/>
    </row>
    <row r="338" spans="3:40" x14ac:dyDescent="0.3">
      <c r="C338" s="42"/>
      <c r="F338" s="184"/>
      <c r="H338" s="184"/>
      <c r="I338" s="184"/>
      <c r="J338" s="238"/>
      <c r="K338" s="238"/>
      <c r="L338" s="123"/>
      <c r="M338" s="123"/>
      <c r="N338" s="160"/>
      <c r="O338" s="160"/>
      <c r="P338" s="123"/>
      <c r="Q338" s="123"/>
      <c r="R338" s="123"/>
      <c r="T338" s="42"/>
      <c r="V338" s="123"/>
      <c r="Y338" s="123"/>
      <c r="Z338" s="238"/>
      <c r="AA338" s="123"/>
      <c r="AB338" s="123"/>
      <c r="AC338" s="160"/>
      <c r="AD338" s="160"/>
      <c r="AE338" s="123"/>
      <c r="AF338" s="123"/>
      <c r="AH338" s="236"/>
      <c r="AI338" s="123"/>
      <c r="AJ338" s="123"/>
      <c r="AL338" s="123"/>
      <c r="AM338" s="160"/>
      <c r="AN338" s="160"/>
    </row>
    <row r="339" spans="3:40" x14ac:dyDescent="0.3">
      <c r="C339" s="42"/>
      <c r="F339" s="184"/>
      <c r="H339" s="184"/>
      <c r="I339" s="184"/>
      <c r="J339" s="238"/>
      <c r="K339" s="238"/>
      <c r="L339" s="123"/>
      <c r="M339" s="123"/>
      <c r="N339" s="160"/>
      <c r="O339" s="160"/>
      <c r="P339" s="123"/>
      <c r="Q339" s="123"/>
      <c r="R339" s="123"/>
      <c r="T339" s="42"/>
      <c r="V339" s="123"/>
      <c r="Y339" s="123"/>
      <c r="Z339" s="238"/>
      <c r="AA339" s="123"/>
      <c r="AB339" s="123"/>
      <c r="AC339" s="160"/>
      <c r="AD339" s="160"/>
      <c r="AE339" s="123"/>
      <c r="AF339" s="123"/>
      <c r="AH339" s="236"/>
      <c r="AI339" s="123"/>
      <c r="AJ339" s="123"/>
      <c r="AL339" s="123"/>
      <c r="AM339" s="160"/>
      <c r="AN339" s="160"/>
    </row>
    <row r="340" spans="3:40" x14ac:dyDescent="0.3">
      <c r="C340" s="42"/>
      <c r="F340" s="184"/>
      <c r="H340" s="184"/>
      <c r="I340" s="184"/>
      <c r="J340" s="238"/>
      <c r="K340" s="238"/>
      <c r="L340" s="123"/>
      <c r="M340" s="123"/>
      <c r="N340" s="160"/>
      <c r="O340" s="160"/>
      <c r="P340" s="123"/>
      <c r="Q340" s="123"/>
      <c r="R340" s="123"/>
      <c r="T340" s="42"/>
      <c r="V340" s="123"/>
      <c r="Y340" s="123"/>
      <c r="Z340" s="238"/>
      <c r="AA340" s="123"/>
      <c r="AB340" s="123"/>
      <c r="AC340" s="160"/>
      <c r="AD340" s="160"/>
      <c r="AE340" s="123"/>
      <c r="AF340" s="123"/>
      <c r="AH340" s="236"/>
      <c r="AI340" s="123"/>
      <c r="AJ340" s="123"/>
      <c r="AL340" s="123"/>
      <c r="AM340" s="160"/>
      <c r="AN340" s="160"/>
    </row>
    <row r="341" spans="3:40" x14ac:dyDescent="0.3">
      <c r="C341" s="42"/>
      <c r="F341" s="184"/>
      <c r="H341" s="184"/>
      <c r="I341" s="184"/>
      <c r="J341" s="238"/>
      <c r="K341" s="238"/>
      <c r="L341" s="123"/>
      <c r="M341" s="123"/>
      <c r="N341" s="160"/>
      <c r="O341" s="160"/>
      <c r="P341" s="123"/>
      <c r="Q341" s="123"/>
      <c r="R341" s="123"/>
      <c r="T341" s="42"/>
      <c r="V341" s="123"/>
      <c r="Y341" s="123"/>
      <c r="Z341" s="238"/>
      <c r="AA341" s="123"/>
      <c r="AB341" s="123"/>
      <c r="AC341" s="160"/>
      <c r="AD341" s="160"/>
      <c r="AE341" s="123"/>
      <c r="AF341" s="123"/>
      <c r="AH341" s="236"/>
      <c r="AI341" s="123"/>
      <c r="AJ341" s="123"/>
      <c r="AL341" s="123"/>
      <c r="AM341" s="160"/>
      <c r="AN341" s="160"/>
    </row>
    <row r="342" spans="3:40" x14ac:dyDescent="0.3">
      <c r="C342" s="42"/>
      <c r="J342" s="188"/>
      <c r="K342" s="188"/>
      <c r="T342" s="42"/>
      <c r="Z342" s="188"/>
    </row>
    <row r="343" spans="3:40" x14ac:dyDescent="0.3">
      <c r="C343" s="42"/>
      <c r="F343" s="184"/>
      <c r="H343" s="184"/>
      <c r="I343" s="184"/>
      <c r="J343" s="238"/>
      <c r="K343" s="238"/>
      <c r="L343" s="123"/>
      <c r="M343" s="123"/>
      <c r="N343" s="160"/>
      <c r="O343" s="160"/>
      <c r="P343" s="123"/>
      <c r="Q343" s="123"/>
      <c r="R343" s="123"/>
      <c r="T343" s="42"/>
      <c r="V343" s="123"/>
      <c r="Y343" s="123"/>
      <c r="Z343" s="238"/>
      <c r="AA343" s="123"/>
      <c r="AB343" s="123"/>
      <c r="AC343" s="160"/>
      <c r="AD343" s="160"/>
      <c r="AE343" s="123"/>
      <c r="AF343" s="123"/>
      <c r="AH343" s="236"/>
      <c r="AI343" s="123"/>
      <c r="AJ343" s="123"/>
      <c r="AL343" s="123"/>
      <c r="AM343" s="160"/>
      <c r="AN343" s="160"/>
    </row>
    <row r="344" spans="3:40" x14ac:dyDescent="0.3">
      <c r="C344" s="42"/>
      <c r="F344" s="184"/>
      <c r="H344" s="184"/>
      <c r="I344" s="184"/>
      <c r="J344" s="238"/>
      <c r="K344" s="238"/>
      <c r="L344" s="123"/>
      <c r="M344" s="123"/>
      <c r="N344" s="160"/>
      <c r="O344" s="160"/>
      <c r="P344" s="123"/>
      <c r="Q344" s="123"/>
      <c r="R344" s="123"/>
      <c r="T344" s="42"/>
      <c r="V344" s="123"/>
      <c r="Y344" s="123"/>
      <c r="Z344" s="238"/>
      <c r="AA344" s="123"/>
      <c r="AB344" s="123"/>
      <c r="AC344" s="160"/>
      <c r="AD344" s="160"/>
      <c r="AE344" s="123"/>
      <c r="AF344" s="123"/>
      <c r="AH344" s="236"/>
      <c r="AI344" s="123"/>
      <c r="AJ344" s="123"/>
      <c r="AL344" s="123"/>
      <c r="AM344" s="160"/>
      <c r="AN344" s="160"/>
    </row>
    <row r="345" spans="3:40" x14ac:dyDescent="0.3">
      <c r="C345" s="42"/>
      <c r="F345" s="184"/>
      <c r="H345" s="184"/>
      <c r="I345" s="184"/>
      <c r="J345" s="238"/>
      <c r="K345" s="238"/>
      <c r="L345" s="123"/>
      <c r="M345" s="123"/>
      <c r="N345" s="160"/>
      <c r="O345" s="160"/>
      <c r="P345" s="123"/>
      <c r="Q345" s="123"/>
      <c r="R345" s="123"/>
      <c r="T345" s="42"/>
      <c r="V345" s="123"/>
      <c r="Y345" s="123"/>
      <c r="Z345" s="238"/>
      <c r="AA345" s="123"/>
      <c r="AB345" s="123"/>
      <c r="AC345" s="160"/>
      <c r="AD345" s="160"/>
      <c r="AE345" s="123"/>
      <c r="AF345" s="123"/>
      <c r="AH345" s="236"/>
      <c r="AI345" s="123"/>
      <c r="AJ345" s="123"/>
      <c r="AL345" s="123"/>
      <c r="AM345" s="160"/>
      <c r="AN345" s="160"/>
    </row>
    <row r="346" spans="3:40" x14ac:dyDescent="0.3">
      <c r="C346" s="42"/>
      <c r="J346" s="188"/>
      <c r="K346" s="188"/>
      <c r="T346" s="42"/>
      <c r="Z346" s="188"/>
    </row>
    <row r="347" spans="3:40" x14ac:dyDescent="0.3">
      <c r="C347" s="42"/>
      <c r="F347" s="184"/>
      <c r="H347" s="184"/>
      <c r="I347" s="184"/>
      <c r="J347" s="238"/>
      <c r="K347" s="238"/>
      <c r="L347" s="123"/>
      <c r="M347" s="123"/>
      <c r="N347" s="160"/>
      <c r="O347" s="160"/>
      <c r="P347" s="123"/>
      <c r="Q347" s="123"/>
      <c r="R347" s="123"/>
      <c r="T347" s="42"/>
      <c r="V347" s="123"/>
      <c r="Y347" s="123"/>
      <c r="Z347" s="238"/>
      <c r="AA347" s="123"/>
      <c r="AB347" s="123"/>
      <c r="AC347" s="160"/>
      <c r="AD347" s="160"/>
      <c r="AE347" s="123"/>
      <c r="AF347" s="123"/>
      <c r="AH347" s="236"/>
      <c r="AI347" s="123"/>
      <c r="AJ347" s="123"/>
      <c r="AL347" s="123"/>
      <c r="AM347" s="160"/>
      <c r="AN347" s="160"/>
    </row>
    <row r="348" spans="3:40" x14ac:dyDescent="0.3">
      <c r="C348" s="42"/>
      <c r="F348" s="184"/>
      <c r="H348" s="184"/>
      <c r="I348" s="184"/>
      <c r="J348" s="238"/>
      <c r="K348" s="238"/>
      <c r="L348" s="123"/>
      <c r="M348" s="123"/>
      <c r="N348" s="160"/>
      <c r="O348" s="160"/>
      <c r="P348" s="123"/>
      <c r="Q348" s="123"/>
      <c r="R348" s="123"/>
      <c r="T348" s="42"/>
      <c r="V348" s="123"/>
      <c r="Y348" s="123"/>
      <c r="Z348" s="238"/>
      <c r="AA348" s="123"/>
      <c r="AB348" s="123"/>
      <c r="AC348" s="160"/>
      <c r="AD348" s="160"/>
      <c r="AE348" s="123"/>
      <c r="AF348" s="123"/>
      <c r="AH348" s="236"/>
      <c r="AI348" s="123"/>
      <c r="AJ348" s="123"/>
      <c r="AL348" s="123"/>
      <c r="AM348" s="160"/>
      <c r="AN348" s="160"/>
    </row>
    <row r="349" spans="3:40" x14ac:dyDescent="0.3">
      <c r="C349" s="42"/>
      <c r="J349" s="188"/>
      <c r="K349" s="188"/>
      <c r="T349" s="42"/>
      <c r="Z349" s="188"/>
    </row>
    <row r="350" spans="3:40" x14ac:dyDescent="0.3">
      <c r="C350" s="42"/>
      <c r="F350" s="184"/>
      <c r="H350" s="184"/>
      <c r="I350" s="184"/>
      <c r="J350" s="238"/>
      <c r="K350" s="238"/>
      <c r="L350" s="123"/>
      <c r="M350" s="123"/>
      <c r="N350" s="160"/>
      <c r="O350" s="160"/>
      <c r="P350" s="123"/>
      <c r="Q350" s="123"/>
      <c r="R350" s="123"/>
      <c r="T350" s="42"/>
      <c r="V350" s="123"/>
      <c r="Y350" s="123"/>
      <c r="Z350" s="238"/>
      <c r="AA350" s="123"/>
      <c r="AB350" s="123"/>
      <c r="AC350" s="160"/>
      <c r="AD350" s="160"/>
      <c r="AE350" s="123"/>
      <c r="AF350" s="123"/>
      <c r="AH350" s="236"/>
      <c r="AI350" s="123"/>
      <c r="AJ350" s="123"/>
      <c r="AL350" s="123"/>
      <c r="AM350" s="160"/>
      <c r="AN350" s="160"/>
    </row>
    <row r="351" spans="3:40" x14ac:dyDescent="0.3">
      <c r="C351" s="42"/>
      <c r="F351" s="184"/>
      <c r="H351" s="184"/>
      <c r="I351" s="184"/>
      <c r="J351" s="238"/>
      <c r="K351" s="238"/>
      <c r="L351" s="123"/>
      <c r="M351" s="123"/>
      <c r="N351" s="160"/>
      <c r="O351" s="160"/>
      <c r="P351" s="123"/>
      <c r="Q351" s="123"/>
      <c r="R351" s="123"/>
      <c r="T351" s="42"/>
      <c r="V351" s="123"/>
      <c r="Y351" s="123"/>
      <c r="Z351" s="238"/>
      <c r="AA351" s="123"/>
      <c r="AB351" s="123"/>
      <c r="AC351" s="160"/>
      <c r="AD351" s="160"/>
      <c r="AE351" s="123"/>
      <c r="AF351" s="123"/>
      <c r="AH351" s="236"/>
      <c r="AI351" s="123"/>
      <c r="AJ351" s="123"/>
      <c r="AL351" s="123"/>
      <c r="AM351" s="160"/>
      <c r="AN351" s="160"/>
    </row>
    <row r="352" spans="3:40" x14ac:dyDescent="0.3">
      <c r="C352" s="42"/>
      <c r="F352" s="184"/>
      <c r="H352" s="184"/>
      <c r="I352" s="184"/>
      <c r="J352" s="238"/>
      <c r="K352" s="238"/>
      <c r="L352" s="123"/>
      <c r="M352" s="123"/>
      <c r="N352" s="160"/>
      <c r="O352" s="160"/>
      <c r="P352" s="123"/>
      <c r="Q352" s="123"/>
      <c r="R352" s="123"/>
      <c r="T352" s="42"/>
      <c r="V352" s="123"/>
      <c r="Y352" s="123"/>
      <c r="Z352" s="238"/>
      <c r="AA352" s="123"/>
      <c r="AB352" s="123"/>
      <c r="AC352" s="160"/>
      <c r="AD352" s="160"/>
      <c r="AE352" s="123"/>
      <c r="AF352" s="123"/>
      <c r="AH352" s="236"/>
      <c r="AI352" s="123"/>
      <c r="AJ352" s="123"/>
      <c r="AL352" s="123"/>
      <c r="AM352" s="160"/>
      <c r="AN352" s="160"/>
    </row>
    <row r="353" spans="3:40" x14ac:dyDescent="0.3">
      <c r="F353" s="210"/>
      <c r="H353" s="210"/>
      <c r="I353" s="210"/>
      <c r="J353" s="238"/>
      <c r="K353" s="238"/>
      <c r="L353" s="210"/>
      <c r="M353" s="210"/>
      <c r="N353" s="210"/>
      <c r="O353" s="210"/>
      <c r="P353" s="210"/>
      <c r="Q353" s="210"/>
      <c r="R353" s="210"/>
      <c r="V353" s="210"/>
      <c r="Y353" s="210"/>
      <c r="Z353" s="238"/>
      <c r="AA353" s="210"/>
      <c r="AB353" s="210"/>
      <c r="AC353" s="210"/>
      <c r="AD353" s="210"/>
      <c r="AE353" s="210"/>
      <c r="AF353" s="210"/>
      <c r="AI353" s="210"/>
      <c r="AJ353" s="210"/>
      <c r="AK353" s="214"/>
      <c r="AL353" s="210"/>
    </row>
    <row r="354" spans="3:40" x14ac:dyDescent="0.3">
      <c r="C354" s="44"/>
      <c r="F354" s="123"/>
      <c r="H354" s="123"/>
      <c r="I354" s="123"/>
      <c r="J354" s="188"/>
      <c r="K354" s="188"/>
      <c r="L354" s="123"/>
      <c r="M354" s="123"/>
      <c r="N354" s="236"/>
      <c r="O354" s="236"/>
      <c r="P354" s="123"/>
      <c r="Q354" s="123"/>
      <c r="R354" s="123"/>
      <c r="T354" s="44"/>
      <c r="V354" s="123"/>
      <c r="Y354" s="123"/>
      <c r="Z354" s="188"/>
      <c r="AA354" s="123"/>
      <c r="AB354" s="123"/>
      <c r="AC354" s="123"/>
      <c r="AD354" s="123"/>
      <c r="AE354" s="123"/>
      <c r="AF354" s="123"/>
      <c r="AH354" s="236"/>
      <c r="AI354" s="123"/>
      <c r="AJ354" s="123"/>
      <c r="AL354" s="123"/>
      <c r="AM354" s="160"/>
      <c r="AN354" s="160"/>
    </row>
    <row r="355" spans="3:40" x14ac:dyDescent="0.3">
      <c r="F355" s="210"/>
      <c r="H355" s="210"/>
      <c r="I355" s="210"/>
      <c r="J355" s="238"/>
      <c r="K355" s="238"/>
      <c r="L355" s="210"/>
      <c r="M355" s="210"/>
      <c r="N355" s="210"/>
      <c r="O355" s="210"/>
      <c r="P355" s="210"/>
      <c r="Q355" s="210"/>
      <c r="R355" s="210"/>
      <c r="V355" s="210"/>
      <c r="Y355" s="210"/>
      <c r="Z355" s="238"/>
      <c r="AA355" s="210"/>
      <c r="AB355" s="210"/>
      <c r="AC355" s="210"/>
      <c r="AD355" s="210"/>
      <c r="AE355" s="210"/>
      <c r="AF355" s="210"/>
      <c r="AI355" s="210"/>
      <c r="AJ355" s="210"/>
      <c r="AK355" s="214"/>
      <c r="AL355" s="210"/>
    </row>
    <row r="356" spans="3:40" x14ac:dyDescent="0.3">
      <c r="C356" s="42"/>
      <c r="J356" s="188"/>
      <c r="K356" s="188"/>
      <c r="T356" s="42"/>
      <c r="Z356" s="188"/>
    </row>
    <row r="357" spans="3:40" x14ac:dyDescent="0.3">
      <c r="C357" s="42"/>
      <c r="J357" s="188"/>
      <c r="K357" s="188"/>
      <c r="T357" s="42"/>
      <c r="Z357" s="188"/>
    </row>
    <row r="358" spans="3:40" x14ac:dyDescent="0.3">
      <c r="C358" s="42"/>
      <c r="F358" s="184"/>
      <c r="H358" s="184"/>
      <c r="I358" s="184"/>
      <c r="J358" s="238"/>
      <c r="K358" s="238"/>
      <c r="L358" s="123"/>
      <c r="M358" s="123"/>
      <c r="N358" s="160"/>
      <c r="O358" s="160"/>
      <c r="P358" s="123"/>
      <c r="Q358" s="123"/>
      <c r="R358" s="123"/>
      <c r="T358" s="42"/>
      <c r="V358" s="123"/>
      <c r="Y358" s="123"/>
      <c r="Z358" s="238"/>
      <c r="AA358" s="123"/>
      <c r="AB358" s="123"/>
      <c r="AC358" s="160"/>
      <c r="AD358" s="160"/>
      <c r="AE358" s="123"/>
      <c r="AF358" s="123"/>
      <c r="AH358" s="236"/>
      <c r="AI358" s="123"/>
      <c r="AJ358" s="123"/>
      <c r="AL358" s="123"/>
      <c r="AM358" s="160"/>
      <c r="AN358" s="160"/>
    </row>
    <row r="359" spans="3:40" x14ac:dyDescent="0.3">
      <c r="C359" s="42"/>
      <c r="F359" s="184"/>
      <c r="H359" s="184"/>
      <c r="I359" s="184"/>
      <c r="J359" s="238"/>
      <c r="K359" s="238"/>
      <c r="L359" s="123"/>
      <c r="M359" s="123"/>
      <c r="N359" s="160"/>
      <c r="O359" s="160"/>
      <c r="P359" s="123"/>
      <c r="Q359" s="123"/>
      <c r="R359" s="123"/>
      <c r="T359" s="42"/>
      <c r="V359" s="123"/>
      <c r="Y359" s="123"/>
      <c r="Z359" s="238"/>
      <c r="AA359" s="123"/>
      <c r="AB359" s="123"/>
      <c r="AC359" s="160"/>
      <c r="AD359" s="160"/>
      <c r="AE359" s="123"/>
      <c r="AF359" s="123"/>
      <c r="AH359" s="236"/>
      <c r="AI359" s="123"/>
      <c r="AJ359" s="123"/>
      <c r="AL359" s="123"/>
      <c r="AM359" s="160"/>
      <c r="AN359" s="160"/>
    </row>
    <row r="360" spans="3:40" x14ac:dyDescent="0.3">
      <c r="C360" s="42"/>
      <c r="F360" s="184"/>
      <c r="H360" s="184"/>
      <c r="I360" s="184"/>
      <c r="J360" s="238"/>
      <c r="K360" s="238"/>
      <c r="L360" s="123"/>
      <c r="M360" s="123"/>
      <c r="N360" s="160"/>
      <c r="O360" s="160"/>
      <c r="P360" s="123"/>
      <c r="Q360" s="123"/>
      <c r="R360" s="123"/>
      <c r="T360" s="42"/>
      <c r="V360" s="123"/>
      <c r="Y360" s="123"/>
      <c r="Z360" s="238"/>
      <c r="AA360" s="123"/>
      <c r="AB360" s="123"/>
      <c r="AC360" s="160"/>
      <c r="AD360" s="160"/>
      <c r="AE360" s="123"/>
      <c r="AF360" s="123"/>
      <c r="AH360" s="236"/>
      <c r="AI360" s="123"/>
      <c r="AJ360" s="123"/>
      <c r="AL360" s="123"/>
      <c r="AM360" s="160"/>
      <c r="AN360" s="160"/>
    </row>
    <row r="361" spans="3:40" x14ac:dyDescent="0.3">
      <c r="C361" s="42"/>
      <c r="F361" s="184"/>
      <c r="H361" s="184"/>
      <c r="I361" s="184"/>
      <c r="J361" s="238"/>
      <c r="K361" s="238"/>
      <c r="L361" s="123"/>
      <c r="M361" s="123"/>
      <c r="N361" s="160"/>
      <c r="O361" s="160"/>
      <c r="P361" s="123"/>
      <c r="Q361" s="123"/>
      <c r="R361" s="123"/>
      <c r="T361" s="42"/>
      <c r="V361" s="123"/>
      <c r="Y361" s="123"/>
      <c r="Z361" s="238"/>
      <c r="AA361" s="123"/>
      <c r="AB361" s="123"/>
      <c r="AC361" s="160"/>
      <c r="AD361" s="160"/>
      <c r="AE361" s="123"/>
      <c r="AF361" s="123"/>
      <c r="AH361" s="236"/>
      <c r="AI361" s="123"/>
      <c r="AJ361" s="123"/>
      <c r="AL361" s="123"/>
      <c r="AM361" s="160"/>
      <c r="AN361" s="160"/>
    </row>
    <row r="362" spans="3:40" x14ac:dyDescent="0.3">
      <c r="C362" s="42"/>
      <c r="F362" s="184"/>
      <c r="H362" s="184"/>
      <c r="I362" s="184"/>
      <c r="J362" s="238"/>
      <c r="K362" s="238"/>
      <c r="L362" s="123"/>
      <c r="M362" s="123"/>
      <c r="N362" s="160"/>
      <c r="O362" s="160"/>
      <c r="P362" s="123"/>
      <c r="Q362" s="123"/>
      <c r="R362" s="123"/>
      <c r="T362" s="42"/>
      <c r="V362" s="123"/>
      <c r="Y362" s="123"/>
      <c r="Z362" s="238"/>
      <c r="AA362" s="123"/>
      <c r="AB362" s="123"/>
      <c r="AC362" s="160"/>
      <c r="AD362" s="160"/>
      <c r="AE362" s="123"/>
      <c r="AF362" s="123"/>
      <c r="AH362" s="236"/>
      <c r="AI362" s="123"/>
      <c r="AJ362" s="123"/>
      <c r="AL362" s="123"/>
      <c r="AM362" s="160"/>
      <c r="AN362" s="160"/>
    </row>
    <row r="363" spans="3:40" x14ac:dyDescent="0.3">
      <c r="C363" s="42"/>
      <c r="F363" s="184"/>
      <c r="H363" s="184"/>
      <c r="I363" s="184"/>
      <c r="J363" s="238"/>
      <c r="K363" s="238"/>
      <c r="L363" s="123"/>
      <c r="M363" s="123"/>
      <c r="N363" s="160"/>
      <c r="O363" s="160"/>
      <c r="P363" s="123"/>
      <c r="Q363" s="123"/>
      <c r="R363" s="123"/>
      <c r="T363" s="42"/>
      <c r="V363" s="123"/>
      <c r="Y363" s="123"/>
      <c r="Z363" s="238"/>
      <c r="AA363" s="123"/>
      <c r="AB363" s="123"/>
      <c r="AC363" s="160"/>
      <c r="AD363" s="160"/>
      <c r="AE363" s="123"/>
      <c r="AF363" s="123"/>
      <c r="AH363" s="236"/>
      <c r="AI363" s="123"/>
      <c r="AJ363" s="123"/>
      <c r="AL363" s="123"/>
      <c r="AM363" s="160"/>
      <c r="AN363" s="160"/>
    </row>
    <row r="364" spans="3:40" x14ac:dyDescent="0.3">
      <c r="C364" s="42"/>
      <c r="F364" s="184"/>
      <c r="H364" s="184"/>
      <c r="I364" s="184"/>
      <c r="J364" s="238"/>
      <c r="K364" s="238"/>
      <c r="L364" s="123"/>
      <c r="M364" s="123"/>
      <c r="N364" s="160"/>
      <c r="O364" s="160"/>
      <c r="P364" s="123"/>
      <c r="Q364" s="123"/>
      <c r="R364" s="123"/>
      <c r="T364" s="42"/>
      <c r="V364" s="123"/>
      <c r="Y364" s="123"/>
      <c r="Z364" s="238"/>
      <c r="AA364" s="123"/>
      <c r="AB364" s="123"/>
      <c r="AC364" s="160"/>
      <c r="AD364" s="160"/>
      <c r="AE364" s="123"/>
      <c r="AF364" s="123"/>
      <c r="AH364" s="236"/>
      <c r="AI364" s="123"/>
      <c r="AJ364" s="123"/>
      <c r="AL364" s="123"/>
      <c r="AM364" s="160"/>
      <c r="AN364" s="160"/>
    </row>
    <row r="365" spans="3:40" x14ac:dyDescent="0.3">
      <c r="C365" s="42"/>
      <c r="J365" s="188"/>
      <c r="K365" s="188"/>
      <c r="T365" s="42"/>
      <c r="Z365" s="188"/>
    </row>
    <row r="366" spans="3:40" x14ac:dyDescent="0.3">
      <c r="C366" s="42"/>
      <c r="F366" s="184"/>
      <c r="H366" s="184"/>
      <c r="I366" s="184"/>
      <c r="J366" s="238"/>
      <c r="K366" s="238"/>
      <c r="L366" s="123"/>
      <c r="M366" s="123"/>
      <c r="N366" s="160"/>
      <c r="O366" s="160"/>
      <c r="P366" s="123"/>
      <c r="Q366" s="123"/>
      <c r="R366" s="123"/>
      <c r="T366" s="42"/>
      <c r="V366" s="123"/>
      <c r="Y366" s="123"/>
      <c r="Z366" s="238"/>
      <c r="AA366" s="123"/>
      <c r="AB366" s="123"/>
      <c r="AC366" s="160"/>
      <c r="AD366" s="160"/>
      <c r="AE366" s="123"/>
      <c r="AF366" s="123"/>
      <c r="AH366" s="236"/>
      <c r="AI366" s="123"/>
      <c r="AJ366" s="123"/>
      <c r="AL366" s="123"/>
      <c r="AM366" s="160"/>
      <c r="AN366" s="160"/>
    </row>
    <row r="367" spans="3:40" x14ac:dyDescent="0.3">
      <c r="C367" s="42"/>
      <c r="F367" s="184"/>
      <c r="H367" s="184"/>
      <c r="I367" s="184"/>
      <c r="J367" s="238"/>
      <c r="K367" s="238"/>
      <c r="L367" s="123"/>
      <c r="M367" s="123"/>
      <c r="N367" s="160"/>
      <c r="O367" s="160"/>
      <c r="P367" s="123"/>
      <c r="Q367" s="123"/>
      <c r="R367" s="123"/>
      <c r="T367" s="42"/>
      <c r="V367" s="123"/>
      <c r="Y367" s="123"/>
      <c r="Z367" s="238"/>
      <c r="AA367" s="123"/>
      <c r="AB367" s="123"/>
      <c r="AC367" s="160"/>
      <c r="AD367" s="160"/>
      <c r="AE367" s="123"/>
      <c r="AF367" s="123"/>
      <c r="AH367" s="236"/>
      <c r="AI367" s="123"/>
      <c r="AJ367" s="123"/>
      <c r="AL367" s="123"/>
      <c r="AM367" s="160"/>
      <c r="AN367" s="160"/>
    </row>
    <row r="368" spans="3:40" x14ac:dyDescent="0.3">
      <c r="C368" s="42"/>
      <c r="F368" s="184"/>
      <c r="H368" s="184"/>
      <c r="I368" s="184"/>
      <c r="J368" s="238"/>
      <c r="K368" s="238"/>
      <c r="L368" s="123"/>
      <c r="M368" s="123"/>
      <c r="N368" s="160"/>
      <c r="O368" s="160"/>
      <c r="P368" s="123"/>
      <c r="Q368" s="123"/>
      <c r="R368" s="123"/>
      <c r="T368" s="42"/>
      <c r="V368" s="123"/>
      <c r="Y368" s="123"/>
      <c r="Z368" s="238"/>
      <c r="AA368" s="123"/>
      <c r="AB368" s="123"/>
      <c r="AC368" s="160"/>
      <c r="AD368" s="160"/>
      <c r="AE368" s="123"/>
      <c r="AF368" s="123"/>
      <c r="AH368" s="236"/>
      <c r="AI368" s="123"/>
      <c r="AJ368" s="123"/>
      <c r="AL368" s="123"/>
      <c r="AM368" s="160"/>
      <c r="AN368" s="160"/>
    </row>
    <row r="369" spans="3:40" x14ac:dyDescent="0.3">
      <c r="C369" s="42"/>
      <c r="F369" s="184"/>
      <c r="H369" s="184"/>
      <c r="I369" s="184"/>
      <c r="J369" s="238"/>
      <c r="K369" s="238"/>
      <c r="L369" s="123"/>
      <c r="M369" s="123"/>
      <c r="N369" s="160"/>
      <c r="O369" s="160"/>
      <c r="P369" s="123"/>
      <c r="Q369" s="123"/>
      <c r="R369" s="123"/>
      <c r="T369" s="42"/>
      <c r="V369" s="123"/>
      <c r="Y369" s="123"/>
      <c r="Z369" s="238"/>
      <c r="AA369" s="123"/>
      <c r="AB369" s="123"/>
      <c r="AC369" s="160"/>
      <c r="AD369" s="160"/>
      <c r="AE369" s="123"/>
      <c r="AF369" s="123"/>
      <c r="AH369" s="236"/>
      <c r="AI369" s="123"/>
      <c r="AJ369" s="123"/>
      <c r="AL369" s="123"/>
      <c r="AM369" s="160"/>
      <c r="AN369" s="160"/>
    </row>
    <row r="370" spans="3:40" x14ac:dyDescent="0.3">
      <c r="C370" s="42"/>
      <c r="J370" s="188"/>
      <c r="K370" s="188"/>
      <c r="T370" s="42"/>
      <c r="Z370" s="188"/>
    </row>
    <row r="371" spans="3:40" x14ac:dyDescent="0.3">
      <c r="C371" s="42"/>
      <c r="F371" s="184"/>
      <c r="H371" s="184"/>
      <c r="I371" s="184"/>
      <c r="J371" s="238"/>
      <c r="K371" s="238"/>
      <c r="L371" s="123"/>
      <c r="M371" s="123"/>
      <c r="N371" s="160"/>
      <c r="O371" s="160"/>
      <c r="P371" s="123"/>
      <c r="Q371" s="123"/>
      <c r="R371" s="123"/>
      <c r="T371" s="42"/>
      <c r="V371" s="123"/>
      <c r="Y371" s="123"/>
      <c r="Z371" s="238"/>
      <c r="AA371" s="123"/>
      <c r="AB371" s="123"/>
      <c r="AC371" s="160"/>
      <c r="AD371" s="160"/>
      <c r="AE371" s="123"/>
      <c r="AF371" s="123"/>
      <c r="AH371" s="236"/>
      <c r="AI371" s="123"/>
      <c r="AJ371" s="123"/>
      <c r="AL371" s="123"/>
      <c r="AM371" s="160"/>
      <c r="AN371" s="160"/>
    </row>
    <row r="372" spans="3:40" x14ac:dyDescent="0.3">
      <c r="C372" s="42"/>
      <c r="F372" s="184"/>
      <c r="H372" s="184"/>
      <c r="I372" s="184"/>
      <c r="J372" s="238"/>
      <c r="K372" s="238"/>
      <c r="L372" s="123"/>
      <c r="M372" s="123"/>
      <c r="N372" s="160"/>
      <c r="O372" s="160"/>
      <c r="P372" s="123"/>
      <c r="Q372" s="123"/>
      <c r="R372" s="123"/>
      <c r="T372" s="42"/>
      <c r="V372" s="123"/>
      <c r="Y372" s="123"/>
      <c r="Z372" s="238"/>
      <c r="AA372" s="123"/>
      <c r="AB372" s="123"/>
      <c r="AC372" s="160"/>
      <c r="AD372" s="160"/>
      <c r="AE372" s="123"/>
      <c r="AF372" s="123"/>
      <c r="AH372" s="236"/>
      <c r="AI372" s="123"/>
      <c r="AJ372" s="123"/>
      <c r="AL372" s="123"/>
      <c r="AM372" s="160"/>
      <c r="AN372" s="160"/>
    </row>
    <row r="373" spans="3:40" x14ac:dyDescent="0.3">
      <c r="C373" s="42"/>
      <c r="F373" s="184"/>
      <c r="H373" s="184"/>
      <c r="I373" s="184"/>
      <c r="J373" s="238"/>
      <c r="K373" s="238"/>
      <c r="L373" s="123"/>
      <c r="M373" s="123"/>
      <c r="N373" s="160"/>
      <c r="O373" s="160"/>
      <c r="P373" s="123"/>
      <c r="Q373" s="123"/>
      <c r="R373" s="123"/>
      <c r="T373" s="42"/>
      <c r="V373" s="123"/>
      <c r="Y373" s="123"/>
      <c r="Z373" s="238"/>
      <c r="AA373" s="123"/>
      <c r="AB373" s="123"/>
      <c r="AC373" s="160"/>
      <c r="AD373" s="160"/>
      <c r="AE373" s="123"/>
      <c r="AF373" s="123"/>
      <c r="AH373" s="236"/>
      <c r="AI373" s="123"/>
      <c r="AJ373" s="123"/>
      <c r="AL373" s="123"/>
      <c r="AM373" s="160"/>
      <c r="AN373" s="160"/>
    </row>
    <row r="374" spans="3:40" x14ac:dyDescent="0.3">
      <c r="C374" s="42"/>
      <c r="F374" s="184"/>
      <c r="H374" s="184"/>
      <c r="I374" s="184"/>
      <c r="J374" s="238"/>
      <c r="K374" s="238"/>
      <c r="L374" s="123"/>
      <c r="M374" s="123"/>
      <c r="N374" s="160"/>
      <c r="O374" s="160"/>
      <c r="P374" s="123"/>
      <c r="Q374" s="123"/>
      <c r="R374" s="123"/>
      <c r="T374" s="42"/>
      <c r="V374" s="123"/>
      <c r="Y374" s="123"/>
      <c r="Z374" s="238"/>
      <c r="AA374" s="123"/>
      <c r="AB374" s="123"/>
      <c r="AC374" s="160"/>
      <c r="AD374" s="160"/>
      <c r="AE374" s="123"/>
      <c r="AF374" s="123"/>
      <c r="AH374" s="236"/>
      <c r="AI374" s="123"/>
      <c r="AJ374" s="123"/>
      <c r="AL374" s="123"/>
      <c r="AM374" s="160"/>
      <c r="AN374" s="160"/>
    </row>
    <row r="375" spans="3:40" x14ac:dyDescent="0.3">
      <c r="C375" s="42"/>
      <c r="F375" s="184"/>
      <c r="H375" s="184"/>
      <c r="I375" s="184"/>
      <c r="J375" s="238"/>
      <c r="K375" s="238"/>
      <c r="L375" s="123"/>
      <c r="M375" s="123"/>
      <c r="N375" s="160"/>
      <c r="O375" s="160"/>
      <c r="P375" s="123"/>
      <c r="Q375" s="123"/>
      <c r="R375" s="123"/>
      <c r="T375" s="42"/>
      <c r="V375" s="123"/>
      <c r="Y375" s="123"/>
      <c r="Z375" s="238"/>
      <c r="AA375" s="123"/>
      <c r="AB375" s="123"/>
      <c r="AC375" s="160"/>
      <c r="AD375" s="160"/>
      <c r="AE375" s="123"/>
      <c r="AF375" s="123"/>
      <c r="AH375" s="236"/>
      <c r="AI375" s="123"/>
      <c r="AJ375" s="123"/>
      <c r="AL375" s="123"/>
      <c r="AM375" s="160"/>
      <c r="AN375" s="160"/>
    </row>
    <row r="376" spans="3:40" x14ac:dyDescent="0.3">
      <c r="F376" s="210"/>
      <c r="H376" s="210"/>
      <c r="I376" s="210"/>
      <c r="J376" s="213"/>
      <c r="K376" s="213"/>
      <c r="L376" s="210"/>
      <c r="M376" s="210"/>
      <c r="N376" s="210"/>
      <c r="O376" s="210"/>
      <c r="P376" s="210"/>
      <c r="Q376" s="210"/>
      <c r="R376" s="210"/>
      <c r="V376" s="210"/>
      <c r="Y376" s="210"/>
      <c r="Z376" s="238"/>
      <c r="AA376" s="210"/>
      <c r="AB376" s="210"/>
      <c r="AC376" s="210"/>
      <c r="AD376" s="210"/>
      <c r="AE376" s="210"/>
      <c r="AF376" s="210"/>
      <c r="AI376" s="210"/>
      <c r="AJ376" s="210"/>
      <c r="AK376" s="214"/>
      <c r="AL376" s="210"/>
    </row>
    <row r="377" spans="3:40" x14ac:dyDescent="0.3">
      <c r="C377" s="42"/>
      <c r="F377" s="123"/>
      <c r="H377" s="123"/>
      <c r="I377" s="123"/>
      <c r="L377" s="123"/>
      <c r="M377" s="123"/>
      <c r="N377" s="236"/>
      <c r="O377" s="236"/>
      <c r="P377" s="123"/>
      <c r="Q377" s="123"/>
      <c r="R377" s="123"/>
      <c r="T377" s="42"/>
      <c r="V377" s="123"/>
      <c r="Y377" s="123"/>
      <c r="AA377" s="123"/>
      <c r="AB377" s="123"/>
      <c r="AC377" s="160"/>
      <c r="AD377" s="160"/>
      <c r="AE377" s="123"/>
      <c r="AF377" s="123"/>
      <c r="AH377" s="236"/>
      <c r="AI377" s="123"/>
      <c r="AJ377" s="123"/>
      <c r="AL377" s="123"/>
      <c r="AM377" s="160"/>
      <c r="AN377" s="160"/>
    </row>
    <row r="378" spans="3:40" x14ac:dyDescent="0.3">
      <c r="F378" s="210"/>
      <c r="H378" s="210"/>
      <c r="I378" s="210"/>
      <c r="J378" s="213"/>
      <c r="K378" s="213"/>
      <c r="L378" s="210"/>
      <c r="M378" s="210"/>
      <c r="N378" s="210"/>
      <c r="O378" s="210"/>
      <c r="P378" s="210"/>
      <c r="Q378" s="210"/>
      <c r="R378" s="210"/>
      <c r="V378" s="210"/>
      <c r="Y378" s="210"/>
      <c r="Z378" s="213"/>
      <c r="AA378" s="210"/>
      <c r="AB378" s="210"/>
      <c r="AC378" s="210"/>
      <c r="AD378" s="210"/>
      <c r="AE378" s="210"/>
      <c r="AF378" s="210"/>
      <c r="AI378" s="210"/>
      <c r="AJ378" s="210"/>
      <c r="AK378" s="214"/>
      <c r="AL378" s="210"/>
    </row>
    <row r="379" spans="3:40" x14ac:dyDescent="0.3">
      <c r="C379" s="42"/>
      <c r="T379" s="42"/>
    </row>
    <row r="380" spans="3:40" x14ac:dyDescent="0.3">
      <c r="C380" s="42"/>
      <c r="F380" s="184"/>
      <c r="H380" s="184"/>
      <c r="I380" s="184"/>
      <c r="J380" s="193"/>
      <c r="K380" s="193"/>
      <c r="L380" s="123"/>
      <c r="M380" s="123"/>
      <c r="N380" s="160"/>
      <c r="O380" s="160"/>
      <c r="P380" s="123"/>
      <c r="Q380" s="123"/>
      <c r="R380" s="123"/>
      <c r="T380" s="42"/>
      <c r="V380" s="123"/>
      <c r="Y380" s="123"/>
      <c r="Z380" s="193"/>
      <c r="AA380" s="123"/>
      <c r="AB380" s="123"/>
      <c r="AC380" s="160"/>
      <c r="AD380" s="160"/>
      <c r="AE380" s="123"/>
      <c r="AF380" s="123"/>
      <c r="AH380" s="236"/>
      <c r="AI380" s="123"/>
      <c r="AJ380" s="123"/>
      <c r="AL380" s="123"/>
      <c r="AM380" s="160"/>
      <c r="AN380" s="160"/>
    </row>
    <row r="381" spans="3:40" x14ac:dyDescent="0.3">
      <c r="C381" s="42"/>
      <c r="F381" s="184"/>
      <c r="H381" s="184"/>
      <c r="I381" s="184"/>
      <c r="J381" s="193"/>
      <c r="K381" s="193"/>
      <c r="L381" s="123"/>
      <c r="M381" s="123"/>
      <c r="N381" s="160"/>
      <c r="O381" s="160"/>
      <c r="P381" s="123"/>
      <c r="Q381" s="123"/>
      <c r="R381" s="123"/>
      <c r="T381" s="42"/>
      <c r="V381" s="123"/>
      <c r="Y381" s="123"/>
      <c r="Z381" s="193"/>
      <c r="AA381" s="123"/>
      <c r="AB381" s="123"/>
      <c r="AC381" s="160"/>
      <c r="AD381" s="160"/>
      <c r="AE381" s="123"/>
      <c r="AF381" s="123"/>
      <c r="AH381" s="236"/>
      <c r="AI381" s="123"/>
      <c r="AJ381" s="123"/>
      <c r="AL381" s="123"/>
      <c r="AM381" s="160"/>
      <c r="AN381" s="160"/>
    </row>
    <row r="382" spans="3:40" x14ac:dyDescent="0.3">
      <c r="F382" s="210"/>
      <c r="H382" s="123"/>
      <c r="I382" s="123"/>
      <c r="J382" s="213"/>
      <c r="K382" s="213"/>
      <c r="L382" s="210"/>
      <c r="M382" s="210"/>
      <c r="N382" s="210"/>
      <c r="O382" s="210"/>
      <c r="P382" s="210"/>
      <c r="Q382" s="210"/>
      <c r="R382" s="210"/>
      <c r="V382" s="210"/>
      <c r="Y382" s="123"/>
      <c r="Z382" s="213"/>
      <c r="AA382" s="210"/>
      <c r="AB382" s="210"/>
      <c r="AC382" s="210"/>
      <c r="AD382" s="210"/>
      <c r="AE382" s="210"/>
      <c r="AF382" s="210"/>
      <c r="AI382" s="210"/>
      <c r="AJ382" s="210"/>
      <c r="AK382" s="214"/>
      <c r="AL382" s="210"/>
    </row>
    <row r="383" spans="3:40" x14ac:dyDescent="0.3">
      <c r="F383" s="123"/>
      <c r="H383" s="123"/>
      <c r="I383" s="123"/>
      <c r="J383" s="213"/>
      <c r="K383" s="213"/>
      <c r="L383" s="123"/>
      <c r="M383" s="123"/>
      <c r="N383" s="123"/>
      <c r="O383" s="123"/>
      <c r="P383" s="123"/>
      <c r="Q383" s="123"/>
      <c r="R383" s="123"/>
      <c r="V383" s="123"/>
      <c r="Y383" s="123"/>
      <c r="Z383" s="213"/>
      <c r="AA383" s="123"/>
      <c r="AB383" s="123"/>
      <c r="AC383" s="123"/>
      <c r="AD383" s="123"/>
      <c r="AE383" s="123"/>
      <c r="AF383" s="123"/>
      <c r="AI383" s="123"/>
      <c r="AJ383" s="123"/>
      <c r="AL383" s="123"/>
    </row>
    <row r="384" spans="3:40" x14ac:dyDescent="0.3">
      <c r="C384" s="42"/>
      <c r="F384" s="123"/>
      <c r="H384" s="123"/>
      <c r="I384" s="123"/>
      <c r="L384" s="123"/>
      <c r="M384" s="123"/>
      <c r="N384" s="160"/>
      <c r="O384" s="160"/>
      <c r="P384" s="123"/>
      <c r="Q384" s="123"/>
      <c r="R384" s="123"/>
      <c r="T384" s="42"/>
      <c r="V384" s="123"/>
      <c r="Y384" s="123"/>
      <c r="AA384" s="123"/>
      <c r="AB384" s="123"/>
      <c r="AC384" s="160"/>
      <c r="AD384" s="160"/>
      <c r="AE384" s="123"/>
      <c r="AF384" s="123"/>
      <c r="AH384" s="236"/>
      <c r="AI384" s="184"/>
      <c r="AJ384" s="184"/>
      <c r="AL384" s="123"/>
      <c r="AM384" s="160"/>
      <c r="AN384" s="160"/>
    </row>
    <row r="385" spans="1:38" x14ac:dyDescent="0.3">
      <c r="F385" s="210"/>
      <c r="H385" s="210"/>
      <c r="I385" s="210"/>
      <c r="J385" s="213"/>
      <c r="K385" s="213"/>
      <c r="L385" s="210"/>
      <c r="M385" s="210"/>
      <c r="N385" s="210"/>
      <c r="O385" s="210"/>
      <c r="P385" s="210"/>
      <c r="Q385" s="210"/>
      <c r="R385" s="210"/>
      <c r="V385" s="210"/>
      <c r="Y385" s="210"/>
      <c r="Z385" s="213"/>
      <c r="AA385" s="210"/>
      <c r="AB385" s="210"/>
      <c r="AC385" s="210"/>
      <c r="AD385" s="210"/>
      <c r="AE385" s="210"/>
      <c r="AF385" s="210"/>
      <c r="AI385" s="210"/>
      <c r="AJ385" s="210"/>
      <c r="AK385" s="214"/>
      <c r="AL385" s="210"/>
    </row>
    <row r="387" spans="1:38" x14ac:dyDescent="0.3">
      <c r="A387" s="42"/>
      <c r="T387" s="42"/>
    </row>
    <row r="388" spans="1:38" x14ac:dyDescent="0.3">
      <c r="A388" s="42"/>
      <c r="T388" s="42"/>
    </row>
    <row r="389" spans="1:38" x14ac:dyDescent="0.3">
      <c r="A389" s="42"/>
      <c r="T389" s="42"/>
    </row>
    <row r="390" spans="1:38" x14ac:dyDescent="0.3">
      <c r="A390" s="42"/>
      <c r="T390" s="42"/>
    </row>
    <row r="391" spans="1:38" x14ac:dyDescent="0.3">
      <c r="A391" s="42"/>
      <c r="T391" s="42"/>
    </row>
    <row r="392" spans="1:38" x14ac:dyDescent="0.3">
      <c r="A392" s="42"/>
      <c r="T392" s="42"/>
    </row>
    <row r="393" spans="1:38" x14ac:dyDescent="0.3">
      <c r="A393" s="42"/>
      <c r="T393" s="42"/>
    </row>
    <row r="394" spans="1:38" x14ac:dyDescent="0.3">
      <c r="A394" s="42"/>
      <c r="T394" s="42"/>
    </row>
    <row r="395" spans="1:38" x14ac:dyDescent="0.3">
      <c r="A395" s="42"/>
      <c r="T395" s="42"/>
    </row>
    <row r="397" spans="1:38" x14ac:dyDescent="0.3">
      <c r="A397" s="42"/>
    </row>
    <row r="399" spans="1:38" x14ac:dyDescent="0.3">
      <c r="H399" s="42"/>
      <c r="I399" s="42"/>
      <c r="Y399" s="42"/>
    </row>
    <row r="401" spans="1:40" x14ac:dyDescent="0.3">
      <c r="L401" s="42"/>
      <c r="M401" s="42"/>
      <c r="AA401" s="42"/>
      <c r="AB401" s="42"/>
    </row>
    <row r="402" spans="1:40" x14ac:dyDescent="0.3">
      <c r="R402" s="42"/>
      <c r="AK402" s="206"/>
      <c r="AL402" s="42"/>
    </row>
    <row r="403" spans="1:40" x14ac:dyDescent="0.3">
      <c r="R403" s="42"/>
      <c r="AK403" s="206"/>
      <c r="AL403" s="42"/>
    </row>
    <row r="404" spans="1:40" x14ac:dyDescent="0.3">
      <c r="A404" s="42"/>
      <c r="R404" s="42"/>
      <c r="AK404" s="206"/>
      <c r="AL404" s="42"/>
    </row>
    <row r="405" spans="1:40" x14ac:dyDescent="0.3">
      <c r="L405" s="42"/>
      <c r="M405" s="42"/>
      <c r="AA405" s="42"/>
      <c r="AB405" s="42"/>
    </row>
    <row r="406" spans="1:40" x14ac:dyDescent="0.3">
      <c r="A406" s="135"/>
      <c r="B406" s="135"/>
      <c r="C406" s="135"/>
      <c r="D406" s="135"/>
      <c r="E406" s="135"/>
      <c r="F406" s="135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207"/>
      <c r="AH406" s="135"/>
      <c r="AI406" s="135"/>
      <c r="AJ406" s="135"/>
      <c r="AK406" s="207"/>
      <c r="AL406" s="135"/>
      <c r="AM406" s="135"/>
      <c r="AN406" s="135"/>
    </row>
    <row r="407" spans="1:40" x14ac:dyDescent="0.3">
      <c r="L407" s="44"/>
      <c r="M407" s="44"/>
      <c r="N407" s="44"/>
      <c r="O407" s="44"/>
      <c r="R407" s="44"/>
      <c r="AA407" s="44"/>
      <c r="AB407" s="44"/>
      <c r="AC407" s="44"/>
      <c r="AD407" s="44"/>
      <c r="AE407" s="44"/>
      <c r="AF407" s="44"/>
      <c r="AG407" s="168"/>
      <c r="AH407" s="44"/>
      <c r="AK407" s="168"/>
      <c r="AL407" s="44"/>
      <c r="AM407" s="44"/>
      <c r="AN407" s="44"/>
    </row>
    <row r="408" spans="1:40" x14ac:dyDescent="0.3">
      <c r="L408" s="44"/>
      <c r="M408" s="44"/>
      <c r="N408" s="44"/>
      <c r="O408" s="44"/>
      <c r="R408" s="44"/>
      <c r="Z408" s="44"/>
      <c r="AA408" s="44"/>
      <c r="AB408" s="44"/>
      <c r="AC408" s="44"/>
      <c r="AD408" s="44"/>
      <c r="AE408" s="44"/>
      <c r="AF408" s="44"/>
      <c r="AG408" s="168"/>
      <c r="AH408" s="44"/>
      <c r="AK408" s="168"/>
      <c r="AL408" s="44"/>
      <c r="AM408" s="44"/>
      <c r="AN408" s="44"/>
    </row>
    <row r="409" spans="1:40" x14ac:dyDescent="0.3">
      <c r="A409" s="44"/>
      <c r="C409" s="44"/>
      <c r="D409" s="44"/>
      <c r="E409" s="44"/>
      <c r="F409" s="44"/>
      <c r="J409" s="44"/>
      <c r="K409" s="44"/>
      <c r="L409" s="44"/>
      <c r="M409" s="44"/>
      <c r="N409" s="44"/>
      <c r="O409" s="44"/>
      <c r="P409" s="44"/>
      <c r="Q409" s="44"/>
      <c r="R409" s="44"/>
      <c r="T409" s="44"/>
      <c r="U409" s="44"/>
      <c r="V409" s="44"/>
      <c r="Z409" s="44"/>
      <c r="AA409" s="44"/>
      <c r="AB409" s="44"/>
      <c r="AC409" s="44"/>
      <c r="AD409" s="44"/>
      <c r="AE409" s="44"/>
      <c r="AF409" s="44"/>
      <c r="AG409" s="168"/>
      <c r="AH409" s="44"/>
      <c r="AI409" s="44"/>
      <c r="AJ409" s="44"/>
      <c r="AK409" s="168"/>
      <c r="AL409" s="44"/>
      <c r="AM409" s="44"/>
      <c r="AN409" s="44"/>
    </row>
    <row r="410" spans="1:40" x14ac:dyDescent="0.3">
      <c r="A410" s="44"/>
      <c r="C410" s="44"/>
      <c r="D410" s="44"/>
      <c r="E410" s="44"/>
      <c r="F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T410" s="44"/>
      <c r="U410" s="44"/>
      <c r="V410" s="44"/>
      <c r="Y410" s="44"/>
      <c r="Z410" s="44"/>
      <c r="AA410" s="44"/>
      <c r="AB410" s="44"/>
      <c r="AC410" s="44"/>
      <c r="AD410" s="44"/>
      <c r="AE410" s="44"/>
      <c r="AF410" s="44"/>
      <c r="AG410" s="168"/>
      <c r="AH410" s="44"/>
      <c r="AI410" s="44"/>
      <c r="AJ410" s="44"/>
      <c r="AK410" s="168"/>
      <c r="AL410" s="44"/>
      <c r="AM410" s="44"/>
      <c r="AN410" s="44"/>
    </row>
    <row r="411" spans="1:40" x14ac:dyDescent="0.3">
      <c r="C411" s="44"/>
      <c r="D411" s="44"/>
      <c r="E411" s="44"/>
      <c r="F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T411" s="44"/>
      <c r="U411" s="44"/>
      <c r="V411" s="44"/>
      <c r="Y411" s="44"/>
      <c r="Z411" s="44"/>
      <c r="AA411" s="44"/>
      <c r="AB411" s="44"/>
      <c r="AC411" s="44"/>
      <c r="AD411" s="44"/>
      <c r="AE411" s="44"/>
      <c r="AF411" s="44"/>
      <c r="AG411" s="168"/>
      <c r="AH411" s="44"/>
      <c r="AI411" s="44"/>
      <c r="AJ411" s="44"/>
      <c r="AK411" s="168"/>
      <c r="AL411" s="44"/>
      <c r="AM411" s="44"/>
      <c r="AN411" s="44"/>
    </row>
    <row r="412" spans="1:40" x14ac:dyDescent="0.3">
      <c r="A412" s="135"/>
      <c r="B412" s="135"/>
      <c r="C412" s="135"/>
      <c r="D412" s="135"/>
      <c r="E412" s="135"/>
      <c r="F412" s="135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207"/>
      <c r="AH412" s="135"/>
      <c r="AI412" s="135"/>
      <c r="AJ412" s="135"/>
      <c r="AK412" s="207"/>
      <c r="AL412" s="135"/>
      <c r="AM412" s="135"/>
      <c r="AN412" s="135"/>
    </row>
    <row r="413" spans="1:40" x14ac:dyDescent="0.3"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Y413" s="44"/>
      <c r="Z413" s="44"/>
      <c r="AA413" s="44"/>
      <c r="AB413" s="44"/>
      <c r="AC413" s="44"/>
      <c r="AD413" s="44"/>
      <c r="AE413" s="44"/>
      <c r="AF413" s="44"/>
      <c r="AG413" s="168"/>
      <c r="AH413" s="44"/>
      <c r="AI413" s="44"/>
      <c r="AJ413" s="44"/>
      <c r="AK413" s="168"/>
      <c r="AL413" s="44"/>
      <c r="AM413" s="44"/>
      <c r="AN413" s="44"/>
    </row>
    <row r="414" spans="1:40" x14ac:dyDescent="0.3">
      <c r="C414" s="42"/>
      <c r="D414" s="42"/>
      <c r="E414" s="42"/>
      <c r="T414" s="42"/>
      <c r="U414" s="42"/>
    </row>
    <row r="415" spans="1:40" x14ac:dyDescent="0.3">
      <c r="D415" s="42"/>
      <c r="E415" s="42"/>
      <c r="U415" s="42"/>
    </row>
    <row r="417" spans="3:40" x14ac:dyDescent="0.3">
      <c r="C417" s="42"/>
      <c r="F417" s="123"/>
      <c r="J417" s="209"/>
      <c r="K417" s="209"/>
      <c r="L417" s="123"/>
      <c r="M417" s="123"/>
      <c r="R417" s="123"/>
      <c r="T417" s="42"/>
      <c r="V417" s="123"/>
      <c r="Z417" s="209"/>
      <c r="AA417" s="123"/>
      <c r="AB417" s="123"/>
      <c r="AH417" s="123"/>
      <c r="AL417" s="123"/>
    </row>
    <row r="418" spans="3:40" x14ac:dyDescent="0.3">
      <c r="C418" s="42"/>
      <c r="F418" s="123"/>
      <c r="R418" s="123"/>
      <c r="T418" s="42"/>
      <c r="V418" s="123"/>
      <c r="AH418" s="123"/>
      <c r="AL418" s="123"/>
    </row>
    <row r="419" spans="3:40" x14ac:dyDescent="0.3">
      <c r="AI419" s="123"/>
      <c r="AJ419" s="123"/>
      <c r="AL419" s="123"/>
      <c r="AM419" s="160"/>
      <c r="AN419" s="160"/>
    </row>
    <row r="420" spans="3:40" x14ac:dyDescent="0.3">
      <c r="C420" s="42"/>
      <c r="F420" s="184"/>
      <c r="H420" s="184"/>
      <c r="I420" s="184"/>
      <c r="J420" s="237"/>
      <c r="K420" s="237"/>
      <c r="L420" s="123"/>
      <c r="M420" s="123"/>
      <c r="N420" s="160"/>
      <c r="O420" s="160"/>
      <c r="P420" s="123"/>
      <c r="Q420" s="123"/>
      <c r="R420" s="123"/>
      <c r="T420" s="42"/>
      <c r="V420" s="123"/>
      <c r="Y420" s="123"/>
      <c r="Z420" s="237"/>
      <c r="AA420" s="123"/>
      <c r="AB420" s="123"/>
      <c r="AC420" s="160"/>
      <c r="AD420" s="160"/>
      <c r="AE420" s="123"/>
      <c r="AF420" s="123"/>
      <c r="AH420" s="236"/>
      <c r="AI420" s="123"/>
      <c r="AJ420" s="123"/>
      <c r="AL420" s="123"/>
      <c r="AM420" s="160"/>
      <c r="AN420" s="160"/>
    </row>
    <row r="421" spans="3:40" x14ac:dyDescent="0.3">
      <c r="F421" s="123"/>
      <c r="H421" s="123"/>
      <c r="I421" s="123"/>
      <c r="J421" s="219"/>
      <c r="K421" s="219"/>
      <c r="L421" s="123"/>
      <c r="M421" s="123"/>
      <c r="P421" s="123"/>
      <c r="Q421" s="123"/>
      <c r="R421" s="123"/>
      <c r="V421" s="123"/>
      <c r="Y421" s="123"/>
      <c r="Z421" s="219"/>
      <c r="AA421" s="123"/>
      <c r="AB421" s="123"/>
      <c r="AI421" s="123"/>
      <c r="AJ421" s="123"/>
      <c r="AL421" s="123"/>
      <c r="AM421" s="160"/>
      <c r="AN421" s="160"/>
    </row>
    <row r="422" spans="3:40" x14ac:dyDescent="0.3">
      <c r="F422" s="123"/>
      <c r="R422" s="123"/>
      <c r="V422" s="123"/>
      <c r="AL422" s="123"/>
      <c r="AM422" s="160"/>
      <c r="AN422" s="160"/>
    </row>
    <row r="423" spans="3:40" x14ac:dyDescent="0.3">
      <c r="C423" s="42"/>
      <c r="F423" s="123"/>
      <c r="J423" s="209"/>
      <c r="K423" s="209"/>
      <c r="L423" s="123"/>
      <c r="M423" s="123"/>
      <c r="N423" s="160"/>
      <c r="O423" s="160"/>
      <c r="R423" s="123"/>
      <c r="T423" s="42"/>
      <c r="V423" s="123"/>
      <c r="Z423" s="209"/>
      <c r="AA423" s="123"/>
      <c r="AB423" s="123"/>
      <c r="AC423" s="160"/>
      <c r="AD423" s="160"/>
      <c r="AL423" s="123"/>
      <c r="AM423" s="160"/>
      <c r="AN423" s="160"/>
    </row>
    <row r="424" spans="3:40" x14ac:dyDescent="0.3">
      <c r="C424" s="42"/>
      <c r="F424" s="123"/>
      <c r="H424" s="123"/>
      <c r="I424" s="123"/>
      <c r="J424" s="209"/>
      <c r="K424" s="209"/>
      <c r="L424" s="123"/>
      <c r="M424" s="123"/>
      <c r="N424" s="160"/>
      <c r="O424" s="160"/>
      <c r="P424" s="123"/>
      <c r="Q424" s="123"/>
      <c r="R424" s="123"/>
      <c r="T424" s="42"/>
      <c r="V424" s="123"/>
      <c r="Y424" s="123"/>
      <c r="Z424" s="209"/>
      <c r="AA424" s="123"/>
      <c r="AB424" s="123"/>
      <c r="AC424" s="160"/>
      <c r="AD424" s="160"/>
      <c r="AI424" s="123"/>
      <c r="AJ424" s="123"/>
      <c r="AL424" s="123"/>
      <c r="AM424" s="160"/>
      <c r="AN424" s="160"/>
    </row>
    <row r="425" spans="3:40" x14ac:dyDescent="0.3">
      <c r="C425" s="42"/>
      <c r="T425" s="42"/>
      <c r="AM425" s="160"/>
      <c r="AN425" s="160"/>
    </row>
    <row r="426" spans="3:40" x14ac:dyDescent="0.3">
      <c r="C426" s="42"/>
      <c r="T426" s="42"/>
      <c r="AM426" s="160"/>
      <c r="AN426" s="160"/>
    </row>
    <row r="427" spans="3:40" x14ac:dyDescent="0.3">
      <c r="AM427" s="160"/>
      <c r="AN427" s="160"/>
    </row>
    <row r="428" spans="3:40" x14ac:dyDescent="0.3">
      <c r="C428" s="42"/>
      <c r="F428" s="184"/>
      <c r="H428" s="184"/>
      <c r="I428" s="184"/>
      <c r="J428" s="237"/>
      <c r="K428" s="237"/>
      <c r="L428" s="123"/>
      <c r="M428" s="123"/>
      <c r="N428" s="160"/>
      <c r="O428" s="160"/>
      <c r="P428" s="123"/>
      <c r="Q428" s="123"/>
      <c r="R428" s="123"/>
      <c r="T428" s="42"/>
      <c r="V428" s="123"/>
      <c r="Y428" s="123"/>
      <c r="Z428" s="237"/>
      <c r="AA428" s="123"/>
      <c r="AB428" s="123"/>
      <c r="AC428" s="160"/>
      <c r="AD428" s="160"/>
      <c r="AE428" s="123"/>
      <c r="AF428" s="123"/>
      <c r="AH428" s="236"/>
      <c r="AI428" s="123"/>
      <c r="AJ428" s="123"/>
      <c r="AL428" s="123"/>
      <c r="AM428" s="160"/>
      <c r="AN428" s="160"/>
    </row>
    <row r="429" spans="3:40" x14ac:dyDescent="0.3">
      <c r="F429" s="210"/>
      <c r="H429" s="210"/>
      <c r="I429" s="210"/>
      <c r="J429" s="213"/>
      <c r="K429" s="213"/>
      <c r="L429" s="210"/>
      <c r="M429" s="210"/>
      <c r="N429" s="210"/>
      <c r="O429" s="210"/>
      <c r="P429" s="210"/>
      <c r="Q429" s="210"/>
      <c r="R429" s="210"/>
      <c r="V429" s="210"/>
      <c r="Y429" s="210"/>
      <c r="Z429" s="213"/>
      <c r="AA429" s="210"/>
      <c r="AB429" s="210"/>
      <c r="AC429" s="210"/>
      <c r="AD429" s="210"/>
      <c r="AE429" s="210"/>
      <c r="AF429" s="210"/>
      <c r="AI429" s="210"/>
      <c r="AJ429" s="210"/>
      <c r="AK429" s="214"/>
      <c r="AL429" s="210"/>
      <c r="AM429" s="160"/>
      <c r="AN429" s="160"/>
    </row>
    <row r="430" spans="3:40" x14ac:dyDescent="0.3">
      <c r="H430" s="123"/>
      <c r="I430" s="123"/>
      <c r="Y430" s="123"/>
      <c r="AM430" s="160"/>
      <c r="AN430" s="160"/>
    </row>
    <row r="431" spans="3:40" x14ac:dyDescent="0.3">
      <c r="C431" s="42"/>
      <c r="F431" s="123"/>
      <c r="H431" s="123"/>
      <c r="I431" s="123"/>
      <c r="L431" s="123"/>
      <c r="M431" s="123"/>
      <c r="N431" s="160"/>
      <c r="O431" s="160"/>
      <c r="P431" s="184"/>
      <c r="Q431" s="184"/>
      <c r="R431" s="123"/>
      <c r="T431" s="42"/>
      <c r="V431" s="123"/>
      <c r="Y431" s="123"/>
      <c r="AA431" s="123"/>
      <c r="AB431" s="123"/>
      <c r="AC431" s="160"/>
      <c r="AD431" s="160"/>
      <c r="AE431" s="123"/>
      <c r="AF431" s="123"/>
      <c r="AH431" s="236"/>
      <c r="AI431" s="184"/>
      <c r="AJ431" s="184"/>
      <c r="AL431" s="123"/>
      <c r="AM431" s="160"/>
      <c r="AN431" s="160"/>
    </row>
    <row r="432" spans="3:40" x14ac:dyDescent="0.3">
      <c r="F432" s="210"/>
      <c r="H432" s="210"/>
      <c r="I432" s="210"/>
      <c r="J432" s="213"/>
      <c r="K432" s="213"/>
      <c r="L432" s="210"/>
      <c r="M432" s="210"/>
      <c r="N432" s="210"/>
      <c r="O432" s="210"/>
      <c r="P432" s="210"/>
      <c r="Q432" s="210"/>
      <c r="R432" s="210"/>
      <c r="V432" s="210"/>
      <c r="Y432" s="210"/>
      <c r="Z432" s="213"/>
      <c r="AA432" s="210"/>
      <c r="AB432" s="210"/>
      <c r="AC432" s="210"/>
      <c r="AD432" s="210"/>
      <c r="AE432" s="210"/>
      <c r="AF432" s="210"/>
      <c r="AI432" s="210"/>
      <c r="AJ432" s="210"/>
      <c r="AK432" s="214"/>
      <c r="AL432" s="210"/>
      <c r="AM432" s="160"/>
      <c r="AN432" s="160"/>
    </row>
    <row r="434" spans="1:40" x14ac:dyDescent="0.3">
      <c r="F434" s="123"/>
      <c r="H434" s="123"/>
      <c r="I434" s="123"/>
      <c r="J434" s="219"/>
      <c r="K434" s="219"/>
      <c r="L434" s="123"/>
      <c r="M434" s="123"/>
      <c r="N434" s="123"/>
      <c r="O434" s="123"/>
      <c r="P434" s="123"/>
      <c r="Q434" s="123"/>
      <c r="R434" s="123"/>
      <c r="V434" s="123"/>
      <c r="Y434" s="123"/>
      <c r="Z434" s="219"/>
      <c r="AA434" s="123"/>
      <c r="AB434" s="123"/>
      <c r="AC434" s="123"/>
      <c r="AD434" s="123"/>
      <c r="AE434" s="123"/>
      <c r="AF434" s="123"/>
      <c r="AH434" s="123"/>
      <c r="AI434" s="123"/>
      <c r="AJ434" s="123"/>
      <c r="AL434" s="123"/>
    </row>
    <row r="435" spans="1:40" x14ac:dyDescent="0.3">
      <c r="A435" s="42"/>
    </row>
    <row r="437" spans="1:40" x14ac:dyDescent="0.3">
      <c r="H437" s="42"/>
      <c r="I437" s="42"/>
      <c r="Y437" s="42"/>
    </row>
    <row r="439" spans="1:40" x14ac:dyDescent="0.3">
      <c r="L439" s="42"/>
      <c r="M439" s="42"/>
      <c r="AA439" s="42"/>
      <c r="AB439" s="42"/>
    </row>
    <row r="440" spans="1:40" x14ac:dyDescent="0.3">
      <c r="R440" s="42"/>
      <c r="AK440" s="206"/>
      <c r="AL440" s="42"/>
    </row>
    <row r="441" spans="1:40" x14ac:dyDescent="0.3">
      <c r="R441" s="42"/>
      <c r="AK441" s="206"/>
      <c r="AL441" s="42"/>
    </row>
    <row r="442" spans="1:40" x14ac:dyDescent="0.3">
      <c r="A442" s="42"/>
      <c r="R442" s="42"/>
      <c r="AK442" s="206"/>
      <c r="AL442" s="42"/>
    </row>
    <row r="443" spans="1:40" x14ac:dyDescent="0.3">
      <c r="L443" s="42"/>
      <c r="M443" s="42"/>
      <c r="AA443" s="42"/>
      <c r="AB443" s="42"/>
    </row>
    <row r="444" spans="1:40" x14ac:dyDescent="0.3">
      <c r="A444" s="135"/>
      <c r="B444" s="135"/>
      <c r="C444" s="135"/>
      <c r="D444" s="135"/>
      <c r="E444" s="135"/>
      <c r="F444" s="135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207"/>
      <c r="AH444" s="135"/>
      <c r="AI444" s="135"/>
      <c r="AJ444" s="135"/>
      <c r="AK444" s="207"/>
      <c r="AL444" s="135"/>
      <c r="AM444" s="135"/>
      <c r="AN444" s="135"/>
    </row>
    <row r="445" spans="1:40" x14ac:dyDescent="0.3">
      <c r="L445" s="44"/>
      <c r="M445" s="44"/>
      <c r="N445" s="44"/>
      <c r="O445" s="44"/>
      <c r="R445" s="44"/>
      <c r="AA445" s="44"/>
      <c r="AB445" s="44"/>
      <c r="AC445" s="44"/>
      <c r="AD445" s="44"/>
      <c r="AE445" s="44"/>
      <c r="AF445" s="44"/>
      <c r="AG445" s="168"/>
      <c r="AH445" s="44"/>
      <c r="AK445" s="168"/>
      <c r="AL445" s="44"/>
      <c r="AM445" s="44"/>
      <c r="AN445" s="44"/>
    </row>
    <row r="446" spans="1:40" x14ac:dyDescent="0.3">
      <c r="L446" s="44"/>
      <c r="M446" s="44"/>
      <c r="N446" s="44"/>
      <c r="O446" s="44"/>
      <c r="R446" s="44"/>
      <c r="Z446" s="44"/>
      <c r="AA446" s="44"/>
      <c r="AB446" s="44"/>
      <c r="AC446" s="44"/>
      <c r="AD446" s="44"/>
      <c r="AE446" s="44"/>
      <c r="AF446" s="44"/>
      <c r="AG446" s="168"/>
      <c r="AH446" s="44"/>
      <c r="AK446" s="168"/>
      <c r="AL446" s="44"/>
      <c r="AM446" s="44"/>
      <c r="AN446" s="44"/>
    </row>
    <row r="447" spans="1:40" x14ac:dyDescent="0.3">
      <c r="A447" s="44"/>
      <c r="C447" s="44"/>
      <c r="D447" s="44"/>
      <c r="E447" s="44"/>
      <c r="F447" s="44"/>
      <c r="J447" s="44"/>
      <c r="K447" s="44"/>
      <c r="L447" s="44"/>
      <c r="M447" s="44"/>
      <c r="N447" s="44"/>
      <c r="O447" s="44"/>
      <c r="P447" s="44"/>
      <c r="Q447" s="44"/>
      <c r="R447" s="44"/>
      <c r="T447" s="44"/>
      <c r="U447" s="44"/>
      <c r="V447" s="44"/>
      <c r="Z447" s="44"/>
      <c r="AA447" s="44"/>
      <c r="AB447" s="44"/>
      <c r="AC447" s="44"/>
      <c r="AD447" s="44"/>
      <c r="AE447" s="44"/>
      <c r="AF447" s="44"/>
      <c r="AG447" s="168"/>
      <c r="AH447" s="44"/>
      <c r="AI447" s="44"/>
      <c r="AJ447" s="44"/>
      <c r="AK447" s="168"/>
      <c r="AL447" s="44"/>
      <c r="AM447" s="44"/>
      <c r="AN447" s="44"/>
    </row>
    <row r="448" spans="1:40" x14ac:dyDescent="0.3">
      <c r="A448" s="44"/>
      <c r="C448" s="44"/>
      <c r="D448" s="44"/>
      <c r="E448" s="44"/>
      <c r="F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T448" s="44"/>
      <c r="U448" s="44"/>
      <c r="V448" s="44"/>
      <c r="Y448" s="44"/>
      <c r="Z448" s="44"/>
      <c r="AA448" s="44"/>
      <c r="AB448" s="44"/>
      <c r="AC448" s="44"/>
      <c r="AD448" s="44"/>
      <c r="AE448" s="44"/>
      <c r="AF448" s="44"/>
      <c r="AG448" s="168"/>
      <c r="AH448" s="44"/>
      <c r="AI448" s="44"/>
      <c r="AJ448" s="44"/>
      <c r="AK448" s="168"/>
      <c r="AL448" s="44"/>
      <c r="AM448" s="44"/>
      <c r="AN448" s="44"/>
    </row>
    <row r="449" spans="1:40" x14ac:dyDescent="0.3">
      <c r="C449" s="44"/>
      <c r="D449" s="44"/>
      <c r="E449" s="44"/>
      <c r="F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T449" s="44"/>
      <c r="U449" s="44"/>
      <c r="V449" s="44"/>
      <c r="Y449" s="44"/>
      <c r="Z449" s="44"/>
      <c r="AA449" s="44"/>
      <c r="AB449" s="44"/>
      <c r="AC449" s="44"/>
      <c r="AD449" s="44"/>
      <c r="AE449" s="44"/>
      <c r="AF449" s="44"/>
      <c r="AG449" s="168"/>
      <c r="AH449" s="44"/>
      <c r="AI449" s="44"/>
      <c r="AJ449" s="44"/>
      <c r="AK449" s="168"/>
      <c r="AL449" s="44"/>
      <c r="AM449" s="44"/>
      <c r="AN449" s="44"/>
    </row>
    <row r="450" spans="1:40" x14ac:dyDescent="0.3">
      <c r="A450" s="135"/>
      <c r="B450" s="135"/>
      <c r="C450" s="135"/>
      <c r="D450" s="135"/>
      <c r="E450" s="135"/>
      <c r="F450" s="135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207"/>
      <c r="AH450" s="135"/>
      <c r="AI450" s="135"/>
      <c r="AJ450" s="135"/>
      <c r="AK450" s="207"/>
      <c r="AL450" s="135"/>
      <c r="AM450" s="135"/>
      <c r="AN450" s="135"/>
    </row>
    <row r="451" spans="1:40" x14ac:dyDescent="0.3"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Y451" s="44"/>
      <c r="Z451" s="44"/>
      <c r="AA451" s="44"/>
      <c r="AB451" s="44"/>
      <c r="AC451" s="44"/>
      <c r="AD451" s="44"/>
      <c r="AE451" s="44"/>
      <c r="AF451" s="44"/>
      <c r="AG451" s="168"/>
      <c r="AH451" s="44"/>
      <c r="AI451" s="44"/>
      <c r="AJ451" s="44"/>
      <c r="AK451" s="168"/>
      <c r="AL451" s="44"/>
      <c r="AM451" s="44"/>
      <c r="AN451" s="44"/>
    </row>
    <row r="452" spans="1:40" x14ac:dyDescent="0.3">
      <c r="C452" s="42"/>
      <c r="D452" s="42"/>
      <c r="E452" s="42"/>
      <c r="T452" s="42"/>
      <c r="U452" s="42"/>
      <c r="V452" s="123"/>
      <c r="W452" s="123"/>
      <c r="X452" s="123"/>
      <c r="Y452" s="123"/>
      <c r="Z452" s="237"/>
    </row>
    <row r="454" spans="1:40" x14ac:dyDescent="0.3">
      <c r="C454" s="42"/>
      <c r="T454" s="42"/>
      <c r="V454" s="123"/>
      <c r="W454" s="123"/>
      <c r="X454" s="123"/>
      <c r="Y454" s="123"/>
      <c r="Z454" s="237"/>
    </row>
    <row r="455" spans="1:40" x14ac:dyDescent="0.3">
      <c r="C455" s="42"/>
      <c r="F455" s="184"/>
      <c r="H455" s="184"/>
      <c r="I455" s="184"/>
      <c r="J455" s="238"/>
      <c r="K455" s="238"/>
      <c r="L455" s="123"/>
      <c r="M455" s="123"/>
      <c r="N455" s="160"/>
      <c r="O455" s="160"/>
      <c r="P455" s="123"/>
      <c r="Q455" s="123"/>
      <c r="R455" s="123"/>
      <c r="T455" s="42"/>
      <c r="V455" s="123"/>
      <c r="W455" s="123"/>
      <c r="X455" s="123"/>
      <c r="Y455" s="123"/>
      <c r="Z455" s="238"/>
      <c r="AA455" s="123"/>
      <c r="AB455" s="123"/>
      <c r="AC455" s="160"/>
      <c r="AD455" s="160"/>
      <c r="AE455" s="123"/>
      <c r="AF455" s="123"/>
      <c r="AH455" s="236"/>
      <c r="AI455" s="123"/>
      <c r="AJ455" s="123"/>
      <c r="AL455" s="123"/>
      <c r="AM455" s="160"/>
      <c r="AN455" s="160"/>
    </row>
    <row r="456" spans="1:40" x14ac:dyDescent="0.3">
      <c r="C456" s="42"/>
      <c r="F456" s="184"/>
      <c r="H456" s="184"/>
      <c r="I456" s="184"/>
      <c r="J456" s="238"/>
      <c r="K456" s="238"/>
      <c r="L456" s="123"/>
      <c r="M456" s="123"/>
      <c r="N456" s="160"/>
      <c r="O456" s="160"/>
      <c r="P456" s="123"/>
      <c r="Q456" s="123"/>
      <c r="R456" s="123"/>
      <c r="T456" s="42"/>
      <c r="V456" s="123"/>
      <c r="W456" s="123"/>
      <c r="X456" s="123"/>
      <c r="Y456" s="123"/>
      <c r="Z456" s="238"/>
      <c r="AA456" s="123"/>
      <c r="AB456" s="123"/>
      <c r="AC456" s="160"/>
      <c r="AD456" s="160"/>
      <c r="AE456" s="123"/>
      <c r="AF456" s="123"/>
      <c r="AH456" s="236"/>
      <c r="AI456" s="123"/>
      <c r="AJ456" s="123"/>
      <c r="AL456" s="123"/>
      <c r="AM456" s="160"/>
      <c r="AN456" s="160"/>
    </row>
    <row r="457" spans="1:40" x14ac:dyDescent="0.3">
      <c r="C457" s="42"/>
      <c r="F457" s="184"/>
      <c r="H457" s="184"/>
      <c r="I457" s="184"/>
      <c r="J457" s="238"/>
      <c r="K457" s="238"/>
      <c r="L457" s="123"/>
      <c r="M457" s="123"/>
      <c r="N457" s="160"/>
      <c r="O457" s="160"/>
      <c r="P457" s="123"/>
      <c r="Q457" s="123"/>
      <c r="R457" s="123"/>
      <c r="T457" s="42"/>
      <c r="V457" s="123"/>
      <c r="W457" s="123"/>
      <c r="X457" s="123"/>
      <c r="Y457" s="123"/>
      <c r="Z457" s="238"/>
      <c r="AA457" s="123"/>
      <c r="AB457" s="123"/>
      <c r="AC457" s="160"/>
      <c r="AD457" s="160"/>
      <c r="AE457" s="123"/>
      <c r="AF457" s="123"/>
      <c r="AH457" s="236"/>
      <c r="AI457" s="123"/>
      <c r="AJ457" s="123"/>
      <c r="AL457" s="123"/>
      <c r="AM457" s="160"/>
      <c r="AN457" s="160"/>
    </row>
    <row r="458" spans="1:40" x14ac:dyDescent="0.3">
      <c r="C458" s="42"/>
      <c r="F458" s="184"/>
      <c r="H458" s="184"/>
      <c r="I458" s="184"/>
      <c r="J458" s="238"/>
      <c r="K458" s="238"/>
      <c r="L458" s="123"/>
      <c r="M458" s="123"/>
      <c r="N458" s="160"/>
      <c r="O458" s="160"/>
      <c r="P458" s="123"/>
      <c r="Q458" s="123"/>
      <c r="R458" s="123"/>
      <c r="T458" s="42"/>
      <c r="V458" s="123"/>
      <c r="W458" s="123"/>
      <c r="X458" s="123"/>
      <c r="Y458" s="123"/>
      <c r="Z458" s="238"/>
      <c r="AA458" s="123"/>
      <c r="AB458" s="123"/>
      <c r="AC458" s="160"/>
      <c r="AD458" s="160"/>
      <c r="AE458" s="123"/>
      <c r="AF458" s="123"/>
      <c r="AH458" s="236"/>
      <c r="AI458" s="123"/>
      <c r="AJ458" s="123"/>
      <c r="AL458" s="123"/>
      <c r="AM458" s="160"/>
      <c r="AN458" s="160"/>
    </row>
    <row r="459" spans="1:40" x14ac:dyDescent="0.3">
      <c r="J459" s="188"/>
      <c r="K459" s="188"/>
      <c r="V459" s="123"/>
      <c r="W459" s="123"/>
      <c r="X459" s="123"/>
      <c r="Y459" s="123"/>
      <c r="Z459" s="238"/>
    </row>
    <row r="460" spans="1:40" x14ac:dyDescent="0.3">
      <c r="C460" s="42"/>
      <c r="F460" s="184"/>
      <c r="H460" s="184"/>
      <c r="I460" s="184"/>
      <c r="J460" s="238"/>
      <c r="K460" s="238"/>
      <c r="L460" s="123"/>
      <c r="M460" s="123"/>
      <c r="N460" s="160"/>
      <c r="O460" s="160"/>
      <c r="P460" s="123"/>
      <c r="Q460" s="123"/>
      <c r="R460" s="123"/>
      <c r="T460" s="42"/>
      <c r="V460" s="123"/>
      <c r="W460" s="123"/>
      <c r="X460" s="123"/>
      <c r="Y460" s="123"/>
      <c r="Z460" s="238"/>
      <c r="AA460" s="123"/>
      <c r="AB460" s="123"/>
      <c r="AC460" s="160"/>
      <c r="AD460" s="160"/>
      <c r="AE460" s="123"/>
      <c r="AF460" s="123"/>
      <c r="AH460" s="236"/>
      <c r="AI460" s="123"/>
      <c r="AJ460" s="123"/>
      <c r="AL460" s="123"/>
      <c r="AM460" s="236"/>
      <c r="AN460" s="236"/>
    </row>
    <row r="461" spans="1:40" x14ac:dyDescent="0.3">
      <c r="C461" s="42"/>
      <c r="J461" s="188"/>
      <c r="K461" s="188"/>
      <c r="T461" s="42"/>
      <c r="V461" s="123"/>
      <c r="W461" s="123"/>
      <c r="X461" s="123"/>
      <c r="Y461" s="123"/>
      <c r="Z461" s="238"/>
    </row>
    <row r="462" spans="1:40" x14ac:dyDescent="0.3">
      <c r="C462" s="42"/>
      <c r="F462" s="184"/>
      <c r="H462" s="184"/>
      <c r="I462" s="184"/>
      <c r="J462" s="238"/>
      <c r="K462" s="238"/>
      <c r="L462" s="123"/>
      <c r="M462" s="123"/>
      <c r="N462" s="160"/>
      <c r="O462" s="160"/>
      <c r="P462" s="123"/>
      <c r="Q462" s="123"/>
      <c r="R462" s="123"/>
      <c r="T462" s="42"/>
      <c r="V462" s="123"/>
      <c r="W462" s="123"/>
      <c r="X462" s="123"/>
      <c r="Y462" s="123"/>
      <c r="Z462" s="238"/>
      <c r="AA462" s="123"/>
      <c r="AB462" s="123"/>
      <c r="AC462" s="160"/>
      <c r="AD462" s="160"/>
      <c r="AE462" s="123"/>
      <c r="AF462" s="123"/>
      <c r="AH462" s="236"/>
      <c r="AI462" s="123"/>
      <c r="AJ462" s="123"/>
      <c r="AL462" s="123"/>
      <c r="AM462" s="236"/>
      <c r="AN462" s="236"/>
    </row>
    <row r="463" spans="1:40" x14ac:dyDescent="0.3">
      <c r="J463" s="188"/>
      <c r="K463" s="188"/>
      <c r="Z463" s="188"/>
    </row>
    <row r="464" spans="1:40" x14ac:dyDescent="0.3">
      <c r="C464" s="42"/>
      <c r="J464" s="188"/>
      <c r="K464" s="188"/>
      <c r="T464" s="42"/>
      <c r="V464" s="123"/>
      <c r="W464" s="123"/>
      <c r="X464" s="123"/>
      <c r="Y464" s="123"/>
      <c r="Z464" s="238"/>
    </row>
    <row r="465" spans="1:40" x14ac:dyDescent="0.3">
      <c r="C465" s="42"/>
      <c r="F465" s="184"/>
      <c r="H465" s="184"/>
      <c r="I465" s="184"/>
      <c r="J465" s="238"/>
      <c r="K465" s="238"/>
      <c r="L465" s="123"/>
      <c r="M465" s="123"/>
      <c r="N465" s="160"/>
      <c r="O465" s="160"/>
      <c r="P465" s="123"/>
      <c r="Q465" s="123"/>
      <c r="R465" s="123"/>
      <c r="T465" s="42"/>
      <c r="V465" s="123"/>
      <c r="W465" s="123"/>
      <c r="X465" s="123"/>
      <c r="Y465" s="123"/>
      <c r="Z465" s="238"/>
      <c r="AA465" s="123"/>
      <c r="AB465" s="123"/>
      <c r="AC465" s="160"/>
      <c r="AD465" s="160"/>
      <c r="AE465" s="123"/>
      <c r="AF465" s="123"/>
      <c r="AH465" s="236"/>
      <c r="AI465" s="123"/>
      <c r="AJ465" s="123"/>
      <c r="AL465" s="123"/>
      <c r="AM465" s="236"/>
      <c r="AN465" s="236"/>
    </row>
    <row r="466" spans="1:40" x14ac:dyDescent="0.3">
      <c r="C466" s="42"/>
      <c r="F466" s="184"/>
      <c r="H466" s="184"/>
      <c r="I466" s="184"/>
      <c r="J466" s="238"/>
      <c r="K466" s="238"/>
      <c r="L466" s="123"/>
      <c r="M466" s="123"/>
      <c r="N466" s="160"/>
      <c r="O466" s="160"/>
      <c r="P466" s="123"/>
      <c r="Q466" s="123"/>
      <c r="R466" s="123"/>
      <c r="T466" s="42"/>
      <c r="V466" s="123"/>
      <c r="W466" s="123"/>
      <c r="X466" s="123"/>
      <c r="Y466" s="123"/>
      <c r="Z466" s="238"/>
      <c r="AA466" s="123"/>
      <c r="AB466" s="123"/>
      <c r="AC466" s="160"/>
      <c r="AD466" s="160"/>
      <c r="AE466" s="123"/>
      <c r="AF466" s="123"/>
      <c r="AH466" s="236"/>
      <c r="AI466" s="123"/>
      <c r="AJ466" s="123"/>
      <c r="AL466" s="123"/>
      <c r="AM466" s="236"/>
      <c r="AN466" s="236"/>
    </row>
    <row r="467" spans="1:40" x14ac:dyDescent="0.3">
      <c r="F467" s="210"/>
      <c r="H467" s="210"/>
      <c r="I467" s="210"/>
      <c r="J467" s="238"/>
      <c r="K467" s="238"/>
      <c r="L467" s="210"/>
      <c r="M467" s="210"/>
      <c r="N467" s="210"/>
      <c r="O467" s="210"/>
      <c r="P467" s="210"/>
      <c r="Q467" s="210"/>
      <c r="R467" s="210"/>
      <c r="V467" s="210"/>
      <c r="Y467" s="210"/>
      <c r="Z467" s="213"/>
      <c r="AA467" s="210"/>
      <c r="AB467" s="210"/>
      <c r="AC467" s="210"/>
      <c r="AD467" s="210"/>
      <c r="AE467" s="210"/>
      <c r="AF467" s="210"/>
      <c r="AI467" s="210"/>
      <c r="AJ467" s="210"/>
      <c r="AK467" s="214"/>
      <c r="AL467" s="210"/>
    </row>
    <row r="468" spans="1:40" x14ac:dyDescent="0.3">
      <c r="C468" s="42"/>
      <c r="F468" s="123"/>
      <c r="H468" s="123"/>
      <c r="I468" s="123"/>
      <c r="L468" s="123"/>
      <c r="M468" s="123"/>
      <c r="N468" s="160"/>
      <c r="O468" s="160"/>
      <c r="P468" s="184"/>
      <c r="Q468" s="184"/>
      <c r="R468" s="123"/>
      <c r="T468" s="42"/>
      <c r="V468" s="123"/>
      <c r="W468" s="123"/>
      <c r="X468" s="123"/>
      <c r="Y468" s="123"/>
      <c r="Z468" s="237"/>
      <c r="AA468" s="123"/>
      <c r="AB468" s="123"/>
      <c r="AC468" s="160"/>
      <c r="AD468" s="160"/>
      <c r="AE468" s="123"/>
      <c r="AF468" s="123"/>
      <c r="AH468" s="236"/>
      <c r="AI468" s="184"/>
      <c r="AJ468" s="184"/>
      <c r="AL468" s="123"/>
      <c r="AM468" s="236"/>
      <c r="AN468" s="236"/>
    </row>
    <row r="469" spans="1:40" x14ac:dyDescent="0.3">
      <c r="F469" s="210"/>
      <c r="H469" s="210"/>
      <c r="I469" s="210"/>
      <c r="J469" s="213"/>
      <c r="K469" s="213"/>
      <c r="L469" s="210"/>
      <c r="M469" s="210"/>
      <c r="N469" s="210"/>
      <c r="O469" s="210"/>
      <c r="P469" s="210"/>
      <c r="Q469" s="210"/>
      <c r="R469" s="210"/>
      <c r="V469" s="210"/>
      <c r="Y469" s="210"/>
      <c r="Z469" s="213"/>
      <c r="AA469" s="210"/>
      <c r="AB469" s="210"/>
      <c r="AC469" s="210"/>
      <c r="AD469" s="210"/>
      <c r="AE469" s="210"/>
      <c r="AF469" s="210"/>
      <c r="AI469" s="210"/>
      <c r="AJ469" s="210"/>
      <c r="AK469" s="214"/>
      <c r="AL469" s="210"/>
    </row>
    <row r="472" spans="1:40" x14ac:dyDescent="0.3">
      <c r="A472" s="42"/>
    </row>
    <row r="474" spans="1:40" x14ac:dyDescent="0.3">
      <c r="H474" s="42"/>
      <c r="I474" s="42"/>
      <c r="Y474" s="42"/>
    </row>
    <row r="476" spans="1:40" x14ac:dyDescent="0.3">
      <c r="L476" s="42"/>
      <c r="M476" s="42"/>
      <c r="AA476" s="42"/>
      <c r="AB476" s="42"/>
    </row>
    <row r="477" spans="1:40" x14ac:dyDescent="0.3">
      <c r="R477" s="42"/>
      <c r="AK477" s="206"/>
      <c r="AL477" s="42"/>
    </row>
    <row r="478" spans="1:40" x14ac:dyDescent="0.3">
      <c r="R478" s="42"/>
      <c r="AK478" s="206"/>
      <c r="AL478" s="42"/>
    </row>
    <row r="479" spans="1:40" x14ac:dyDescent="0.3">
      <c r="A479" s="42"/>
      <c r="R479" s="42"/>
      <c r="AK479" s="206"/>
      <c r="AL479" s="42"/>
    </row>
    <row r="480" spans="1:40" x14ac:dyDescent="0.3">
      <c r="L480" s="42"/>
      <c r="M480" s="42"/>
      <c r="AA480" s="42"/>
      <c r="AB480" s="42"/>
    </row>
    <row r="481" spans="1:40" x14ac:dyDescent="0.3">
      <c r="A481" s="135"/>
      <c r="B481" s="135"/>
      <c r="C481" s="135"/>
      <c r="D481" s="135"/>
      <c r="E481" s="135"/>
      <c r="F481" s="135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207"/>
      <c r="AH481" s="135"/>
      <c r="AI481" s="135"/>
      <c r="AJ481" s="135"/>
      <c r="AK481" s="207"/>
      <c r="AL481" s="135"/>
      <c r="AM481" s="135"/>
      <c r="AN481" s="135"/>
    </row>
    <row r="482" spans="1:40" x14ac:dyDescent="0.3">
      <c r="L482" s="44"/>
      <c r="M482" s="44"/>
      <c r="N482" s="44"/>
      <c r="O482" s="44"/>
      <c r="R482" s="44"/>
      <c r="AA482" s="44"/>
      <c r="AB482" s="44"/>
      <c r="AC482" s="44"/>
      <c r="AD482" s="44"/>
      <c r="AE482" s="44"/>
      <c r="AF482" s="44"/>
      <c r="AG482" s="168"/>
      <c r="AH482" s="44"/>
      <c r="AK482" s="168"/>
      <c r="AL482" s="44"/>
      <c r="AM482" s="44"/>
      <c r="AN482" s="44"/>
    </row>
    <row r="483" spans="1:40" x14ac:dyDescent="0.3">
      <c r="L483" s="44"/>
      <c r="M483" s="44"/>
      <c r="N483" s="44"/>
      <c r="O483" s="44"/>
      <c r="R483" s="44"/>
      <c r="Z483" s="44"/>
      <c r="AA483" s="44"/>
      <c r="AB483" s="44"/>
      <c r="AC483" s="44"/>
      <c r="AD483" s="44"/>
      <c r="AE483" s="44"/>
      <c r="AF483" s="44"/>
      <c r="AG483" s="168"/>
      <c r="AH483" s="44"/>
      <c r="AK483" s="168"/>
      <c r="AL483" s="44"/>
      <c r="AM483" s="44"/>
      <c r="AN483" s="44"/>
    </row>
    <row r="484" spans="1:40" x14ac:dyDescent="0.3">
      <c r="A484" s="44"/>
      <c r="C484" s="44"/>
      <c r="D484" s="44"/>
      <c r="E484" s="44"/>
      <c r="F484" s="44"/>
      <c r="J484" s="44"/>
      <c r="K484" s="44"/>
      <c r="L484" s="44"/>
      <c r="M484" s="44"/>
      <c r="N484" s="44"/>
      <c r="O484" s="44"/>
      <c r="P484" s="44"/>
      <c r="Q484" s="44"/>
      <c r="R484" s="44"/>
      <c r="T484" s="44"/>
      <c r="U484" s="44"/>
      <c r="V484" s="44"/>
      <c r="Z484" s="44"/>
      <c r="AA484" s="44"/>
      <c r="AB484" s="44"/>
      <c r="AC484" s="44"/>
      <c r="AD484" s="44"/>
      <c r="AE484" s="44"/>
      <c r="AF484" s="44"/>
      <c r="AG484" s="168"/>
      <c r="AH484" s="44"/>
      <c r="AI484" s="44"/>
      <c r="AJ484" s="44"/>
      <c r="AK484" s="168"/>
      <c r="AL484" s="44"/>
      <c r="AM484" s="44"/>
      <c r="AN484" s="44"/>
    </row>
    <row r="485" spans="1:40" x14ac:dyDescent="0.3">
      <c r="A485" s="44"/>
      <c r="C485" s="44"/>
      <c r="D485" s="44"/>
      <c r="E485" s="44"/>
      <c r="F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T485" s="44"/>
      <c r="U485" s="44"/>
      <c r="V485" s="44"/>
      <c r="Y485" s="44"/>
      <c r="Z485" s="44"/>
      <c r="AA485" s="44"/>
      <c r="AB485" s="44"/>
      <c r="AC485" s="44"/>
      <c r="AD485" s="44"/>
      <c r="AE485" s="44"/>
      <c r="AF485" s="44"/>
      <c r="AG485" s="168"/>
      <c r="AH485" s="44"/>
      <c r="AI485" s="44"/>
      <c r="AJ485" s="44"/>
      <c r="AK485" s="168"/>
      <c r="AL485" s="44"/>
      <c r="AM485" s="44"/>
      <c r="AN485" s="44"/>
    </row>
    <row r="486" spans="1:40" x14ac:dyDescent="0.3">
      <c r="C486" s="44"/>
      <c r="D486" s="44"/>
      <c r="E486" s="44"/>
      <c r="F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T486" s="44"/>
      <c r="U486" s="44"/>
      <c r="V486" s="44"/>
      <c r="Y486" s="44"/>
      <c r="Z486" s="44"/>
      <c r="AA486" s="44"/>
      <c r="AB486" s="44"/>
      <c r="AC486" s="44"/>
      <c r="AD486" s="44"/>
      <c r="AE486" s="44"/>
      <c r="AF486" s="44"/>
      <c r="AG486" s="168"/>
      <c r="AH486" s="44"/>
      <c r="AI486" s="44"/>
      <c r="AJ486" s="44"/>
      <c r="AK486" s="168"/>
      <c r="AL486" s="44"/>
      <c r="AM486" s="44"/>
      <c r="AN486" s="44"/>
    </row>
    <row r="487" spans="1:40" x14ac:dyDescent="0.3">
      <c r="A487" s="135"/>
      <c r="B487" s="135"/>
      <c r="C487" s="135"/>
      <c r="D487" s="135"/>
      <c r="E487" s="135"/>
      <c r="F487" s="135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207"/>
      <c r="AH487" s="135"/>
      <c r="AI487" s="135"/>
      <c r="AJ487" s="135"/>
      <c r="AK487" s="207"/>
      <c r="AL487" s="135"/>
      <c r="AM487" s="135"/>
      <c r="AN487" s="135"/>
    </row>
    <row r="488" spans="1:40" x14ac:dyDescent="0.3"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Y488" s="44"/>
      <c r="Z488" s="44"/>
      <c r="AA488" s="44"/>
      <c r="AB488" s="44"/>
      <c r="AC488" s="44"/>
      <c r="AD488" s="44"/>
      <c r="AE488" s="44"/>
      <c r="AF488" s="44"/>
      <c r="AG488" s="168"/>
      <c r="AH488" s="44"/>
      <c r="AI488" s="44"/>
      <c r="AJ488" s="44"/>
      <c r="AK488" s="168"/>
      <c r="AL488" s="44"/>
      <c r="AM488" s="44"/>
      <c r="AN488" s="44"/>
    </row>
    <row r="489" spans="1:40" x14ac:dyDescent="0.3">
      <c r="C489" s="42"/>
      <c r="D489" s="42"/>
      <c r="E489" s="42"/>
      <c r="T489" s="42"/>
      <c r="U489" s="42"/>
    </row>
    <row r="491" spans="1:40" x14ac:dyDescent="0.3">
      <c r="C491" s="42"/>
      <c r="T491" s="42"/>
    </row>
    <row r="492" spans="1:40" x14ac:dyDescent="0.3">
      <c r="C492" s="42"/>
      <c r="T492" s="42"/>
    </row>
    <row r="493" spans="1:40" x14ac:dyDescent="0.3">
      <c r="C493" s="42"/>
      <c r="F493" s="184"/>
      <c r="H493" s="184"/>
      <c r="I493" s="184"/>
      <c r="J493" s="238"/>
      <c r="K493" s="238"/>
      <c r="L493" s="123"/>
      <c r="M493" s="123"/>
      <c r="N493" s="160"/>
      <c r="O493" s="160"/>
      <c r="P493" s="123"/>
      <c r="Q493" s="123"/>
      <c r="R493" s="123"/>
      <c r="T493" s="42"/>
      <c r="V493" s="123"/>
      <c r="W493" s="123"/>
      <c r="X493" s="123"/>
      <c r="Y493" s="123"/>
      <c r="Z493" s="238"/>
      <c r="AA493" s="123"/>
      <c r="AB493" s="123"/>
      <c r="AC493" s="160"/>
      <c r="AD493" s="160"/>
      <c r="AE493" s="123"/>
      <c r="AF493" s="123"/>
      <c r="AH493" s="236"/>
      <c r="AI493" s="123"/>
      <c r="AJ493" s="123"/>
      <c r="AL493" s="123"/>
      <c r="AM493" s="236"/>
      <c r="AN493" s="236"/>
    </row>
    <row r="494" spans="1:40" x14ac:dyDescent="0.3">
      <c r="C494" s="42"/>
      <c r="F494" s="123"/>
      <c r="H494" s="123"/>
      <c r="I494" s="123"/>
      <c r="J494" s="188"/>
      <c r="K494" s="188"/>
      <c r="L494" s="123"/>
      <c r="M494" s="123"/>
      <c r="N494" s="160"/>
      <c r="O494" s="160"/>
      <c r="P494" s="123"/>
      <c r="Q494" s="123"/>
      <c r="R494" s="123"/>
      <c r="T494" s="42"/>
      <c r="V494" s="123"/>
      <c r="W494" s="123"/>
      <c r="X494" s="123"/>
      <c r="Y494" s="123"/>
      <c r="Z494" s="188"/>
      <c r="AA494" s="123"/>
      <c r="AB494" s="123"/>
      <c r="AC494" s="160"/>
      <c r="AD494" s="160"/>
      <c r="AE494" s="123"/>
      <c r="AF494" s="123"/>
      <c r="AH494" s="236"/>
      <c r="AI494" s="123"/>
      <c r="AJ494" s="123"/>
      <c r="AL494" s="123"/>
      <c r="AM494" s="236"/>
      <c r="AN494" s="236"/>
    </row>
    <row r="495" spans="1:40" x14ac:dyDescent="0.3">
      <c r="C495" s="42"/>
      <c r="F495" s="123"/>
      <c r="H495" s="123"/>
      <c r="I495" s="123"/>
      <c r="J495" s="188"/>
      <c r="K495" s="188"/>
      <c r="L495" s="123"/>
      <c r="M495" s="123"/>
      <c r="N495" s="160"/>
      <c r="O495" s="160"/>
      <c r="P495" s="123"/>
      <c r="Q495" s="123"/>
      <c r="R495" s="123"/>
      <c r="T495" s="42"/>
      <c r="V495" s="123"/>
      <c r="W495" s="123"/>
      <c r="X495" s="123"/>
      <c r="Y495" s="123"/>
      <c r="Z495" s="188"/>
      <c r="AA495" s="123"/>
      <c r="AB495" s="123"/>
      <c r="AC495" s="160"/>
      <c r="AD495" s="160"/>
      <c r="AE495" s="123"/>
      <c r="AF495" s="123"/>
      <c r="AH495" s="236"/>
      <c r="AI495" s="123"/>
      <c r="AJ495" s="123"/>
      <c r="AL495" s="123"/>
      <c r="AM495" s="236"/>
      <c r="AN495" s="236"/>
    </row>
    <row r="496" spans="1:40" x14ac:dyDescent="0.3">
      <c r="C496" s="42"/>
      <c r="F496" s="123"/>
      <c r="H496" s="123"/>
      <c r="I496" s="123"/>
      <c r="J496" s="188"/>
      <c r="K496" s="188"/>
      <c r="T496" s="42"/>
      <c r="V496" s="123"/>
      <c r="Z496" s="188"/>
    </row>
    <row r="497" spans="3:40" x14ac:dyDescent="0.3">
      <c r="C497" s="42"/>
      <c r="F497" s="184"/>
      <c r="H497" s="184"/>
      <c r="I497" s="184"/>
      <c r="J497" s="238"/>
      <c r="K497" s="238"/>
      <c r="L497" s="123"/>
      <c r="M497" s="123"/>
      <c r="N497" s="160"/>
      <c r="O497" s="160"/>
      <c r="P497" s="123"/>
      <c r="Q497" s="123"/>
      <c r="R497" s="123"/>
      <c r="T497" s="42"/>
      <c r="V497" s="123"/>
      <c r="W497" s="123"/>
      <c r="X497" s="123"/>
      <c r="Y497" s="123"/>
      <c r="Z497" s="238"/>
      <c r="AA497" s="123"/>
      <c r="AB497" s="123"/>
      <c r="AC497" s="160"/>
      <c r="AD497" s="160"/>
      <c r="AE497" s="123"/>
      <c r="AF497" s="123"/>
      <c r="AH497" s="236"/>
      <c r="AI497" s="123"/>
      <c r="AJ497" s="123"/>
      <c r="AL497" s="123"/>
      <c r="AM497" s="236"/>
      <c r="AN497" s="236"/>
    </row>
    <row r="498" spans="3:40" x14ac:dyDescent="0.3">
      <c r="C498" s="42"/>
      <c r="F498" s="123"/>
      <c r="H498" s="123"/>
      <c r="I498" s="123"/>
      <c r="J498" s="188"/>
      <c r="K498" s="188"/>
      <c r="T498" s="42"/>
      <c r="V498" s="123"/>
      <c r="W498" s="123"/>
      <c r="X498" s="123"/>
      <c r="Y498" s="123"/>
      <c r="Z498" s="188"/>
      <c r="AC498" s="160"/>
      <c r="AD498" s="160"/>
      <c r="AE498" s="123"/>
      <c r="AF498" s="123"/>
      <c r="AH498" s="236"/>
      <c r="AI498" s="123"/>
      <c r="AJ498" s="123"/>
      <c r="AL498" s="123"/>
      <c r="AM498" s="236"/>
      <c r="AN498" s="236"/>
    </row>
    <row r="499" spans="3:40" x14ac:dyDescent="0.3">
      <c r="C499" s="42"/>
      <c r="F499" s="184"/>
      <c r="H499" s="184"/>
      <c r="I499" s="184"/>
      <c r="J499" s="238"/>
      <c r="K499" s="238"/>
      <c r="L499" s="123"/>
      <c r="M499" s="123"/>
      <c r="N499" s="160"/>
      <c r="O499" s="160"/>
      <c r="P499" s="123"/>
      <c r="Q499" s="123"/>
      <c r="R499" s="123"/>
      <c r="T499" s="42"/>
      <c r="V499" s="123"/>
      <c r="W499" s="123"/>
      <c r="X499" s="123"/>
      <c r="Y499" s="123"/>
      <c r="Z499" s="238"/>
      <c r="AA499" s="123"/>
      <c r="AB499" s="123"/>
      <c r="AC499" s="160"/>
      <c r="AD499" s="160"/>
      <c r="AE499" s="123"/>
      <c r="AF499" s="123"/>
      <c r="AH499" s="236"/>
      <c r="AI499" s="123"/>
      <c r="AJ499" s="123"/>
      <c r="AL499" s="123"/>
      <c r="AM499" s="236"/>
      <c r="AN499" s="236"/>
    </row>
    <row r="500" spans="3:40" x14ac:dyDescent="0.3">
      <c r="C500" s="42"/>
      <c r="F500" s="123"/>
      <c r="H500" s="123"/>
      <c r="I500" s="123"/>
      <c r="J500" s="188"/>
      <c r="K500" s="188"/>
      <c r="L500" s="123"/>
      <c r="M500" s="123"/>
      <c r="N500" s="160"/>
      <c r="O500" s="160"/>
      <c r="P500" s="123"/>
      <c r="Q500" s="123"/>
      <c r="R500" s="123"/>
      <c r="T500" s="42"/>
      <c r="V500" s="123"/>
      <c r="W500" s="123"/>
      <c r="X500" s="123"/>
      <c r="Y500" s="123"/>
      <c r="Z500" s="188"/>
      <c r="AA500" s="123"/>
      <c r="AB500" s="123"/>
      <c r="AC500" s="160"/>
      <c r="AD500" s="160"/>
      <c r="AE500" s="123"/>
      <c r="AF500" s="123"/>
      <c r="AH500" s="236"/>
      <c r="AI500" s="123"/>
      <c r="AJ500" s="123"/>
      <c r="AL500" s="123"/>
      <c r="AM500" s="236"/>
      <c r="AN500" s="236"/>
    </row>
    <row r="501" spans="3:40" x14ac:dyDescent="0.3">
      <c r="F501" s="123"/>
      <c r="H501" s="123"/>
      <c r="I501" s="123"/>
      <c r="J501" s="188"/>
      <c r="K501" s="188"/>
      <c r="Z501" s="188"/>
    </row>
    <row r="502" spans="3:40" x14ac:dyDescent="0.3">
      <c r="C502" s="42"/>
      <c r="F502" s="123"/>
      <c r="H502" s="184"/>
      <c r="I502" s="184"/>
      <c r="J502" s="238"/>
      <c r="K502" s="238"/>
      <c r="L502" s="123"/>
      <c r="M502" s="123"/>
      <c r="N502" s="160"/>
      <c r="O502" s="160"/>
      <c r="P502" s="123"/>
      <c r="Q502" s="123"/>
      <c r="R502" s="123"/>
      <c r="T502" s="42"/>
      <c r="V502" s="123"/>
      <c r="W502" s="123"/>
      <c r="X502" s="123"/>
      <c r="Y502" s="123"/>
      <c r="Z502" s="238"/>
      <c r="AA502" s="123"/>
      <c r="AB502" s="123"/>
      <c r="AC502" s="160"/>
      <c r="AD502" s="160"/>
      <c r="AE502" s="123"/>
      <c r="AF502" s="123"/>
      <c r="AH502" s="236"/>
      <c r="AI502" s="123"/>
      <c r="AJ502" s="123"/>
      <c r="AL502" s="123"/>
      <c r="AM502" s="236"/>
      <c r="AN502" s="236"/>
    </row>
    <row r="503" spans="3:40" x14ac:dyDescent="0.3">
      <c r="F503" s="210"/>
      <c r="H503" s="210"/>
      <c r="I503" s="210"/>
      <c r="J503" s="238"/>
      <c r="K503" s="238"/>
      <c r="L503" s="210"/>
      <c r="M503" s="210"/>
      <c r="N503" s="210"/>
      <c r="O503" s="210"/>
      <c r="P503" s="210"/>
      <c r="Q503" s="210"/>
      <c r="R503" s="210"/>
      <c r="V503" s="210"/>
      <c r="Y503" s="210"/>
      <c r="Z503" s="238"/>
      <c r="AA503" s="210"/>
      <c r="AB503" s="210"/>
      <c r="AC503" s="210"/>
      <c r="AD503" s="210"/>
      <c r="AE503" s="210"/>
      <c r="AF503" s="210"/>
      <c r="AI503" s="210"/>
      <c r="AJ503" s="210"/>
      <c r="AK503" s="214"/>
      <c r="AL503" s="210"/>
    </row>
    <row r="504" spans="3:40" x14ac:dyDescent="0.3">
      <c r="C504" s="42"/>
      <c r="F504" s="123"/>
      <c r="H504" s="123"/>
      <c r="I504" s="123"/>
      <c r="J504" s="188"/>
      <c r="K504" s="188"/>
      <c r="L504" s="123"/>
      <c r="M504" s="123"/>
      <c r="P504" s="123"/>
      <c r="Q504" s="123"/>
      <c r="R504" s="123"/>
      <c r="T504" s="42"/>
      <c r="V504" s="123"/>
      <c r="Y504" s="123"/>
      <c r="Z504" s="188"/>
      <c r="AA504" s="123"/>
      <c r="AB504" s="123"/>
      <c r="AC504" s="236"/>
      <c r="AD504" s="236"/>
      <c r="AE504" s="123"/>
      <c r="AF504" s="123"/>
      <c r="AH504" s="236"/>
      <c r="AI504" s="123"/>
      <c r="AJ504" s="123"/>
      <c r="AL504" s="123"/>
      <c r="AM504" s="236"/>
      <c r="AN504" s="236"/>
    </row>
    <row r="505" spans="3:40" x14ac:dyDescent="0.3">
      <c r="F505" s="210"/>
      <c r="H505" s="210"/>
      <c r="I505" s="210"/>
      <c r="J505" s="238"/>
      <c r="K505" s="238"/>
      <c r="L505" s="210"/>
      <c r="M505" s="210"/>
      <c r="N505" s="210"/>
      <c r="O505" s="210"/>
      <c r="P505" s="210"/>
      <c r="Q505" s="210"/>
      <c r="R505" s="210"/>
      <c r="V505" s="210"/>
      <c r="Y505" s="210"/>
      <c r="Z505" s="238"/>
      <c r="AA505" s="210"/>
      <c r="AB505" s="210"/>
      <c r="AC505" s="210"/>
      <c r="AD505" s="210"/>
      <c r="AE505" s="210"/>
      <c r="AF505" s="210"/>
      <c r="AI505" s="210"/>
      <c r="AJ505" s="210"/>
      <c r="AK505" s="214"/>
      <c r="AL505" s="210"/>
    </row>
    <row r="506" spans="3:40" x14ac:dyDescent="0.3">
      <c r="J506" s="188"/>
      <c r="K506" s="188"/>
      <c r="Z506" s="188"/>
    </row>
    <row r="507" spans="3:40" x14ac:dyDescent="0.3">
      <c r="C507" s="42"/>
      <c r="J507" s="188"/>
      <c r="K507" s="188"/>
      <c r="T507" s="42"/>
      <c r="Z507" s="188"/>
    </row>
    <row r="508" spans="3:40" x14ac:dyDescent="0.3">
      <c r="C508" s="42"/>
      <c r="J508" s="188"/>
      <c r="K508" s="188"/>
      <c r="T508" s="42"/>
      <c r="Z508" s="188"/>
    </row>
    <row r="509" spans="3:40" x14ac:dyDescent="0.3">
      <c r="C509" s="42"/>
      <c r="F509" s="184"/>
      <c r="H509" s="184"/>
      <c r="I509" s="184"/>
      <c r="J509" s="238"/>
      <c r="K509" s="238"/>
      <c r="L509" s="123"/>
      <c r="M509" s="123"/>
      <c r="N509" s="160"/>
      <c r="O509" s="160"/>
      <c r="P509" s="123"/>
      <c r="Q509" s="123"/>
      <c r="R509" s="123"/>
      <c r="T509" s="42"/>
      <c r="V509" s="123"/>
      <c r="W509" s="123"/>
      <c r="X509" s="123"/>
      <c r="Y509" s="123"/>
      <c r="Z509" s="238"/>
      <c r="AA509" s="123"/>
      <c r="AB509" s="123"/>
      <c r="AC509" s="160"/>
      <c r="AD509" s="160"/>
      <c r="AE509" s="123"/>
      <c r="AF509" s="123"/>
      <c r="AH509" s="236"/>
      <c r="AI509" s="123"/>
      <c r="AJ509" s="123"/>
      <c r="AL509" s="123"/>
      <c r="AM509" s="236"/>
      <c r="AN509" s="236"/>
    </row>
    <row r="510" spans="3:40" x14ac:dyDescent="0.3">
      <c r="C510" s="42"/>
      <c r="J510" s="188"/>
      <c r="K510" s="188"/>
      <c r="T510" s="42"/>
      <c r="Z510" s="188"/>
    </row>
    <row r="511" spans="3:40" x14ac:dyDescent="0.3">
      <c r="C511" s="42"/>
      <c r="F511" s="184"/>
      <c r="H511" s="184"/>
      <c r="I511" s="184"/>
      <c r="J511" s="238"/>
      <c r="K511" s="238"/>
      <c r="L511" s="123"/>
      <c r="M511" s="123"/>
      <c r="N511" s="160"/>
      <c r="O511" s="160"/>
      <c r="P511" s="123"/>
      <c r="Q511" s="123"/>
      <c r="R511" s="123"/>
      <c r="T511" s="42"/>
      <c r="V511" s="123"/>
      <c r="W511" s="123"/>
      <c r="X511" s="123"/>
      <c r="Y511" s="123"/>
      <c r="Z511" s="238"/>
      <c r="AA511" s="123"/>
      <c r="AB511" s="123"/>
      <c r="AC511" s="160"/>
      <c r="AD511" s="160"/>
      <c r="AE511" s="123"/>
      <c r="AF511" s="123"/>
      <c r="AH511" s="236"/>
      <c r="AI511" s="123"/>
      <c r="AJ511" s="123"/>
      <c r="AL511" s="123"/>
      <c r="AM511" s="236"/>
      <c r="AN511" s="236"/>
    </row>
    <row r="512" spans="3:40" x14ac:dyDescent="0.3">
      <c r="F512" s="210"/>
      <c r="H512" s="210"/>
      <c r="I512" s="210"/>
      <c r="J512" s="238"/>
      <c r="K512" s="238"/>
      <c r="L512" s="210"/>
      <c r="M512" s="210"/>
      <c r="N512" s="210"/>
      <c r="O512" s="210"/>
      <c r="P512" s="210"/>
      <c r="Q512" s="210"/>
      <c r="R512" s="210"/>
      <c r="V512" s="210"/>
      <c r="Y512" s="210"/>
      <c r="Z512" s="238"/>
      <c r="AA512" s="210"/>
      <c r="AB512" s="210"/>
      <c r="AC512" s="210"/>
      <c r="AD512" s="210"/>
      <c r="AE512" s="210"/>
      <c r="AF512" s="210"/>
      <c r="AI512" s="210"/>
      <c r="AJ512" s="210"/>
      <c r="AK512" s="214"/>
      <c r="AL512" s="210"/>
    </row>
    <row r="513" spans="1:40" x14ac:dyDescent="0.3">
      <c r="C513" s="42"/>
      <c r="F513" s="123"/>
      <c r="H513" s="123"/>
      <c r="I513" s="123"/>
      <c r="J513" s="188"/>
      <c r="K513" s="188"/>
      <c r="L513" s="123"/>
      <c r="M513" s="123"/>
      <c r="N513" s="236"/>
      <c r="O513" s="236"/>
      <c r="P513" s="123"/>
      <c r="Q513" s="123"/>
      <c r="R513" s="123"/>
      <c r="T513" s="42"/>
      <c r="V513" s="123"/>
      <c r="Y513" s="123"/>
      <c r="Z513" s="188"/>
      <c r="AA513" s="123"/>
      <c r="AB513" s="123"/>
      <c r="AC513" s="236"/>
      <c r="AD513" s="236"/>
      <c r="AE513" s="123"/>
      <c r="AF513" s="123"/>
      <c r="AH513" s="236"/>
      <c r="AI513" s="123"/>
      <c r="AJ513" s="123"/>
      <c r="AL513" s="123"/>
      <c r="AM513" s="236"/>
      <c r="AN513" s="236"/>
    </row>
    <row r="514" spans="1:40" x14ac:dyDescent="0.3">
      <c r="F514" s="210"/>
      <c r="H514" s="210"/>
      <c r="I514" s="210"/>
      <c r="J514" s="238"/>
      <c r="K514" s="238"/>
      <c r="L514" s="210"/>
      <c r="M514" s="210"/>
      <c r="N514" s="210"/>
      <c r="O514" s="210"/>
      <c r="P514" s="210"/>
      <c r="Q514" s="210"/>
      <c r="R514" s="210"/>
      <c r="V514" s="210"/>
      <c r="Y514" s="210"/>
      <c r="Z514" s="213"/>
      <c r="AA514" s="210"/>
      <c r="AB514" s="210"/>
      <c r="AC514" s="210"/>
      <c r="AD514" s="210"/>
      <c r="AE514" s="210"/>
      <c r="AF514" s="210"/>
      <c r="AI514" s="210"/>
      <c r="AJ514" s="210"/>
      <c r="AK514" s="214"/>
      <c r="AL514" s="210"/>
    </row>
    <row r="515" spans="1:40" x14ac:dyDescent="0.3">
      <c r="J515" s="188"/>
      <c r="K515" s="188"/>
    </row>
    <row r="516" spans="1:40" x14ac:dyDescent="0.3">
      <c r="C516" s="42"/>
      <c r="F516" s="123"/>
      <c r="H516" s="123"/>
      <c r="I516" s="123"/>
      <c r="J516" s="188"/>
      <c r="K516" s="188"/>
      <c r="L516" s="123"/>
      <c r="M516" s="123"/>
      <c r="N516" s="160"/>
      <c r="O516" s="160"/>
      <c r="P516" s="184"/>
      <c r="Q516" s="184"/>
      <c r="R516" s="123"/>
      <c r="T516" s="42"/>
      <c r="V516" s="123"/>
      <c r="Y516" s="123"/>
      <c r="AA516" s="123"/>
      <c r="AB516" s="123"/>
      <c r="AC516" s="236"/>
      <c r="AD516" s="236"/>
      <c r="AE516" s="123"/>
      <c r="AF516" s="123"/>
      <c r="AH516" s="236"/>
      <c r="AI516" s="184"/>
      <c r="AJ516" s="184"/>
      <c r="AL516" s="123"/>
      <c r="AM516" s="236"/>
      <c r="AN516" s="236"/>
    </row>
    <row r="517" spans="1:40" x14ac:dyDescent="0.3">
      <c r="F517" s="210"/>
      <c r="H517" s="210"/>
      <c r="I517" s="210"/>
      <c r="J517" s="238"/>
      <c r="K517" s="238"/>
      <c r="L517" s="210"/>
      <c r="M517" s="210"/>
      <c r="N517" s="210"/>
      <c r="O517" s="210"/>
      <c r="P517" s="210"/>
      <c r="Q517" s="210"/>
      <c r="R517" s="210"/>
      <c r="V517" s="210"/>
      <c r="Y517" s="210"/>
      <c r="Z517" s="213"/>
      <c r="AA517" s="210"/>
      <c r="AB517" s="210"/>
      <c r="AC517" s="210"/>
      <c r="AD517" s="210"/>
      <c r="AE517" s="210"/>
      <c r="AF517" s="210"/>
      <c r="AI517" s="210"/>
      <c r="AJ517" s="210"/>
      <c r="AK517" s="214"/>
      <c r="AL517" s="210"/>
    </row>
    <row r="520" spans="1:40" x14ac:dyDescent="0.3">
      <c r="A520" s="42"/>
    </row>
    <row r="522" spans="1:40" x14ac:dyDescent="0.3">
      <c r="H522" s="42"/>
      <c r="I522" s="42"/>
      <c r="Y522" s="42"/>
    </row>
    <row r="524" spans="1:40" x14ac:dyDescent="0.3">
      <c r="L524" s="42"/>
      <c r="M524" s="42"/>
      <c r="AA524" s="42"/>
      <c r="AB524" s="42"/>
    </row>
    <row r="525" spans="1:40" x14ac:dyDescent="0.3">
      <c r="R525" s="42"/>
      <c r="AK525" s="206"/>
      <c r="AL525" s="42"/>
    </row>
    <row r="526" spans="1:40" x14ac:dyDescent="0.3">
      <c r="R526" s="42"/>
      <c r="AK526" s="206"/>
      <c r="AL526" s="42"/>
    </row>
    <row r="527" spans="1:40" x14ac:dyDescent="0.3">
      <c r="A527" s="42"/>
      <c r="R527" s="42"/>
      <c r="AK527" s="206"/>
      <c r="AL527" s="42"/>
    </row>
    <row r="528" spans="1:40" x14ac:dyDescent="0.3">
      <c r="L528" s="42"/>
      <c r="M528" s="42"/>
      <c r="AA528" s="42"/>
      <c r="AB528" s="42"/>
    </row>
    <row r="529" spans="1:40" x14ac:dyDescent="0.3">
      <c r="A529" s="135"/>
      <c r="B529" s="135"/>
      <c r="C529" s="135"/>
      <c r="D529" s="135"/>
      <c r="E529" s="135"/>
      <c r="F529" s="135"/>
      <c r="G529" s="135"/>
      <c r="H529" s="135"/>
      <c r="I529" s="135"/>
      <c r="J529" s="135"/>
      <c r="K529" s="135"/>
      <c r="L529" s="135"/>
      <c r="M529" s="135"/>
      <c r="N529" s="135"/>
      <c r="O529" s="135"/>
      <c r="P529" s="135"/>
      <c r="Q529" s="135"/>
      <c r="R529" s="135"/>
      <c r="T529" s="135"/>
      <c r="U529" s="135"/>
      <c r="V529" s="135"/>
      <c r="W529" s="135"/>
      <c r="X529" s="135"/>
      <c r="Y529" s="135"/>
      <c r="Z529" s="135"/>
      <c r="AA529" s="135"/>
      <c r="AB529" s="135"/>
      <c r="AC529" s="135"/>
      <c r="AD529" s="135"/>
      <c r="AE529" s="135"/>
      <c r="AF529" s="135"/>
      <c r="AG529" s="207"/>
      <c r="AH529" s="135"/>
      <c r="AI529" s="135"/>
      <c r="AJ529" s="135"/>
      <c r="AK529" s="207"/>
      <c r="AL529" s="135"/>
      <c r="AM529" s="135"/>
      <c r="AN529" s="135"/>
    </row>
    <row r="530" spans="1:40" x14ac:dyDescent="0.3">
      <c r="L530" s="44"/>
      <c r="M530" s="44"/>
      <c r="N530" s="44"/>
      <c r="O530" s="44"/>
      <c r="R530" s="44"/>
      <c r="AA530" s="44"/>
      <c r="AB530" s="44"/>
      <c r="AC530" s="44"/>
      <c r="AD530" s="44"/>
      <c r="AE530" s="44"/>
      <c r="AF530" s="44"/>
      <c r="AG530" s="168"/>
      <c r="AH530" s="44"/>
      <c r="AK530" s="168"/>
      <c r="AL530" s="44"/>
      <c r="AM530" s="44"/>
      <c r="AN530" s="44"/>
    </row>
    <row r="531" spans="1:40" x14ac:dyDescent="0.3">
      <c r="L531" s="44"/>
      <c r="M531" s="44"/>
      <c r="N531" s="44"/>
      <c r="O531" s="44"/>
      <c r="R531" s="44"/>
      <c r="Z531" s="44"/>
      <c r="AA531" s="44"/>
      <c r="AB531" s="44"/>
      <c r="AC531" s="44"/>
      <c r="AD531" s="44"/>
      <c r="AE531" s="44"/>
      <c r="AF531" s="44"/>
      <c r="AG531" s="168"/>
      <c r="AH531" s="44"/>
      <c r="AK531" s="168"/>
      <c r="AL531" s="44"/>
      <c r="AM531" s="44"/>
      <c r="AN531" s="44"/>
    </row>
    <row r="532" spans="1:40" x14ac:dyDescent="0.3">
      <c r="A532" s="44"/>
      <c r="C532" s="44"/>
      <c r="D532" s="44"/>
      <c r="E532" s="44"/>
      <c r="F532" s="44"/>
      <c r="J532" s="44"/>
      <c r="K532" s="44"/>
      <c r="L532" s="44"/>
      <c r="M532" s="44"/>
      <c r="N532" s="44"/>
      <c r="O532" s="44"/>
      <c r="P532" s="44"/>
      <c r="Q532" s="44"/>
      <c r="R532" s="44"/>
      <c r="T532" s="44"/>
      <c r="U532" s="44"/>
      <c r="V532" s="44"/>
      <c r="Z532" s="44"/>
      <c r="AA532" s="44"/>
      <c r="AB532" s="44"/>
      <c r="AC532" s="44"/>
      <c r="AD532" s="44"/>
      <c r="AE532" s="44"/>
      <c r="AF532" s="44"/>
      <c r="AG532" s="168"/>
      <c r="AH532" s="44"/>
      <c r="AI532" s="44"/>
      <c r="AJ532" s="44"/>
      <c r="AK532" s="168"/>
      <c r="AL532" s="44"/>
      <c r="AM532" s="44"/>
      <c r="AN532" s="44"/>
    </row>
    <row r="533" spans="1:40" x14ac:dyDescent="0.3">
      <c r="A533" s="44"/>
      <c r="C533" s="44"/>
      <c r="D533" s="44"/>
      <c r="E533" s="44"/>
      <c r="F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T533" s="44"/>
      <c r="U533" s="44"/>
      <c r="V533" s="44"/>
      <c r="Y533" s="44"/>
      <c r="Z533" s="44"/>
      <c r="AA533" s="44"/>
      <c r="AB533" s="44"/>
      <c r="AC533" s="44"/>
      <c r="AD533" s="44"/>
      <c r="AE533" s="44"/>
      <c r="AF533" s="44"/>
      <c r="AG533" s="168"/>
      <c r="AH533" s="44"/>
      <c r="AI533" s="44"/>
      <c r="AJ533" s="44"/>
      <c r="AK533" s="168"/>
      <c r="AL533" s="44"/>
      <c r="AM533" s="44"/>
      <c r="AN533" s="44"/>
    </row>
    <row r="534" spans="1:40" x14ac:dyDescent="0.3">
      <c r="C534" s="44"/>
      <c r="D534" s="44"/>
      <c r="E534" s="44"/>
      <c r="F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T534" s="44"/>
      <c r="U534" s="44"/>
      <c r="V534" s="44"/>
      <c r="Y534" s="44"/>
      <c r="Z534" s="44"/>
      <c r="AA534" s="44"/>
      <c r="AB534" s="44"/>
      <c r="AC534" s="44"/>
      <c r="AD534" s="44"/>
      <c r="AE534" s="44"/>
      <c r="AF534" s="44"/>
      <c r="AG534" s="168"/>
      <c r="AH534" s="44"/>
      <c r="AI534" s="44"/>
      <c r="AJ534" s="44"/>
      <c r="AK534" s="168"/>
      <c r="AL534" s="44"/>
      <c r="AM534" s="44"/>
      <c r="AN534" s="44"/>
    </row>
    <row r="535" spans="1:40" x14ac:dyDescent="0.3">
      <c r="A535" s="135"/>
      <c r="B535" s="135"/>
      <c r="C535" s="135"/>
      <c r="D535" s="135"/>
      <c r="E535" s="135"/>
      <c r="F535" s="135"/>
      <c r="G535" s="135"/>
      <c r="H535" s="135"/>
      <c r="I535" s="135"/>
      <c r="J535" s="135"/>
      <c r="K535" s="135"/>
      <c r="L535" s="135"/>
      <c r="M535" s="135"/>
      <c r="N535" s="135"/>
      <c r="O535" s="135"/>
      <c r="P535" s="135"/>
      <c r="Q535" s="135"/>
      <c r="R535" s="135"/>
      <c r="T535" s="135"/>
      <c r="U535" s="135"/>
      <c r="V535" s="135"/>
      <c r="W535" s="135"/>
      <c r="X535" s="135"/>
      <c r="Y535" s="135"/>
      <c r="Z535" s="135"/>
      <c r="AA535" s="135"/>
      <c r="AB535" s="135"/>
      <c r="AC535" s="135"/>
      <c r="AD535" s="135"/>
      <c r="AE535" s="135"/>
      <c r="AF535" s="135"/>
      <c r="AG535" s="207"/>
      <c r="AH535" s="135"/>
      <c r="AI535" s="135"/>
      <c r="AJ535" s="135"/>
      <c r="AK535" s="207"/>
      <c r="AL535" s="135"/>
      <c r="AM535" s="135"/>
      <c r="AN535" s="135"/>
    </row>
    <row r="536" spans="1:40" x14ac:dyDescent="0.3"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Y536" s="44"/>
      <c r="Z536" s="44"/>
      <c r="AA536" s="44"/>
      <c r="AB536" s="44"/>
      <c r="AC536" s="44"/>
      <c r="AD536" s="44"/>
      <c r="AE536" s="44"/>
      <c r="AF536" s="44"/>
      <c r="AG536" s="168"/>
      <c r="AH536" s="44"/>
      <c r="AI536" s="44"/>
      <c r="AJ536" s="44"/>
      <c r="AK536" s="168"/>
      <c r="AL536" s="44"/>
      <c r="AM536" s="44"/>
      <c r="AN536" s="44"/>
    </row>
    <row r="537" spans="1:40" x14ac:dyDescent="0.3">
      <c r="C537" s="42"/>
      <c r="D537" s="42"/>
      <c r="E537" s="42"/>
      <c r="T537" s="42"/>
      <c r="U537" s="42"/>
    </row>
    <row r="539" spans="1:40" x14ac:dyDescent="0.3">
      <c r="C539" s="42"/>
      <c r="D539" s="42"/>
      <c r="E539" s="42"/>
      <c r="T539" s="42"/>
      <c r="U539" s="42"/>
    </row>
    <row r="540" spans="1:40" x14ac:dyDescent="0.3">
      <c r="C540" s="42"/>
      <c r="T540" s="42"/>
    </row>
    <row r="541" spans="1:40" x14ac:dyDescent="0.3">
      <c r="C541" s="42"/>
      <c r="T541" s="42"/>
    </row>
    <row r="542" spans="1:40" x14ac:dyDescent="0.3">
      <c r="C542" s="42"/>
      <c r="F542" s="184"/>
      <c r="H542" s="184"/>
      <c r="I542" s="184"/>
      <c r="J542" s="238"/>
      <c r="K542" s="238"/>
      <c r="L542" s="123"/>
      <c r="M542" s="123"/>
      <c r="N542" s="160"/>
      <c r="O542" s="160"/>
      <c r="P542" s="123"/>
      <c r="Q542" s="123"/>
      <c r="R542" s="123"/>
      <c r="T542" s="42"/>
      <c r="V542" s="123"/>
      <c r="W542" s="123"/>
      <c r="X542" s="123"/>
      <c r="Y542" s="123"/>
      <c r="Z542" s="238"/>
      <c r="AA542" s="123"/>
      <c r="AB542" s="123"/>
      <c r="AC542" s="160"/>
      <c r="AD542" s="160"/>
      <c r="AE542" s="123"/>
      <c r="AF542" s="123"/>
      <c r="AH542" s="236"/>
      <c r="AI542" s="123"/>
      <c r="AJ542" s="123"/>
      <c r="AL542" s="123"/>
      <c r="AM542" s="160"/>
      <c r="AN542" s="160"/>
    </row>
    <row r="543" spans="1:40" x14ac:dyDescent="0.3">
      <c r="C543" s="42"/>
      <c r="J543" s="188"/>
      <c r="K543" s="188"/>
      <c r="T543" s="42"/>
      <c r="V543" s="123"/>
      <c r="W543" s="123"/>
      <c r="X543" s="123"/>
      <c r="Y543" s="123"/>
      <c r="Z543" s="238"/>
    </row>
    <row r="544" spans="1:40" x14ac:dyDescent="0.3">
      <c r="C544" s="42"/>
      <c r="F544" s="184"/>
      <c r="H544" s="184"/>
      <c r="I544" s="184"/>
      <c r="J544" s="238"/>
      <c r="K544" s="238"/>
      <c r="L544" s="123"/>
      <c r="M544" s="123"/>
      <c r="N544" s="160"/>
      <c r="O544" s="160"/>
      <c r="P544" s="123"/>
      <c r="Q544" s="123"/>
      <c r="R544" s="123"/>
      <c r="T544" s="42"/>
      <c r="V544" s="123"/>
      <c r="W544" s="123"/>
      <c r="X544" s="123"/>
      <c r="Y544" s="123"/>
      <c r="Z544" s="238"/>
      <c r="AA544" s="123"/>
      <c r="AB544" s="123"/>
      <c r="AC544" s="160"/>
      <c r="AD544" s="160"/>
      <c r="AE544" s="123"/>
      <c r="AF544" s="123"/>
      <c r="AH544" s="236"/>
      <c r="AI544" s="123"/>
      <c r="AJ544" s="123"/>
      <c r="AL544" s="123"/>
      <c r="AM544" s="160"/>
      <c r="AN544" s="160"/>
    </row>
    <row r="545" spans="3:40" x14ac:dyDescent="0.3">
      <c r="C545" s="42"/>
      <c r="J545" s="188"/>
      <c r="K545" s="188"/>
      <c r="T545" s="42"/>
      <c r="V545" s="123"/>
      <c r="W545" s="123"/>
      <c r="X545" s="123"/>
      <c r="Y545" s="123"/>
      <c r="Z545" s="238"/>
    </row>
    <row r="546" spans="3:40" x14ac:dyDescent="0.3">
      <c r="C546" s="42"/>
      <c r="F546" s="184"/>
      <c r="H546" s="184"/>
      <c r="I546" s="184"/>
      <c r="J546" s="238"/>
      <c r="K546" s="238"/>
      <c r="L546" s="123"/>
      <c r="M546" s="123"/>
      <c r="N546" s="160"/>
      <c r="O546" s="160"/>
      <c r="P546" s="123"/>
      <c r="Q546" s="123"/>
      <c r="R546" s="123"/>
      <c r="T546" s="42"/>
      <c r="V546" s="123"/>
      <c r="W546" s="123"/>
      <c r="X546" s="123"/>
      <c r="Y546" s="123"/>
      <c r="Z546" s="238"/>
      <c r="AA546" s="123"/>
      <c r="AB546" s="123"/>
      <c r="AC546" s="160"/>
      <c r="AD546" s="160"/>
      <c r="AE546" s="123"/>
      <c r="AF546" s="123"/>
      <c r="AH546" s="236"/>
      <c r="AI546" s="123"/>
      <c r="AJ546" s="123"/>
      <c r="AL546" s="123"/>
      <c r="AM546" s="160"/>
      <c r="AN546" s="160"/>
    </row>
    <row r="547" spans="3:40" x14ac:dyDescent="0.3">
      <c r="C547" s="42"/>
      <c r="J547" s="188"/>
      <c r="K547" s="188"/>
      <c r="T547" s="42"/>
      <c r="V547" s="123"/>
      <c r="W547" s="123"/>
      <c r="X547" s="123"/>
      <c r="Y547" s="123"/>
      <c r="Z547" s="238"/>
    </row>
    <row r="548" spans="3:40" x14ac:dyDescent="0.3">
      <c r="C548" s="42"/>
      <c r="F548" s="184"/>
      <c r="H548" s="184"/>
      <c r="I548" s="184"/>
      <c r="J548" s="238"/>
      <c r="K548" s="238"/>
      <c r="L548" s="123"/>
      <c r="M548" s="123"/>
      <c r="N548" s="160"/>
      <c r="O548" s="160"/>
      <c r="P548" s="123"/>
      <c r="Q548" s="123"/>
      <c r="R548" s="123"/>
      <c r="T548" s="42"/>
      <c r="V548" s="123"/>
      <c r="W548" s="123"/>
      <c r="X548" s="123"/>
      <c r="Y548" s="123"/>
      <c r="Z548" s="238"/>
      <c r="AA548" s="123"/>
      <c r="AB548" s="123"/>
      <c r="AC548" s="160"/>
      <c r="AD548" s="160"/>
      <c r="AE548" s="123"/>
      <c r="AF548" s="123"/>
      <c r="AH548" s="236"/>
      <c r="AI548" s="123"/>
      <c r="AJ548" s="123"/>
      <c r="AL548" s="123"/>
      <c r="AM548" s="160"/>
      <c r="AN548" s="160"/>
    </row>
    <row r="549" spans="3:40" x14ac:dyDescent="0.3">
      <c r="C549" s="42"/>
      <c r="J549" s="188"/>
      <c r="K549" s="188"/>
      <c r="T549" s="42"/>
      <c r="V549" s="123"/>
      <c r="W549" s="123"/>
      <c r="X549" s="123"/>
      <c r="Y549" s="123"/>
      <c r="Z549" s="238"/>
    </row>
    <row r="550" spans="3:40" x14ac:dyDescent="0.3">
      <c r="C550" s="42"/>
      <c r="F550" s="184"/>
      <c r="H550" s="184"/>
      <c r="I550" s="184"/>
      <c r="J550" s="238"/>
      <c r="K550" s="238"/>
      <c r="L550" s="123"/>
      <c r="M550" s="123"/>
      <c r="N550" s="160"/>
      <c r="O550" s="160"/>
      <c r="P550" s="123"/>
      <c r="Q550" s="123"/>
      <c r="R550" s="123"/>
      <c r="T550" s="42"/>
      <c r="V550" s="123"/>
      <c r="W550" s="123"/>
      <c r="X550" s="123"/>
      <c r="Y550" s="123"/>
      <c r="Z550" s="238"/>
      <c r="AA550" s="123"/>
      <c r="AB550" s="123"/>
      <c r="AC550" s="160"/>
      <c r="AD550" s="160"/>
      <c r="AE550" s="123"/>
      <c r="AF550" s="123"/>
      <c r="AH550" s="236"/>
      <c r="AI550" s="123"/>
      <c r="AJ550" s="123"/>
      <c r="AL550" s="123"/>
      <c r="AM550" s="160"/>
      <c r="AN550" s="160"/>
    </row>
    <row r="551" spans="3:40" x14ac:dyDescent="0.3">
      <c r="C551" s="42"/>
      <c r="J551" s="188"/>
      <c r="K551" s="188"/>
      <c r="T551" s="42"/>
      <c r="V551" s="123"/>
      <c r="W551" s="123"/>
      <c r="X551" s="123"/>
      <c r="Y551" s="123"/>
      <c r="Z551" s="238"/>
    </row>
    <row r="552" spans="3:40" x14ac:dyDescent="0.3">
      <c r="C552" s="42"/>
      <c r="F552" s="184"/>
      <c r="H552" s="184"/>
      <c r="I552" s="184"/>
      <c r="J552" s="238"/>
      <c r="K552" s="238"/>
      <c r="L552" s="123"/>
      <c r="M552" s="123"/>
      <c r="N552" s="160"/>
      <c r="O552" s="160"/>
      <c r="P552" s="123"/>
      <c r="Q552" s="123"/>
      <c r="R552" s="123"/>
      <c r="T552" s="42"/>
      <c r="V552" s="123"/>
      <c r="W552" s="123"/>
      <c r="X552" s="123"/>
      <c r="Y552" s="123"/>
      <c r="Z552" s="238"/>
      <c r="AA552" s="123"/>
      <c r="AB552" s="123"/>
      <c r="AC552" s="160"/>
      <c r="AD552" s="160"/>
      <c r="AE552" s="123"/>
      <c r="AF552" s="123"/>
      <c r="AH552" s="236"/>
      <c r="AI552" s="123"/>
      <c r="AJ552" s="123"/>
      <c r="AL552" s="123"/>
      <c r="AM552" s="160"/>
      <c r="AN552" s="160"/>
    </row>
    <row r="553" spans="3:40" x14ac:dyDescent="0.3">
      <c r="F553" s="210"/>
      <c r="H553" s="210"/>
      <c r="I553" s="210"/>
      <c r="J553" s="238"/>
      <c r="K553" s="238"/>
      <c r="L553" s="210"/>
      <c r="M553" s="210"/>
      <c r="N553" s="210"/>
      <c r="O553" s="210"/>
      <c r="P553" s="210"/>
      <c r="Q553" s="210"/>
      <c r="R553" s="210"/>
      <c r="V553" s="210"/>
      <c r="Y553" s="210"/>
      <c r="Z553" s="238"/>
      <c r="AA553" s="210"/>
      <c r="AB553" s="210"/>
      <c r="AC553" s="210"/>
      <c r="AD553" s="210"/>
      <c r="AE553" s="210"/>
      <c r="AF553" s="210"/>
      <c r="AI553" s="210"/>
      <c r="AJ553" s="210"/>
      <c r="AK553" s="214"/>
      <c r="AL553" s="210"/>
      <c r="AM553" s="160"/>
      <c r="AN553" s="160"/>
    </row>
    <row r="554" spans="3:40" x14ac:dyDescent="0.3">
      <c r="C554" s="42"/>
      <c r="F554" s="123"/>
      <c r="H554" s="123"/>
      <c r="I554" s="123"/>
      <c r="J554" s="188"/>
      <c r="K554" s="188"/>
      <c r="L554" s="123"/>
      <c r="M554" s="123"/>
      <c r="N554" s="160"/>
      <c r="O554" s="160"/>
      <c r="P554" s="184"/>
      <c r="Q554" s="184"/>
      <c r="R554" s="123"/>
      <c r="T554" s="42"/>
      <c r="V554" s="123"/>
      <c r="W554" s="123"/>
      <c r="X554" s="123"/>
      <c r="Y554" s="123"/>
      <c r="Z554" s="238"/>
      <c r="AA554" s="123"/>
      <c r="AB554" s="123"/>
      <c r="AC554" s="160"/>
      <c r="AD554" s="160"/>
      <c r="AE554" s="123"/>
      <c r="AF554" s="123"/>
      <c r="AH554" s="236"/>
      <c r="AI554" s="184"/>
      <c r="AJ554" s="184"/>
      <c r="AL554" s="123"/>
      <c r="AM554" s="160"/>
      <c r="AN554" s="160"/>
    </row>
    <row r="555" spans="3:40" x14ac:dyDescent="0.3">
      <c r="F555" s="210"/>
      <c r="H555" s="210"/>
      <c r="I555" s="210"/>
      <c r="J555" s="238"/>
      <c r="K555" s="238"/>
      <c r="L555" s="210"/>
      <c r="M555" s="210"/>
      <c r="N555" s="210"/>
      <c r="O555" s="210"/>
      <c r="P555" s="210"/>
      <c r="Q555" s="210"/>
      <c r="R555" s="210"/>
      <c r="V555" s="210"/>
      <c r="Y555" s="210"/>
      <c r="Z555" s="238"/>
      <c r="AA555" s="210"/>
      <c r="AB555" s="210"/>
      <c r="AC555" s="210"/>
      <c r="AD555" s="210"/>
      <c r="AE555" s="210"/>
      <c r="AF555" s="210"/>
      <c r="AI555" s="210"/>
      <c r="AJ555" s="210"/>
      <c r="AK555" s="214"/>
      <c r="AL555" s="210"/>
    </row>
    <row r="556" spans="3:40" x14ac:dyDescent="0.3">
      <c r="C556" s="42"/>
      <c r="D556" s="42"/>
      <c r="E556" s="42"/>
      <c r="J556" s="188"/>
      <c r="K556" s="188"/>
      <c r="T556" s="42"/>
      <c r="U556" s="42"/>
      <c r="V556" s="123"/>
      <c r="W556" s="123"/>
      <c r="X556" s="123"/>
      <c r="Y556" s="123"/>
      <c r="Z556" s="238"/>
    </row>
    <row r="557" spans="3:40" x14ac:dyDescent="0.3">
      <c r="C557" s="42"/>
      <c r="J557" s="188"/>
      <c r="K557" s="188"/>
      <c r="T557" s="42"/>
      <c r="V557" s="123"/>
      <c r="W557" s="123"/>
      <c r="X557" s="123"/>
      <c r="Y557" s="123"/>
      <c r="Z557" s="238"/>
    </row>
    <row r="558" spans="3:40" x14ac:dyDescent="0.3">
      <c r="C558" s="42"/>
      <c r="J558" s="188"/>
      <c r="K558" s="188"/>
      <c r="T558" s="42"/>
      <c r="V558" s="123"/>
      <c r="W558" s="123"/>
      <c r="X558" s="123"/>
      <c r="Y558" s="123"/>
      <c r="Z558" s="238"/>
    </row>
    <row r="559" spans="3:40" x14ac:dyDescent="0.3">
      <c r="C559" s="42"/>
      <c r="F559" s="184"/>
      <c r="H559" s="184"/>
      <c r="I559" s="184"/>
      <c r="J559" s="238"/>
      <c r="K559" s="238"/>
      <c r="L559" s="123"/>
      <c r="M559" s="123"/>
      <c r="N559" s="160"/>
      <c r="O559" s="160"/>
      <c r="P559" s="123"/>
      <c r="Q559" s="123"/>
      <c r="R559" s="123"/>
      <c r="T559" s="42"/>
      <c r="V559" s="123"/>
      <c r="W559" s="123"/>
      <c r="X559" s="123"/>
      <c r="Y559" s="123"/>
      <c r="Z559" s="238"/>
      <c r="AA559" s="123"/>
      <c r="AB559" s="123"/>
      <c r="AC559" s="160"/>
      <c r="AD559" s="160"/>
      <c r="AE559" s="123"/>
      <c r="AF559" s="123"/>
      <c r="AH559" s="236"/>
      <c r="AI559" s="123"/>
      <c r="AJ559" s="123"/>
      <c r="AL559" s="123"/>
      <c r="AM559" s="160"/>
      <c r="AN559" s="160"/>
    </row>
    <row r="560" spans="3:40" x14ac:dyDescent="0.3">
      <c r="C560" s="42"/>
      <c r="J560" s="188"/>
      <c r="K560" s="188"/>
      <c r="T560" s="42"/>
      <c r="V560" s="123"/>
      <c r="W560" s="123"/>
      <c r="X560" s="123"/>
      <c r="Y560" s="123"/>
      <c r="Z560" s="238"/>
    </row>
    <row r="561" spans="3:40" x14ac:dyDescent="0.3">
      <c r="C561" s="42"/>
      <c r="F561" s="184"/>
      <c r="H561" s="184"/>
      <c r="I561" s="184"/>
      <c r="J561" s="238"/>
      <c r="K561" s="238"/>
      <c r="L561" s="123"/>
      <c r="M561" s="123"/>
      <c r="N561" s="160"/>
      <c r="O561" s="160"/>
      <c r="P561" s="123"/>
      <c r="Q561" s="123"/>
      <c r="R561" s="123"/>
      <c r="T561" s="42"/>
      <c r="V561" s="123"/>
      <c r="W561" s="123"/>
      <c r="X561" s="123"/>
      <c r="Y561" s="123"/>
      <c r="Z561" s="238"/>
      <c r="AA561" s="123"/>
      <c r="AB561" s="123"/>
      <c r="AC561" s="160"/>
      <c r="AD561" s="160"/>
      <c r="AE561" s="123"/>
      <c r="AF561" s="123"/>
      <c r="AH561" s="236"/>
      <c r="AI561" s="123"/>
      <c r="AJ561" s="123"/>
      <c r="AL561" s="123"/>
      <c r="AM561" s="160"/>
      <c r="AN561" s="160"/>
    </row>
    <row r="562" spans="3:40" x14ac:dyDescent="0.3">
      <c r="F562" s="210"/>
      <c r="H562" s="210"/>
      <c r="I562" s="210"/>
      <c r="J562" s="238"/>
      <c r="K562" s="238"/>
      <c r="L562" s="210"/>
      <c r="M562" s="210"/>
      <c r="N562" s="210"/>
      <c r="O562" s="210"/>
      <c r="P562" s="210"/>
      <c r="Q562" s="210"/>
      <c r="R562" s="210"/>
      <c r="V562" s="210"/>
      <c r="Y562" s="210"/>
      <c r="Z562" s="213"/>
      <c r="AA562" s="210"/>
      <c r="AB562" s="210"/>
      <c r="AC562" s="210"/>
      <c r="AD562" s="210"/>
      <c r="AE562" s="210"/>
      <c r="AF562" s="210"/>
      <c r="AI562" s="210"/>
      <c r="AJ562" s="210"/>
      <c r="AK562" s="214"/>
      <c r="AL562" s="210"/>
    </row>
    <row r="563" spans="3:40" x14ac:dyDescent="0.3">
      <c r="C563" s="42"/>
      <c r="F563" s="123"/>
      <c r="H563" s="123"/>
      <c r="I563" s="123"/>
      <c r="L563" s="123"/>
      <c r="M563" s="123"/>
      <c r="N563" s="160"/>
      <c r="O563" s="160"/>
      <c r="P563" s="184"/>
      <c r="Q563" s="184"/>
      <c r="R563" s="123"/>
      <c r="T563" s="42"/>
      <c r="V563" s="123"/>
      <c r="W563" s="123"/>
      <c r="X563" s="123"/>
      <c r="Y563" s="123"/>
      <c r="Z563" s="237"/>
      <c r="AA563" s="123"/>
      <c r="AB563" s="123"/>
      <c r="AC563" s="160"/>
      <c r="AD563" s="160"/>
      <c r="AE563" s="123"/>
      <c r="AF563" s="123"/>
      <c r="AH563" s="236"/>
      <c r="AI563" s="184"/>
      <c r="AJ563" s="184"/>
      <c r="AL563" s="123"/>
      <c r="AM563" s="160"/>
      <c r="AN563" s="160"/>
    </row>
    <row r="564" spans="3:40" x14ac:dyDescent="0.3">
      <c r="F564" s="210"/>
      <c r="H564" s="210"/>
      <c r="I564" s="210"/>
      <c r="J564" s="213"/>
      <c r="K564" s="213"/>
      <c r="L564" s="210"/>
      <c r="M564" s="210"/>
      <c r="N564" s="210"/>
      <c r="O564" s="210"/>
      <c r="P564" s="210"/>
      <c r="Q564" s="210"/>
      <c r="R564" s="210"/>
      <c r="V564" s="210"/>
      <c r="Y564" s="210"/>
      <c r="Z564" s="213"/>
      <c r="AA564" s="210"/>
      <c r="AB564" s="210"/>
      <c r="AC564" s="210"/>
      <c r="AD564" s="210"/>
      <c r="AE564" s="210"/>
      <c r="AF564" s="210"/>
      <c r="AI564" s="210"/>
      <c r="AJ564" s="210"/>
      <c r="AK564" s="214"/>
      <c r="AL564" s="210"/>
    </row>
    <row r="565" spans="3:40" x14ac:dyDescent="0.3">
      <c r="C565" s="42"/>
      <c r="D565" s="42"/>
      <c r="E565" s="42"/>
      <c r="T565" s="42"/>
      <c r="U565" s="42"/>
      <c r="V565" s="123"/>
      <c r="W565" s="123"/>
      <c r="X565" s="123"/>
      <c r="Y565" s="123"/>
      <c r="Z565" s="237"/>
    </row>
    <row r="566" spans="3:40" x14ac:dyDescent="0.3">
      <c r="C566" s="42"/>
      <c r="T566" s="42"/>
      <c r="V566" s="123"/>
      <c r="W566" s="123"/>
      <c r="X566" s="123"/>
      <c r="Y566" s="123"/>
      <c r="Z566" s="237"/>
    </row>
    <row r="567" spans="3:40" x14ac:dyDescent="0.3">
      <c r="C567" s="42"/>
      <c r="F567" s="184"/>
      <c r="H567" s="184"/>
      <c r="I567" s="184"/>
      <c r="J567" s="237"/>
      <c r="K567" s="237"/>
      <c r="L567" s="123"/>
      <c r="M567" s="123"/>
      <c r="N567" s="160"/>
      <c r="O567" s="160"/>
      <c r="P567" s="123"/>
      <c r="Q567" s="123"/>
      <c r="R567" s="123"/>
      <c r="T567" s="42"/>
      <c r="V567" s="123"/>
      <c r="W567" s="123"/>
      <c r="X567" s="123"/>
      <c r="Y567" s="123"/>
      <c r="Z567" s="237"/>
      <c r="AA567" s="123"/>
      <c r="AB567" s="123"/>
      <c r="AC567" s="160"/>
      <c r="AD567" s="160"/>
      <c r="AE567" s="123"/>
      <c r="AF567" s="123"/>
      <c r="AH567" s="236"/>
      <c r="AI567" s="123"/>
      <c r="AJ567" s="123"/>
      <c r="AL567" s="123"/>
      <c r="AM567" s="160"/>
      <c r="AN567" s="160"/>
    </row>
    <row r="568" spans="3:40" x14ac:dyDescent="0.3">
      <c r="C568" s="42"/>
      <c r="T568" s="42"/>
      <c r="V568" s="123"/>
      <c r="W568" s="123"/>
      <c r="X568" s="123"/>
      <c r="Y568" s="123"/>
      <c r="Z568" s="237"/>
    </row>
    <row r="569" spans="3:40" x14ac:dyDescent="0.3">
      <c r="C569" s="42"/>
      <c r="F569" s="184"/>
      <c r="H569" s="184"/>
      <c r="I569" s="184"/>
      <c r="J569" s="237"/>
      <c r="K569" s="237"/>
      <c r="L569" s="123"/>
      <c r="M569" s="123"/>
      <c r="N569" s="160"/>
      <c r="O569" s="160"/>
      <c r="P569" s="123"/>
      <c r="Q569" s="123"/>
      <c r="R569" s="123"/>
      <c r="T569" s="42"/>
      <c r="V569" s="123"/>
      <c r="W569" s="123"/>
      <c r="X569" s="123"/>
      <c r="Y569" s="123"/>
      <c r="Z569" s="237"/>
      <c r="AA569" s="123"/>
      <c r="AB569" s="123"/>
      <c r="AC569" s="160"/>
      <c r="AD569" s="160"/>
      <c r="AE569" s="123"/>
      <c r="AF569" s="123"/>
      <c r="AH569" s="236"/>
      <c r="AI569" s="123"/>
      <c r="AJ569" s="123"/>
      <c r="AL569" s="123"/>
      <c r="AM569" s="160"/>
      <c r="AN569" s="160"/>
    </row>
    <row r="570" spans="3:40" x14ac:dyDescent="0.3">
      <c r="C570" s="42"/>
      <c r="T570" s="42"/>
      <c r="V570" s="123"/>
      <c r="W570" s="123"/>
      <c r="X570" s="123"/>
      <c r="Y570" s="123"/>
      <c r="Z570" s="237"/>
    </row>
    <row r="571" spans="3:40" x14ac:dyDescent="0.3">
      <c r="C571" s="42"/>
      <c r="F571" s="184"/>
      <c r="H571" s="184"/>
      <c r="I571" s="184"/>
      <c r="J571" s="237"/>
      <c r="K571" s="237"/>
      <c r="L571" s="123"/>
      <c r="M571" s="123"/>
      <c r="N571" s="160"/>
      <c r="O571" s="160"/>
      <c r="P571" s="123"/>
      <c r="Q571" s="123"/>
      <c r="R571" s="123"/>
      <c r="T571" s="42"/>
      <c r="V571" s="123"/>
      <c r="W571" s="123"/>
      <c r="X571" s="123"/>
      <c r="Y571" s="123"/>
      <c r="Z571" s="237"/>
      <c r="AA571" s="123"/>
      <c r="AB571" s="123"/>
      <c r="AC571" s="160"/>
      <c r="AD571" s="160"/>
      <c r="AE571" s="123"/>
      <c r="AF571" s="123"/>
      <c r="AH571" s="236"/>
      <c r="AI571" s="123"/>
      <c r="AJ571" s="123"/>
      <c r="AL571" s="123"/>
      <c r="AM571" s="160"/>
      <c r="AN571" s="160"/>
    </row>
    <row r="572" spans="3:40" x14ac:dyDescent="0.3">
      <c r="C572" s="42"/>
      <c r="T572" s="42"/>
      <c r="V572" s="123"/>
      <c r="W572" s="123"/>
      <c r="X572" s="123"/>
      <c r="Y572" s="123"/>
      <c r="Z572" s="237"/>
    </row>
    <row r="573" spans="3:40" x14ac:dyDescent="0.3">
      <c r="C573" s="42"/>
      <c r="F573" s="184"/>
      <c r="H573" s="184"/>
      <c r="I573" s="184"/>
      <c r="J573" s="237"/>
      <c r="K573" s="237"/>
      <c r="L573" s="123"/>
      <c r="M573" s="123"/>
      <c r="N573" s="160"/>
      <c r="O573" s="160"/>
      <c r="P573" s="123"/>
      <c r="Q573" s="123"/>
      <c r="R573" s="123"/>
      <c r="T573" s="42"/>
      <c r="V573" s="123"/>
      <c r="W573" s="123"/>
      <c r="X573" s="123"/>
      <c r="Y573" s="123"/>
      <c r="Z573" s="237"/>
      <c r="AA573" s="123"/>
      <c r="AB573" s="123"/>
      <c r="AC573" s="160"/>
      <c r="AD573" s="160"/>
      <c r="AE573" s="123"/>
      <c r="AF573" s="123"/>
      <c r="AH573" s="236"/>
      <c r="AI573" s="123"/>
      <c r="AJ573" s="123"/>
      <c r="AL573" s="123"/>
      <c r="AM573" s="160"/>
      <c r="AN573" s="160"/>
    </row>
    <row r="574" spans="3:40" x14ac:dyDescent="0.3">
      <c r="F574" s="210"/>
      <c r="H574" s="210"/>
      <c r="I574" s="210"/>
      <c r="J574" s="213"/>
      <c r="K574" s="213"/>
      <c r="L574" s="210"/>
      <c r="M574" s="210"/>
      <c r="N574" s="210"/>
      <c r="O574" s="210"/>
      <c r="P574" s="210"/>
      <c r="Q574" s="210"/>
      <c r="R574" s="210"/>
      <c r="V574" s="210"/>
      <c r="Y574" s="210"/>
      <c r="Z574" s="213"/>
      <c r="AA574" s="210"/>
      <c r="AB574" s="210"/>
      <c r="AC574" s="210"/>
      <c r="AD574" s="210"/>
      <c r="AE574" s="210"/>
      <c r="AF574" s="210"/>
      <c r="AI574" s="210"/>
      <c r="AJ574" s="210"/>
      <c r="AK574" s="214"/>
      <c r="AL574" s="210"/>
    </row>
    <row r="575" spans="3:40" x14ac:dyDescent="0.3">
      <c r="C575" s="42"/>
      <c r="F575" s="123"/>
      <c r="H575" s="123"/>
      <c r="I575" s="123"/>
      <c r="L575" s="123"/>
      <c r="M575" s="123"/>
      <c r="N575" s="160"/>
      <c r="O575" s="160"/>
      <c r="P575" s="184"/>
      <c r="Q575" s="184"/>
      <c r="R575" s="123"/>
      <c r="T575" s="42"/>
      <c r="V575" s="123"/>
      <c r="W575" s="123"/>
      <c r="X575" s="123"/>
      <c r="Y575" s="123"/>
      <c r="Z575" s="237"/>
      <c r="AA575" s="123"/>
      <c r="AB575" s="123"/>
      <c r="AC575" s="160"/>
      <c r="AD575" s="160"/>
      <c r="AE575" s="123"/>
      <c r="AF575" s="123"/>
      <c r="AH575" s="236"/>
      <c r="AI575" s="184"/>
      <c r="AJ575" s="184"/>
      <c r="AL575" s="123"/>
      <c r="AM575" s="160"/>
      <c r="AN575" s="160"/>
    </row>
    <row r="576" spans="3:40" x14ac:dyDescent="0.3">
      <c r="F576" s="210"/>
      <c r="H576" s="210"/>
      <c r="I576" s="210"/>
      <c r="J576" s="213"/>
      <c r="K576" s="213"/>
      <c r="L576" s="210"/>
      <c r="M576" s="210"/>
      <c r="N576" s="210"/>
      <c r="O576" s="210"/>
      <c r="P576" s="210"/>
      <c r="Q576" s="210"/>
      <c r="R576" s="210"/>
      <c r="V576" s="210"/>
      <c r="Y576" s="210"/>
      <c r="Z576" s="213"/>
      <c r="AA576" s="210"/>
      <c r="AB576" s="210"/>
      <c r="AC576" s="210"/>
      <c r="AD576" s="210"/>
      <c r="AE576" s="210"/>
      <c r="AF576" s="210"/>
      <c r="AI576" s="210"/>
      <c r="AJ576" s="210"/>
      <c r="AK576" s="214"/>
      <c r="AL576" s="210"/>
    </row>
    <row r="577" spans="1:40" x14ac:dyDescent="0.3">
      <c r="C577" s="42"/>
      <c r="F577" s="123"/>
      <c r="H577" s="123"/>
      <c r="I577" s="123"/>
      <c r="L577" s="123"/>
      <c r="M577" s="123"/>
      <c r="N577" s="160"/>
      <c r="O577" s="160"/>
      <c r="P577" s="123"/>
      <c r="Q577" s="123"/>
      <c r="R577" s="123"/>
      <c r="T577" s="42"/>
      <c r="V577" s="123"/>
      <c r="W577" s="123"/>
      <c r="X577" s="123"/>
      <c r="Y577" s="123"/>
      <c r="AA577" s="123"/>
      <c r="AB577" s="123"/>
      <c r="AC577" s="160"/>
      <c r="AD577" s="160"/>
      <c r="AE577" s="123"/>
      <c r="AF577" s="123"/>
      <c r="AH577" s="236"/>
      <c r="AI577" s="123"/>
      <c r="AJ577" s="123"/>
      <c r="AL577" s="123"/>
      <c r="AM577" s="236"/>
      <c r="AN577" s="236"/>
    </row>
    <row r="578" spans="1:40" x14ac:dyDescent="0.3">
      <c r="F578" s="210"/>
      <c r="H578" s="210"/>
      <c r="I578" s="210"/>
      <c r="J578" s="213"/>
      <c r="K578" s="213"/>
      <c r="L578" s="210"/>
      <c r="M578" s="210"/>
      <c r="N578" s="210"/>
      <c r="O578" s="210"/>
      <c r="P578" s="210"/>
      <c r="Q578" s="210"/>
      <c r="R578" s="210"/>
      <c r="V578" s="210"/>
      <c r="Y578" s="210"/>
      <c r="Z578" s="213"/>
      <c r="AA578" s="210"/>
      <c r="AB578" s="210"/>
      <c r="AC578" s="210"/>
      <c r="AD578" s="210"/>
      <c r="AE578" s="210"/>
      <c r="AF578" s="210"/>
      <c r="AI578" s="210"/>
      <c r="AJ578" s="210"/>
      <c r="AK578" s="214"/>
      <c r="AL578" s="210"/>
    </row>
    <row r="581" spans="1:40" x14ac:dyDescent="0.3">
      <c r="A581" s="42"/>
    </row>
    <row r="583" spans="1:40" x14ac:dyDescent="0.3">
      <c r="H583" s="42"/>
      <c r="I583" s="42"/>
      <c r="Y583" s="42"/>
    </row>
    <row r="585" spans="1:40" x14ac:dyDescent="0.3">
      <c r="L585" s="42"/>
      <c r="M585" s="42"/>
      <c r="AA585" s="42"/>
      <c r="AB585" s="42"/>
    </row>
    <row r="586" spans="1:40" x14ac:dyDescent="0.3">
      <c r="R586" s="42"/>
      <c r="AK586" s="206"/>
      <c r="AL586" s="42"/>
    </row>
    <row r="587" spans="1:40" x14ac:dyDescent="0.3">
      <c r="R587" s="42"/>
      <c r="AK587" s="206"/>
      <c r="AL587" s="42"/>
    </row>
    <row r="588" spans="1:40" x14ac:dyDescent="0.3">
      <c r="A588" s="42"/>
      <c r="R588" s="42"/>
      <c r="AK588" s="206"/>
      <c r="AL588" s="42"/>
    </row>
    <row r="589" spans="1:40" x14ac:dyDescent="0.3">
      <c r="L589" s="42"/>
      <c r="M589" s="42"/>
      <c r="AA589" s="42"/>
      <c r="AB589" s="42"/>
    </row>
    <row r="590" spans="1:40" x14ac:dyDescent="0.3">
      <c r="A590" s="135"/>
      <c r="B590" s="135"/>
      <c r="C590" s="135"/>
      <c r="D590" s="135"/>
      <c r="E590" s="135"/>
      <c r="F590" s="135"/>
      <c r="G590" s="135"/>
      <c r="H590" s="135"/>
      <c r="I590" s="135"/>
      <c r="J590" s="135"/>
      <c r="K590" s="135"/>
      <c r="L590" s="135"/>
      <c r="M590" s="135"/>
      <c r="N590" s="135"/>
      <c r="O590" s="135"/>
      <c r="P590" s="135"/>
      <c r="Q590" s="135"/>
      <c r="R590" s="135"/>
      <c r="T590" s="135"/>
      <c r="U590" s="135"/>
      <c r="V590" s="135"/>
      <c r="W590" s="135"/>
      <c r="X590" s="135"/>
      <c r="Y590" s="135"/>
      <c r="Z590" s="135"/>
      <c r="AA590" s="135"/>
      <c r="AB590" s="135"/>
      <c r="AC590" s="135"/>
      <c r="AD590" s="135"/>
      <c r="AE590" s="135"/>
      <c r="AF590" s="135"/>
      <c r="AG590" s="207"/>
      <c r="AH590" s="135"/>
      <c r="AI590" s="135"/>
      <c r="AJ590" s="135"/>
      <c r="AK590" s="207"/>
      <c r="AL590" s="135"/>
      <c r="AM590" s="135"/>
      <c r="AN590" s="135"/>
    </row>
    <row r="591" spans="1:40" x14ac:dyDescent="0.3">
      <c r="L591" s="44"/>
      <c r="M591" s="44"/>
      <c r="N591" s="44"/>
      <c r="O591" s="44"/>
      <c r="R591" s="44"/>
      <c r="AA591" s="44"/>
      <c r="AB591" s="44"/>
      <c r="AC591" s="44"/>
      <c r="AD591" s="44"/>
      <c r="AE591" s="44"/>
      <c r="AF591" s="44"/>
      <c r="AG591" s="168"/>
      <c r="AH591" s="44"/>
      <c r="AK591" s="168"/>
      <c r="AL591" s="44"/>
      <c r="AM591" s="44"/>
      <c r="AN591" s="44"/>
    </row>
    <row r="592" spans="1:40" x14ac:dyDescent="0.3">
      <c r="L592" s="44"/>
      <c r="M592" s="44"/>
      <c r="N592" s="44"/>
      <c r="O592" s="44"/>
      <c r="R592" s="44"/>
      <c r="Z592" s="44"/>
      <c r="AA592" s="44"/>
      <c r="AB592" s="44"/>
      <c r="AC592" s="44"/>
      <c r="AD592" s="44"/>
      <c r="AE592" s="44"/>
      <c r="AF592" s="44"/>
      <c r="AG592" s="168"/>
      <c r="AH592" s="44"/>
      <c r="AK592" s="168"/>
      <c r="AL592" s="44"/>
      <c r="AM592" s="44"/>
      <c r="AN592" s="44"/>
    </row>
    <row r="593" spans="1:40" x14ac:dyDescent="0.3">
      <c r="A593" s="44"/>
      <c r="C593" s="44"/>
      <c r="D593" s="44"/>
      <c r="E593" s="44"/>
      <c r="F593" s="44"/>
      <c r="J593" s="44"/>
      <c r="K593" s="44"/>
      <c r="L593" s="44"/>
      <c r="M593" s="44"/>
      <c r="N593" s="44"/>
      <c r="O593" s="44"/>
      <c r="P593" s="44"/>
      <c r="Q593" s="44"/>
      <c r="R593" s="44"/>
      <c r="T593" s="44"/>
      <c r="U593" s="44"/>
      <c r="V593" s="44"/>
      <c r="Z593" s="44"/>
      <c r="AA593" s="44"/>
      <c r="AB593" s="44"/>
      <c r="AC593" s="44"/>
      <c r="AD593" s="44"/>
      <c r="AE593" s="44"/>
      <c r="AF593" s="44"/>
      <c r="AG593" s="168"/>
      <c r="AH593" s="44"/>
      <c r="AI593" s="44"/>
      <c r="AJ593" s="44"/>
      <c r="AK593" s="168"/>
      <c r="AL593" s="44"/>
      <c r="AM593" s="44"/>
      <c r="AN593" s="44"/>
    </row>
    <row r="594" spans="1:40" x14ac:dyDescent="0.3">
      <c r="A594" s="44"/>
      <c r="C594" s="44"/>
      <c r="D594" s="44"/>
      <c r="E594" s="44"/>
      <c r="F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T594" s="44"/>
      <c r="U594" s="44"/>
      <c r="V594" s="44"/>
      <c r="Y594" s="44"/>
      <c r="Z594" s="44"/>
      <c r="AA594" s="44"/>
      <c r="AB594" s="44"/>
      <c r="AC594" s="44"/>
      <c r="AD594" s="44"/>
      <c r="AE594" s="44"/>
      <c r="AF594" s="44"/>
      <c r="AG594" s="168"/>
      <c r="AH594" s="44"/>
      <c r="AI594" s="44"/>
      <c r="AJ594" s="44"/>
      <c r="AK594" s="168"/>
      <c r="AL594" s="44"/>
      <c r="AM594" s="44"/>
      <c r="AN594" s="44"/>
    </row>
    <row r="595" spans="1:40" x14ac:dyDescent="0.3">
      <c r="C595" s="44"/>
      <c r="D595" s="44"/>
      <c r="E595" s="44"/>
      <c r="F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T595" s="44"/>
      <c r="U595" s="44"/>
      <c r="V595" s="44"/>
      <c r="Y595" s="44"/>
      <c r="Z595" s="44"/>
      <c r="AA595" s="44"/>
      <c r="AB595" s="44"/>
      <c r="AC595" s="44"/>
      <c r="AD595" s="44"/>
      <c r="AE595" s="44"/>
      <c r="AF595" s="44"/>
      <c r="AG595" s="168"/>
      <c r="AH595" s="44"/>
      <c r="AI595" s="44"/>
      <c r="AJ595" s="44"/>
      <c r="AK595" s="168"/>
      <c r="AL595" s="44"/>
      <c r="AM595" s="44"/>
      <c r="AN595" s="44"/>
    </row>
    <row r="596" spans="1:40" x14ac:dyDescent="0.3">
      <c r="A596" s="135"/>
      <c r="B596" s="135"/>
      <c r="C596" s="135"/>
      <c r="D596" s="135"/>
      <c r="E596" s="135"/>
      <c r="F596" s="135"/>
      <c r="G596" s="135"/>
      <c r="H596" s="135"/>
      <c r="I596" s="135"/>
      <c r="J596" s="135"/>
      <c r="K596" s="135"/>
      <c r="L596" s="135"/>
      <c r="M596" s="135"/>
      <c r="N596" s="135"/>
      <c r="O596" s="135"/>
      <c r="P596" s="135"/>
      <c r="Q596" s="135"/>
      <c r="R596" s="135"/>
      <c r="T596" s="135"/>
      <c r="U596" s="135"/>
      <c r="V596" s="135"/>
      <c r="W596" s="135"/>
      <c r="X596" s="135"/>
      <c r="Y596" s="135"/>
      <c r="Z596" s="135"/>
      <c r="AA596" s="135"/>
      <c r="AB596" s="135"/>
      <c r="AC596" s="135"/>
      <c r="AD596" s="135"/>
      <c r="AE596" s="135"/>
      <c r="AF596" s="135"/>
      <c r="AG596" s="207"/>
      <c r="AH596" s="135"/>
      <c r="AI596" s="135"/>
      <c r="AJ596" s="135"/>
      <c r="AK596" s="207"/>
      <c r="AL596" s="135"/>
      <c r="AM596" s="135"/>
      <c r="AN596" s="135"/>
    </row>
    <row r="597" spans="1:40" x14ac:dyDescent="0.3"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Y597" s="44"/>
      <c r="Z597" s="44"/>
      <c r="AA597" s="44"/>
      <c r="AB597" s="44"/>
      <c r="AC597" s="44"/>
      <c r="AD597" s="44"/>
      <c r="AE597" s="44"/>
      <c r="AF597" s="44"/>
      <c r="AG597" s="168"/>
      <c r="AH597" s="44"/>
      <c r="AI597" s="44"/>
      <c r="AJ597" s="44"/>
      <c r="AK597" s="168"/>
      <c r="AL597" s="44"/>
      <c r="AM597" s="44"/>
      <c r="AN597" s="44"/>
    </row>
    <row r="598" spans="1:40" x14ac:dyDescent="0.3">
      <c r="C598" s="42"/>
      <c r="D598" s="42"/>
      <c r="E598" s="42"/>
      <c r="F598" s="123"/>
      <c r="H598" s="123"/>
      <c r="I598" s="123"/>
      <c r="J598" s="219"/>
      <c r="K598" s="219"/>
      <c r="L598" s="123"/>
      <c r="M598" s="123"/>
      <c r="N598" s="219"/>
      <c r="O598" s="219"/>
      <c r="P598" s="123"/>
      <c r="Q598" s="123"/>
      <c r="R598" s="123"/>
      <c r="T598" s="42"/>
      <c r="U598" s="42"/>
      <c r="V598" s="123"/>
      <c r="Y598" s="123"/>
      <c r="Z598" s="219"/>
      <c r="AA598" s="123"/>
      <c r="AB598" s="123"/>
      <c r="AC598" s="219"/>
      <c r="AD598" s="219"/>
      <c r="AE598" s="123"/>
      <c r="AF598" s="123"/>
      <c r="AH598" s="236"/>
      <c r="AI598" s="123"/>
      <c r="AJ598" s="123"/>
      <c r="AL598" s="123"/>
      <c r="AM598" s="160"/>
      <c r="AN598" s="160"/>
    </row>
    <row r="599" spans="1:40" x14ac:dyDescent="0.3">
      <c r="F599" s="210"/>
      <c r="H599" s="210"/>
      <c r="I599" s="210"/>
      <c r="J599" s="213"/>
      <c r="K599" s="213"/>
      <c r="L599" s="210"/>
      <c r="M599" s="210"/>
      <c r="N599" s="210"/>
      <c r="O599" s="210"/>
      <c r="P599" s="210"/>
      <c r="Q599" s="210"/>
      <c r="R599" s="210"/>
      <c r="V599" s="210"/>
      <c r="Y599" s="210"/>
      <c r="Z599" s="213"/>
      <c r="AA599" s="210"/>
      <c r="AB599" s="210"/>
      <c r="AC599" s="210"/>
      <c r="AD599" s="210"/>
      <c r="AE599" s="210"/>
      <c r="AF599" s="210"/>
      <c r="AI599" s="210"/>
      <c r="AJ599" s="210"/>
      <c r="AK599" s="214"/>
      <c r="AL599" s="210"/>
      <c r="AM599" s="160"/>
      <c r="AN599" s="160"/>
    </row>
    <row r="600" spans="1:40" x14ac:dyDescent="0.3">
      <c r="C600" s="42"/>
      <c r="F600" s="123"/>
      <c r="H600" s="123"/>
      <c r="I600" s="123"/>
      <c r="J600" s="219"/>
      <c r="K600" s="219"/>
      <c r="L600" s="123"/>
      <c r="M600" s="123"/>
      <c r="N600" s="219"/>
      <c r="O600" s="219"/>
      <c r="P600" s="123"/>
      <c r="Q600" s="123"/>
      <c r="R600" s="123"/>
      <c r="T600" s="42"/>
      <c r="V600" s="123"/>
      <c r="Y600" s="123"/>
      <c r="Z600" s="219"/>
      <c r="AA600" s="123"/>
      <c r="AB600" s="123"/>
      <c r="AC600" s="219"/>
      <c r="AD600" s="219"/>
      <c r="AE600" s="123"/>
      <c r="AF600" s="123"/>
      <c r="AH600" s="236"/>
      <c r="AI600" s="123"/>
      <c r="AJ600" s="123"/>
      <c r="AL600" s="123"/>
      <c r="AM600" s="160"/>
      <c r="AN600" s="160"/>
    </row>
    <row r="601" spans="1:40" x14ac:dyDescent="0.3">
      <c r="F601" s="123"/>
      <c r="H601" s="123"/>
      <c r="I601" s="123"/>
      <c r="J601" s="219"/>
      <c r="K601" s="219"/>
      <c r="L601" s="123"/>
      <c r="M601" s="123"/>
      <c r="N601" s="219"/>
      <c r="O601" s="219"/>
      <c r="P601" s="123"/>
      <c r="Q601" s="123"/>
      <c r="R601" s="123"/>
      <c r="V601" s="123"/>
      <c r="Y601" s="123"/>
      <c r="Z601" s="219"/>
      <c r="AA601" s="123"/>
      <c r="AB601" s="123"/>
      <c r="AC601" s="219"/>
      <c r="AD601" s="219"/>
      <c r="AH601" s="236"/>
      <c r="AI601" s="123"/>
      <c r="AJ601" s="123"/>
      <c r="AL601" s="123"/>
      <c r="AM601" s="160"/>
      <c r="AN601" s="160"/>
    </row>
    <row r="602" spans="1:40" x14ac:dyDescent="0.3">
      <c r="C602" s="42"/>
      <c r="D602" s="42"/>
      <c r="E602" s="42"/>
      <c r="F602" s="123"/>
      <c r="H602" s="123"/>
      <c r="I602" s="123"/>
      <c r="J602" s="219"/>
      <c r="K602" s="219"/>
      <c r="L602" s="123"/>
      <c r="M602" s="123"/>
      <c r="N602" s="219"/>
      <c r="O602" s="219"/>
      <c r="P602" s="123"/>
      <c r="Q602" s="123"/>
      <c r="R602" s="123"/>
      <c r="T602" s="42"/>
      <c r="U602" s="42"/>
      <c r="V602" s="123"/>
      <c r="Y602" s="123"/>
      <c r="Z602" s="219"/>
      <c r="AA602" s="123"/>
      <c r="AB602" s="123"/>
      <c r="AC602" s="219"/>
      <c r="AD602" s="219"/>
      <c r="AE602" s="123"/>
      <c r="AF602" s="123"/>
      <c r="AH602" s="236"/>
      <c r="AI602" s="123"/>
      <c r="AJ602" s="123"/>
      <c r="AL602" s="123"/>
      <c r="AM602" s="160"/>
      <c r="AN602" s="160"/>
    </row>
    <row r="603" spans="1:40" x14ac:dyDescent="0.3">
      <c r="C603" s="42"/>
      <c r="D603" s="42"/>
      <c r="E603" s="42"/>
      <c r="F603" s="123"/>
      <c r="H603" s="123"/>
      <c r="I603" s="123"/>
      <c r="J603" s="219"/>
      <c r="K603" s="219"/>
      <c r="L603" s="123"/>
      <c r="M603" s="123"/>
      <c r="N603" s="219"/>
      <c r="O603" s="219"/>
      <c r="P603" s="123"/>
      <c r="Q603" s="123"/>
      <c r="R603" s="123"/>
      <c r="T603" s="42"/>
      <c r="U603" s="42"/>
      <c r="V603" s="123"/>
      <c r="Y603" s="123"/>
      <c r="Z603" s="219"/>
      <c r="AA603" s="123"/>
      <c r="AB603" s="123"/>
      <c r="AC603" s="219"/>
      <c r="AD603" s="219"/>
      <c r="AE603" s="123"/>
      <c r="AF603" s="123"/>
      <c r="AH603" s="236"/>
      <c r="AI603" s="123"/>
      <c r="AJ603" s="123"/>
      <c r="AL603" s="123"/>
      <c r="AM603" s="160"/>
      <c r="AN603" s="160"/>
    </row>
    <row r="604" spans="1:40" x14ac:dyDescent="0.3">
      <c r="C604" s="42"/>
      <c r="D604" s="42"/>
      <c r="E604" s="42"/>
      <c r="F604" s="123"/>
      <c r="H604" s="123"/>
      <c r="I604" s="123"/>
      <c r="J604" s="219"/>
      <c r="K604" s="219"/>
      <c r="L604" s="123"/>
      <c r="M604" s="123"/>
      <c r="N604" s="219"/>
      <c r="O604" s="219"/>
      <c r="P604" s="123"/>
      <c r="Q604" s="123"/>
      <c r="R604" s="123"/>
      <c r="T604" s="42"/>
      <c r="U604" s="42"/>
      <c r="V604" s="123"/>
      <c r="Y604" s="123"/>
      <c r="Z604" s="219"/>
      <c r="AA604" s="123"/>
      <c r="AB604" s="123"/>
      <c r="AC604" s="219"/>
      <c r="AD604" s="219"/>
      <c r="AE604" s="123"/>
      <c r="AF604" s="123"/>
      <c r="AH604" s="236"/>
      <c r="AI604" s="123"/>
      <c r="AJ604" s="123"/>
      <c r="AL604" s="123"/>
      <c r="AM604" s="160"/>
      <c r="AN604" s="160"/>
    </row>
    <row r="605" spans="1:40" x14ac:dyDescent="0.3">
      <c r="C605" s="42"/>
      <c r="D605" s="42"/>
      <c r="E605" s="42"/>
      <c r="F605" s="123"/>
      <c r="H605" s="123"/>
      <c r="I605" s="123"/>
      <c r="J605" s="219"/>
      <c r="K605" s="219"/>
      <c r="L605" s="123"/>
      <c r="M605" s="123"/>
      <c r="N605" s="219"/>
      <c r="O605" s="219"/>
      <c r="P605" s="123"/>
      <c r="Q605" s="123"/>
      <c r="R605" s="123"/>
      <c r="T605" s="42"/>
      <c r="U605" s="42"/>
      <c r="V605" s="123"/>
      <c r="Y605" s="123"/>
      <c r="Z605" s="219"/>
      <c r="AA605" s="123"/>
      <c r="AB605" s="123"/>
      <c r="AC605" s="219"/>
      <c r="AD605" s="219"/>
      <c r="AE605" s="123"/>
      <c r="AF605" s="123"/>
      <c r="AH605" s="236"/>
      <c r="AI605" s="123"/>
      <c r="AJ605" s="123"/>
      <c r="AL605" s="123"/>
      <c r="AM605" s="160"/>
      <c r="AN605" s="160"/>
    </row>
    <row r="606" spans="1:40" x14ac:dyDescent="0.3">
      <c r="C606" s="42"/>
      <c r="D606" s="42"/>
      <c r="E606" s="42"/>
      <c r="F606" s="123"/>
      <c r="H606" s="123"/>
      <c r="I606" s="123"/>
      <c r="J606" s="219"/>
      <c r="K606" s="219"/>
      <c r="L606" s="123"/>
      <c r="M606" s="123"/>
      <c r="N606" s="219"/>
      <c r="O606" s="219"/>
      <c r="P606" s="123"/>
      <c r="Q606" s="123"/>
      <c r="R606" s="123"/>
      <c r="T606" s="42"/>
      <c r="U606" s="42"/>
      <c r="V606" s="123"/>
      <c r="Y606" s="123"/>
      <c r="Z606" s="219"/>
      <c r="AA606" s="123"/>
      <c r="AB606" s="123"/>
      <c r="AC606" s="219"/>
      <c r="AD606" s="219"/>
      <c r="AE606" s="123"/>
      <c r="AF606" s="123"/>
      <c r="AH606" s="236"/>
      <c r="AI606" s="123"/>
      <c r="AJ606" s="123"/>
      <c r="AL606" s="123"/>
      <c r="AM606" s="160"/>
      <c r="AN606" s="160"/>
    </row>
    <row r="607" spans="1:40" x14ac:dyDescent="0.3">
      <c r="C607" s="42"/>
      <c r="D607" s="42"/>
      <c r="E607" s="42"/>
      <c r="F607" s="123"/>
      <c r="H607" s="123"/>
      <c r="I607" s="123"/>
      <c r="J607" s="219"/>
      <c r="K607" s="219"/>
      <c r="L607" s="123"/>
      <c r="M607" s="123"/>
      <c r="N607" s="219"/>
      <c r="O607" s="219"/>
      <c r="P607" s="123"/>
      <c r="Q607" s="123"/>
      <c r="R607" s="123"/>
      <c r="T607" s="42"/>
      <c r="U607" s="42"/>
      <c r="V607" s="123"/>
      <c r="Y607" s="123"/>
      <c r="Z607" s="219"/>
      <c r="AA607" s="123"/>
      <c r="AB607" s="123"/>
      <c r="AC607" s="219"/>
      <c r="AD607" s="219"/>
      <c r="AE607" s="123"/>
      <c r="AF607" s="123"/>
      <c r="AH607" s="236"/>
      <c r="AI607" s="123"/>
      <c r="AJ607" s="123"/>
      <c r="AL607" s="123"/>
      <c r="AM607" s="160"/>
      <c r="AN607" s="160"/>
    </row>
    <row r="608" spans="1:40" x14ac:dyDescent="0.3">
      <c r="F608" s="210"/>
      <c r="H608" s="210"/>
      <c r="I608" s="210"/>
      <c r="J608" s="213"/>
      <c r="K608" s="213"/>
      <c r="L608" s="210"/>
      <c r="M608" s="210"/>
      <c r="N608" s="210"/>
      <c r="O608" s="210"/>
      <c r="P608" s="210"/>
      <c r="Q608" s="210"/>
      <c r="R608" s="210"/>
      <c r="V608" s="210"/>
      <c r="Y608" s="210"/>
      <c r="Z608" s="213"/>
      <c r="AA608" s="210"/>
      <c r="AB608" s="210"/>
      <c r="AC608" s="210"/>
      <c r="AD608" s="210"/>
      <c r="AE608" s="210"/>
      <c r="AF608" s="210"/>
      <c r="AI608" s="210"/>
      <c r="AJ608" s="210"/>
      <c r="AK608" s="214"/>
      <c r="AL608" s="210"/>
      <c r="AM608" s="160"/>
      <c r="AN608" s="160"/>
    </row>
    <row r="609" spans="3:40" x14ac:dyDescent="0.3">
      <c r="C609" s="42"/>
      <c r="F609" s="123"/>
      <c r="H609" s="123"/>
      <c r="I609" s="123"/>
      <c r="J609" s="219"/>
      <c r="K609" s="219"/>
      <c r="L609" s="123"/>
      <c r="M609" s="123"/>
      <c r="N609" s="219"/>
      <c r="O609" s="219"/>
      <c r="P609" s="123"/>
      <c r="Q609" s="123"/>
      <c r="R609" s="123"/>
      <c r="T609" s="42"/>
      <c r="V609" s="123"/>
      <c r="Y609" s="123"/>
      <c r="Z609" s="219"/>
      <c r="AA609" s="123"/>
      <c r="AB609" s="123"/>
      <c r="AC609" s="219"/>
      <c r="AD609" s="219"/>
      <c r="AE609" s="123"/>
      <c r="AF609" s="123"/>
      <c r="AH609" s="236"/>
      <c r="AI609" s="123"/>
      <c r="AJ609" s="123"/>
      <c r="AL609" s="123"/>
      <c r="AM609" s="160"/>
      <c r="AN609" s="160"/>
    </row>
    <row r="610" spans="3:40" x14ac:dyDescent="0.3">
      <c r="F610" s="123"/>
      <c r="H610" s="123"/>
      <c r="I610" s="123"/>
      <c r="J610" s="219"/>
      <c r="K610" s="219"/>
      <c r="L610" s="123"/>
      <c r="M610" s="123"/>
      <c r="N610" s="219"/>
      <c r="O610" s="219"/>
      <c r="P610" s="123"/>
      <c r="Q610" s="123"/>
      <c r="R610" s="123"/>
      <c r="V610" s="123"/>
      <c r="Y610" s="123"/>
      <c r="Z610" s="219"/>
      <c r="AA610" s="123"/>
      <c r="AB610" s="123"/>
      <c r="AC610" s="219"/>
      <c r="AD610" s="219"/>
      <c r="AH610" s="236"/>
      <c r="AI610" s="123"/>
      <c r="AJ610" s="123"/>
      <c r="AL610" s="123"/>
      <c r="AM610" s="160"/>
      <c r="AN610" s="160"/>
    </row>
    <row r="611" spans="3:40" x14ac:dyDescent="0.3">
      <c r="C611" s="42"/>
      <c r="D611" s="42"/>
      <c r="E611" s="42"/>
      <c r="F611" s="123"/>
      <c r="H611" s="123"/>
      <c r="I611" s="123"/>
      <c r="J611" s="219"/>
      <c r="K611" s="219"/>
      <c r="L611" s="123"/>
      <c r="M611" s="123"/>
      <c r="N611" s="219"/>
      <c r="O611" s="219"/>
      <c r="P611" s="123"/>
      <c r="Q611" s="123"/>
      <c r="R611" s="123"/>
      <c r="T611" s="42"/>
      <c r="U611" s="42"/>
      <c r="V611" s="123"/>
      <c r="Y611" s="123"/>
      <c r="Z611" s="219"/>
      <c r="AA611" s="123"/>
      <c r="AB611" s="123"/>
      <c r="AC611" s="219"/>
      <c r="AD611" s="219"/>
      <c r="AE611" s="123"/>
      <c r="AF611" s="123"/>
      <c r="AH611" s="236"/>
      <c r="AI611" s="123"/>
      <c r="AJ611" s="123"/>
      <c r="AL611" s="123"/>
      <c r="AM611" s="160"/>
      <c r="AN611" s="160"/>
    </row>
    <row r="612" spans="3:40" x14ac:dyDescent="0.3">
      <c r="F612" s="210"/>
      <c r="H612" s="210"/>
      <c r="I612" s="210"/>
      <c r="J612" s="213"/>
      <c r="K612" s="213"/>
      <c r="L612" s="210"/>
      <c r="M612" s="210"/>
      <c r="N612" s="210"/>
      <c r="O612" s="210"/>
      <c r="P612" s="210"/>
      <c r="Q612" s="210"/>
      <c r="R612" s="210"/>
      <c r="V612" s="210"/>
      <c r="Y612" s="210"/>
      <c r="Z612" s="213"/>
      <c r="AA612" s="210"/>
      <c r="AB612" s="210"/>
      <c r="AC612" s="210"/>
      <c r="AD612" s="210"/>
      <c r="AE612" s="210"/>
      <c r="AF612" s="210"/>
      <c r="AI612" s="210"/>
      <c r="AJ612" s="210"/>
      <c r="AK612" s="214"/>
      <c r="AL612" s="210"/>
      <c r="AM612" s="160"/>
      <c r="AN612" s="160"/>
    </row>
    <row r="613" spans="3:40" x14ac:dyDescent="0.3">
      <c r="C613" s="42"/>
      <c r="F613" s="123"/>
      <c r="H613" s="123"/>
      <c r="I613" s="123"/>
      <c r="J613" s="219"/>
      <c r="K613" s="219"/>
      <c r="L613" s="123"/>
      <c r="M613" s="123"/>
      <c r="N613" s="219"/>
      <c r="O613" s="219"/>
      <c r="P613" s="123"/>
      <c r="Q613" s="123"/>
      <c r="R613" s="123"/>
      <c r="T613" s="42"/>
      <c r="V613" s="123"/>
      <c r="Y613" s="123"/>
      <c r="Z613" s="219"/>
      <c r="AA613" s="123"/>
      <c r="AB613" s="123"/>
      <c r="AC613" s="219"/>
      <c r="AD613" s="219"/>
      <c r="AE613" s="123"/>
      <c r="AF613" s="123"/>
      <c r="AH613" s="236"/>
      <c r="AI613" s="123"/>
      <c r="AJ613" s="123"/>
      <c r="AL613" s="123"/>
      <c r="AM613" s="160"/>
      <c r="AN613" s="160"/>
    </row>
    <row r="614" spans="3:40" x14ac:dyDescent="0.3">
      <c r="F614" s="123"/>
      <c r="H614" s="123"/>
      <c r="I614" s="123"/>
      <c r="J614" s="219"/>
      <c r="K614" s="219"/>
      <c r="L614" s="123"/>
      <c r="M614" s="123"/>
      <c r="N614" s="219"/>
      <c r="O614" s="219"/>
      <c r="P614" s="123"/>
      <c r="Q614" s="123"/>
      <c r="R614" s="123"/>
      <c r="V614" s="123"/>
      <c r="Y614" s="123"/>
      <c r="Z614" s="219"/>
      <c r="AA614" s="123"/>
      <c r="AB614" s="123"/>
      <c r="AC614" s="219"/>
      <c r="AD614" s="219"/>
      <c r="AH614" s="236"/>
      <c r="AI614" s="123"/>
      <c r="AJ614" s="123"/>
      <c r="AL614" s="123"/>
      <c r="AM614" s="160"/>
      <c r="AN614" s="160"/>
    </row>
    <row r="615" spans="3:40" x14ac:dyDescent="0.3">
      <c r="C615" s="42"/>
      <c r="D615" s="42"/>
      <c r="E615" s="42"/>
      <c r="F615" s="123"/>
      <c r="H615" s="123"/>
      <c r="I615" s="123"/>
      <c r="J615" s="219"/>
      <c r="K615" s="219"/>
      <c r="L615" s="123"/>
      <c r="M615" s="123"/>
      <c r="N615" s="219"/>
      <c r="O615" s="219"/>
      <c r="P615" s="123"/>
      <c r="Q615" s="123"/>
      <c r="R615" s="123"/>
      <c r="T615" s="42"/>
      <c r="U615" s="42"/>
      <c r="V615" s="123"/>
      <c r="Y615" s="123"/>
      <c r="Z615" s="219"/>
      <c r="AA615" s="123"/>
      <c r="AB615" s="123"/>
      <c r="AC615" s="219"/>
      <c r="AD615" s="219"/>
      <c r="AE615" s="123"/>
      <c r="AF615" s="123"/>
      <c r="AH615" s="236"/>
      <c r="AI615" s="123"/>
      <c r="AJ615" s="123"/>
      <c r="AL615" s="123"/>
      <c r="AM615" s="160"/>
      <c r="AN615" s="160"/>
    </row>
    <row r="616" spans="3:40" x14ac:dyDescent="0.3">
      <c r="C616" s="42"/>
      <c r="D616" s="42"/>
      <c r="E616" s="42"/>
      <c r="F616" s="123"/>
      <c r="G616" s="123"/>
      <c r="H616" s="123"/>
      <c r="I616" s="123"/>
      <c r="J616" s="219"/>
      <c r="K616" s="219"/>
      <c r="L616" s="123"/>
      <c r="M616" s="123"/>
      <c r="N616" s="219"/>
      <c r="O616" s="219"/>
      <c r="P616" s="123"/>
      <c r="Q616" s="123"/>
      <c r="R616" s="123"/>
      <c r="T616" s="42"/>
      <c r="U616" s="42"/>
      <c r="V616" s="123"/>
      <c r="W616" s="123"/>
      <c r="X616" s="123"/>
      <c r="Y616" s="123"/>
      <c r="Z616" s="219"/>
      <c r="AA616" s="123"/>
      <c r="AB616" s="123"/>
      <c r="AC616" s="219"/>
      <c r="AD616" s="219"/>
      <c r="AE616" s="123"/>
      <c r="AF616" s="123"/>
      <c r="AH616" s="236"/>
      <c r="AI616" s="123"/>
      <c r="AJ616" s="123"/>
      <c r="AL616" s="123"/>
      <c r="AM616" s="160"/>
      <c r="AN616" s="160"/>
    </row>
    <row r="617" spans="3:40" x14ac:dyDescent="0.3">
      <c r="C617" s="42"/>
      <c r="D617" s="42"/>
      <c r="E617" s="42"/>
      <c r="F617" s="123"/>
      <c r="G617" s="123"/>
      <c r="H617" s="123"/>
      <c r="I617" s="123"/>
      <c r="J617" s="219"/>
      <c r="K617" s="219"/>
      <c r="L617" s="123"/>
      <c r="M617" s="123"/>
      <c r="N617" s="219"/>
      <c r="O617" s="219"/>
      <c r="P617" s="123"/>
      <c r="Q617" s="123"/>
      <c r="R617" s="123"/>
      <c r="T617" s="42"/>
      <c r="U617" s="42"/>
      <c r="V617" s="123"/>
      <c r="W617" s="123"/>
      <c r="X617" s="123"/>
      <c r="Y617" s="123"/>
      <c r="Z617" s="219"/>
      <c r="AA617" s="123"/>
      <c r="AB617" s="123"/>
      <c r="AC617" s="219"/>
      <c r="AD617" s="219"/>
      <c r="AE617" s="123"/>
      <c r="AF617" s="123"/>
      <c r="AH617" s="236"/>
      <c r="AI617" s="123"/>
      <c r="AJ617" s="123"/>
      <c r="AL617" s="123"/>
      <c r="AM617" s="160"/>
      <c r="AN617" s="160"/>
    </row>
    <row r="618" spans="3:40" x14ac:dyDescent="0.3">
      <c r="C618" s="42"/>
      <c r="D618" s="42"/>
      <c r="E618" s="42"/>
      <c r="F618" s="123"/>
      <c r="H618" s="123"/>
      <c r="I618" s="123"/>
      <c r="J618" s="219"/>
      <c r="K618" s="219"/>
      <c r="L618" s="123"/>
      <c r="M618" s="123"/>
      <c r="N618" s="219"/>
      <c r="O618" s="219"/>
      <c r="P618" s="123"/>
      <c r="Q618" s="123"/>
      <c r="R618" s="123"/>
      <c r="T618" s="42"/>
      <c r="U618" s="42"/>
      <c r="V618" s="123"/>
      <c r="Y618" s="123"/>
      <c r="Z618" s="219"/>
      <c r="AA618" s="123"/>
      <c r="AB618" s="123"/>
      <c r="AC618" s="219"/>
      <c r="AD618" s="219"/>
      <c r="AE618" s="123"/>
      <c r="AF618" s="123"/>
      <c r="AH618" s="236"/>
      <c r="AI618" s="123"/>
      <c r="AJ618" s="123"/>
      <c r="AL618" s="123"/>
      <c r="AM618" s="160"/>
      <c r="AN618" s="160"/>
    </row>
    <row r="619" spans="3:40" x14ac:dyDescent="0.3">
      <c r="C619" s="42"/>
      <c r="D619" s="42"/>
      <c r="E619" s="42"/>
      <c r="F619" s="123"/>
      <c r="H619" s="123"/>
      <c r="I619" s="123"/>
      <c r="J619" s="219"/>
      <c r="K619" s="219"/>
      <c r="L619" s="123"/>
      <c r="M619" s="123"/>
      <c r="N619" s="219"/>
      <c r="O619" s="219"/>
      <c r="P619" s="123"/>
      <c r="Q619" s="123"/>
      <c r="R619" s="123"/>
      <c r="T619" s="42"/>
      <c r="U619" s="42"/>
      <c r="V619" s="123"/>
      <c r="Y619" s="123"/>
      <c r="Z619" s="219"/>
      <c r="AA619" s="123"/>
      <c r="AB619" s="123"/>
      <c r="AC619" s="219"/>
      <c r="AD619" s="219"/>
      <c r="AE619" s="123"/>
      <c r="AF619" s="123"/>
      <c r="AH619" s="236"/>
      <c r="AI619" s="123"/>
      <c r="AJ619" s="123"/>
      <c r="AL619" s="123"/>
      <c r="AM619" s="160"/>
      <c r="AN619" s="160"/>
    </row>
    <row r="620" spans="3:40" x14ac:dyDescent="0.3">
      <c r="C620" s="42"/>
      <c r="D620" s="42"/>
      <c r="E620" s="42"/>
      <c r="F620" s="123"/>
      <c r="H620" s="123"/>
      <c r="I620" s="123"/>
      <c r="J620" s="219"/>
      <c r="K620" s="219"/>
      <c r="L620" s="123"/>
      <c r="M620" s="123"/>
      <c r="N620" s="219"/>
      <c r="O620" s="219"/>
      <c r="P620" s="123"/>
      <c r="Q620" s="123"/>
      <c r="R620" s="123"/>
      <c r="T620" s="42"/>
      <c r="U620" s="42"/>
      <c r="V620" s="123"/>
      <c r="Y620" s="123"/>
      <c r="Z620" s="219"/>
      <c r="AA620" s="123"/>
      <c r="AB620" s="123"/>
      <c r="AC620" s="219"/>
      <c r="AD620" s="219"/>
      <c r="AE620" s="123"/>
      <c r="AF620" s="123"/>
      <c r="AH620" s="236"/>
      <c r="AI620" s="123"/>
      <c r="AJ620" s="123"/>
      <c r="AL620" s="123"/>
      <c r="AM620" s="160"/>
      <c r="AN620" s="160"/>
    </row>
    <row r="621" spans="3:40" x14ac:dyDescent="0.3">
      <c r="C621" s="42"/>
      <c r="D621" s="42"/>
      <c r="E621" s="42"/>
      <c r="F621" s="123"/>
      <c r="H621" s="123"/>
      <c r="I621" s="123"/>
      <c r="J621" s="219"/>
      <c r="K621" s="219"/>
      <c r="L621" s="123"/>
      <c r="M621" s="123"/>
      <c r="N621" s="219"/>
      <c r="O621" s="219"/>
      <c r="P621" s="123"/>
      <c r="Q621" s="123"/>
      <c r="R621" s="123"/>
      <c r="T621" s="42"/>
      <c r="U621" s="42"/>
      <c r="V621" s="123"/>
      <c r="Y621" s="123"/>
      <c r="Z621" s="219"/>
      <c r="AA621" s="123"/>
      <c r="AB621" s="123"/>
      <c r="AC621" s="219"/>
      <c r="AD621" s="219"/>
      <c r="AE621" s="123"/>
      <c r="AF621" s="123"/>
      <c r="AH621" s="236"/>
      <c r="AI621" s="123"/>
      <c r="AJ621" s="123"/>
      <c r="AL621" s="123"/>
      <c r="AM621" s="160"/>
      <c r="AN621" s="160"/>
    </row>
    <row r="622" spans="3:40" x14ac:dyDescent="0.3">
      <c r="F622" s="210"/>
      <c r="H622" s="210"/>
      <c r="I622" s="210"/>
      <c r="J622" s="213"/>
      <c r="K622" s="213"/>
      <c r="L622" s="210"/>
      <c r="M622" s="210"/>
      <c r="N622" s="210"/>
      <c r="O622" s="210"/>
      <c r="P622" s="210"/>
      <c r="Q622" s="210"/>
      <c r="R622" s="210"/>
      <c r="V622" s="210"/>
      <c r="Y622" s="210"/>
      <c r="Z622" s="213"/>
      <c r="AA622" s="210"/>
      <c r="AB622" s="210"/>
      <c r="AC622" s="210"/>
      <c r="AD622" s="210"/>
      <c r="AE622" s="210"/>
      <c r="AF622" s="210"/>
      <c r="AI622" s="210"/>
      <c r="AJ622" s="210"/>
      <c r="AK622" s="214"/>
      <c r="AL622" s="210"/>
      <c r="AM622" s="160"/>
      <c r="AN622" s="160"/>
    </row>
    <row r="623" spans="3:40" x14ac:dyDescent="0.3">
      <c r="C623" s="42"/>
      <c r="F623" s="123"/>
      <c r="H623" s="123"/>
      <c r="I623" s="123"/>
      <c r="J623" s="219"/>
      <c r="K623" s="219"/>
      <c r="L623" s="123"/>
      <c r="M623" s="123"/>
      <c r="N623" s="219"/>
      <c r="O623" s="219"/>
      <c r="P623" s="123"/>
      <c r="Q623" s="123"/>
      <c r="R623" s="123"/>
      <c r="T623" s="42"/>
      <c r="V623" s="123"/>
      <c r="Y623" s="123"/>
      <c r="Z623" s="219"/>
      <c r="AA623" s="123"/>
      <c r="AB623" s="123"/>
      <c r="AC623" s="219"/>
      <c r="AD623" s="219"/>
      <c r="AE623" s="123"/>
      <c r="AF623" s="123"/>
      <c r="AH623" s="236"/>
      <c r="AI623" s="123"/>
      <c r="AJ623" s="123"/>
      <c r="AL623" s="123"/>
      <c r="AM623" s="160"/>
      <c r="AN623" s="160"/>
    </row>
    <row r="624" spans="3:40" x14ac:dyDescent="0.3">
      <c r="V624" s="123"/>
      <c r="Y624" s="123"/>
      <c r="Z624" s="213"/>
      <c r="AA624" s="123"/>
      <c r="AB624" s="123"/>
      <c r="AC624" s="123"/>
      <c r="AD624" s="123"/>
      <c r="AE624" s="123"/>
      <c r="AF624" s="123"/>
      <c r="AI624" s="123"/>
      <c r="AJ624" s="123"/>
      <c r="AL624" s="123"/>
      <c r="AM624" s="160"/>
      <c r="AN624" s="160"/>
    </row>
    <row r="625" spans="1:40" x14ac:dyDescent="0.3">
      <c r="C625" s="42"/>
      <c r="D625" s="42"/>
      <c r="E625" s="42"/>
      <c r="L625" s="123"/>
      <c r="M625" s="123"/>
      <c r="N625" s="219"/>
      <c r="O625" s="219"/>
      <c r="R625" s="123"/>
      <c r="T625" s="42"/>
      <c r="U625" s="42"/>
      <c r="AA625" s="123"/>
      <c r="AB625" s="123"/>
      <c r="AC625" s="219"/>
      <c r="AD625" s="219"/>
      <c r="AE625" s="123"/>
      <c r="AF625" s="123"/>
      <c r="AH625" s="236"/>
      <c r="AL625" s="123"/>
      <c r="AM625" s="160"/>
      <c r="AN625" s="160"/>
    </row>
    <row r="626" spans="1:40" x14ac:dyDescent="0.3">
      <c r="D626" s="42"/>
      <c r="E626" s="42"/>
      <c r="F626" s="184"/>
      <c r="H626" s="184"/>
      <c r="I626" s="184"/>
      <c r="J626" s="219"/>
      <c r="K626" s="219"/>
      <c r="L626" s="123"/>
      <c r="M626" s="123"/>
      <c r="N626" s="219"/>
      <c r="O626" s="219"/>
      <c r="P626" s="184"/>
      <c r="Q626" s="184"/>
      <c r="R626" s="123"/>
      <c r="U626" s="42"/>
      <c r="V626" s="123"/>
      <c r="Y626" s="123"/>
      <c r="Z626" s="219"/>
      <c r="AA626" s="123"/>
      <c r="AB626" s="123"/>
      <c r="AC626" s="219"/>
      <c r="AD626" s="219"/>
      <c r="AE626" s="123"/>
      <c r="AF626" s="123"/>
      <c r="AH626" s="236"/>
      <c r="AI626" s="123"/>
      <c r="AJ626" s="123"/>
      <c r="AL626" s="123"/>
      <c r="AM626" s="160"/>
      <c r="AN626" s="160"/>
    </row>
    <row r="627" spans="1:40" x14ac:dyDescent="0.3">
      <c r="F627" s="210"/>
      <c r="H627" s="210"/>
      <c r="I627" s="210"/>
      <c r="J627" s="213"/>
      <c r="K627" s="213"/>
      <c r="L627" s="210"/>
      <c r="M627" s="210"/>
      <c r="N627" s="210"/>
      <c r="O627" s="210"/>
      <c r="P627" s="210"/>
      <c r="Q627" s="210"/>
      <c r="R627" s="210"/>
      <c r="V627" s="210"/>
      <c r="Y627" s="210"/>
      <c r="Z627" s="213"/>
      <c r="AA627" s="210"/>
      <c r="AB627" s="210"/>
      <c r="AC627" s="210"/>
      <c r="AD627" s="210"/>
      <c r="AE627" s="210"/>
      <c r="AF627" s="210"/>
      <c r="AI627" s="210"/>
      <c r="AJ627" s="210"/>
      <c r="AK627" s="214"/>
      <c r="AL627" s="210"/>
      <c r="AM627" s="160"/>
      <c r="AN627" s="160"/>
    </row>
    <row r="628" spans="1:40" x14ac:dyDescent="0.3">
      <c r="C628" s="42"/>
      <c r="F628" s="123"/>
      <c r="H628" s="123"/>
      <c r="I628" s="123"/>
      <c r="J628" s="219"/>
      <c r="K628" s="219"/>
      <c r="L628" s="123"/>
      <c r="M628" s="123"/>
      <c r="N628" s="219"/>
      <c r="O628" s="219"/>
      <c r="P628" s="123"/>
      <c r="Q628" s="123"/>
      <c r="R628" s="123"/>
      <c r="T628" s="42"/>
      <c r="V628" s="123"/>
      <c r="Y628" s="123"/>
      <c r="Z628" s="219"/>
      <c r="AA628" s="123"/>
      <c r="AB628" s="123"/>
      <c r="AC628" s="219"/>
      <c r="AD628" s="219"/>
      <c r="AE628" s="123"/>
      <c r="AF628" s="123"/>
      <c r="AH628" s="236"/>
      <c r="AI628" s="123"/>
      <c r="AJ628" s="123"/>
      <c r="AL628" s="123"/>
      <c r="AM628" s="160"/>
      <c r="AN628" s="160"/>
    </row>
    <row r="629" spans="1:40" x14ac:dyDescent="0.3">
      <c r="F629" s="123"/>
      <c r="H629" s="123"/>
      <c r="I629" s="123"/>
      <c r="J629" s="219"/>
      <c r="K629" s="219"/>
      <c r="L629" s="123"/>
      <c r="M629" s="123"/>
      <c r="N629" s="219"/>
      <c r="O629" s="219"/>
      <c r="P629" s="123"/>
      <c r="Q629" s="123"/>
      <c r="R629" s="123"/>
      <c r="V629" s="123"/>
      <c r="Y629" s="123"/>
      <c r="Z629" s="219"/>
      <c r="AA629" s="123"/>
      <c r="AB629" s="123"/>
      <c r="AC629" s="219"/>
      <c r="AD629" s="219"/>
      <c r="AH629" s="236"/>
      <c r="AI629" s="123"/>
      <c r="AJ629" s="123"/>
      <c r="AL629" s="123"/>
      <c r="AM629" s="160"/>
      <c r="AN629" s="160"/>
    </row>
    <row r="630" spans="1:40" x14ac:dyDescent="0.3">
      <c r="D630" s="42"/>
      <c r="E630" s="42"/>
      <c r="F630" s="123"/>
      <c r="H630" s="123"/>
      <c r="I630" s="123"/>
      <c r="J630" s="219"/>
      <c r="K630" s="219"/>
      <c r="L630" s="184"/>
      <c r="M630" s="184"/>
      <c r="N630" s="219"/>
      <c r="O630" s="219"/>
      <c r="P630" s="123"/>
      <c r="Q630" s="123"/>
      <c r="R630" s="123"/>
      <c r="U630" s="42"/>
      <c r="V630" s="123"/>
      <c r="Y630" s="123"/>
      <c r="Z630" s="219"/>
      <c r="AA630" s="184"/>
      <c r="AB630" s="184"/>
      <c r="AC630" s="219"/>
      <c r="AD630" s="219"/>
      <c r="AE630" s="123"/>
      <c r="AF630" s="123"/>
      <c r="AH630" s="236"/>
      <c r="AI630" s="123"/>
      <c r="AJ630" s="123"/>
      <c r="AL630" s="123"/>
      <c r="AM630" s="160"/>
      <c r="AN630" s="160"/>
    </row>
    <row r="631" spans="1:40" x14ac:dyDescent="0.3">
      <c r="D631" s="42"/>
      <c r="E631" s="42"/>
      <c r="F631" s="123"/>
      <c r="H631" s="123"/>
      <c r="I631" s="123"/>
      <c r="J631" s="219"/>
      <c r="K631" s="219"/>
      <c r="L631" s="184"/>
      <c r="M631" s="184"/>
      <c r="N631" s="219"/>
      <c r="O631" s="219"/>
      <c r="P631" s="123"/>
      <c r="Q631" s="123"/>
      <c r="R631" s="123"/>
      <c r="U631" s="42"/>
      <c r="V631" s="123"/>
      <c r="Y631" s="123"/>
      <c r="Z631" s="219"/>
      <c r="AA631" s="184"/>
      <c r="AB631" s="184"/>
      <c r="AC631" s="219"/>
      <c r="AD631" s="219"/>
      <c r="AE631" s="123"/>
      <c r="AF631" s="123"/>
      <c r="AH631" s="236"/>
      <c r="AI631" s="123"/>
      <c r="AJ631" s="123"/>
      <c r="AL631" s="123"/>
      <c r="AM631" s="160"/>
      <c r="AN631" s="160"/>
    </row>
    <row r="632" spans="1:40" x14ac:dyDescent="0.3">
      <c r="D632" s="42"/>
      <c r="E632" s="42"/>
      <c r="F632" s="123"/>
      <c r="H632" s="123"/>
      <c r="I632" s="123"/>
      <c r="J632" s="219"/>
      <c r="K632" s="219"/>
      <c r="L632" s="184"/>
      <c r="M632" s="184"/>
      <c r="N632" s="219"/>
      <c r="O632" s="219"/>
      <c r="P632" s="123"/>
      <c r="Q632" s="123"/>
      <c r="R632" s="123"/>
      <c r="U632" s="42"/>
      <c r="V632" s="123"/>
      <c r="Y632" s="123"/>
      <c r="Z632" s="219"/>
      <c r="AA632" s="184"/>
      <c r="AB632" s="184"/>
      <c r="AC632" s="219"/>
      <c r="AD632" s="219"/>
      <c r="AE632" s="123"/>
      <c r="AF632" s="123"/>
      <c r="AH632" s="236"/>
      <c r="AI632" s="123"/>
      <c r="AJ632" s="123"/>
      <c r="AL632" s="123"/>
      <c r="AM632" s="160"/>
      <c r="AN632" s="160"/>
    </row>
    <row r="633" spans="1:40" x14ac:dyDescent="0.3">
      <c r="F633" s="210"/>
      <c r="H633" s="210"/>
      <c r="I633" s="210"/>
      <c r="J633" s="213"/>
      <c r="K633" s="213"/>
      <c r="L633" s="210"/>
      <c r="M633" s="210"/>
      <c r="N633" s="210"/>
      <c r="O633" s="210"/>
      <c r="P633" s="210"/>
      <c r="Q633" s="210"/>
      <c r="R633" s="210"/>
      <c r="V633" s="210"/>
      <c r="Y633" s="210"/>
      <c r="Z633" s="213"/>
      <c r="AA633" s="210"/>
      <c r="AB633" s="210"/>
      <c r="AC633" s="210"/>
      <c r="AD633" s="210"/>
      <c r="AE633" s="210"/>
      <c r="AF633" s="210"/>
      <c r="AI633" s="210"/>
      <c r="AJ633" s="210"/>
      <c r="AK633" s="214"/>
      <c r="AL633" s="210"/>
      <c r="AM633" s="160"/>
      <c r="AN633" s="160"/>
    </row>
    <row r="634" spans="1:40" x14ac:dyDescent="0.3">
      <c r="C634" s="42"/>
      <c r="F634" s="123"/>
      <c r="H634" s="123"/>
      <c r="I634" s="123"/>
      <c r="J634" s="219"/>
      <c r="K634" s="219"/>
      <c r="L634" s="123"/>
      <c r="M634" s="123"/>
      <c r="N634" s="219"/>
      <c r="O634" s="219"/>
      <c r="P634" s="123"/>
      <c r="Q634" s="123"/>
      <c r="R634" s="123"/>
      <c r="T634" s="42"/>
      <c r="V634" s="123"/>
      <c r="Y634" s="123"/>
      <c r="Z634" s="219"/>
      <c r="AA634" s="123"/>
      <c r="AB634" s="123"/>
      <c r="AC634" s="219"/>
      <c r="AD634" s="219"/>
      <c r="AE634" s="123"/>
      <c r="AF634" s="123"/>
      <c r="AH634" s="236"/>
      <c r="AI634" s="123"/>
      <c r="AJ634" s="123"/>
      <c r="AL634" s="123"/>
      <c r="AM634" s="160"/>
      <c r="AN634" s="160"/>
    </row>
    <row r="635" spans="1:40" x14ac:dyDescent="0.3">
      <c r="F635" s="123"/>
      <c r="H635" s="123"/>
      <c r="I635" s="123"/>
      <c r="J635" s="219"/>
      <c r="K635" s="219"/>
      <c r="L635" s="123"/>
      <c r="M635" s="123"/>
      <c r="N635" s="219"/>
      <c r="O635" s="219"/>
      <c r="P635" s="123"/>
      <c r="Q635" s="123"/>
      <c r="R635" s="123"/>
      <c r="V635" s="123"/>
      <c r="Y635" s="123"/>
      <c r="Z635" s="219"/>
      <c r="AA635" s="123"/>
      <c r="AB635" s="123"/>
      <c r="AC635" s="219"/>
      <c r="AD635" s="219"/>
      <c r="AH635" s="236"/>
      <c r="AI635" s="123"/>
      <c r="AJ635" s="123"/>
      <c r="AL635" s="123"/>
      <c r="AM635" s="160"/>
      <c r="AN635" s="160"/>
    </row>
    <row r="636" spans="1:40" x14ac:dyDescent="0.3">
      <c r="C636" s="42"/>
      <c r="F636" s="123"/>
      <c r="H636" s="123"/>
      <c r="I636" s="123"/>
      <c r="J636" s="219"/>
      <c r="K636" s="219"/>
      <c r="L636" s="123"/>
      <c r="M636" s="123"/>
      <c r="N636" s="219"/>
      <c r="O636" s="219"/>
      <c r="P636" s="123"/>
      <c r="Q636" s="123"/>
      <c r="R636" s="123"/>
      <c r="T636" s="42"/>
      <c r="V636" s="123"/>
      <c r="Y636" s="123"/>
      <c r="Z636" s="219"/>
      <c r="AA636" s="123"/>
      <c r="AB636" s="123"/>
      <c r="AC636" s="219"/>
      <c r="AD636" s="219"/>
      <c r="AE636" s="123"/>
      <c r="AF636" s="123"/>
      <c r="AH636" s="236"/>
      <c r="AI636" s="123"/>
      <c r="AJ636" s="123"/>
      <c r="AL636" s="123"/>
      <c r="AM636" s="160"/>
      <c r="AN636" s="160"/>
    </row>
    <row r="637" spans="1:40" x14ac:dyDescent="0.3">
      <c r="F637" s="210"/>
      <c r="H637" s="210"/>
      <c r="I637" s="210"/>
      <c r="J637" s="213"/>
      <c r="K637" s="213"/>
      <c r="L637" s="210"/>
      <c r="M637" s="210"/>
      <c r="N637" s="210"/>
      <c r="O637" s="210"/>
      <c r="P637" s="210"/>
      <c r="Q637" s="210"/>
      <c r="R637" s="210"/>
      <c r="V637" s="210"/>
      <c r="Y637" s="210"/>
      <c r="Z637" s="213"/>
      <c r="AA637" s="210"/>
      <c r="AB637" s="210"/>
      <c r="AC637" s="210"/>
      <c r="AD637" s="210"/>
      <c r="AE637" s="210"/>
      <c r="AF637" s="210"/>
      <c r="AI637" s="210"/>
      <c r="AJ637" s="210"/>
      <c r="AK637" s="214"/>
      <c r="AL637" s="210"/>
    </row>
    <row r="639" spans="1:40" x14ac:dyDescent="0.3">
      <c r="C639" s="42"/>
      <c r="L639" s="123"/>
      <c r="M639" s="123"/>
      <c r="P639" s="123"/>
      <c r="Q639" s="123"/>
      <c r="R639" s="123"/>
      <c r="T639" s="42"/>
    </row>
    <row r="640" spans="1:40" x14ac:dyDescent="0.3">
      <c r="A640" s="42"/>
      <c r="L640" s="123"/>
      <c r="M640" s="123"/>
      <c r="P640" s="123"/>
      <c r="Q640" s="123"/>
      <c r="R640" s="123"/>
    </row>
    <row r="641" spans="12:18" x14ac:dyDescent="0.3">
      <c r="L641" s="123"/>
      <c r="M641" s="123"/>
      <c r="P641" s="123"/>
      <c r="Q641" s="123"/>
      <c r="R641" s="123"/>
    </row>
    <row r="642" spans="12:18" x14ac:dyDescent="0.3">
      <c r="L642" s="123"/>
      <c r="M642" s="123"/>
      <c r="P642" s="123"/>
      <c r="Q642" s="123"/>
      <c r="R642" s="123"/>
    </row>
    <row r="643" spans="12:18" x14ac:dyDescent="0.3">
      <c r="L643" s="123"/>
      <c r="M643" s="123"/>
      <c r="P643" s="123"/>
      <c r="Q643" s="123"/>
      <c r="R643" s="123"/>
    </row>
    <row r="644" spans="12:18" x14ac:dyDescent="0.3">
      <c r="L644" s="123"/>
      <c r="M644" s="123"/>
      <c r="P644" s="123"/>
      <c r="Q644" s="123"/>
      <c r="R644" s="123"/>
    </row>
    <row r="645" spans="12:18" x14ac:dyDescent="0.3">
      <c r="L645" s="123"/>
      <c r="M645" s="123"/>
      <c r="P645" s="123"/>
      <c r="Q645" s="123"/>
      <c r="R645" s="123"/>
    </row>
    <row r="678" spans="49:49" x14ac:dyDescent="0.3">
      <c r="AW678" s="123"/>
    </row>
    <row r="679" spans="49:49" x14ac:dyDescent="0.3">
      <c r="AW679" s="123"/>
    </row>
    <row r="680" spans="49:49" x14ac:dyDescent="0.3">
      <c r="AW680" s="123"/>
    </row>
    <row r="681" spans="49:49" x14ac:dyDescent="0.3">
      <c r="AW681" s="123"/>
    </row>
    <row r="682" spans="49:49" x14ac:dyDescent="0.3">
      <c r="AW682" s="123"/>
    </row>
    <row r="683" spans="49:49" x14ac:dyDescent="0.3">
      <c r="AW683" s="123"/>
    </row>
    <row r="686" spans="49:49" x14ac:dyDescent="0.3">
      <c r="AW686" s="123"/>
    </row>
    <row r="687" spans="49:49" x14ac:dyDescent="0.3">
      <c r="AW687" s="123"/>
    </row>
    <row r="688" spans="49:49" x14ac:dyDescent="0.3">
      <c r="AW688" s="123"/>
    </row>
    <row r="689" spans="49:49" x14ac:dyDescent="0.3">
      <c r="AW689" s="123"/>
    </row>
    <row r="690" spans="49:49" x14ac:dyDescent="0.3">
      <c r="AW690" s="123"/>
    </row>
    <row r="691" spans="49:49" x14ac:dyDescent="0.3">
      <c r="AW691" s="123"/>
    </row>
    <row r="692" spans="49:49" x14ac:dyDescent="0.3">
      <c r="AW692" s="123"/>
    </row>
    <row r="693" spans="49:49" x14ac:dyDescent="0.3">
      <c r="AW693" s="123"/>
    </row>
    <row r="696" spans="49:49" x14ac:dyDescent="0.3">
      <c r="AW696" s="123"/>
    </row>
    <row r="697" spans="49:49" x14ac:dyDescent="0.3">
      <c r="AW697" s="123"/>
    </row>
    <row r="700" spans="49:49" x14ac:dyDescent="0.3">
      <c r="AW700" s="123"/>
    </row>
    <row r="701" spans="49:49" x14ac:dyDescent="0.3">
      <c r="AW701" s="123"/>
    </row>
    <row r="702" spans="49:49" x14ac:dyDescent="0.3">
      <c r="AW702" s="123"/>
    </row>
    <row r="703" spans="49:49" x14ac:dyDescent="0.3">
      <c r="AW703" s="123"/>
    </row>
    <row r="711" spans="45:69" x14ac:dyDescent="0.3">
      <c r="AY711" s="42"/>
    </row>
    <row r="712" spans="45:69" x14ac:dyDescent="0.3">
      <c r="AY712" s="42"/>
    </row>
    <row r="713" spans="45:69" x14ac:dyDescent="0.3">
      <c r="BD713" s="42"/>
    </row>
    <row r="714" spans="45:69" x14ac:dyDescent="0.3">
      <c r="BD714" s="42"/>
    </row>
    <row r="715" spans="45:69" x14ac:dyDescent="0.3">
      <c r="AS715" s="42"/>
      <c r="BD715" s="42"/>
    </row>
    <row r="717" spans="45:69" x14ac:dyDescent="0.3">
      <c r="AS717" s="135"/>
      <c r="AT717" s="135"/>
      <c r="AU717" s="135"/>
      <c r="AV717" s="135"/>
      <c r="AW717" s="135"/>
      <c r="AX717" s="135"/>
      <c r="AY717" s="135"/>
      <c r="AZ717" s="135"/>
      <c r="BA717" s="135"/>
      <c r="BB717" s="135"/>
      <c r="BC717" s="135"/>
      <c r="BD717" s="135"/>
      <c r="BE717" s="135"/>
    </row>
    <row r="718" spans="45:69" x14ac:dyDescent="0.3">
      <c r="AX718" s="42"/>
    </row>
    <row r="719" spans="45:69" x14ac:dyDescent="0.3">
      <c r="AX719" s="135"/>
      <c r="AY719" s="135"/>
      <c r="AZ719" s="135"/>
      <c r="BA719" s="135"/>
      <c r="BC719" s="44"/>
      <c r="BD719" s="44"/>
    </row>
    <row r="720" spans="45:69" x14ac:dyDescent="0.3">
      <c r="AV720" s="44"/>
      <c r="AW720" s="44"/>
      <c r="AZ720" s="44"/>
      <c r="BA720" s="44"/>
      <c r="BC720" s="44"/>
      <c r="BD720" s="44"/>
      <c r="BE720" s="44"/>
      <c r="BG720" s="135"/>
      <c r="BH720" s="42"/>
      <c r="BK720" s="135"/>
      <c r="BM720" s="135"/>
      <c r="BN720" s="42"/>
      <c r="BQ720" s="135"/>
    </row>
    <row r="721" spans="45:69" x14ac:dyDescent="0.3"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H721" s="44"/>
      <c r="BI721" s="44"/>
      <c r="BJ721" s="44"/>
      <c r="BN721" s="44"/>
      <c r="BO721" s="44"/>
      <c r="BP721" s="44"/>
    </row>
    <row r="722" spans="45:69" x14ac:dyDescent="0.3">
      <c r="AS722" s="44"/>
      <c r="AU722" s="42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G722" s="44"/>
      <c r="BH722" s="44"/>
      <c r="BI722" s="44"/>
      <c r="BJ722" s="44"/>
      <c r="BK722" s="44"/>
      <c r="BM722" s="44"/>
      <c r="BN722" s="44"/>
      <c r="BO722" s="44"/>
      <c r="BP722" s="44"/>
      <c r="BQ722" s="44"/>
    </row>
    <row r="723" spans="45:69" x14ac:dyDescent="0.3">
      <c r="AS723" s="44"/>
      <c r="AU723" s="42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G723" s="44"/>
      <c r="BH723" s="44"/>
      <c r="BI723" s="44"/>
      <c r="BJ723" s="44"/>
      <c r="BK723" s="44"/>
      <c r="BM723" s="44"/>
      <c r="BN723" s="44"/>
      <c r="BO723" s="44"/>
      <c r="BP723" s="44"/>
      <c r="BQ723" s="44"/>
    </row>
    <row r="724" spans="45:69" x14ac:dyDescent="0.3">
      <c r="AS724" s="135"/>
      <c r="AT724" s="135"/>
      <c r="AU724" s="135"/>
      <c r="AV724" s="135"/>
      <c r="AW724" s="135"/>
      <c r="AX724" s="135"/>
      <c r="AY724" s="135"/>
      <c r="AZ724" s="135"/>
      <c r="BA724" s="135"/>
      <c r="BB724" s="135"/>
      <c r="BC724" s="135"/>
      <c r="BD724" s="135"/>
      <c r="BE724" s="135"/>
      <c r="BG724" s="135"/>
      <c r="BH724" s="135"/>
      <c r="BI724" s="135"/>
      <c r="BJ724" s="135"/>
      <c r="BK724" s="135"/>
      <c r="BM724" s="135"/>
      <c r="BN724" s="135"/>
      <c r="BO724" s="135"/>
      <c r="BP724" s="135"/>
      <c r="BQ724" s="135"/>
    </row>
    <row r="725" spans="45:69" x14ac:dyDescent="0.3"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</row>
    <row r="726" spans="45:69" x14ac:dyDescent="0.3">
      <c r="AU726" s="42"/>
      <c r="AV726" s="44"/>
      <c r="AY726" s="219"/>
    </row>
    <row r="727" spans="45:69" x14ac:dyDescent="0.3">
      <c r="AV727" s="44"/>
      <c r="AW727" s="123"/>
      <c r="AX727" s="188"/>
      <c r="AY727" s="188"/>
      <c r="AZ727" s="188"/>
      <c r="BA727" s="160"/>
      <c r="BB727" s="188"/>
      <c r="BC727" s="219"/>
      <c r="BD727" s="219"/>
      <c r="BE727" s="160"/>
      <c r="BG727" s="188"/>
      <c r="BH727" s="188"/>
      <c r="BI727" s="188"/>
      <c r="BJ727" s="188"/>
      <c r="BK727" s="188"/>
      <c r="BM727" s="188"/>
      <c r="BN727" s="188"/>
      <c r="BO727" s="188"/>
      <c r="BP727" s="188"/>
      <c r="BQ727" s="188"/>
    </row>
    <row r="728" spans="45:69" x14ac:dyDescent="0.3">
      <c r="AV728" s="44"/>
      <c r="AW728" s="123"/>
      <c r="AX728" s="188"/>
      <c r="AY728" s="188"/>
      <c r="AZ728" s="188"/>
      <c r="BA728" s="160"/>
      <c r="BB728" s="188"/>
      <c r="BC728" s="219"/>
      <c r="BD728" s="219"/>
      <c r="BE728" s="160"/>
      <c r="BG728" s="188"/>
      <c r="BH728" s="188"/>
      <c r="BI728" s="188"/>
      <c r="BJ728" s="188"/>
      <c r="BK728" s="188"/>
      <c r="BM728" s="188"/>
      <c r="BN728" s="188"/>
      <c r="BO728" s="188"/>
      <c r="BP728" s="188"/>
      <c r="BQ728" s="188"/>
    </row>
    <row r="729" spans="45:69" x14ac:dyDescent="0.3">
      <c r="AV729" s="44"/>
      <c r="AW729" s="123"/>
      <c r="AX729" s="188"/>
      <c r="AY729" s="188"/>
      <c r="AZ729" s="188"/>
      <c r="BA729" s="160"/>
      <c r="BB729" s="188"/>
      <c r="BC729" s="219"/>
      <c r="BD729" s="219"/>
      <c r="BE729" s="160"/>
      <c r="BG729" s="188"/>
      <c r="BH729" s="188"/>
      <c r="BI729" s="188"/>
      <c r="BJ729" s="188"/>
      <c r="BK729" s="188"/>
      <c r="BM729" s="188"/>
      <c r="BN729" s="188"/>
      <c r="BO729" s="188"/>
      <c r="BP729" s="188"/>
      <c r="BQ729" s="188"/>
    </row>
    <row r="730" spans="45:69" x14ac:dyDescent="0.3">
      <c r="AV730" s="44"/>
      <c r="AW730" s="123"/>
      <c r="AX730" s="188"/>
      <c r="AY730" s="188"/>
      <c r="AZ730" s="188"/>
      <c r="BA730" s="160"/>
      <c r="BB730" s="188"/>
      <c r="BC730" s="219"/>
      <c r="BD730" s="219"/>
      <c r="BE730" s="160"/>
      <c r="BG730" s="188"/>
      <c r="BH730" s="188"/>
      <c r="BI730" s="188"/>
      <c r="BJ730" s="188"/>
      <c r="BK730" s="188"/>
      <c r="BM730" s="188"/>
      <c r="BN730" s="188"/>
      <c r="BO730" s="188"/>
      <c r="BP730" s="188"/>
      <c r="BQ730" s="188"/>
    </row>
    <row r="731" spans="45:69" x14ac:dyDescent="0.3">
      <c r="AV731" s="44"/>
      <c r="AW731" s="123"/>
      <c r="AX731" s="188"/>
      <c r="AY731" s="188"/>
      <c r="AZ731" s="188"/>
      <c r="BA731" s="160"/>
      <c r="BB731" s="188"/>
      <c r="BC731" s="219"/>
      <c r="BD731" s="219"/>
      <c r="BE731" s="160"/>
      <c r="BG731" s="188"/>
      <c r="BH731" s="188"/>
      <c r="BI731" s="188"/>
      <c r="BJ731" s="188"/>
      <c r="BK731" s="188"/>
      <c r="BM731" s="188"/>
      <c r="BN731" s="188"/>
      <c r="BO731" s="188"/>
      <c r="BP731" s="188"/>
      <c r="BQ731" s="188"/>
    </row>
    <row r="732" spans="45:69" x14ac:dyDescent="0.3">
      <c r="AV732" s="44"/>
      <c r="AW732" s="123"/>
      <c r="AX732" s="188"/>
      <c r="AY732" s="188"/>
      <c r="AZ732" s="188"/>
      <c r="BA732" s="160"/>
      <c r="BB732" s="188"/>
      <c r="BC732" s="219"/>
      <c r="BD732" s="219"/>
      <c r="BE732" s="160"/>
      <c r="BG732" s="188"/>
      <c r="BH732" s="188"/>
      <c r="BI732" s="188"/>
      <c r="BJ732" s="188"/>
      <c r="BK732" s="188"/>
      <c r="BM732" s="188"/>
      <c r="BN732" s="188"/>
      <c r="BO732" s="188"/>
      <c r="BP732" s="188"/>
      <c r="BQ732" s="188"/>
    </row>
    <row r="733" spans="45:69" x14ac:dyDescent="0.3">
      <c r="AV733" s="44"/>
      <c r="AW733" s="123"/>
      <c r="AX733" s="188"/>
      <c r="AY733" s="188"/>
      <c r="AZ733" s="188"/>
      <c r="BA733" s="160"/>
      <c r="BB733" s="188"/>
      <c r="BC733" s="219"/>
      <c r="BD733" s="219"/>
      <c r="BE733" s="160"/>
      <c r="BG733" s="188"/>
      <c r="BH733" s="188"/>
      <c r="BI733" s="188"/>
      <c r="BJ733" s="188"/>
      <c r="BK733" s="188"/>
      <c r="BM733" s="188"/>
      <c r="BN733" s="188"/>
      <c r="BO733" s="188"/>
      <c r="BP733" s="188"/>
      <c r="BQ733" s="188"/>
    </row>
    <row r="734" spans="45:69" x14ac:dyDescent="0.3">
      <c r="AY734" s="219"/>
      <c r="AZ734" s="188"/>
      <c r="BA734" s="160"/>
      <c r="BB734" s="188"/>
      <c r="BC734" s="219"/>
      <c r="BD734" s="219"/>
      <c r="BE734" s="160"/>
      <c r="BK734" s="188"/>
      <c r="BQ734" s="188"/>
    </row>
    <row r="735" spans="45:69" x14ac:dyDescent="0.3">
      <c r="AV735" s="44"/>
      <c r="AY735" s="219"/>
      <c r="AZ735" s="188"/>
      <c r="BA735" s="160"/>
      <c r="BB735" s="188"/>
      <c r="BC735" s="219"/>
      <c r="BD735" s="219"/>
      <c r="BE735" s="160"/>
      <c r="BK735" s="188"/>
      <c r="BQ735" s="188"/>
    </row>
    <row r="736" spans="45:69" x14ac:dyDescent="0.3">
      <c r="AV736" s="44"/>
      <c r="AW736" s="123"/>
      <c r="AX736" s="188"/>
      <c r="AY736" s="188"/>
      <c r="AZ736" s="188"/>
      <c r="BA736" s="160"/>
      <c r="BB736" s="188"/>
      <c r="BC736" s="219"/>
      <c r="BD736" s="219"/>
      <c r="BE736" s="160"/>
      <c r="BG736" s="188"/>
      <c r="BH736" s="188"/>
      <c r="BI736" s="188"/>
      <c r="BJ736" s="188"/>
      <c r="BK736" s="188"/>
      <c r="BM736" s="188"/>
      <c r="BN736" s="188"/>
      <c r="BO736" s="188"/>
      <c r="BP736" s="188"/>
      <c r="BQ736" s="188"/>
    </row>
    <row r="737" spans="45:69" x14ac:dyDescent="0.3">
      <c r="AV737" s="44"/>
      <c r="AW737" s="123"/>
      <c r="AX737" s="188"/>
      <c r="AY737" s="188"/>
      <c r="AZ737" s="188"/>
      <c r="BA737" s="160"/>
      <c r="BB737" s="188"/>
      <c r="BC737" s="219"/>
      <c r="BD737" s="219"/>
      <c r="BE737" s="160"/>
      <c r="BG737" s="188"/>
      <c r="BH737" s="188"/>
      <c r="BI737" s="188"/>
      <c r="BJ737" s="188"/>
      <c r="BK737" s="188"/>
      <c r="BM737" s="188"/>
      <c r="BN737" s="188"/>
      <c r="BO737" s="188"/>
      <c r="BP737" s="188"/>
      <c r="BQ737" s="188"/>
    </row>
    <row r="738" spans="45:69" x14ac:dyDescent="0.3">
      <c r="AV738" s="44"/>
      <c r="AW738" s="123"/>
      <c r="AX738" s="188"/>
      <c r="AY738" s="188"/>
      <c r="AZ738" s="188"/>
      <c r="BA738" s="160"/>
      <c r="BB738" s="188"/>
      <c r="BC738" s="219"/>
      <c r="BD738" s="219"/>
      <c r="BE738" s="160"/>
      <c r="BG738" s="188"/>
      <c r="BH738" s="188"/>
      <c r="BI738" s="188"/>
      <c r="BJ738" s="188"/>
      <c r="BK738" s="188"/>
      <c r="BM738" s="188"/>
      <c r="BN738" s="188"/>
      <c r="BO738" s="188"/>
      <c r="BP738" s="188"/>
      <c r="BQ738" s="188"/>
    </row>
    <row r="739" spans="45:69" x14ac:dyDescent="0.3">
      <c r="AV739" s="44"/>
      <c r="AW739" s="123"/>
      <c r="AX739" s="188"/>
      <c r="AY739" s="188"/>
      <c r="AZ739" s="188"/>
      <c r="BA739" s="160"/>
      <c r="BB739" s="188"/>
      <c r="BC739" s="219"/>
      <c r="BD739" s="219"/>
      <c r="BE739" s="160"/>
      <c r="BG739" s="188"/>
      <c r="BH739" s="188"/>
      <c r="BI739" s="188"/>
      <c r="BJ739" s="188"/>
      <c r="BK739" s="188"/>
      <c r="BM739" s="188"/>
      <c r="BN739" s="188"/>
      <c r="BO739" s="188"/>
      <c r="BP739" s="188"/>
      <c r="BQ739" s="188"/>
    </row>
    <row r="740" spans="45:69" x14ac:dyDescent="0.3">
      <c r="AV740" s="44"/>
      <c r="AW740" s="123"/>
      <c r="AX740" s="188"/>
      <c r="AY740" s="188"/>
      <c r="AZ740" s="188"/>
      <c r="BA740" s="160"/>
      <c r="BB740" s="188"/>
      <c r="BC740" s="219"/>
      <c r="BD740" s="219"/>
      <c r="BE740" s="160"/>
      <c r="BG740" s="188"/>
      <c r="BH740" s="188"/>
      <c r="BI740" s="188"/>
      <c r="BJ740" s="188"/>
      <c r="BK740" s="188"/>
      <c r="BM740" s="188"/>
      <c r="BN740" s="188"/>
      <c r="BO740" s="188"/>
      <c r="BP740" s="188"/>
      <c r="BQ740" s="188"/>
    </row>
    <row r="741" spans="45:69" x14ac:dyDescent="0.3">
      <c r="AV741" s="44"/>
      <c r="AW741" s="123"/>
      <c r="AX741" s="188"/>
      <c r="AY741" s="188"/>
      <c r="AZ741" s="188"/>
      <c r="BA741" s="160"/>
      <c r="BB741" s="188"/>
      <c r="BC741" s="219"/>
      <c r="BD741" s="219"/>
      <c r="BE741" s="160"/>
      <c r="BG741" s="188"/>
      <c r="BH741" s="188"/>
      <c r="BI741" s="188"/>
      <c r="BJ741" s="188"/>
      <c r="BK741" s="188"/>
      <c r="BM741" s="188"/>
      <c r="BN741" s="188"/>
      <c r="BO741" s="188"/>
      <c r="BP741" s="188"/>
      <c r="BQ741" s="188"/>
    </row>
    <row r="742" spans="45:69" x14ac:dyDescent="0.3">
      <c r="AV742" s="44"/>
      <c r="AW742" s="123"/>
      <c r="AX742" s="188"/>
      <c r="AY742" s="188"/>
      <c r="AZ742" s="188"/>
      <c r="BA742" s="160"/>
      <c r="BB742" s="188"/>
      <c r="BC742" s="219"/>
      <c r="BD742" s="219"/>
      <c r="BE742" s="160"/>
      <c r="BG742" s="188"/>
      <c r="BH742" s="188"/>
      <c r="BI742" s="188"/>
      <c r="BJ742" s="188"/>
      <c r="BK742" s="188"/>
      <c r="BM742" s="188"/>
      <c r="BN742" s="188"/>
      <c r="BO742" s="188"/>
      <c r="BP742" s="188"/>
      <c r="BQ742" s="188"/>
    </row>
    <row r="743" spans="45:69" x14ac:dyDescent="0.3">
      <c r="AV743" s="44"/>
      <c r="AW743" s="123"/>
      <c r="AX743" s="188"/>
      <c r="AY743" s="188"/>
      <c r="AZ743" s="188"/>
      <c r="BA743" s="160"/>
      <c r="BB743" s="188"/>
      <c r="BC743" s="219"/>
      <c r="BD743" s="219"/>
      <c r="BE743" s="160"/>
      <c r="BG743" s="188"/>
      <c r="BH743" s="188"/>
      <c r="BI743" s="188"/>
      <c r="BJ743" s="188"/>
      <c r="BK743" s="188"/>
      <c r="BM743" s="188"/>
      <c r="BN743" s="188"/>
      <c r="BO743" s="188"/>
      <c r="BP743" s="188"/>
      <c r="BQ743" s="188"/>
    </row>
    <row r="744" spans="45:69" x14ac:dyDescent="0.3">
      <c r="AY744" s="219"/>
      <c r="AZ744" s="188"/>
      <c r="BA744" s="160"/>
      <c r="BB744" s="188"/>
      <c r="BC744" s="219"/>
      <c r="BD744" s="219"/>
      <c r="BE744" s="160"/>
      <c r="BK744" s="188"/>
      <c r="BQ744" s="188"/>
    </row>
    <row r="745" spans="45:69" x14ac:dyDescent="0.3">
      <c r="AU745" s="42"/>
      <c r="AZ745" s="188"/>
      <c r="BB745" s="188"/>
      <c r="BG745" s="188"/>
      <c r="BH745" s="188"/>
      <c r="BJ745" s="188"/>
      <c r="BK745" s="188"/>
    </row>
    <row r="746" spans="45:69" x14ac:dyDescent="0.3">
      <c r="AZ746" s="188"/>
      <c r="BB746" s="188"/>
    </row>
    <row r="747" spans="45:69" x14ac:dyDescent="0.3">
      <c r="AS747" s="42"/>
      <c r="AZ747" s="188"/>
      <c r="BB747" s="188"/>
      <c r="BI747" s="188"/>
    </row>
    <row r="748" spans="45:69" x14ac:dyDescent="0.3">
      <c r="AZ748" s="188"/>
      <c r="BB748" s="188"/>
    </row>
    <row r="749" spans="45:69" x14ac:dyDescent="0.3">
      <c r="AY749" s="188"/>
      <c r="BB749" s="188"/>
    </row>
    <row r="750" spans="45:69" x14ac:dyDescent="0.3">
      <c r="AY750" s="42"/>
      <c r="AZ750" s="188"/>
      <c r="BB750" s="188"/>
    </row>
    <row r="751" spans="45:69" x14ac:dyDescent="0.3">
      <c r="AY751" s="42"/>
      <c r="AZ751" s="188"/>
      <c r="BB751" s="188"/>
    </row>
    <row r="752" spans="45:69" x14ac:dyDescent="0.3">
      <c r="AZ752" s="188"/>
      <c r="BB752" s="188"/>
      <c r="BD752" s="42"/>
    </row>
    <row r="753" spans="45:75" x14ac:dyDescent="0.3">
      <c r="AZ753" s="188"/>
      <c r="BB753" s="188"/>
      <c r="BD753" s="42"/>
    </row>
    <row r="754" spans="45:75" x14ac:dyDescent="0.3">
      <c r="AS754" s="42"/>
      <c r="AZ754" s="188"/>
      <c r="BB754" s="188"/>
      <c r="BD754" s="42"/>
    </row>
    <row r="755" spans="45:75" x14ac:dyDescent="0.3">
      <c r="AZ755" s="188"/>
      <c r="BB755" s="188"/>
    </row>
    <row r="756" spans="45:75" x14ac:dyDescent="0.3">
      <c r="AS756" s="135"/>
      <c r="AT756" s="135"/>
      <c r="AU756" s="135"/>
      <c r="AV756" s="135"/>
      <c r="AW756" s="135"/>
      <c r="AX756" s="135"/>
      <c r="AY756" s="135"/>
      <c r="AZ756" s="244"/>
      <c r="BA756" s="135"/>
      <c r="BB756" s="244"/>
      <c r="BC756" s="135"/>
      <c r="BD756" s="135"/>
      <c r="BE756" s="135"/>
    </row>
    <row r="757" spans="45:75" x14ac:dyDescent="0.3">
      <c r="AX757" s="42"/>
      <c r="AZ757" s="188"/>
      <c r="BB757" s="188"/>
    </row>
    <row r="758" spans="45:75" x14ac:dyDescent="0.3">
      <c r="AX758" s="135"/>
      <c r="AY758" s="135"/>
      <c r="AZ758" s="244"/>
      <c r="BA758" s="135"/>
      <c r="BB758" s="188"/>
      <c r="BC758" s="44"/>
      <c r="BD758" s="44"/>
    </row>
    <row r="759" spans="45:75" x14ac:dyDescent="0.3">
      <c r="AV759" s="44"/>
      <c r="AW759" s="44"/>
      <c r="AZ759" s="245"/>
      <c r="BA759" s="44"/>
      <c r="BB759" s="188"/>
      <c r="BC759" s="44"/>
      <c r="BD759" s="44"/>
      <c r="BE759" s="44"/>
      <c r="BG759" s="135"/>
      <c r="BH759" s="135"/>
      <c r="BI759" s="42"/>
      <c r="BM759" s="135"/>
      <c r="BN759" s="135"/>
      <c r="BP759" s="135"/>
      <c r="BQ759" s="135"/>
      <c r="BR759" s="42"/>
      <c r="BV759" s="135"/>
      <c r="BW759" s="135"/>
    </row>
    <row r="760" spans="45:75" x14ac:dyDescent="0.3">
      <c r="AV760" s="44"/>
      <c r="AW760" s="44"/>
      <c r="AX760" s="44"/>
      <c r="AY760" s="44"/>
      <c r="AZ760" s="245"/>
      <c r="BA760" s="44"/>
      <c r="BB760" s="245"/>
      <c r="BC760" s="44"/>
      <c r="BD760" s="44"/>
      <c r="BE760" s="44"/>
      <c r="BH760" s="44"/>
      <c r="BI760" s="44"/>
      <c r="BJ760" s="44"/>
      <c r="BK760" s="44"/>
      <c r="BL760" s="44"/>
      <c r="BM760" s="44"/>
      <c r="BQ760" s="44"/>
      <c r="BR760" s="44"/>
      <c r="BS760" s="44"/>
      <c r="BT760" s="44"/>
      <c r="BU760" s="44"/>
      <c r="BV760" s="44"/>
    </row>
    <row r="761" spans="45:75" x14ac:dyDescent="0.3">
      <c r="AS761" s="44"/>
      <c r="AU761" s="42"/>
      <c r="AV761" s="44"/>
      <c r="AW761" s="44"/>
      <c r="AX761" s="44"/>
      <c r="AY761" s="44"/>
      <c r="AZ761" s="245"/>
      <c r="BA761" s="44"/>
      <c r="BB761" s="245"/>
      <c r="BC761" s="44"/>
      <c r="BD761" s="44"/>
      <c r="BE761" s="44"/>
      <c r="BG761" s="44"/>
      <c r="BH761" s="44"/>
      <c r="BI761" s="44"/>
      <c r="BJ761" s="44"/>
      <c r="BK761" s="44"/>
      <c r="BL761" s="44"/>
      <c r="BM761" s="44"/>
      <c r="BN761" s="44"/>
      <c r="BP761" s="44"/>
      <c r="BQ761" s="44"/>
      <c r="BR761" s="44"/>
      <c r="BS761" s="44"/>
      <c r="BT761" s="44"/>
      <c r="BU761" s="44"/>
      <c r="BV761" s="44"/>
      <c r="BW761" s="44"/>
    </row>
    <row r="762" spans="45:75" x14ac:dyDescent="0.3">
      <c r="AS762" s="44"/>
      <c r="AU762" s="42"/>
      <c r="AV762" s="44"/>
      <c r="AW762" s="44"/>
      <c r="AX762" s="44"/>
      <c r="AY762" s="44"/>
      <c r="AZ762" s="245"/>
      <c r="BA762" s="44"/>
      <c r="BB762" s="245"/>
      <c r="BC762" s="44"/>
      <c r="BD762" s="44"/>
      <c r="BE762" s="44"/>
      <c r="BG762" s="44"/>
      <c r="BH762" s="44"/>
      <c r="BI762" s="44"/>
      <c r="BJ762" s="44"/>
      <c r="BK762" s="44"/>
      <c r="BL762" s="44"/>
      <c r="BM762" s="44"/>
      <c r="BN762" s="44"/>
      <c r="BP762" s="44"/>
      <c r="BQ762" s="44"/>
      <c r="BR762" s="44"/>
      <c r="BS762" s="44"/>
      <c r="BT762" s="44"/>
      <c r="BU762" s="44"/>
      <c r="BV762" s="44"/>
      <c r="BW762" s="44"/>
    </row>
    <row r="763" spans="45:75" x14ac:dyDescent="0.3">
      <c r="AS763" s="135"/>
      <c r="AT763" s="135"/>
      <c r="AU763" s="135"/>
      <c r="AV763" s="135"/>
      <c r="AW763" s="135"/>
      <c r="AX763" s="135"/>
      <c r="AY763" s="135"/>
      <c r="AZ763" s="244"/>
      <c r="BA763" s="135"/>
      <c r="BB763" s="244"/>
      <c r="BC763" s="135"/>
      <c r="BD763" s="135"/>
      <c r="BE763" s="135"/>
      <c r="BG763" s="135"/>
      <c r="BH763" s="135"/>
      <c r="BI763" s="135"/>
      <c r="BJ763" s="135"/>
      <c r="BK763" s="135"/>
      <c r="BL763" s="135"/>
      <c r="BM763" s="135"/>
      <c r="BN763" s="135"/>
      <c r="BP763" s="135"/>
      <c r="BQ763" s="135"/>
      <c r="BR763" s="135"/>
      <c r="BS763" s="135"/>
      <c r="BT763" s="135"/>
      <c r="BU763" s="135"/>
      <c r="BV763" s="135"/>
      <c r="BW763" s="135"/>
    </row>
    <row r="764" spans="45:75" x14ac:dyDescent="0.3">
      <c r="AV764" s="44"/>
      <c r="AW764" s="44"/>
      <c r="AX764" s="44"/>
      <c r="AY764" s="44"/>
      <c r="AZ764" s="245"/>
      <c r="BA764" s="44"/>
      <c r="BB764" s="245"/>
      <c r="BC764" s="44"/>
      <c r="BD764" s="44"/>
      <c r="BE764" s="44"/>
      <c r="BG764" s="188"/>
      <c r="BH764" s="188"/>
      <c r="BI764" s="188"/>
      <c r="BJ764" s="188"/>
      <c r="BK764" s="188"/>
      <c r="BL764" s="188"/>
      <c r="BM764" s="188"/>
      <c r="BN764" s="188"/>
      <c r="BO764" s="188"/>
      <c r="BP764" s="188"/>
      <c r="BQ764" s="188"/>
      <c r="BR764" s="188"/>
      <c r="BS764" s="188"/>
      <c r="BT764" s="188"/>
      <c r="BU764" s="188"/>
      <c r="BV764" s="188"/>
      <c r="BW764" s="188"/>
    </row>
    <row r="765" spans="45:75" x14ac:dyDescent="0.3">
      <c r="AU765" s="42"/>
      <c r="AW765" s="123"/>
      <c r="AX765" s="188"/>
      <c r="AY765" s="188"/>
      <c r="AZ765" s="188"/>
      <c r="BA765" s="236"/>
      <c r="BB765" s="188"/>
      <c r="BC765" s="188"/>
      <c r="BD765" s="188"/>
      <c r="BE765" s="236"/>
      <c r="BG765" s="188"/>
      <c r="BH765" s="188"/>
      <c r="BI765" s="188"/>
      <c r="BJ765" s="188"/>
      <c r="BK765" s="188"/>
      <c r="BL765" s="188"/>
      <c r="BM765" s="188"/>
      <c r="BN765" s="188"/>
      <c r="BO765" s="188"/>
      <c r="BP765" s="188"/>
      <c r="BQ765" s="188"/>
      <c r="BR765" s="188"/>
      <c r="BS765" s="188"/>
      <c r="BT765" s="188"/>
      <c r="BU765" s="188"/>
      <c r="BV765" s="188"/>
      <c r="BW765" s="188"/>
    </row>
    <row r="766" spans="45:75" x14ac:dyDescent="0.3">
      <c r="AW766" s="123"/>
      <c r="AX766" s="188"/>
      <c r="AY766" s="188"/>
      <c r="AZ766" s="188"/>
      <c r="BA766" s="236"/>
      <c r="BB766" s="188"/>
      <c r="BC766" s="188"/>
      <c r="BD766" s="188"/>
      <c r="BE766" s="236"/>
      <c r="BG766" s="188"/>
      <c r="BH766" s="188"/>
      <c r="BI766" s="188"/>
      <c r="BJ766" s="188"/>
      <c r="BK766" s="188"/>
      <c r="BL766" s="188"/>
      <c r="BM766" s="188"/>
      <c r="BN766" s="188"/>
      <c r="BO766" s="188"/>
      <c r="BP766" s="188"/>
      <c r="BQ766" s="188"/>
      <c r="BR766" s="188"/>
      <c r="BS766" s="188"/>
      <c r="BT766" s="188"/>
      <c r="BU766" s="188"/>
      <c r="BV766" s="188"/>
      <c r="BW766" s="188"/>
    </row>
    <row r="767" spans="45:75" x14ac:dyDescent="0.3">
      <c r="AW767" s="123"/>
      <c r="AX767" s="188"/>
      <c r="AY767" s="188"/>
      <c r="AZ767" s="188"/>
      <c r="BA767" s="236"/>
      <c r="BB767" s="188"/>
      <c r="BC767" s="188"/>
      <c r="BD767" s="188"/>
      <c r="BE767" s="236"/>
      <c r="BG767" s="188"/>
      <c r="BH767" s="188"/>
      <c r="BI767" s="188"/>
      <c r="BJ767" s="188"/>
      <c r="BK767" s="188"/>
      <c r="BL767" s="188"/>
      <c r="BM767" s="188"/>
      <c r="BN767" s="188"/>
      <c r="BO767" s="188"/>
      <c r="BP767" s="188"/>
      <c r="BQ767" s="188"/>
      <c r="BR767" s="188"/>
      <c r="BS767" s="188"/>
      <c r="BT767" s="188"/>
      <c r="BU767" s="188"/>
      <c r="BV767" s="188"/>
      <c r="BW767" s="188"/>
    </row>
    <row r="768" spans="45:75" x14ac:dyDescent="0.3">
      <c r="AW768" s="123"/>
      <c r="AX768" s="188"/>
      <c r="AY768" s="188"/>
      <c r="AZ768" s="188"/>
      <c r="BA768" s="236"/>
      <c r="BB768" s="188"/>
      <c r="BC768" s="188"/>
      <c r="BD768" s="188"/>
      <c r="BE768" s="236"/>
      <c r="BG768" s="188"/>
      <c r="BH768" s="188"/>
      <c r="BI768" s="188"/>
      <c r="BJ768" s="188"/>
      <c r="BK768" s="188"/>
      <c r="BL768" s="188"/>
      <c r="BM768" s="188"/>
      <c r="BN768" s="188"/>
      <c r="BO768" s="188"/>
      <c r="BP768" s="188"/>
      <c r="BQ768" s="188"/>
      <c r="BR768" s="188"/>
      <c r="BS768" s="188"/>
      <c r="BT768" s="188"/>
      <c r="BU768" s="188"/>
      <c r="BV768" s="188"/>
      <c r="BW768" s="188"/>
    </row>
    <row r="769" spans="49:75" x14ac:dyDescent="0.3">
      <c r="AW769" s="123"/>
      <c r="AX769" s="188"/>
      <c r="AY769" s="188"/>
      <c r="AZ769" s="188"/>
      <c r="BA769" s="236"/>
      <c r="BB769" s="188"/>
      <c r="BC769" s="188"/>
      <c r="BD769" s="188"/>
      <c r="BE769" s="236"/>
      <c r="BG769" s="188"/>
      <c r="BH769" s="188"/>
      <c r="BI769" s="188"/>
      <c r="BJ769" s="188"/>
      <c r="BK769" s="188"/>
      <c r="BL769" s="188"/>
      <c r="BM769" s="188"/>
      <c r="BN769" s="188"/>
      <c r="BO769" s="188"/>
      <c r="BP769" s="188"/>
      <c r="BQ769" s="188"/>
      <c r="BR769" s="188"/>
      <c r="BS769" s="188"/>
      <c r="BT769" s="188"/>
      <c r="BU769" s="188"/>
      <c r="BV769" s="188"/>
      <c r="BW769" s="188"/>
    </row>
    <row r="770" spans="49:75" x14ac:dyDescent="0.3">
      <c r="AW770" s="123"/>
      <c r="AX770" s="188"/>
      <c r="AY770" s="188"/>
      <c r="AZ770" s="188"/>
      <c r="BA770" s="236"/>
      <c r="BB770" s="188"/>
      <c r="BC770" s="188"/>
      <c r="BD770" s="188"/>
      <c r="BE770" s="236"/>
      <c r="BG770" s="188"/>
      <c r="BH770" s="188"/>
      <c r="BI770" s="188"/>
      <c r="BJ770" s="188"/>
      <c r="BK770" s="188"/>
      <c r="BL770" s="188"/>
      <c r="BM770" s="188"/>
      <c r="BN770" s="188"/>
      <c r="BO770" s="188"/>
      <c r="BP770" s="188"/>
      <c r="BQ770" s="188"/>
      <c r="BR770" s="188"/>
      <c r="BS770" s="188"/>
      <c r="BT770" s="188"/>
      <c r="BU770" s="188"/>
      <c r="BV770" s="188"/>
      <c r="BW770" s="188"/>
    </row>
    <row r="771" spans="49:75" x14ac:dyDescent="0.3">
      <c r="AW771" s="123"/>
      <c r="AX771" s="188"/>
      <c r="AY771" s="188"/>
      <c r="AZ771" s="188"/>
      <c r="BA771" s="236"/>
      <c r="BB771" s="188"/>
      <c r="BC771" s="188"/>
      <c r="BD771" s="188"/>
      <c r="BE771" s="236"/>
      <c r="BG771" s="188"/>
      <c r="BH771" s="188"/>
      <c r="BI771" s="188"/>
      <c r="BJ771" s="188"/>
      <c r="BK771" s="188"/>
      <c r="BL771" s="188"/>
      <c r="BM771" s="188"/>
      <c r="BN771" s="188"/>
      <c r="BO771" s="188"/>
      <c r="BP771" s="188"/>
      <c r="BQ771" s="188"/>
      <c r="BR771" s="188"/>
      <c r="BS771" s="188"/>
      <c r="BT771" s="188"/>
      <c r="BU771" s="188"/>
      <c r="BV771" s="188"/>
      <c r="BW771" s="188"/>
    </row>
    <row r="772" spans="49:75" x14ac:dyDescent="0.3">
      <c r="AW772" s="123"/>
      <c r="AX772" s="188"/>
      <c r="AY772" s="188"/>
      <c r="AZ772" s="188"/>
      <c r="BA772" s="236"/>
      <c r="BB772" s="188"/>
      <c r="BC772" s="188"/>
      <c r="BD772" s="188"/>
      <c r="BE772" s="236"/>
      <c r="BG772" s="188"/>
      <c r="BH772" s="188"/>
      <c r="BI772" s="188"/>
      <c r="BJ772" s="188"/>
      <c r="BK772" s="188"/>
      <c r="BL772" s="188"/>
      <c r="BM772" s="188"/>
      <c r="BN772" s="188"/>
      <c r="BO772" s="188"/>
      <c r="BP772" s="188"/>
      <c r="BQ772" s="188"/>
      <c r="BR772" s="188"/>
      <c r="BS772" s="188"/>
      <c r="BT772" s="188"/>
      <c r="BU772" s="188"/>
      <c r="BV772" s="188"/>
      <c r="BW772" s="188"/>
    </row>
    <row r="773" spans="49:75" x14ac:dyDescent="0.3">
      <c r="AW773" s="123"/>
      <c r="AX773" s="188"/>
      <c r="AY773" s="188"/>
      <c r="AZ773" s="188"/>
      <c r="BA773" s="236"/>
      <c r="BB773" s="188"/>
      <c r="BC773" s="188"/>
      <c r="BD773" s="188"/>
      <c r="BE773" s="236"/>
      <c r="BG773" s="188"/>
      <c r="BH773" s="188"/>
      <c r="BI773" s="188"/>
      <c r="BJ773" s="188"/>
      <c r="BK773" s="188"/>
      <c r="BL773" s="188"/>
      <c r="BM773" s="188"/>
      <c r="BN773" s="188"/>
      <c r="BO773" s="188"/>
      <c r="BP773" s="188"/>
      <c r="BQ773" s="188"/>
      <c r="BR773" s="188"/>
      <c r="BS773" s="188"/>
      <c r="BT773" s="188"/>
      <c r="BU773" s="188"/>
      <c r="BV773" s="188"/>
      <c r="BW773" s="188"/>
    </row>
    <row r="774" spans="49:75" x14ac:dyDescent="0.3">
      <c r="AW774" s="123"/>
      <c r="AX774" s="188"/>
      <c r="AY774" s="188"/>
      <c r="AZ774" s="188"/>
      <c r="BA774" s="236"/>
      <c r="BB774" s="188"/>
      <c r="BC774" s="188"/>
      <c r="BD774" s="188"/>
      <c r="BE774" s="236"/>
      <c r="BG774" s="188"/>
      <c r="BH774" s="188"/>
      <c r="BI774" s="188"/>
      <c r="BJ774" s="188"/>
      <c r="BK774" s="188"/>
      <c r="BL774" s="188"/>
      <c r="BM774" s="188"/>
      <c r="BN774" s="188"/>
      <c r="BO774" s="188"/>
      <c r="BP774" s="188"/>
      <c r="BQ774" s="188"/>
      <c r="BR774" s="188"/>
      <c r="BS774" s="188"/>
      <c r="BT774" s="188"/>
      <c r="BU774" s="188"/>
      <c r="BV774" s="188"/>
      <c r="BW774" s="188"/>
    </row>
    <row r="775" spans="49:75" x14ac:dyDescent="0.3">
      <c r="AW775" s="123"/>
      <c r="AX775" s="188"/>
      <c r="AY775" s="188"/>
      <c r="AZ775" s="188"/>
      <c r="BA775" s="236"/>
      <c r="BB775" s="188"/>
      <c r="BC775" s="188"/>
      <c r="BD775" s="188"/>
      <c r="BE775" s="236"/>
      <c r="BG775" s="188"/>
      <c r="BH775" s="188"/>
      <c r="BI775" s="188"/>
      <c r="BJ775" s="188"/>
      <c r="BK775" s="188"/>
      <c r="BL775" s="188"/>
      <c r="BM775" s="188"/>
      <c r="BN775" s="188"/>
      <c r="BO775" s="188"/>
      <c r="BP775" s="188"/>
      <c r="BQ775" s="188"/>
      <c r="BR775" s="188"/>
      <c r="BS775" s="188"/>
      <c r="BT775" s="188"/>
      <c r="BU775" s="188"/>
      <c r="BV775" s="188"/>
      <c r="BW775" s="188"/>
    </row>
    <row r="776" spans="49:75" x14ac:dyDescent="0.3">
      <c r="AW776" s="123"/>
      <c r="AX776" s="188"/>
      <c r="AY776" s="188"/>
      <c r="AZ776" s="188"/>
      <c r="BA776" s="236"/>
      <c r="BB776" s="188"/>
      <c r="BC776" s="188"/>
      <c r="BD776" s="188"/>
      <c r="BE776" s="236"/>
      <c r="BG776" s="188"/>
      <c r="BH776" s="188"/>
      <c r="BI776" s="188"/>
      <c r="BJ776" s="188"/>
      <c r="BK776" s="188"/>
      <c r="BL776" s="188"/>
      <c r="BM776" s="188"/>
      <c r="BN776" s="188"/>
      <c r="BO776" s="188"/>
      <c r="BP776" s="188"/>
      <c r="BQ776" s="188"/>
      <c r="BR776" s="188"/>
      <c r="BS776" s="188"/>
      <c r="BT776" s="188"/>
      <c r="BU776" s="188"/>
      <c r="BV776" s="188"/>
      <c r="BW776" s="188"/>
    </row>
    <row r="777" spans="49:75" x14ac:dyDescent="0.3">
      <c r="AW777" s="123"/>
      <c r="AX777" s="188"/>
      <c r="AY777" s="188"/>
      <c r="AZ777" s="188"/>
      <c r="BA777" s="236"/>
      <c r="BB777" s="188"/>
      <c r="BC777" s="188"/>
      <c r="BD777" s="188"/>
      <c r="BE777" s="236"/>
      <c r="BG777" s="188"/>
      <c r="BH777" s="188"/>
      <c r="BI777" s="188"/>
      <c r="BJ777" s="188"/>
      <c r="BK777" s="188"/>
      <c r="BL777" s="188"/>
      <c r="BM777" s="188"/>
      <c r="BN777" s="188"/>
      <c r="BO777" s="188"/>
      <c r="BP777" s="188"/>
      <c r="BQ777" s="188"/>
      <c r="BR777" s="188"/>
      <c r="BS777" s="188"/>
      <c r="BT777" s="188"/>
      <c r="BU777" s="188"/>
      <c r="BV777" s="188"/>
      <c r="BW777" s="188"/>
    </row>
    <row r="778" spans="49:75" x14ac:dyDescent="0.3">
      <c r="AW778" s="123"/>
      <c r="AX778" s="188"/>
      <c r="AY778" s="188"/>
      <c r="AZ778" s="188"/>
      <c r="BA778" s="236"/>
      <c r="BB778" s="188"/>
      <c r="BC778" s="188"/>
      <c r="BD778" s="188"/>
      <c r="BE778" s="236"/>
      <c r="BG778" s="188"/>
      <c r="BH778" s="188"/>
      <c r="BI778" s="188"/>
      <c r="BJ778" s="188"/>
      <c r="BK778" s="188"/>
      <c r="BL778" s="188"/>
      <c r="BM778" s="188"/>
      <c r="BN778" s="188"/>
      <c r="BO778" s="188"/>
      <c r="BP778" s="188"/>
      <c r="BQ778" s="188"/>
      <c r="BR778" s="188"/>
      <c r="BS778" s="188"/>
      <c r="BT778" s="188"/>
      <c r="BU778" s="188"/>
      <c r="BV778" s="188"/>
      <c r="BW778" s="188"/>
    </row>
    <row r="779" spans="49:75" x14ac:dyDescent="0.3">
      <c r="AW779" s="123"/>
      <c r="AX779" s="188"/>
      <c r="AY779" s="188"/>
      <c r="AZ779" s="188"/>
      <c r="BA779" s="236"/>
      <c r="BB779" s="188"/>
      <c r="BC779" s="188"/>
      <c r="BD779" s="188"/>
      <c r="BE779" s="236"/>
      <c r="BG779" s="188"/>
      <c r="BH779" s="188"/>
      <c r="BI779" s="188"/>
      <c r="BJ779" s="188"/>
      <c r="BK779" s="188"/>
      <c r="BL779" s="188"/>
      <c r="BM779" s="188"/>
      <c r="BN779" s="188"/>
      <c r="BO779" s="188"/>
      <c r="BP779" s="188"/>
      <c r="BQ779" s="188"/>
      <c r="BR779" s="188"/>
      <c r="BS779" s="188"/>
      <c r="BT779" s="188"/>
      <c r="BU779" s="188"/>
      <c r="BV779" s="188"/>
      <c r="BW779" s="188"/>
    </row>
    <row r="780" spans="49:75" x14ac:dyDescent="0.3">
      <c r="AW780" s="123"/>
      <c r="AX780" s="188"/>
      <c r="AY780" s="188"/>
      <c r="AZ780" s="188"/>
      <c r="BA780" s="236"/>
      <c r="BB780" s="188"/>
      <c r="BC780" s="188"/>
      <c r="BD780" s="188"/>
      <c r="BE780" s="236"/>
      <c r="BG780" s="188"/>
      <c r="BH780" s="188"/>
      <c r="BI780" s="188"/>
      <c r="BJ780" s="188"/>
      <c r="BK780" s="188"/>
      <c r="BL780" s="188"/>
      <c r="BM780" s="188"/>
      <c r="BN780" s="188"/>
      <c r="BO780" s="188"/>
      <c r="BP780" s="188"/>
      <c r="BQ780" s="188"/>
      <c r="BR780" s="188"/>
      <c r="BS780" s="188"/>
      <c r="BT780" s="188"/>
      <c r="BU780" s="188"/>
      <c r="BV780" s="188"/>
      <c r="BW780" s="188"/>
    </row>
    <row r="781" spans="49:75" x14ac:dyDescent="0.3">
      <c r="AW781" s="123"/>
      <c r="AX781" s="188"/>
      <c r="AY781" s="188"/>
      <c r="AZ781" s="188"/>
      <c r="BA781" s="236"/>
      <c r="BB781" s="188"/>
      <c r="BC781" s="188"/>
      <c r="BD781" s="188"/>
      <c r="BE781" s="236"/>
      <c r="BG781" s="188"/>
      <c r="BH781" s="188"/>
      <c r="BI781" s="188"/>
      <c r="BJ781" s="188"/>
      <c r="BK781" s="188"/>
      <c r="BL781" s="188"/>
      <c r="BM781" s="188"/>
      <c r="BN781" s="188"/>
      <c r="BO781" s="188"/>
      <c r="BP781" s="188"/>
      <c r="BQ781" s="188"/>
      <c r="BR781" s="188"/>
      <c r="BS781" s="188"/>
      <c r="BT781" s="188"/>
      <c r="BU781" s="188"/>
      <c r="BV781" s="188"/>
      <c r="BW781" s="188"/>
    </row>
    <row r="782" spans="49:75" x14ac:dyDescent="0.3">
      <c r="AW782" s="123"/>
      <c r="AX782" s="188"/>
      <c r="AY782" s="188"/>
      <c r="AZ782" s="188"/>
      <c r="BA782" s="236"/>
      <c r="BB782" s="188"/>
      <c r="BC782" s="188"/>
      <c r="BD782" s="188"/>
      <c r="BE782" s="236"/>
      <c r="BG782" s="188"/>
      <c r="BH782" s="188"/>
      <c r="BI782" s="188"/>
      <c r="BJ782" s="188"/>
      <c r="BK782" s="188"/>
      <c r="BL782" s="188"/>
      <c r="BM782" s="188"/>
      <c r="BN782" s="188"/>
      <c r="BO782" s="188"/>
      <c r="BP782" s="188"/>
      <c r="BQ782" s="188"/>
      <c r="BR782" s="188"/>
      <c r="BS782" s="188"/>
      <c r="BT782" s="188"/>
      <c r="BU782" s="188"/>
      <c r="BV782" s="188"/>
      <c r="BW782" s="188"/>
    </row>
    <row r="783" spans="49:75" x14ac:dyDescent="0.3">
      <c r="AW783" s="123"/>
      <c r="AX783" s="188"/>
      <c r="AY783" s="188"/>
      <c r="AZ783" s="188"/>
      <c r="BA783" s="236"/>
      <c r="BB783" s="188"/>
      <c r="BC783" s="188"/>
      <c r="BD783" s="188"/>
      <c r="BE783" s="236"/>
      <c r="BG783" s="188"/>
      <c r="BH783" s="188"/>
      <c r="BI783" s="188"/>
      <c r="BJ783" s="188"/>
      <c r="BK783" s="188"/>
      <c r="BL783" s="188"/>
      <c r="BM783" s="188"/>
      <c r="BN783" s="188"/>
      <c r="BO783" s="188"/>
      <c r="BP783" s="188"/>
      <c r="BQ783" s="188"/>
      <c r="BR783" s="188"/>
      <c r="BS783" s="188"/>
      <c r="BT783" s="188"/>
      <c r="BU783" s="188"/>
      <c r="BV783" s="188"/>
      <c r="BW783" s="188"/>
    </row>
    <row r="784" spans="49:75" x14ac:dyDescent="0.3">
      <c r="AW784" s="123"/>
      <c r="AX784" s="188"/>
      <c r="AY784" s="188"/>
      <c r="AZ784" s="188"/>
      <c r="BA784" s="236"/>
      <c r="BB784" s="188"/>
      <c r="BC784" s="188"/>
      <c r="BD784" s="188"/>
      <c r="BE784" s="236"/>
      <c r="BG784" s="188"/>
      <c r="BH784" s="188"/>
      <c r="BI784" s="188"/>
      <c r="BJ784" s="188"/>
      <c r="BK784" s="188"/>
      <c r="BL784" s="188"/>
      <c r="BM784" s="188"/>
      <c r="BN784" s="188"/>
      <c r="BO784" s="188"/>
      <c r="BP784" s="188"/>
      <c r="BQ784" s="188"/>
      <c r="BR784" s="188"/>
      <c r="BS784" s="188"/>
      <c r="BT784" s="188"/>
      <c r="BU784" s="188"/>
      <c r="BV784" s="188"/>
      <c r="BW784" s="188"/>
    </row>
    <row r="785" spans="45:75" x14ac:dyDescent="0.3">
      <c r="AW785" s="123"/>
      <c r="AX785" s="188"/>
      <c r="AY785" s="188"/>
      <c r="AZ785" s="188"/>
      <c r="BA785" s="236"/>
      <c r="BB785" s="188"/>
      <c r="BC785" s="188"/>
      <c r="BD785" s="188"/>
      <c r="BE785" s="236"/>
      <c r="BG785" s="188"/>
      <c r="BH785" s="188"/>
      <c r="BI785" s="188"/>
      <c r="BJ785" s="188"/>
      <c r="BK785" s="188"/>
      <c r="BL785" s="188"/>
      <c r="BM785" s="188"/>
      <c r="BN785" s="188"/>
      <c r="BO785" s="188"/>
      <c r="BP785" s="188"/>
      <c r="BQ785" s="188"/>
      <c r="BR785" s="188"/>
      <c r="BS785" s="188"/>
      <c r="BT785" s="188"/>
      <c r="BU785" s="188"/>
      <c r="BV785" s="188"/>
      <c r="BW785" s="188"/>
    </row>
    <row r="786" spans="45:75" x14ac:dyDescent="0.3">
      <c r="AW786" s="123"/>
      <c r="AX786" s="188"/>
      <c r="AY786" s="188"/>
      <c r="AZ786" s="188"/>
      <c r="BA786" s="236"/>
      <c r="BB786" s="188"/>
      <c r="BC786" s="188"/>
      <c r="BD786" s="188"/>
      <c r="BE786" s="236"/>
      <c r="BG786" s="135"/>
      <c r="BH786" s="135"/>
      <c r="BI786" s="42"/>
      <c r="BM786" s="135"/>
      <c r="BN786" s="135"/>
      <c r="BO786" s="188"/>
      <c r="BP786" s="135"/>
      <c r="BQ786" s="135"/>
      <c r="BR786" s="42"/>
      <c r="BV786" s="135"/>
      <c r="BW786" s="135"/>
    </row>
    <row r="787" spans="45:75" x14ac:dyDescent="0.3">
      <c r="AU787" s="42"/>
      <c r="AV787" s="44"/>
      <c r="AW787" s="123"/>
      <c r="AX787" s="188"/>
      <c r="AY787" s="188"/>
      <c r="AZ787" s="188"/>
      <c r="BA787" s="236"/>
      <c r="BB787" s="188"/>
      <c r="BC787" s="188"/>
      <c r="BD787" s="188"/>
      <c r="BE787" s="236"/>
      <c r="BG787" s="245"/>
      <c r="BH787" s="188"/>
      <c r="BI787" s="188"/>
      <c r="BJ787" s="188"/>
      <c r="BK787" s="245"/>
      <c r="BL787" s="246"/>
      <c r="BM787" s="188"/>
      <c r="BN787" s="245"/>
      <c r="BO787" s="188"/>
      <c r="BP787" s="245"/>
      <c r="BQ787" s="188"/>
      <c r="BR787" s="188"/>
      <c r="BS787" s="188"/>
      <c r="BT787" s="245"/>
      <c r="BU787" s="246"/>
      <c r="BV787" s="188"/>
      <c r="BW787" s="245"/>
    </row>
    <row r="788" spans="45:75" x14ac:dyDescent="0.3">
      <c r="AV788" s="44"/>
      <c r="AW788" s="123"/>
      <c r="AX788" s="188"/>
      <c r="AY788" s="188"/>
      <c r="AZ788" s="188"/>
      <c r="BA788" s="236"/>
      <c r="BB788" s="188"/>
      <c r="BC788" s="188"/>
      <c r="BD788" s="188"/>
      <c r="BE788" s="236"/>
      <c r="BG788" s="188"/>
      <c r="BH788" s="188"/>
      <c r="BI788" s="188"/>
      <c r="BJ788" s="188"/>
      <c r="BK788" s="188"/>
      <c r="BL788" s="246"/>
      <c r="BM788" s="188"/>
      <c r="BN788" s="188"/>
      <c r="BO788" s="188"/>
      <c r="BP788" s="188"/>
      <c r="BQ788" s="188"/>
      <c r="BR788" s="188"/>
      <c r="BS788" s="188"/>
      <c r="BT788" s="188"/>
      <c r="BU788" s="246"/>
      <c r="BV788" s="188"/>
      <c r="BW788" s="188"/>
    </row>
    <row r="789" spans="45:75" x14ac:dyDescent="0.3">
      <c r="AV789" s="44"/>
      <c r="AW789" s="123"/>
      <c r="AX789" s="188"/>
      <c r="AY789" s="188"/>
      <c r="AZ789" s="188"/>
      <c r="BA789" s="236"/>
      <c r="BB789" s="188"/>
      <c r="BC789" s="188"/>
      <c r="BD789" s="188"/>
      <c r="BE789" s="236"/>
      <c r="BG789" s="188"/>
      <c r="BH789" s="188"/>
      <c r="BI789" s="188"/>
      <c r="BJ789" s="188"/>
      <c r="BK789" s="188"/>
      <c r="BL789" s="246"/>
      <c r="BM789" s="188"/>
      <c r="BN789" s="188"/>
      <c r="BO789" s="188"/>
      <c r="BP789" s="188"/>
      <c r="BQ789" s="188"/>
      <c r="BR789" s="188"/>
      <c r="BS789" s="188"/>
      <c r="BT789" s="188"/>
      <c r="BU789" s="246"/>
      <c r="BV789" s="188"/>
      <c r="BW789" s="188"/>
    </row>
    <row r="790" spans="45:75" x14ac:dyDescent="0.3">
      <c r="AV790" s="44"/>
      <c r="AW790" s="123"/>
      <c r="AX790" s="188"/>
      <c r="AY790" s="188"/>
      <c r="AZ790" s="188"/>
      <c r="BA790" s="236"/>
      <c r="BB790" s="188"/>
      <c r="BC790" s="188"/>
      <c r="BD790" s="188"/>
      <c r="BE790" s="236"/>
      <c r="BG790" s="188"/>
      <c r="BH790" s="188"/>
      <c r="BI790" s="188"/>
      <c r="BJ790" s="188"/>
      <c r="BK790" s="188"/>
      <c r="BL790" s="246"/>
      <c r="BM790" s="188"/>
      <c r="BN790" s="188"/>
      <c r="BO790" s="188"/>
      <c r="BP790" s="188"/>
      <c r="BQ790" s="188"/>
      <c r="BR790" s="188"/>
      <c r="BS790" s="188"/>
      <c r="BT790" s="188"/>
      <c r="BU790" s="246"/>
      <c r="BV790" s="188"/>
      <c r="BW790" s="188"/>
    </row>
    <row r="791" spans="45:75" x14ac:dyDescent="0.3">
      <c r="AX791" s="188"/>
      <c r="AY791" s="188"/>
      <c r="AZ791" s="188"/>
      <c r="BA791" s="236"/>
      <c r="BB791" s="188"/>
      <c r="BC791" s="188"/>
      <c r="BD791" s="188"/>
      <c r="BE791" s="236"/>
      <c r="BG791" s="188"/>
      <c r="BH791" s="188"/>
      <c r="BI791" s="188"/>
      <c r="BJ791" s="188"/>
      <c r="BK791" s="188"/>
      <c r="BL791" s="188"/>
      <c r="BM791" s="188"/>
      <c r="BN791" s="188"/>
      <c r="BO791" s="188"/>
      <c r="BP791" s="188"/>
      <c r="BQ791" s="188"/>
      <c r="BR791" s="188"/>
      <c r="BS791" s="188"/>
      <c r="BT791" s="188"/>
      <c r="BU791" s="188"/>
      <c r="BV791" s="188"/>
    </row>
    <row r="792" spans="45:75" x14ac:dyDescent="0.3">
      <c r="AU792" s="42"/>
    </row>
    <row r="793" spans="45:75" x14ac:dyDescent="0.3">
      <c r="AU793" s="42"/>
      <c r="AZ793" s="188"/>
      <c r="BA793" s="236"/>
      <c r="BB793" s="188"/>
      <c r="BC793" s="188"/>
      <c r="BD793" s="188"/>
      <c r="BE793" s="236"/>
      <c r="BG793" s="188"/>
      <c r="BH793" s="188"/>
      <c r="BI793" s="188"/>
      <c r="BJ793" s="188"/>
      <c r="BK793" s="188"/>
      <c r="BL793" s="188"/>
      <c r="BM793" s="188"/>
      <c r="BN793" s="188"/>
      <c r="BO793" s="188"/>
      <c r="BP793" s="188"/>
      <c r="BQ793" s="188"/>
      <c r="BR793" s="188"/>
      <c r="BS793" s="188"/>
      <c r="BT793" s="188"/>
      <c r="BU793" s="188"/>
      <c r="BV793" s="188"/>
    </row>
    <row r="794" spans="45:75" x14ac:dyDescent="0.3">
      <c r="AS794" s="42"/>
      <c r="AZ794" s="188"/>
      <c r="BB794" s="188"/>
    </row>
    <row r="795" spans="45:75" x14ac:dyDescent="0.3">
      <c r="AZ795" s="188"/>
      <c r="BB795" s="188"/>
      <c r="BO795" s="188"/>
      <c r="BP795" s="188"/>
      <c r="BQ795" s="188"/>
      <c r="BR795" s="188"/>
      <c r="BS795" s="188"/>
      <c r="BT795" s="188"/>
      <c r="BU795" s="188"/>
      <c r="BV795" s="188"/>
    </row>
    <row r="796" spans="45:75" x14ac:dyDescent="0.3">
      <c r="AY796" s="188"/>
      <c r="AZ796" s="188"/>
      <c r="BB796" s="188"/>
      <c r="BO796" s="188"/>
      <c r="BP796" s="188"/>
      <c r="BQ796" s="188"/>
      <c r="BR796" s="188"/>
      <c r="BS796" s="188"/>
      <c r="BT796" s="188"/>
      <c r="BU796" s="188"/>
      <c r="BV796" s="188"/>
    </row>
    <row r="797" spans="45:75" x14ac:dyDescent="0.3">
      <c r="AY797" s="42"/>
      <c r="AZ797" s="188"/>
      <c r="BB797" s="188"/>
      <c r="BO797" s="188"/>
      <c r="BP797" s="188"/>
      <c r="BQ797" s="188"/>
      <c r="BR797" s="188"/>
      <c r="BS797" s="188"/>
      <c r="BT797" s="188"/>
      <c r="BU797" s="188"/>
      <c r="BV797" s="188"/>
    </row>
    <row r="798" spans="45:75" x14ac:dyDescent="0.3">
      <c r="AY798" s="42"/>
      <c r="AZ798" s="188"/>
      <c r="BB798" s="188"/>
      <c r="BO798" s="188"/>
      <c r="BP798" s="188"/>
      <c r="BQ798" s="188"/>
      <c r="BR798" s="188"/>
      <c r="BS798" s="188"/>
      <c r="BT798" s="188"/>
      <c r="BU798" s="188"/>
      <c r="BV798" s="188"/>
    </row>
    <row r="799" spans="45:75" x14ac:dyDescent="0.3">
      <c r="AZ799" s="188"/>
      <c r="BB799" s="188"/>
      <c r="BD799" s="42"/>
      <c r="BO799" s="188"/>
      <c r="BP799" s="188"/>
      <c r="BQ799" s="188"/>
      <c r="BR799" s="188"/>
      <c r="BS799" s="188"/>
      <c r="BT799" s="188"/>
      <c r="BU799" s="188"/>
      <c r="BV799" s="188"/>
    </row>
    <row r="800" spans="45:75" x14ac:dyDescent="0.3">
      <c r="AZ800" s="188"/>
      <c r="BB800" s="188"/>
      <c r="BD800" s="42"/>
      <c r="BO800" s="188"/>
      <c r="BP800" s="188"/>
      <c r="BQ800" s="188"/>
      <c r="BR800" s="188"/>
      <c r="BS800" s="188"/>
      <c r="BT800" s="188"/>
      <c r="BU800" s="188"/>
      <c r="BV800" s="188"/>
    </row>
    <row r="801" spans="45:74" x14ac:dyDescent="0.3">
      <c r="AS801" s="42"/>
      <c r="AZ801" s="188"/>
      <c r="BB801" s="188"/>
      <c r="BD801" s="42"/>
      <c r="BO801" s="188"/>
      <c r="BP801" s="188"/>
      <c r="BQ801" s="188"/>
      <c r="BR801" s="188"/>
      <c r="BS801" s="188"/>
      <c r="BT801" s="188"/>
      <c r="BU801" s="188"/>
      <c r="BV801" s="188"/>
    </row>
    <row r="802" spans="45:74" x14ac:dyDescent="0.3">
      <c r="AZ802" s="188"/>
      <c r="BB802" s="188"/>
      <c r="BO802" s="188"/>
      <c r="BP802" s="188"/>
      <c r="BQ802" s="188"/>
      <c r="BR802" s="188"/>
      <c r="BS802" s="188"/>
      <c r="BT802" s="188"/>
      <c r="BU802" s="188"/>
      <c r="BV802" s="188"/>
    </row>
    <row r="803" spans="45:74" x14ac:dyDescent="0.3">
      <c r="AS803" s="135"/>
      <c r="AT803" s="135"/>
      <c r="AU803" s="135"/>
      <c r="AV803" s="135"/>
      <c r="AW803" s="135"/>
      <c r="AX803" s="135"/>
      <c r="AY803" s="135"/>
      <c r="AZ803" s="244"/>
      <c r="BA803" s="135"/>
      <c r="BB803" s="244"/>
      <c r="BC803" s="135"/>
      <c r="BD803" s="135"/>
      <c r="BE803" s="135"/>
      <c r="BO803" s="188"/>
      <c r="BP803" s="188"/>
      <c r="BQ803" s="188"/>
      <c r="BR803" s="188"/>
      <c r="BS803" s="188"/>
      <c r="BT803" s="188"/>
      <c r="BU803" s="188"/>
      <c r="BV803" s="188"/>
    </row>
    <row r="804" spans="45:74" x14ac:dyDescent="0.3">
      <c r="AX804" s="42"/>
      <c r="AZ804" s="188"/>
      <c r="BB804" s="188"/>
      <c r="BO804" s="188"/>
      <c r="BP804" s="188"/>
      <c r="BQ804" s="188"/>
      <c r="BR804" s="188"/>
      <c r="BS804" s="188"/>
      <c r="BT804" s="188"/>
      <c r="BU804" s="188"/>
      <c r="BV804" s="188"/>
    </row>
    <row r="805" spans="45:74" x14ac:dyDescent="0.3">
      <c r="AX805" s="135"/>
      <c r="AY805" s="135"/>
      <c r="AZ805" s="244"/>
      <c r="BA805" s="135"/>
      <c r="BB805" s="188"/>
      <c r="BC805" s="44"/>
      <c r="BD805" s="44"/>
      <c r="BO805" s="188"/>
      <c r="BP805" s="188"/>
      <c r="BQ805" s="188"/>
      <c r="BR805" s="188"/>
      <c r="BS805" s="188"/>
      <c r="BT805" s="188"/>
      <c r="BU805" s="188"/>
      <c r="BV805" s="188"/>
    </row>
    <row r="806" spans="45:74" x14ac:dyDescent="0.3">
      <c r="AV806" s="44"/>
      <c r="AW806" s="44"/>
      <c r="AZ806" s="245"/>
      <c r="BA806" s="44"/>
      <c r="BB806" s="188"/>
      <c r="BC806" s="44"/>
      <c r="BD806" s="44"/>
      <c r="BE806" s="44"/>
      <c r="BG806" s="135"/>
      <c r="BH806" s="42"/>
      <c r="BK806" s="135"/>
      <c r="BM806" s="135"/>
      <c r="BN806" s="42"/>
      <c r="BQ806" s="135"/>
    </row>
    <row r="807" spans="45:74" x14ac:dyDescent="0.3">
      <c r="AV807" s="44"/>
      <c r="AW807" s="44"/>
      <c r="AX807" s="44"/>
      <c r="AY807" s="44"/>
      <c r="AZ807" s="245"/>
      <c r="BA807" s="44"/>
      <c r="BB807" s="245"/>
      <c r="BC807" s="44"/>
      <c r="BD807" s="44"/>
      <c r="BE807" s="44"/>
      <c r="BH807" s="44"/>
      <c r="BI807" s="44"/>
      <c r="BN807" s="44"/>
      <c r="BO807" s="44"/>
    </row>
    <row r="808" spans="45:74" x14ac:dyDescent="0.3">
      <c r="AS808" s="44"/>
      <c r="AU808" s="42"/>
      <c r="AV808" s="44"/>
      <c r="AW808" s="44"/>
      <c r="AX808" s="44"/>
      <c r="AY808" s="44"/>
      <c r="AZ808" s="245"/>
      <c r="BA808" s="44"/>
      <c r="BB808" s="245"/>
      <c r="BC808" s="44"/>
      <c r="BD808" s="44"/>
      <c r="BE808" s="44"/>
      <c r="BG808" s="44"/>
      <c r="BH808" s="44"/>
      <c r="BI808" s="44"/>
      <c r="BJ808" s="44"/>
      <c r="BK808" s="44"/>
      <c r="BM808" s="44"/>
      <c r="BN808" s="44"/>
      <c r="BO808" s="44"/>
      <c r="BP808" s="44"/>
      <c r="BQ808" s="44"/>
    </row>
    <row r="809" spans="45:74" x14ac:dyDescent="0.3">
      <c r="AS809" s="44"/>
      <c r="AU809" s="42"/>
      <c r="AV809" s="44"/>
      <c r="AW809" s="44"/>
      <c r="AX809" s="44"/>
      <c r="AY809" s="44"/>
      <c r="AZ809" s="245"/>
      <c r="BA809" s="44"/>
      <c r="BB809" s="245"/>
      <c r="BC809" s="44"/>
      <c r="BD809" s="44"/>
      <c r="BE809" s="44"/>
      <c r="BG809" s="44"/>
      <c r="BH809" s="44"/>
      <c r="BI809" s="44"/>
      <c r="BJ809" s="44"/>
      <c r="BK809" s="44"/>
      <c r="BM809" s="44"/>
      <c r="BN809" s="44"/>
      <c r="BO809" s="44"/>
      <c r="BP809" s="44"/>
      <c r="BQ809" s="44"/>
    </row>
    <row r="810" spans="45:74" x14ac:dyDescent="0.3">
      <c r="AS810" s="135"/>
      <c r="AT810" s="135"/>
      <c r="AU810" s="135"/>
      <c r="AV810" s="135"/>
      <c r="AW810" s="135"/>
      <c r="AX810" s="135"/>
      <c r="AY810" s="135"/>
      <c r="AZ810" s="244"/>
      <c r="BA810" s="135"/>
      <c r="BB810" s="244"/>
      <c r="BC810" s="135"/>
      <c r="BD810" s="135"/>
      <c r="BE810" s="135"/>
      <c r="BG810" s="135"/>
      <c r="BH810" s="135"/>
      <c r="BI810" s="135"/>
      <c r="BJ810" s="135"/>
      <c r="BK810" s="135"/>
      <c r="BM810" s="135"/>
      <c r="BN810" s="135"/>
      <c r="BO810" s="135"/>
      <c r="BP810" s="135"/>
      <c r="BQ810" s="135"/>
    </row>
    <row r="811" spans="45:74" x14ac:dyDescent="0.3">
      <c r="AV811" s="44"/>
      <c r="AW811" s="44"/>
      <c r="AX811" s="44"/>
      <c r="AY811" s="44"/>
      <c r="AZ811" s="245"/>
      <c r="BA811" s="44"/>
      <c r="BB811" s="245"/>
      <c r="BC811" s="44"/>
      <c r="BD811" s="44"/>
      <c r="BE811" s="44"/>
      <c r="BG811" s="188"/>
      <c r="BH811" s="188"/>
      <c r="BI811" s="188"/>
      <c r="BJ811" s="188"/>
      <c r="BK811" s="188"/>
      <c r="BL811" s="188"/>
      <c r="BM811" s="188"/>
      <c r="BN811" s="188"/>
      <c r="BO811" s="188"/>
      <c r="BP811" s="188"/>
      <c r="BQ811" s="188"/>
    </row>
    <row r="812" spans="45:74" x14ac:dyDescent="0.3">
      <c r="AT812" s="42"/>
      <c r="AV812" s="123"/>
      <c r="AW812" s="123"/>
      <c r="AX812" s="188"/>
      <c r="AY812" s="188"/>
      <c r="AZ812" s="188"/>
      <c r="BA812" s="236"/>
      <c r="BB812" s="188"/>
      <c r="BC812" s="188"/>
      <c r="BD812" s="188"/>
      <c r="BE812" s="236"/>
      <c r="BG812" s="188"/>
      <c r="BH812" s="188"/>
      <c r="BI812" s="188"/>
      <c r="BJ812" s="188"/>
      <c r="BK812" s="188"/>
      <c r="BL812" s="188"/>
      <c r="BM812" s="188"/>
      <c r="BN812" s="188"/>
      <c r="BO812" s="188"/>
      <c r="BP812" s="188"/>
      <c r="BQ812" s="188"/>
      <c r="BR812" s="188"/>
      <c r="BS812" s="188"/>
    </row>
    <row r="813" spans="45:74" x14ac:dyDescent="0.3">
      <c r="AV813" s="123"/>
      <c r="AW813" s="123"/>
      <c r="AX813" s="188"/>
      <c r="AY813" s="188"/>
      <c r="AZ813" s="188"/>
      <c r="BA813" s="236"/>
      <c r="BB813" s="188"/>
      <c r="BC813" s="188"/>
      <c r="BD813" s="188"/>
      <c r="BE813" s="236"/>
      <c r="BG813" s="188"/>
      <c r="BH813" s="188"/>
      <c r="BI813" s="188"/>
      <c r="BJ813" s="188"/>
      <c r="BK813" s="188"/>
      <c r="BL813" s="188"/>
      <c r="BM813" s="188"/>
      <c r="BN813" s="188"/>
      <c r="BO813" s="188"/>
      <c r="BP813" s="188"/>
      <c r="BQ813" s="188"/>
      <c r="BR813" s="188"/>
      <c r="BS813" s="188"/>
    </row>
    <row r="814" spans="45:74" x14ac:dyDescent="0.3">
      <c r="AV814" s="123"/>
      <c r="AW814" s="123"/>
      <c r="AX814" s="188"/>
      <c r="AY814" s="188"/>
      <c r="AZ814" s="188"/>
      <c r="BA814" s="236"/>
      <c r="BB814" s="188"/>
      <c r="BC814" s="188"/>
      <c r="BD814" s="188"/>
      <c r="BE814" s="236"/>
      <c r="BG814" s="188"/>
      <c r="BH814" s="188"/>
      <c r="BI814" s="188"/>
      <c r="BJ814" s="188"/>
      <c r="BK814" s="188"/>
      <c r="BL814" s="188"/>
      <c r="BM814" s="188"/>
      <c r="BN814" s="188"/>
      <c r="BO814" s="188"/>
      <c r="BP814" s="188"/>
      <c r="BQ814" s="188"/>
      <c r="BR814" s="188"/>
      <c r="BS814" s="188"/>
    </row>
    <row r="815" spans="45:74" x14ac:dyDescent="0.3">
      <c r="AV815" s="123"/>
      <c r="AW815" s="123"/>
      <c r="AX815" s="188"/>
      <c r="AY815" s="188"/>
      <c r="AZ815" s="188"/>
      <c r="BA815" s="236"/>
      <c r="BB815" s="188"/>
      <c r="BC815" s="188"/>
      <c r="BD815" s="188"/>
      <c r="BE815" s="236"/>
      <c r="BG815" s="188"/>
      <c r="BH815" s="188"/>
      <c r="BI815" s="188"/>
      <c r="BJ815" s="188"/>
      <c r="BK815" s="188"/>
      <c r="BL815" s="188"/>
      <c r="BM815" s="188"/>
      <c r="BN815" s="188"/>
      <c r="BO815" s="188"/>
      <c r="BP815" s="188"/>
      <c r="BQ815" s="188"/>
      <c r="BR815" s="188"/>
      <c r="BS815" s="188"/>
    </row>
    <row r="816" spans="45:74" x14ac:dyDescent="0.3">
      <c r="AV816" s="123"/>
      <c r="AW816" s="123"/>
      <c r="AX816" s="188"/>
      <c r="AY816" s="188"/>
      <c r="AZ816" s="188"/>
      <c r="BA816" s="236"/>
      <c r="BB816" s="188"/>
      <c r="BC816" s="188"/>
      <c r="BD816" s="188"/>
      <c r="BE816" s="236"/>
      <c r="BG816" s="188"/>
      <c r="BH816" s="188"/>
      <c r="BI816" s="188"/>
      <c r="BJ816" s="188"/>
      <c r="BK816" s="188"/>
      <c r="BL816" s="188"/>
      <c r="BM816" s="188"/>
      <c r="BN816" s="188"/>
      <c r="BO816" s="188"/>
      <c r="BP816" s="188"/>
      <c r="BQ816" s="188"/>
      <c r="BR816" s="188"/>
      <c r="BS816" s="188"/>
    </row>
    <row r="817" spans="46:71" x14ac:dyDescent="0.3">
      <c r="AV817" s="123"/>
      <c r="AW817" s="123"/>
      <c r="AX817" s="188"/>
      <c r="AY817" s="188"/>
      <c r="AZ817" s="188"/>
      <c r="BA817" s="236"/>
      <c r="BB817" s="188"/>
      <c r="BC817" s="188"/>
      <c r="BD817" s="188"/>
      <c r="BE817" s="236"/>
      <c r="BG817" s="188"/>
      <c r="BH817" s="188"/>
      <c r="BI817" s="188"/>
      <c r="BJ817" s="188"/>
      <c r="BK817" s="188"/>
      <c r="BL817" s="188"/>
      <c r="BM817" s="188"/>
      <c r="BN817" s="188"/>
      <c r="BO817" s="188"/>
      <c r="BP817" s="188"/>
      <c r="BQ817" s="188"/>
      <c r="BR817" s="188"/>
      <c r="BS817" s="188"/>
    </row>
    <row r="818" spans="46:71" x14ac:dyDescent="0.3">
      <c r="AV818" s="123"/>
      <c r="AW818" s="123"/>
      <c r="AX818" s="188"/>
      <c r="AY818" s="188"/>
      <c r="AZ818" s="188"/>
      <c r="BA818" s="236"/>
      <c r="BB818" s="188"/>
      <c r="BC818" s="188"/>
      <c r="BD818" s="188"/>
      <c r="BE818" s="236"/>
      <c r="BG818" s="188"/>
      <c r="BH818" s="188"/>
      <c r="BI818" s="188"/>
      <c r="BJ818" s="188"/>
      <c r="BK818" s="188"/>
      <c r="BL818" s="188"/>
      <c r="BM818" s="188"/>
      <c r="BN818" s="188"/>
      <c r="BO818" s="188"/>
      <c r="BP818" s="188"/>
      <c r="BQ818" s="188"/>
      <c r="BR818" s="188"/>
      <c r="BS818" s="188"/>
    </row>
    <row r="819" spans="46:71" x14ac:dyDescent="0.3">
      <c r="AV819" s="123"/>
      <c r="AW819" s="123"/>
      <c r="AX819" s="188"/>
      <c r="AY819" s="188"/>
      <c r="AZ819" s="188"/>
      <c r="BA819" s="236"/>
      <c r="BB819" s="188"/>
      <c r="BC819" s="188"/>
      <c r="BD819" s="188"/>
      <c r="BE819" s="236"/>
      <c r="BG819" s="188"/>
      <c r="BH819" s="188"/>
      <c r="BI819" s="188"/>
      <c r="BJ819" s="188"/>
      <c r="BK819" s="188"/>
      <c r="BL819" s="188"/>
      <c r="BM819" s="188"/>
      <c r="BN819" s="188"/>
      <c r="BO819" s="188"/>
      <c r="BP819" s="188"/>
      <c r="BQ819" s="188"/>
      <c r="BR819" s="188"/>
      <c r="BS819" s="188"/>
    </row>
    <row r="820" spans="46:71" x14ac:dyDescent="0.3">
      <c r="AV820" s="123"/>
      <c r="AW820" s="123"/>
      <c r="AX820" s="188"/>
      <c r="AY820" s="188"/>
      <c r="AZ820" s="188"/>
      <c r="BA820" s="236"/>
      <c r="BB820" s="188"/>
      <c r="BC820" s="188"/>
      <c r="BD820" s="188"/>
      <c r="BE820" s="236"/>
      <c r="BG820" s="188"/>
      <c r="BH820" s="188"/>
      <c r="BI820" s="188"/>
      <c r="BJ820" s="188"/>
      <c r="BK820" s="188"/>
      <c r="BL820" s="188"/>
      <c r="BM820" s="188"/>
      <c r="BN820" s="188"/>
      <c r="BO820" s="188"/>
      <c r="BP820" s="188"/>
      <c r="BQ820" s="188"/>
      <c r="BR820" s="188"/>
      <c r="BS820" s="188"/>
    </row>
    <row r="821" spans="46:71" x14ac:dyDescent="0.3">
      <c r="AV821" s="123"/>
      <c r="AW821" s="123"/>
      <c r="AX821" s="188"/>
      <c r="AY821" s="188"/>
      <c r="AZ821" s="188"/>
      <c r="BA821" s="236"/>
      <c r="BB821" s="188"/>
      <c r="BC821" s="188"/>
      <c r="BD821" s="188"/>
      <c r="BE821" s="236"/>
      <c r="BG821" s="188"/>
      <c r="BH821" s="188"/>
      <c r="BI821" s="188"/>
      <c r="BJ821" s="188"/>
      <c r="BK821" s="188"/>
      <c r="BL821" s="188"/>
      <c r="BM821" s="188"/>
      <c r="BN821" s="188"/>
      <c r="BO821" s="188"/>
      <c r="BP821" s="188"/>
      <c r="BQ821" s="188"/>
      <c r="BR821" s="188"/>
      <c r="BS821" s="188"/>
    </row>
    <row r="822" spans="46:71" x14ac:dyDescent="0.3">
      <c r="AV822" s="123"/>
      <c r="AW822" s="123"/>
      <c r="AX822" s="188"/>
      <c r="AY822" s="188"/>
      <c r="AZ822" s="188"/>
      <c r="BA822" s="236"/>
      <c r="BB822" s="188"/>
      <c r="BC822" s="188"/>
      <c r="BD822" s="188"/>
      <c r="BE822" s="236"/>
      <c r="BG822" s="188"/>
      <c r="BH822" s="188"/>
      <c r="BI822" s="188"/>
      <c r="BJ822" s="188"/>
      <c r="BK822" s="188"/>
      <c r="BL822" s="188"/>
      <c r="BM822" s="188"/>
      <c r="BN822" s="188"/>
      <c r="BO822" s="188"/>
      <c r="BP822" s="188"/>
      <c r="BQ822" s="188"/>
      <c r="BR822" s="188"/>
      <c r="BS822" s="188"/>
    </row>
    <row r="823" spans="46:71" x14ac:dyDescent="0.3">
      <c r="AV823" s="123"/>
      <c r="AW823" s="123"/>
      <c r="AX823" s="188"/>
      <c r="AY823" s="188"/>
      <c r="AZ823" s="188"/>
      <c r="BA823" s="236"/>
      <c r="BB823" s="188"/>
      <c r="BC823" s="188"/>
      <c r="BD823" s="188"/>
      <c r="BE823" s="236"/>
      <c r="BG823" s="188"/>
      <c r="BH823" s="188"/>
      <c r="BI823" s="188"/>
      <c r="BJ823" s="188"/>
      <c r="BK823" s="188"/>
      <c r="BL823" s="188"/>
      <c r="BM823" s="188"/>
      <c r="BN823" s="188"/>
      <c r="BO823" s="188"/>
      <c r="BP823" s="188"/>
      <c r="BQ823" s="188"/>
      <c r="BR823" s="188"/>
      <c r="BS823" s="188"/>
    </row>
    <row r="824" spans="46:71" x14ac:dyDescent="0.3">
      <c r="AV824" s="123"/>
      <c r="AW824" s="123"/>
      <c r="AX824" s="188"/>
      <c r="AY824" s="188"/>
      <c r="AZ824" s="188"/>
      <c r="BA824" s="236"/>
      <c r="BB824" s="188"/>
      <c r="BC824" s="188"/>
      <c r="BD824" s="188"/>
      <c r="BE824" s="236"/>
      <c r="BG824" s="188"/>
      <c r="BH824" s="188"/>
      <c r="BI824" s="188"/>
      <c r="BJ824" s="188"/>
      <c r="BK824" s="188"/>
      <c r="BL824" s="188"/>
      <c r="BM824" s="188"/>
      <c r="BN824" s="188"/>
      <c r="BO824" s="188"/>
      <c r="BP824" s="188"/>
      <c r="BQ824" s="188"/>
      <c r="BR824" s="188"/>
      <c r="BS824" s="188"/>
    </row>
    <row r="825" spans="46:71" x14ac:dyDescent="0.3">
      <c r="AV825" s="123"/>
      <c r="AW825" s="123"/>
      <c r="AX825" s="188"/>
      <c r="AY825" s="188"/>
      <c r="AZ825" s="188"/>
      <c r="BA825" s="236"/>
      <c r="BB825" s="188"/>
      <c r="BC825" s="188"/>
      <c r="BD825" s="188"/>
      <c r="BE825" s="236"/>
      <c r="BG825" s="188"/>
      <c r="BH825" s="188"/>
      <c r="BI825" s="188"/>
      <c r="BJ825" s="188"/>
      <c r="BK825" s="188"/>
      <c r="BL825" s="188"/>
      <c r="BM825" s="188"/>
      <c r="BN825" s="188"/>
      <c r="BO825" s="188"/>
      <c r="BP825" s="188"/>
      <c r="BQ825" s="188"/>
      <c r="BR825" s="188"/>
      <c r="BS825" s="188"/>
    </row>
    <row r="826" spans="46:71" x14ac:dyDescent="0.3">
      <c r="AV826" s="123"/>
      <c r="AW826" s="123"/>
      <c r="AX826" s="188"/>
      <c r="AY826" s="188"/>
      <c r="AZ826" s="188"/>
      <c r="BA826" s="236"/>
      <c r="BB826" s="188"/>
      <c r="BC826" s="188"/>
      <c r="BD826" s="188"/>
      <c r="BE826" s="236"/>
      <c r="BG826" s="188"/>
      <c r="BH826" s="188"/>
      <c r="BI826" s="188"/>
      <c r="BJ826" s="188"/>
      <c r="BK826" s="188"/>
      <c r="BL826" s="188"/>
      <c r="BM826" s="188"/>
      <c r="BN826" s="188"/>
      <c r="BO826" s="188"/>
      <c r="BP826" s="188"/>
      <c r="BQ826" s="188"/>
      <c r="BR826" s="188"/>
      <c r="BS826" s="188"/>
    </row>
    <row r="827" spans="46:71" x14ac:dyDescent="0.3">
      <c r="AV827" s="123"/>
      <c r="AW827" s="123"/>
      <c r="AX827" s="188"/>
      <c r="AY827" s="188"/>
      <c r="AZ827" s="188"/>
      <c r="BA827" s="236"/>
      <c r="BB827" s="188"/>
      <c r="BC827" s="188"/>
      <c r="BD827" s="188"/>
      <c r="BE827" s="236"/>
      <c r="BG827" s="188"/>
      <c r="BH827" s="188"/>
      <c r="BI827" s="188"/>
      <c r="BJ827" s="188"/>
      <c r="BK827" s="188"/>
      <c r="BL827" s="188"/>
      <c r="BM827" s="188"/>
      <c r="BN827" s="188"/>
      <c r="BO827" s="188"/>
      <c r="BP827" s="188"/>
      <c r="BQ827" s="188"/>
      <c r="BR827" s="188"/>
      <c r="BS827" s="188"/>
    </row>
    <row r="828" spans="46:71" x14ac:dyDescent="0.3">
      <c r="AV828" s="123"/>
      <c r="AW828" s="123"/>
      <c r="AX828" s="188"/>
      <c r="AY828" s="188"/>
      <c r="AZ828" s="188"/>
      <c r="BA828" s="236"/>
      <c r="BB828" s="188"/>
      <c r="BC828" s="188"/>
      <c r="BD828" s="188"/>
      <c r="BE828" s="236"/>
      <c r="BG828" s="188"/>
      <c r="BH828" s="188"/>
      <c r="BI828" s="188"/>
      <c r="BJ828" s="188"/>
      <c r="BK828" s="188"/>
      <c r="BL828" s="188"/>
      <c r="BM828" s="188"/>
      <c r="BN828" s="188"/>
      <c r="BO828" s="188"/>
      <c r="BP828" s="188"/>
      <c r="BQ828" s="188"/>
      <c r="BR828" s="188"/>
      <c r="BS828" s="188"/>
    </row>
    <row r="829" spans="46:71" x14ac:dyDescent="0.3">
      <c r="AV829" s="123"/>
      <c r="AW829" s="123"/>
      <c r="AX829" s="188"/>
      <c r="AY829" s="188"/>
      <c r="AZ829" s="188"/>
      <c r="BA829" s="236"/>
      <c r="BB829" s="188"/>
      <c r="BC829" s="188"/>
      <c r="BD829" s="188"/>
      <c r="BE829" s="236"/>
      <c r="BG829" s="188"/>
      <c r="BH829" s="188"/>
      <c r="BI829" s="188"/>
      <c r="BJ829" s="188"/>
      <c r="BK829" s="188"/>
      <c r="BL829" s="188"/>
      <c r="BM829" s="188"/>
      <c r="BN829" s="188"/>
      <c r="BO829" s="188"/>
      <c r="BP829" s="188"/>
      <c r="BQ829" s="188"/>
      <c r="BR829" s="188"/>
      <c r="BS829" s="188"/>
    </row>
    <row r="830" spans="46:71" x14ac:dyDescent="0.3">
      <c r="AZ830" s="188"/>
      <c r="BB830" s="188"/>
      <c r="BC830" s="188"/>
      <c r="BD830" s="188"/>
      <c r="BG830" s="188"/>
      <c r="BH830" s="188"/>
      <c r="BI830" s="188"/>
      <c r="BJ830" s="188"/>
      <c r="BK830" s="188"/>
      <c r="BL830" s="188"/>
      <c r="BM830" s="188"/>
      <c r="BN830" s="188"/>
      <c r="BO830" s="188"/>
      <c r="BP830" s="188"/>
      <c r="BQ830" s="188"/>
      <c r="BR830" s="188"/>
      <c r="BS830" s="188"/>
    </row>
    <row r="831" spans="46:71" x14ac:dyDescent="0.3">
      <c r="AT831" s="42"/>
      <c r="AV831" s="123"/>
      <c r="AW831" s="123"/>
      <c r="AX831" s="188"/>
      <c r="AY831" s="188"/>
      <c r="AZ831" s="188"/>
      <c r="BA831" s="236"/>
      <c r="BB831" s="188"/>
      <c r="BC831" s="188"/>
      <c r="BD831" s="188"/>
      <c r="BE831" s="236"/>
    </row>
    <row r="832" spans="46:71" x14ac:dyDescent="0.3">
      <c r="AV832" s="123"/>
      <c r="AW832" s="123"/>
      <c r="AX832" s="188"/>
      <c r="AY832" s="188"/>
      <c r="AZ832" s="188"/>
      <c r="BA832" s="236"/>
      <c r="BB832" s="188"/>
      <c r="BC832" s="188"/>
      <c r="BD832" s="188"/>
      <c r="BE832" s="236"/>
    </row>
    <row r="833" spans="48:57" x14ac:dyDescent="0.3">
      <c r="AV833" s="123"/>
      <c r="AW833" s="123"/>
      <c r="AX833" s="188"/>
      <c r="AY833" s="188"/>
      <c r="AZ833" s="188"/>
      <c r="BA833" s="236"/>
      <c r="BB833" s="188"/>
      <c r="BC833" s="188"/>
      <c r="BD833" s="188"/>
      <c r="BE833" s="236"/>
    </row>
    <row r="834" spans="48:57" x14ac:dyDescent="0.3">
      <c r="AV834" s="123"/>
      <c r="AW834" s="123"/>
      <c r="AX834" s="188"/>
      <c r="AY834" s="188"/>
      <c r="AZ834" s="188"/>
      <c r="BA834" s="236"/>
      <c r="BB834" s="188"/>
      <c r="BC834" s="188"/>
      <c r="BD834" s="188"/>
      <c r="BE834" s="236"/>
    </row>
    <row r="835" spans="48:57" x14ac:dyDescent="0.3">
      <c r="AV835" s="123"/>
      <c r="AW835" s="123"/>
      <c r="AX835" s="188"/>
      <c r="AY835" s="188"/>
      <c r="AZ835" s="188"/>
      <c r="BA835" s="236"/>
      <c r="BB835" s="188"/>
      <c r="BC835" s="188"/>
      <c r="BD835" s="188"/>
      <c r="BE835" s="236"/>
    </row>
    <row r="836" spans="48:57" x14ac:dyDescent="0.3">
      <c r="AV836" s="123"/>
      <c r="AW836" s="123"/>
      <c r="AX836" s="188"/>
      <c r="AY836" s="188"/>
      <c r="AZ836" s="188"/>
      <c r="BA836" s="236"/>
      <c r="BB836" s="188"/>
      <c r="BC836" s="188"/>
      <c r="BD836" s="188"/>
      <c r="BE836" s="236"/>
    </row>
    <row r="837" spans="48:57" x14ac:dyDescent="0.3">
      <c r="AV837" s="123"/>
      <c r="AW837" s="123"/>
      <c r="AX837" s="188"/>
      <c r="AY837" s="188"/>
      <c r="AZ837" s="188"/>
      <c r="BA837" s="236"/>
      <c r="BB837" s="188"/>
      <c r="BC837" s="188"/>
      <c r="BD837" s="188"/>
      <c r="BE837" s="236"/>
    </row>
    <row r="838" spans="48:57" x14ac:dyDescent="0.3">
      <c r="AV838" s="123"/>
      <c r="AW838" s="123"/>
      <c r="AX838" s="188"/>
      <c r="AY838" s="188"/>
      <c r="AZ838" s="188"/>
      <c r="BA838" s="236"/>
      <c r="BB838" s="188"/>
      <c r="BC838" s="188"/>
      <c r="BD838" s="188"/>
      <c r="BE838" s="236"/>
    </row>
    <row r="839" spans="48:57" x14ac:dyDescent="0.3">
      <c r="AV839" s="123"/>
      <c r="AW839" s="123"/>
      <c r="AX839" s="188"/>
      <c r="AY839" s="188"/>
      <c r="AZ839" s="188"/>
      <c r="BA839" s="236"/>
      <c r="BB839" s="188"/>
      <c r="BC839" s="188"/>
      <c r="BD839" s="188"/>
      <c r="BE839" s="236"/>
    </row>
    <row r="840" spans="48:57" x14ac:dyDescent="0.3">
      <c r="AV840" s="123"/>
      <c r="AW840" s="123"/>
      <c r="AX840" s="188"/>
      <c r="AY840" s="188"/>
      <c r="AZ840" s="188"/>
      <c r="BA840" s="236"/>
      <c r="BB840" s="188"/>
      <c r="BC840" s="188"/>
      <c r="BD840" s="188"/>
      <c r="BE840" s="236"/>
    </row>
    <row r="841" spans="48:57" x14ac:dyDescent="0.3">
      <c r="AV841" s="123"/>
      <c r="AW841" s="123"/>
      <c r="AX841" s="188"/>
      <c r="AY841" s="188"/>
      <c r="AZ841" s="188"/>
      <c r="BA841" s="236"/>
      <c r="BB841" s="188"/>
      <c r="BC841" s="188"/>
      <c r="BD841" s="188"/>
      <c r="BE841" s="236"/>
    </row>
    <row r="842" spans="48:57" x14ac:dyDescent="0.3">
      <c r="AV842" s="123"/>
      <c r="AW842" s="123"/>
      <c r="AX842" s="188"/>
      <c r="AY842" s="188"/>
      <c r="AZ842" s="188"/>
      <c r="BA842" s="236"/>
      <c r="BB842" s="188"/>
      <c r="BC842" s="188"/>
      <c r="BD842" s="188"/>
      <c r="BE842" s="236"/>
    </row>
    <row r="843" spans="48:57" x14ac:dyDescent="0.3">
      <c r="AV843" s="123"/>
      <c r="AW843" s="123"/>
      <c r="AX843" s="188"/>
      <c r="AY843" s="188"/>
      <c r="AZ843" s="188"/>
      <c r="BA843" s="236"/>
      <c r="BB843" s="188"/>
      <c r="BC843" s="188"/>
      <c r="BD843" s="188"/>
      <c r="BE843" s="236"/>
    </row>
    <row r="844" spans="48:57" x14ac:dyDescent="0.3">
      <c r="AV844" s="123"/>
      <c r="AW844" s="123"/>
      <c r="AX844" s="188"/>
      <c r="AY844" s="188"/>
      <c r="AZ844" s="188"/>
      <c r="BA844" s="236"/>
      <c r="BB844" s="188"/>
      <c r="BC844" s="188"/>
      <c r="BD844" s="188"/>
      <c r="BE844" s="236"/>
    </row>
    <row r="845" spans="48:57" x14ac:dyDescent="0.3">
      <c r="AV845" s="123"/>
      <c r="AW845" s="123"/>
      <c r="AX845" s="188"/>
      <c r="AY845" s="188"/>
      <c r="AZ845" s="188"/>
      <c r="BA845" s="236"/>
      <c r="BB845" s="188"/>
      <c r="BC845" s="188"/>
      <c r="BD845" s="188"/>
      <c r="BE845" s="236"/>
    </row>
    <row r="846" spans="48:57" x14ac:dyDescent="0.3">
      <c r="AV846" s="123"/>
      <c r="AW846" s="123"/>
      <c r="AX846" s="188"/>
      <c r="AY846" s="188"/>
      <c r="AZ846" s="188"/>
      <c r="BA846" s="236"/>
      <c r="BB846" s="188"/>
      <c r="BC846" s="188"/>
      <c r="BD846" s="188"/>
      <c r="BE846" s="236"/>
    </row>
    <row r="847" spans="48:57" x14ac:dyDescent="0.3">
      <c r="AV847" s="123"/>
      <c r="AW847" s="123"/>
      <c r="AX847" s="188"/>
      <c r="AY847" s="188"/>
      <c r="AZ847" s="188"/>
      <c r="BA847" s="236"/>
      <c r="BB847" s="188"/>
      <c r="BC847" s="188"/>
      <c r="BD847" s="188"/>
      <c r="BE847" s="236"/>
    </row>
    <row r="848" spans="48:57" x14ac:dyDescent="0.3">
      <c r="AV848" s="123"/>
      <c r="AW848" s="123"/>
      <c r="AX848" s="188"/>
      <c r="AY848" s="188"/>
      <c r="AZ848" s="188"/>
      <c r="BA848" s="236"/>
      <c r="BB848" s="188"/>
      <c r="BC848" s="188"/>
      <c r="BD848" s="188"/>
      <c r="BE848" s="236"/>
    </row>
    <row r="849" spans="45:57" x14ac:dyDescent="0.3">
      <c r="BB849" s="188"/>
    </row>
    <row r="850" spans="45:57" x14ac:dyDescent="0.3">
      <c r="AU850" s="42"/>
      <c r="BB850" s="188"/>
    </row>
    <row r="851" spans="45:57" x14ac:dyDescent="0.3">
      <c r="AU851" s="42"/>
    </row>
    <row r="852" spans="45:57" x14ac:dyDescent="0.3">
      <c r="AU852" s="42"/>
      <c r="BB852" s="188"/>
    </row>
    <row r="853" spans="45:57" x14ac:dyDescent="0.3">
      <c r="AS853" s="42"/>
      <c r="AZ853" s="188"/>
      <c r="BB853" s="188"/>
    </row>
    <row r="854" spans="45:57" x14ac:dyDescent="0.3">
      <c r="AZ854" s="188"/>
      <c r="BB854" s="188"/>
    </row>
    <row r="855" spans="45:57" x14ac:dyDescent="0.3">
      <c r="AY855" s="188"/>
      <c r="AZ855" s="188"/>
      <c r="BB855" s="188"/>
    </row>
    <row r="856" spans="45:57" x14ac:dyDescent="0.3">
      <c r="AY856" s="42"/>
      <c r="AZ856" s="188"/>
      <c r="BB856" s="188"/>
    </row>
    <row r="857" spans="45:57" x14ac:dyDescent="0.3">
      <c r="AY857" s="42"/>
      <c r="AZ857" s="188"/>
      <c r="BB857" s="188"/>
    </row>
    <row r="858" spans="45:57" x14ac:dyDescent="0.3">
      <c r="AZ858" s="188"/>
      <c r="BB858" s="188"/>
      <c r="BD858" s="42"/>
    </row>
    <row r="859" spans="45:57" x14ac:dyDescent="0.3">
      <c r="AZ859" s="188"/>
      <c r="BB859" s="188"/>
      <c r="BD859" s="42"/>
    </row>
    <row r="860" spans="45:57" x14ac:dyDescent="0.3">
      <c r="AS860" s="42"/>
      <c r="AZ860" s="188"/>
      <c r="BB860" s="188"/>
      <c r="BD860" s="42"/>
    </row>
    <row r="861" spans="45:57" x14ac:dyDescent="0.3">
      <c r="AZ861" s="188"/>
      <c r="BB861" s="188"/>
    </row>
    <row r="862" spans="45:57" x14ac:dyDescent="0.3">
      <c r="AS862" s="135"/>
      <c r="AT862" s="135"/>
      <c r="AU862" s="135"/>
      <c r="AV862" s="135"/>
      <c r="AW862" s="135"/>
      <c r="AX862" s="135"/>
      <c r="AY862" s="135"/>
      <c r="AZ862" s="244"/>
      <c r="BA862" s="135"/>
      <c r="BB862" s="244"/>
      <c r="BC862" s="135"/>
      <c r="BD862" s="135"/>
      <c r="BE862" s="135"/>
    </row>
    <row r="863" spans="45:57" x14ac:dyDescent="0.3">
      <c r="AX863" s="42"/>
      <c r="AZ863" s="188"/>
      <c r="BB863" s="188"/>
    </row>
    <row r="864" spans="45:57" x14ac:dyDescent="0.3">
      <c r="AX864" s="135"/>
      <c r="AY864" s="135"/>
      <c r="AZ864" s="244"/>
      <c r="BA864" s="135"/>
      <c r="BB864" s="188"/>
      <c r="BC864" s="44"/>
      <c r="BD864" s="44"/>
    </row>
    <row r="865" spans="45:57" x14ac:dyDescent="0.3">
      <c r="AV865" s="44"/>
      <c r="AW865" s="44"/>
      <c r="AZ865" s="245"/>
      <c r="BA865" s="44"/>
      <c r="BB865" s="188"/>
      <c r="BC865" s="44"/>
      <c r="BD865" s="44"/>
      <c r="BE865" s="44"/>
    </row>
    <row r="866" spans="45:57" x14ac:dyDescent="0.3">
      <c r="AV866" s="44"/>
      <c r="AW866" s="44"/>
      <c r="AX866" s="44"/>
      <c r="AY866" s="44"/>
      <c r="AZ866" s="245"/>
      <c r="BA866" s="44"/>
      <c r="BB866" s="245"/>
      <c r="BC866" s="44"/>
      <c r="BD866" s="44"/>
      <c r="BE866" s="44"/>
    </row>
    <row r="867" spans="45:57" x14ac:dyDescent="0.3">
      <c r="AS867" s="44"/>
      <c r="AU867" s="42"/>
      <c r="AV867" s="44"/>
      <c r="AW867" s="44"/>
      <c r="AX867" s="44"/>
      <c r="AY867" s="44"/>
      <c r="AZ867" s="245"/>
      <c r="BA867" s="44"/>
      <c r="BB867" s="245"/>
      <c r="BC867" s="44"/>
      <c r="BD867" s="44"/>
      <c r="BE867" s="44"/>
    </row>
    <row r="868" spans="45:57" x14ac:dyDescent="0.3">
      <c r="AS868" s="44"/>
      <c r="AU868" s="42"/>
      <c r="AV868" s="44"/>
      <c r="AW868" s="44"/>
      <c r="AX868" s="44"/>
      <c r="AY868" s="44"/>
      <c r="AZ868" s="245"/>
      <c r="BA868" s="44"/>
      <c r="BB868" s="245"/>
      <c r="BC868" s="44"/>
      <c r="BD868" s="44"/>
      <c r="BE868" s="44"/>
    </row>
    <row r="869" spans="45:57" x14ac:dyDescent="0.3">
      <c r="AS869" s="135"/>
      <c r="AT869" s="135"/>
      <c r="AU869" s="135"/>
      <c r="AV869" s="135"/>
      <c r="AW869" s="135"/>
      <c r="AX869" s="135"/>
      <c r="AY869" s="135"/>
      <c r="AZ869" s="244"/>
      <c r="BA869" s="135"/>
      <c r="BB869" s="244"/>
      <c r="BC869" s="135"/>
      <c r="BD869" s="135"/>
      <c r="BE869" s="135"/>
    </row>
    <row r="870" spans="45:57" x14ac:dyDescent="0.3">
      <c r="AV870" s="44"/>
      <c r="AW870" s="44"/>
      <c r="AX870" s="44"/>
      <c r="AY870" s="44"/>
      <c r="AZ870" s="245"/>
      <c r="BA870" s="44"/>
      <c r="BB870" s="245"/>
      <c r="BC870" s="44"/>
      <c r="BD870" s="44"/>
      <c r="BE870" s="44"/>
    </row>
    <row r="871" spans="45:57" x14ac:dyDescent="0.3">
      <c r="AT871" s="42"/>
      <c r="AV871" s="123"/>
      <c r="AW871" s="123"/>
      <c r="AX871" s="188"/>
      <c r="AY871" s="188"/>
      <c r="AZ871" s="188"/>
      <c r="BA871" s="236"/>
      <c r="BB871" s="188"/>
      <c r="BC871" s="188"/>
      <c r="BD871" s="188"/>
      <c r="BE871" s="236"/>
    </row>
    <row r="872" spans="45:57" x14ac:dyDescent="0.3">
      <c r="AV872" s="123"/>
      <c r="AW872" s="123"/>
      <c r="AX872" s="188"/>
      <c r="AY872" s="188"/>
      <c r="AZ872" s="188"/>
      <c r="BA872" s="236"/>
      <c r="BB872" s="188"/>
      <c r="BC872" s="188"/>
      <c r="BD872" s="188"/>
      <c r="BE872" s="236"/>
    </row>
    <row r="873" spans="45:57" x14ac:dyDescent="0.3">
      <c r="AV873" s="123"/>
      <c r="AW873" s="123"/>
      <c r="AX873" s="188"/>
      <c r="AY873" s="188"/>
      <c r="AZ873" s="188"/>
      <c r="BA873" s="236"/>
      <c r="BB873" s="188"/>
      <c r="BC873" s="188"/>
      <c r="BD873" s="188"/>
      <c r="BE873" s="236"/>
    </row>
    <row r="874" spans="45:57" x14ac:dyDescent="0.3">
      <c r="AV874" s="123"/>
      <c r="AW874" s="123"/>
      <c r="AX874" s="188"/>
      <c r="AY874" s="188"/>
      <c r="AZ874" s="188"/>
      <c r="BA874" s="236"/>
      <c r="BB874" s="188"/>
      <c r="BC874" s="188"/>
      <c r="BD874" s="188"/>
      <c r="BE874" s="236"/>
    </row>
    <row r="875" spans="45:57" x14ac:dyDescent="0.3">
      <c r="AV875" s="123"/>
      <c r="AW875" s="123"/>
      <c r="AX875" s="188"/>
      <c r="AY875" s="188"/>
      <c r="AZ875" s="188"/>
      <c r="BA875" s="236"/>
      <c r="BB875" s="188"/>
      <c r="BC875" s="188"/>
      <c r="BD875" s="188"/>
      <c r="BE875" s="236"/>
    </row>
    <row r="876" spans="45:57" x14ac:dyDescent="0.3">
      <c r="AV876" s="123"/>
      <c r="AW876" s="123"/>
      <c r="AX876" s="188"/>
      <c r="AY876" s="188"/>
      <c r="AZ876" s="188"/>
      <c r="BA876" s="236"/>
      <c r="BB876" s="188"/>
      <c r="BC876" s="188"/>
      <c r="BD876" s="188"/>
      <c r="BE876" s="236"/>
    </row>
    <row r="877" spans="45:57" x14ac:dyDescent="0.3">
      <c r="AV877" s="123"/>
      <c r="AW877" s="123"/>
      <c r="AX877" s="188"/>
      <c r="AY877" s="188"/>
      <c r="AZ877" s="188"/>
      <c r="BA877" s="236"/>
      <c r="BB877" s="188"/>
      <c r="BC877" s="188"/>
      <c r="BD877" s="188"/>
      <c r="BE877" s="236"/>
    </row>
    <row r="878" spans="45:57" x14ac:dyDescent="0.3">
      <c r="AV878" s="123"/>
      <c r="AW878" s="123"/>
      <c r="AX878" s="188"/>
      <c r="AY878" s="188"/>
      <c r="AZ878" s="188"/>
      <c r="BA878" s="236"/>
      <c r="BB878" s="188"/>
      <c r="BC878" s="188"/>
      <c r="BD878" s="188"/>
      <c r="BE878" s="236"/>
    </row>
    <row r="879" spans="45:57" x14ac:dyDescent="0.3">
      <c r="AV879" s="123"/>
      <c r="AW879" s="123"/>
      <c r="AX879" s="188"/>
      <c r="AY879" s="188"/>
      <c r="AZ879" s="188"/>
      <c r="BA879" s="236"/>
      <c r="BB879" s="188"/>
      <c r="BC879" s="188"/>
      <c r="BD879" s="188"/>
      <c r="BE879" s="236"/>
    </row>
    <row r="880" spans="45:57" x14ac:dyDescent="0.3">
      <c r="AV880" s="123"/>
      <c r="AW880" s="123"/>
      <c r="AX880" s="188"/>
      <c r="AY880" s="188"/>
      <c r="AZ880" s="188"/>
      <c r="BA880" s="236"/>
      <c r="BB880" s="188"/>
      <c r="BC880" s="188"/>
      <c r="BD880" s="188"/>
      <c r="BE880" s="236"/>
    </row>
    <row r="881" spans="45:57" x14ac:dyDescent="0.3">
      <c r="AV881" s="123"/>
      <c r="AW881" s="123"/>
      <c r="BB881" s="188"/>
    </row>
    <row r="882" spans="45:57" x14ac:dyDescent="0.3">
      <c r="AT882" s="42"/>
      <c r="AV882" s="123"/>
      <c r="AW882" s="123"/>
      <c r="AX882" s="188"/>
      <c r="AY882" s="188"/>
      <c r="AZ882" s="188"/>
      <c r="BA882" s="236"/>
      <c r="BB882" s="188"/>
      <c r="BC882" s="188"/>
      <c r="BD882" s="188"/>
      <c r="BE882" s="236"/>
    </row>
    <row r="883" spans="45:57" x14ac:dyDescent="0.3">
      <c r="AV883" s="123"/>
      <c r="AW883" s="123"/>
      <c r="AX883" s="188"/>
      <c r="AY883" s="188"/>
      <c r="AZ883" s="188"/>
      <c r="BA883" s="236"/>
      <c r="BB883" s="188"/>
      <c r="BC883" s="188"/>
      <c r="BD883" s="188"/>
      <c r="BE883" s="236"/>
    </row>
    <row r="884" spans="45:57" x14ac:dyDescent="0.3">
      <c r="AV884" s="123"/>
      <c r="AW884" s="123"/>
      <c r="AX884" s="188"/>
      <c r="AY884" s="188"/>
      <c r="AZ884" s="188"/>
      <c r="BA884" s="236"/>
      <c r="BB884" s="188"/>
      <c r="BC884" s="188"/>
      <c r="BD884" s="188"/>
      <c r="BE884" s="236"/>
    </row>
    <row r="885" spans="45:57" x14ac:dyDescent="0.3">
      <c r="AV885" s="123"/>
      <c r="AW885" s="123"/>
      <c r="AX885" s="188"/>
      <c r="AY885" s="188"/>
      <c r="AZ885" s="188"/>
      <c r="BA885" s="236"/>
      <c r="BB885" s="188"/>
      <c r="BC885" s="188"/>
      <c r="BD885" s="188"/>
      <c r="BE885" s="236"/>
    </row>
    <row r="886" spans="45:57" x14ac:dyDescent="0.3">
      <c r="AV886" s="123"/>
      <c r="AW886" s="123"/>
      <c r="AX886" s="188"/>
      <c r="AY886" s="188"/>
      <c r="AZ886" s="188"/>
      <c r="BA886" s="236"/>
      <c r="BB886" s="188"/>
      <c r="BC886" s="188"/>
      <c r="BD886" s="188"/>
      <c r="BE886" s="236"/>
    </row>
    <row r="887" spans="45:57" x14ac:dyDescent="0.3">
      <c r="AV887" s="123"/>
      <c r="AW887" s="123"/>
      <c r="AX887" s="188"/>
      <c r="AY887" s="188"/>
      <c r="AZ887" s="188"/>
      <c r="BA887" s="236"/>
      <c r="BB887" s="188"/>
      <c r="BC887" s="188"/>
      <c r="BD887" s="188"/>
      <c r="BE887" s="236"/>
    </row>
    <row r="888" spans="45:57" x14ac:dyDescent="0.3">
      <c r="AV888" s="123"/>
      <c r="AW888" s="123"/>
      <c r="AX888" s="188"/>
      <c r="AY888" s="188"/>
      <c r="AZ888" s="188"/>
      <c r="BA888" s="236"/>
      <c r="BB888" s="188"/>
      <c r="BC888" s="188"/>
      <c r="BD888" s="188"/>
      <c r="BE888" s="236"/>
    </row>
    <row r="889" spans="45:57" x14ac:dyDescent="0.3">
      <c r="AV889" s="123"/>
      <c r="AW889" s="123"/>
      <c r="AX889" s="188"/>
      <c r="AY889" s="188"/>
      <c r="AZ889" s="188"/>
      <c r="BA889" s="236"/>
      <c r="BB889" s="188"/>
      <c r="BC889" s="188"/>
      <c r="BD889" s="188"/>
      <c r="BE889" s="236"/>
    </row>
    <row r="890" spans="45:57" x14ac:dyDescent="0.3">
      <c r="AV890" s="123"/>
      <c r="AW890" s="123"/>
      <c r="AX890" s="188"/>
      <c r="AY890" s="188"/>
      <c r="AZ890" s="188"/>
      <c r="BA890" s="236"/>
      <c r="BB890" s="188"/>
      <c r="BC890" s="188"/>
      <c r="BD890" s="188"/>
      <c r="BE890" s="236"/>
    </row>
    <row r="891" spans="45:57" x14ac:dyDescent="0.3">
      <c r="AV891" s="123"/>
      <c r="AW891" s="123"/>
      <c r="AX891" s="188"/>
      <c r="AY891" s="188"/>
      <c r="AZ891" s="188"/>
      <c r="BA891" s="236"/>
      <c r="BB891" s="188"/>
      <c r="BC891" s="188"/>
      <c r="BD891" s="188"/>
      <c r="BE891" s="236"/>
    </row>
    <row r="893" spans="45:57" x14ac:dyDescent="0.3">
      <c r="AU893" s="42"/>
    </row>
    <row r="894" spans="45:57" x14ac:dyDescent="0.3">
      <c r="AU894" s="42"/>
    </row>
    <row r="895" spans="45:57" x14ac:dyDescent="0.3">
      <c r="AU895" s="42"/>
    </row>
    <row r="896" spans="45:57" x14ac:dyDescent="0.3">
      <c r="AS896" s="42"/>
    </row>
    <row r="917" spans="52:71" x14ac:dyDescent="0.3">
      <c r="AZ917" s="188"/>
      <c r="BB917" s="188"/>
      <c r="BC917" s="188"/>
      <c r="BD917" s="188"/>
      <c r="BG917" s="188"/>
      <c r="BH917" s="188"/>
      <c r="BI917" s="188"/>
      <c r="BJ917" s="188"/>
      <c r="BK917" s="188"/>
      <c r="BL917" s="188"/>
      <c r="BM917" s="188"/>
      <c r="BN917" s="188"/>
      <c r="BO917" s="188"/>
      <c r="BP917" s="188"/>
      <c r="BQ917" s="188"/>
      <c r="BR917" s="188"/>
      <c r="BS917" s="188"/>
    </row>
    <row r="918" spans="52:71" x14ac:dyDescent="0.3">
      <c r="AZ918" s="188"/>
      <c r="BB918" s="188"/>
      <c r="BC918" s="188"/>
      <c r="BD918" s="188"/>
      <c r="BG918" s="188"/>
      <c r="BH918" s="188"/>
      <c r="BI918" s="188"/>
      <c r="BJ918" s="188"/>
      <c r="BK918" s="188"/>
      <c r="BL918" s="188"/>
      <c r="BM918" s="188"/>
      <c r="BN918" s="188"/>
      <c r="BO918" s="188"/>
      <c r="BP918" s="188"/>
      <c r="BQ918" s="188"/>
      <c r="BR918" s="188"/>
      <c r="BS918" s="188"/>
    </row>
    <row r="919" spans="52:71" x14ac:dyDescent="0.3">
      <c r="AZ919" s="188"/>
      <c r="BB919" s="188"/>
      <c r="BC919" s="188"/>
      <c r="BD919" s="188"/>
      <c r="BG919" s="188"/>
      <c r="BH919" s="188"/>
      <c r="BI919" s="188"/>
      <c r="BJ919" s="188"/>
      <c r="BK919" s="188"/>
      <c r="BL919" s="188"/>
      <c r="BM919" s="188"/>
      <c r="BN919" s="188"/>
      <c r="BO919" s="188"/>
      <c r="BP919" s="188"/>
      <c r="BQ919" s="188"/>
      <c r="BR919" s="188"/>
      <c r="BS919" s="188"/>
    </row>
    <row r="920" spans="52:71" x14ac:dyDescent="0.3">
      <c r="AZ920" s="188"/>
      <c r="BB920" s="188"/>
      <c r="BC920" s="188"/>
      <c r="BD920" s="188"/>
      <c r="BG920" s="188"/>
      <c r="BH920" s="188"/>
      <c r="BI920" s="188"/>
      <c r="BJ920" s="188"/>
      <c r="BK920" s="188"/>
      <c r="BL920" s="188"/>
      <c r="BM920" s="188"/>
      <c r="BN920" s="188"/>
      <c r="BO920" s="188"/>
      <c r="BP920" s="188"/>
      <c r="BQ920" s="188"/>
      <c r="BR920" s="188"/>
      <c r="BS920" s="188"/>
    </row>
    <row r="921" spans="52:71" x14ac:dyDescent="0.3">
      <c r="AZ921" s="188"/>
      <c r="BB921" s="188"/>
      <c r="BC921" s="188"/>
      <c r="BD921" s="188"/>
      <c r="BG921" s="188"/>
      <c r="BH921" s="188"/>
      <c r="BI921" s="188"/>
      <c r="BJ921" s="188"/>
      <c r="BK921" s="188"/>
      <c r="BL921" s="188"/>
      <c r="BM921" s="188"/>
      <c r="BN921" s="188"/>
      <c r="BO921" s="188"/>
      <c r="BP921" s="188"/>
      <c r="BQ921" s="188"/>
      <c r="BR921" s="188"/>
      <c r="BS921" s="188"/>
    </row>
    <row r="922" spans="52:71" x14ac:dyDescent="0.3">
      <c r="AZ922" s="188"/>
      <c r="BB922" s="188"/>
      <c r="BC922" s="188"/>
      <c r="BD922" s="188"/>
      <c r="BG922" s="188"/>
      <c r="BH922" s="188"/>
      <c r="BI922" s="188"/>
      <c r="BJ922" s="188"/>
      <c r="BK922" s="188"/>
      <c r="BL922" s="188"/>
      <c r="BM922" s="188"/>
      <c r="BN922" s="188"/>
      <c r="BO922" s="188"/>
      <c r="BP922" s="188"/>
      <c r="BQ922" s="188"/>
      <c r="BR922" s="188"/>
      <c r="BS922" s="188"/>
    </row>
    <row r="923" spans="52:71" x14ac:dyDescent="0.3">
      <c r="AZ923" s="188"/>
      <c r="BB923" s="188"/>
      <c r="BC923" s="188"/>
      <c r="BD923" s="188"/>
      <c r="BG923" s="188"/>
      <c r="BH923" s="188"/>
      <c r="BI923" s="188"/>
      <c r="BJ923" s="188"/>
      <c r="BK923" s="188"/>
      <c r="BL923" s="188"/>
      <c r="BM923" s="188"/>
      <c r="BN923" s="188"/>
      <c r="BO923" s="188"/>
      <c r="BP923" s="188"/>
      <c r="BQ923" s="188"/>
      <c r="BR923" s="188"/>
      <c r="BS923" s="188"/>
    </row>
    <row r="924" spans="52:71" x14ac:dyDescent="0.3">
      <c r="AZ924" s="188"/>
      <c r="BB924" s="188"/>
      <c r="BC924" s="188"/>
      <c r="BD924" s="188"/>
      <c r="BG924" s="188"/>
      <c r="BH924" s="188"/>
      <c r="BI924" s="188"/>
      <c r="BJ924" s="188"/>
      <c r="BK924" s="188"/>
      <c r="BL924" s="188"/>
      <c r="BM924" s="188"/>
      <c r="BN924" s="188"/>
      <c r="BO924" s="188"/>
      <c r="BP924" s="188"/>
      <c r="BQ924" s="188"/>
      <c r="BR924" s="188"/>
      <c r="BS924" s="188"/>
    </row>
    <row r="925" spans="52:71" x14ac:dyDescent="0.3">
      <c r="AZ925" s="188"/>
      <c r="BB925" s="188"/>
      <c r="BC925" s="188"/>
      <c r="BD925" s="188"/>
      <c r="BG925" s="188"/>
      <c r="BH925" s="188"/>
      <c r="BI925" s="188"/>
      <c r="BJ925" s="188"/>
      <c r="BK925" s="188"/>
      <c r="BL925" s="188"/>
      <c r="BM925" s="188"/>
      <c r="BN925" s="188"/>
      <c r="BO925" s="188"/>
      <c r="BP925" s="188"/>
      <c r="BQ925" s="188"/>
      <c r="BR925" s="188"/>
      <c r="BS925" s="188"/>
    </row>
    <row r="926" spans="52:71" x14ac:dyDescent="0.3">
      <c r="AZ926" s="188"/>
      <c r="BB926" s="188"/>
      <c r="BC926" s="188"/>
      <c r="BD926" s="188"/>
      <c r="BG926" s="188"/>
      <c r="BH926" s="188"/>
      <c r="BI926" s="188"/>
      <c r="BJ926" s="188"/>
      <c r="BK926" s="188"/>
      <c r="BL926" s="188"/>
      <c r="BM926" s="188"/>
      <c r="BN926" s="188"/>
      <c r="BO926" s="188"/>
      <c r="BP926" s="188"/>
      <c r="BQ926" s="188"/>
      <c r="BR926" s="188"/>
      <c r="BS926" s="188"/>
    </row>
    <row r="927" spans="52:71" x14ac:dyDescent="0.3">
      <c r="AZ927" s="188"/>
      <c r="BB927" s="188"/>
      <c r="BC927" s="188"/>
      <c r="BD927" s="188"/>
      <c r="BG927" s="188"/>
      <c r="BH927" s="188"/>
      <c r="BI927" s="188"/>
      <c r="BJ927" s="188"/>
      <c r="BK927" s="188"/>
      <c r="BL927" s="188"/>
      <c r="BM927" s="188"/>
      <c r="BN927" s="188"/>
      <c r="BO927" s="188"/>
      <c r="BP927" s="188"/>
      <c r="BQ927" s="188"/>
      <c r="BR927" s="188"/>
      <c r="BS927" s="188"/>
    </row>
    <row r="928" spans="52:71" x14ac:dyDescent="0.3">
      <c r="AZ928" s="188"/>
      <c r="BB928" s="188"/>
      <c r="BC928" s="188"/>
      <c r="BD928" s="188"/>
      <c r="BG928" s="188"/>
      <c r="BH928" s="188"/>
      <c r="BI928" s="188"/>
      <c r="BJ928" s="188"/>
      <c r="BK928" s="188"/>
      <c r="BL928" s="188"/>
      <c r="BM928" s="188"/>
      <c r="BN928" s="188"/>
      <c r="BO928" s="188"/>
      <c r="BP928" s="188"/>
      <c r="BQ928" s="188"/>
      <c r="BR928" s="188"/>
      <c r="BS928" s="188"/>
    </row>
    <row r="929" spans="52:71" x14ac:dyDescent="0.3">
      <c r="AZ929" s="188"/>
      <c r="BG929" s="188"/>
      <c r="BH929" s="188"/>
      <c r="BI929" s="188"/>
      <c r="BJ929" s="188"/>
      <c r="BK929" s="188"/>
      <c r="BL929" s="188"/>
      <c r="BM929" s="188"/>
      <c r="BN929" s="188"/>
      <c r="BO929" s="188"/>
      <c r="BP929" s="188"/>
      <c r="BQ929" s="188"/>
      <c r="BR929" s="188"/>
      <c r="BS929" s="188"/>
    </row>
    <row r="930" spans="52:71" x14ac:dyDescent="0.3">
      <c r="AZ930" s="188"/>
      <c r="BG930" s="188"/>
      <c r="BH930" s="188"/>
      <c r="BI930" s="188"/>
      <c r="BJ930" s="188"/>
      <c r="BK930" s="188"/>
      <c r="BL930" s="188"/>
      <c r="BM930" s="188"/>
      <c r="BN930" s="188"/>
      <c r="BO930" s="188"/>
      <c r="BP930" s="188"/>
      <c r="BQ930" s="188"/>
      <c r="BR930" s="188"/>
      <c r="BS930" s="188"/>
    </row>
    <row r="931" spans="52:71" x14ac:dyDescent="0.3">
      <c r="AZ931" s="188"/>
      <c r="BG931" s="188"/>
      <c r="BH931" s="188"/>
      <c r="BI931" s="188"/>
      <c r="BJ931" s="188"/>
      <c r="BK931" s="188"/>
      <c r="BL931" s="188"/>
      <c r="BM931" s="188"/>
      <c r="BN931" s="188"/>
      <c r="BO931" s="188"/>
      <c r="BP931" s="188"/>
      <c r="BQ931" s="188"/>
      <c r="BR931" s="188"/>
      <c r="BS931" s="188"/>
    </row>
    <row r="932" spans="52:71" x14ac:dyDescent="0.3">
      <c r="AZ932" s="188"/>
      <c r="BG932" s="188"/>
      <c r="BH932" s="188"/>
      <c r="BI932" s="188"/>
      <c r="BJ932" s="188"/>
      <c r="BK932" s="188"/>
      <c r="BL932" s="188"/>
      <c r="BM932" s="188"/>
      <c r="BN932" s="188"/>
      <c r="BO932" s="188"/>
      <c r="BP932" s="188"/>
      <c r="BQ932" s="188"/>
      <c r="BR932" s="188"/>
      <c r="BS932" s="188"/>
    </row>
    <row r="933" spans="52:71" x14ac:dyDescent="0.3">
      <c r="AZ933" s="188"/>
      <c r="BG933" s="188"/>
      <c r="BH933" s="188"/>
      <c r="BI933" s="188"/>
      <c r="BJ933" s="188"/>
      <c r="BK933" s="188"/>
      <c r="BL933" s="188"/>
      <c r="BM933" s="188"/>
      <c r="BN933" s="188"/>
      <c r="BO933" s="188"/>
      <c r="BP933" s="188"/>
      <c r="BQ933" s="188"/>
      <c r="BR933" s="188"/>
      <c r="BS933" s="188"/>
    </row>
    <row r="934" spans="52:71" x14ac:dyDescent="0.3">
      <c r="AZ934" s="188"/>
      <c r="BG934" s="188"/>
      <c r="BH934" s="188"/>
      <c r="BI934" s="188"/>
      <c r="BJ934" s="188"/>
      <c r="BK934" s="188"/>
      <c r="BL934" s="188"/>
      <c r="BM934" s="188"/>
      <c r="BN934" s="188"/>
      <c r="BO934" s="188"/>
      <c r="BP934" s="188"/>
      <c r="BQ934" s="188"/>
      <c r="BR934" s="188"/>
      <c r="BS934" s="188"/>
    </row>
    <row r="935" spans="52:71" x14ac:dyDescent="0.3">
      <c r="AZ935" s="188"/>
      <c r="BG935" s="188"/>
      <c r="BH935" s="188"/>
      <c r="BI935" s="188"/>
      <c r="BJ935" s="188"/>
      <c r="BK935" s="188"/>
      <c r="BL935" s="188"/>
      <c r="BM935" s="188"/>
      <c r="BN935" s="188"/>
      <c r="BO935" s="188"/>
      <c r="BP935" s="188"/>
      <c r="BQ935" s="188"/>
      <c r="BR935" s="188"/>
      <c r="BS935" s="188"/>
    </row>
    <row r="936" spans="52:71" x14ac:dyDescent="0.3">
      <c r="AZ936" s="188"/>
    </row>
    <row r="937" spans="52:71" x14ac:dyDescent="0.3">
      <c r="AZ937" s="188"/>
    </row>
    <row r="951" spans="1:28" x14ac:dyDescent="0.3">
      <c r="A951" s="42"/>
    </row>
    <row r="954" spans="1:28" x14ac:dyDescent="0.3">
      <c r="Y954" s="42"/>
    </row>
    <row r="955" spans="1:28" x14ac:dyDescent="0.3">
      <c r="A955" s="42"/>
      <c r="H955" s="42"/>
      <c r="I955" s="42"/>
    </row>
    <row r="956" spans="1:28" x14ac:dyDescent="0.3">
      <c r="A956" s="42"/>
      <c r="V956" s="44"/>
      <c r="AA956" s="44"/>
      <c r="AB956" s="44"/>
    </row>
    <row r="957" spans="1:28" x14ac:dyDescent="0.3">
      <c r="A957" s="42"/>
      <c r="V957" s="135"/>
      <c r="AA957" s="135"/>
      <c r="AB957" s="135"/>
    </row>
    <row r="958" spans="1:28" x14ac:dyDescent="0.3">
      <c r="A958" s="42"/>
      <c r="U958" s="42"/>
      <c r="AA958" s="44"/>
      <c r="AB958" s="44"/>
    </row>
    <row r="959" spans="1:28" x14ac:dyDescent="0.3">
      <c r="A959" s="42"/>
    </row>
    <row r="960" spans="1:28" x14ac:dyDescent="0.3">
      <c r="A960" s="42"/>
      <c r="U960" s="42"/>
      <c r="AA960" s="44"/>
      <c r="AB960" s="44"/>
    </row>
    <row r="961" spans="1:28" x14ac:dyDescent="0.3">
      <c r="A961" s="42"/>
    </row>
    <row r="962" spans="1:28" x14ac:dyDescent="0.3">
      <c r="A962" s="42"/>
      <c r="U962" s="42"/>
      <c r="V962" s="247"/>
      <c r="AA962" s="44"/>
      <c r="AB962" s="44"/>
    </row>
    <row r="963" spans="1:28" x14ac:dyDescent="0.3">
      <c r="A963" s="42"/>
    </row>
    <row r="964" spans="1:28" x14ac:dyDescent="0.3">
      <c r="A964" s="42"/>
      <c r="U964" s="42"/>
      <c r="AA964" s="44"/>
      <c r="AB964" s="44"/>
    </row>
    <row r="965" spans="1:28" x14ac:dyDescent="0.3">
      <c r="A965" s="42"/>
    </row>
    <row r="966" spans="1:28" x14ac:dyDescent="0.3">
      <c r="A966" s="42"/>
      <c r="U966" s="42"/>
      <c r="AA966" s="44"/>
      <c r="AB966" s="44"/>
    </row>
    <row r="967" spans="1:28" x14ac:dyDescent="0.3">
      <c r="A967" s="42"/>
    </row>
    <row r="968" spans="1:28" x14ac:dyDescent="0.3">
      <c r="A968" s="42"/>
    </row>
    <row r="969" spans="1:28" x14ac:dyDescent="0.3">
      <c r="A969" s="42"/>
    </row>
    <row r="970" spans="1:28" x14ac:dyDescent="0.3">
      <c r="A970" s="42"/>
    </row>
    <row r="971" spans="1:28" x14ac:dyDescent="0.3">
      <c r="A971" s="42"/>
    </row>
    <row r="972" spans="1:28" x14ac:dyDescent="0.3">
      <c r="A972" s="42"/>
    </row>
    <row r="973" spans="1:28" x14ac:dyDescent="0.3">
      <c r="A973" s="42"/>
    </row>
    <row r="974" spans="1:28" x14ac:dyDescent="0.3">
      <c r="A974" s="42"/>
    </row>
    <row r="975" spans="1:28" x14ac:dyDescent="0.3">
      <c r="A975" s="42"/>
    </row>
    <row r="976" spans="1:28" x14ac:dyDescent="0.3">
      <c r="A976" s="42"/>
    </row>
    <row r="977" spans="1:9" x14ac:dyDescent="0.3">
      <c r="A977" s="42"/>
      <c r="H977" s="42"/>
      <c r="I977" s="42"/>
    </row>
    <row r="980" spans="1:9" x14ac:dyDescent="0.3">
      <c r="A980" s="42"/>
    </row>
    <row r="983" spans="1:9" x14ac:dyDescent="0.3">
      <c r="A983" s="42"/>
    </row>
    <row r="986" spans="1:9" x14ac:dyDescent="0.3">
      <c r="A986" s="42"/>
    </row>
    <row r="987" spans="1:9" x14ac:dyDescent="0.3">
      <c r="A987" s="42"/>
    </row>
    <row r="988" spans="1:9" x14ac:dyDescent="0.3">
      <c r="A988" s="42"/>
    </row>
    <row r="989" spans="1:9" x14ac:dyDescent="0.3">
      <c r="A989" s="42"/>
    </row>
    <row r="990" spans="1:9" x14ac:dyDescent="0.3">
      <c r="A990" s="42"/>
    </row>
    <row r="991" spans="1:9" x14ac:dyDescent="0.3">
      <c r="A991" s="42"/>
    </row>
    <row r="992" spans="1:9" x14ac:dyDescent="0.3">
      <c r="A992" s="42"/>
    </row>
    <row r="993" spans="1:1" x14ac:dyDescent="0.3">
      <c r="A993" s="42"/>
    </row>
    <row r="994" spans="1:1" x14ac:dyDescent="0.3">
      <c r="A994" s="42"/>
    </row>
    <row r="995" spans="1:1" x14ac:dyDescent="0.3">
      <c r="A995" s="42"/>
    </row>
    <row r="996" spans="1:1" x14ac:dyDescent="0.3">
      <c r="A996" s="42"/>
    </row>
    <row r="997" spans="1:1" x14ac:dyDescent="0.3">
      <c r="A997" s="42"/>
    </row>
    <row r="998" spans="1:1" x14ac:dyDescent="0.3">
      <c r="A998" s="42"/>
    </row>
    <row r="999" spans="1:1" x14ac:dyDescent="0.3">
      <c r="A999" s="42"/>
    </row>
    <row r="1000" spans="1:1" x14ac:dyDescent="0.3">
      <c r="A1000" s="42"/>
    </row>
    <row r="1001" spans="1:1" x14ac:dyDescent="0.3">
      <c r="A1001" s="42"/>
    </row>
    <row r="1002" spans="1:1" x14ac:dyDescent="0.3">
      <c r="A1002" s="42"/>
    </row>
    <row r="1003" spans="1:1" x14ac:dyDescent="0.3">
      <c r="A1003" s="42"/>
    </row>
    <row r="1004" spans="1:1" x14ac:dyDescent="0.3">
      <c r="A1004" s="42"/>
    </row>
    <row r="1005" spans="1:1" x14ac:dyDescent="0.3">
      <c r="A1005" s="42"/>
    </row>
    <row r="1006" spans="1:1" x14ac:dyDescent="0.3">
      <c r="A1006" s="42"/>
    </row>
    <row r="1007" spans="1:1" x14ac:dyDescent="0.3">
      <c r="A1007" s="42"/>
    </row>
    <row r="1008" spans="1:1" x14ac:dyDescent="0.3">
      <c r="A1008" s="42"/>
    </row>
    <row r="1009" spans="1:1" x14ac:dyDescent="0.3">
      <c r="A1009" s="42"/>
    </row>
    <row r="1010" spans="1:1" x14ac:dyDescent="0.3">
      <c r="A1010" s="42"/>
    </row>
    <row r="1011" spans="1:1" x14ac:dyDescent="0.3">
      <c r="A1011" s="42"/>
    </row>
    <row r="1012" spans="1:1" x14ac:dyDescent="0.3">
      <c r="A1012" s="42"/>
    </row>
    <row r="1013" spans="1:1" x14ac:dyDescent="0.3">
      <c r="A1013" s="42"/>
    </row>
    <row r="1014" spans="1:1" x14ac:dyDescent="0.3">
      <c r="A1014" s="42"/>
    </row>
    <row r="1015" spans="1:1" x14ac:dyDescent="0.3">
      <c r="A1015" s="42"/>
    </row>
    <row r="1016" spans="1:1" x14ac:dyDescent="0.3">
      <c r="A1016" s="42"/>
    </row>
    <row r="1017" spans="1:1" x14ac:dyDescent="0.3">
      <c r="A1017" s="42"/>
    </row>
    <row r="1018" spans="1:1" x14ac:dyDescent="0.3">
      <c r="A1018" s="42"/>
    </row>
    <row r="1019" spans="1:1" x14ac:dyDescent="0.3">
      <c r="A1019" s="42"/>
    </row>
    <row r="1020" spans="1:1" x14ac:dyDescent="0.3">
      <c r="A1020" s="42"/>
    </row>
    <row r="1025" spans="1:1" x14ac:dyDescent="0.3">
      <c r="A1025" s="42"/>
    </row>
    <row r="1026" spans="1:1" x14ac:dyDescent="0.3">
      <c r="A1026" s="42"/>
    </row>
    <row r="1029" spans="1:1" x14ac:dyDescent="0.3">
      <c r="A1029" s="42"/>
    </row>
    <row r="1031" spans="1:1" x14ac:dyDescent="0.3">
      <c r="A1031" s="42"/>
    </row>
    <row r="1033" spans="1:1" x14ac:dyDescent="0.3">
      <c r="A1033" s="42"/>
    </row>
    <row r="1035" spans="1:1" x14ac:dyDescent="0.3">
      <c r="A1035" s="42"/>
    </row>
    <row r="1038" spans="1:1" x14ac:dyDescent="0.3">
      <c r="A1038" s="42"/>
    </row>
    <row r="1039" spans="1:1" x14ac:dyDescent="0.3">
      <c r="A1039" s="42"/>
    </row>
    <row r="1040" spans="1:1" x14ac:dyDescent="0.3">
      <c r="A1040" s="42"/>
    </row>
    <row r="1041" spans="1:1" x14ac:dyDescent="0.3">
      <c r="A1041" s="42"/>
    </row>
    <row r="1042" spans="1:1" x14ac:dyDescent="0.3">
      <c r="A1042" s="42"/>
    </row>
    <row r="1043" spans="1:1" x14ac:dyDescent="0.3">
      <c r="A1043" s="42"/>
    </row>
    <row r="1044" spans="1:1" x14ac:dyDescent="0.3">
      <c r="A1044" s="42"/>
    </row>
    <row r="1045" spans="1:1" x14ac:dyDescent="0.3">
      <c r="A1045" s="42"/>
    </row>
  </sheetData>
  <pageMargins left="0.5" right="0.5" top="1" bottom="0" header="0" footer="0"/>
  <pageSetup scale="64" orientation="landscape" r:id="rId1"/>
  <headerFooter alignWithMargins="0"/>
  <rowBreaks count="16" manualBreakCount="16">
    <brk id="124" max="65535" man="1"/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syncVertical="1" syncRef="A1" transitionEvaluation="1" transitionEntry="1" codeName="Sheet24">
    <pageSetUpPr fitToPage="1"/>
  </sheetPr>
  <dimension ref="A1:BX1111"/>
  <sheetViews>
    <sheetView zoomScale="75" workbookViewId="0"/>
  </sheetViews>
  <sheetFormatPr defaultColWidth="9.75" defaultRowHeight="15.6" x14ac:dyDescent="0.3"/>
  <cols>
    <col min="1" max="1" width="4.9140625" style="41" customWidth="1"/>
    <col min="2" max="2" width="0.6640625" style="41" customWidth="1"/>
    <col min="3" max="3" width="7.6640625" style="41" customWidth="1"/>
    <col min="4" max="4" width="43.9140625" style="41" customWidth="1"/>
    <col min="5" max="5" width="0.66406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2.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8.25" style="41" customWidth="1"/>
    <col min="19" max="19" width="6.75" style="41" customWidth="1"/>
    <col min="20" max="20" width="5.4140625" style="41" customWidth="1"/>
    <col min="21" max="21" width="0.58203125" style="41" customWidth="1"/>
    <col min="22" max="22" width="7.6640625" style="41" customWidth="1"/>
    <col min="23" max="23" width="43.6640625" style="41" customWidth="1"/>
    <col min="24" max="24" width="0.5820312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2.33203125" style="41" customWidth="1"/>
    <col min="30" max="30" width="0.9140625" style="41" customWidth="1"/>
    <col min="31" max="31" width="12.9140625" style="41" customWidth="1"/>
    <col min="32" max="32" width="0.75" style="41" customWidth="1"/>
    <col min="33" max="33" width="13.6640625" style="165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165" customWidth="1"/>
    <col min="38" max="38" width="0.582031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165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REHEARING ORDER CALCULATED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157</v>
      </c>
      <c r="AK6" s="206"/>
      <c r="AL6" s="42"/>
    </row>
    <row r="7" spans="1:40" x14ac:dyDescent="0.3">
      <c r="A7" s="41" t="str">
        <f>TYPE</f>
        <v>TYPE OF FILING: _X_ ORIGINAL   ___UPDATED  ___ REVISED</v>
      </c>
      <c r="R7" s="45" t="str">
        <f>"PAGE 10 OF "&amp;TEXT(Page_Num_2.3,"00")</f>
        <v>PAGE 10 OF 24</v>
      </c>
      <c r="AK7" s="206"/>
      <c r="AL7" s="42"/>
    </row>
    <row r="8" spans="1:40" x14ac:dyDescent="0.3">
      <c r="A8" s="42" t="s">
        <v>171</v>
      </c>
      <c r="R8" s="42" t="s">
        <v>3</v>
      </c>
      <c r="AK8" s="206"/>
      <c r="AL8" s="42"/>
    </row>
    <row r="9" spans="1:40" x14ac:dyDescent="0.3">
      <c r="A9" s="132" t="str">
        <f>TIME</f>
        <v>12 Months Projected with Riders</v>
      </c>
      <c r="R9" s="41" t="str">
        <f>WIT</f>
        <v>B. L. Sailers</v>
      </c>
      <c r="AK9" s="206"/>
      <c r="AL9" s="42"/>
    </row>
    <row r="10" spans="1:40" x14ac:dyDescent="0.3">
      <c r="A10" s="132" t="str">
        <f>INPUT!B5</f>
        <v xml:space="preserve"> </v>
      </c>
      <c r="AK10" s="206"/>
      <c r="AL10" s="42"/>
    </row>
    <row r="11" spans="1:40" x14ac:dyDescent="0.3">
      <c r="A11" s="40" t="s">
        <v>130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207"/>
      <c r="AH12" s="135"/>
      <c r="AI12" s="135"/>
      <c r="AJ12" s="135"/>
      <c r="AK12" s="207"/>
      <c r="AL12" s="135"/>
      <c r="AM12" s="135"/>
      <c r="AN12" s="135"/>
    </row>
    <row r="13" spans="1:40" ht="18" customHeight="1" x14ac:dyDescent="0.3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68"/>
      <c r="AH13" s="44"/>
      <c r="AK13" s="168"/>
      <c r="AL13" s="44"/>
      <c r="AM13" s="44"/>
      <c r="AN13" s="44"/>
    </row>
    <row r="14" spans="1:40" x14ac:dyDescent="0.3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68"/>
      <c r="AH14" s="44"/>
      <c r="AK14" s="168"/>
      <c r="AL14" s="44"/>
      <c r="AM14" s="44"/>
      <c r="AN14" s="44"/>
    </row>
    <row r="15" spans="1:4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842</v>
      </c>
      <c r="M15" s="44"/>
      <c r="N15" s="44" t="s">
        <v>842</v>
      </c>
      <c r="O15" s="44"/>
      <c r="P15" s="44" t="s">
        <v>842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68"/>
      <c r="AH15" s="44"/>
      <c r="AI15" s="44"/>
      <c r="AJ15" s="44"/>
      <c r="AK15" s="168"/>
      <c r="AL15" s="44"/>
      <c r="AM15" s="44"/>
      <c r="AN15" s="44"/>
    </row>
    <row r="16" spans="1:40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324</v>
      </c>
      <c r="Q16" s="44"/>
      <c r="R16" s="141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68"/>
      <c r="AH16" s="44"/>
      <c r="AI16" s="44"/>
      <c r="AJ16" s="44"/>
      <c r="AK16" s="168"/>
      <c r="AL16" s="44"/>
      <c r="AM16" s="44"/>
      <c r="AN16" s="44"/>
    </row>
    <row r="17" spans="1:40" x14ac:dyDescent="0.3">
      <c r="C17" s="141" t="s">
        <v>33</v>
      </c>
      <c r="D17" s="141" t="s">
        <v>34</v>
      </c>
      <c r="E17" s="141"/>
      <c r="F17" s="141" t="s">
        <v>35</v>
      </c>
      <c r="G17" s="153"/>
      <c r="H17" s="141" t="s">
        <v>36</v>
      </c>
      <c r="I17" s="141"/>
      <c r="J17" s="141" t="s">
        <v>37</v>
      </c>
      <c r="K17" s="141"/>
      <c r="L17" s="141" t="s">
        <v>38</v>
      </c>
      <c r="M17" s="141"/>
      <c r="N17" s="141" t="s">
        <v>39</v>
      </c>
      <c r="O17" s="141"/>
      <c r="P17" s="141" t="s">
        <v>40</v>
      </c>
      <c r="Q17" s="141"/>
      <c r="R17" s="141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68"/>
      <c r="AH17" s="44"/>
      <c r="AI17" s="44"/>
      <c r="AJ17" s="44"/>
      <c r="AK17" s="168"/>
      <c r="AL17" s="44"/>
      <c r="AM17" s="44"/>
      <c r="AN17" s="44"/>
    </row>
    <row r="18" spans="1:40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207"/>
      <c r="AH18" s="135"/>
      <c r="AI18" s="135"/>
      <c r="AJ18" s="135"/>
      <c r="AK18" s="207"/>
      <c r="AL18" s="135"/>
      <c r="AM18" s="135"/>
      <c r="AN18" s="135"/>
    </row>
    <row r="19" spans="1:40" ht="17.100000000000001" customHeight="1" x14ac:dyDescent="0.3">
      <c r="H19" s="172" t="s">
        <v>49</v>
      </c>
      <c r="I19" s="171"/>
      <c r="J19" s="172" t="s">
        <v>313</v>
      </c>
      <c r="K19" s="171"/>
      <c r="L19" s="171" t="s">
        <v>50</v>
      </c>
      <c r="M19" s="171"/>
      <c r="N19" s="171" t="s">
        <v>51</v>
      </c>
      <c r="O19" s="171"/>
      <c r="P19" s="171" t="s">
        <v>50</v>
      </c>
      <c r="Q19" s="171"/>
      <c r="R19" s="171" t="s">
        <v>50</v>
      </c>
      <c r="Y19" s="44"/>
      <c r="Z19" s="44"/>
      <c r="AA19" s="44"/>
      <c r="AB19" s="44"/>
      <c r="AC19" s="44"/>
      <c r="AD19" s="44"/>
      <c r="AE19" s="44"/>
      <c r="AF19" s="44"/>
      <c r="AG19" s="168"/>
      <c r="AH19" s="44"/>
      <c r="AI19" s="44"/>
      <c r="AJ19" s="44"/>
      <c r="AK19" s="168"/>
      <c r="AL19" s="44"/>
      <c r="AM19" s="44"/>
      <c r="AN19" s="44"/>
    </row>
    <row r="20" spans="1:40" x14ac:dyDescent="0.3">
      <c r="A20" s="41">
        <v>1</v>
      </c>
      <c r="C20" s="132" t="s">
        <v>367</v>
      </c>
      <c r="D20" s="132" t="s">
        <v>365</v>
      </c>
      <c r="E20" s="4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42"/>
      <c r="U20" s="42"/>
    </row>
    <row r="21" spans="1:40" x14ac:dyDescent="0.3">
      <c r="A21" s="41">
        <v>2</v>
      </c>
      <c r="C21" s="153"/>
      <c r="D21" s="132" t="s">
        <v>133</v>
      </c>
      <c r="E21" s="4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 ht="19.5" customHeight="1" x14ac:dyDescent="0.3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 x14ac:dyDescent="0.3">
      <c r="A23" s="41">
        <v>3</v>
      </c>
      <c r="C23" s="132" t="s">
        <v>134</v>
      </c>
      <c r="F23" s="159"/>
      <c r="G23" s="1"/>
      <c r="H23" s="159"/>
      <c r="I23" s="159"/>
      <c r="J23" s="194"/>
      <c r="K23" s="194"/>
      <c r="L23" s="3"/>
      <c r="M23" s="3"/>
      <c r="N23" s="4"/>
      <c r="O23" s="4"/>
      <c r="P23" s="1"/>
      <c r="Q23" s="1"/>
      <c r="R23" s="3"/>
      <c r="S23" s="123"/>
      <c r="T23" s="42"/>
      <c r="V23" s="123"/>
      <c r="Y23" s="123"/>
      <c r="Z23" s="193"/>
      <c r="AA23" s="123"/>
      <c r="AB23" s="123"/>
      <c r="AC23" s="160"/>
      <c r="AD23" s="160"/>
      <c r="AE23" s="123"/>
      <c r="AF23" s="123"/>
      <c r="AH23" s="160"/>
      <c r="AI23" s="123"/>
      <c r="AJ23" s="123"/>
      <c r="AL23" s="123"/>
      <c r="AM23" s="160"/>
      <c r="AN23" s="160"/>
    </row>
    <row r="24" spans="1:40" x14ac:dyDescent="0.3">
      <c r="A24" s="41">
        <v>4</v>
      </c>
      <c r="C24" s="42" t="s">
        <v>312</v>
      </c>
      <c r="F24" s="184">
        <v>12</v>
      </c>
      <c r="G24" s="1"/>
      <c r="H24" s="159"/>
      <c r="I24" s="159"/>
      <c r="J24" s="193">
        <f>INPUT!D154</f>
        <v>183</v>
      </c>
      <c r="K24" s="194"/>
      <c r="L24" s="3">
        <f>ROUND(F24*J24,0)</f>
        <v>2196</v>
      </c>
      <c r="M24" s="3"/>
      <c r="N24" s="253">
        <f>ROUND((L24/$L$39)*100,1)</f>
        <v>2.5</v>
      </c>
      <c r="O24" s="4"/>
      <c r="P24" s="1"/>
      <c r="Q24" s="1"/>
      <c r="R24" s="3">
        <f>L24+P24</f>
        <v>2196</v>
      </c>
      <c r="S24" s="123"/>
      <c r="V24" s="210"/>
      <c r="Y24" s="123"/>
      <c r="Z24" s="184"/>
      <c r="AA24" s="123"/>
      <c r="AB24" s="123"/>
      <c r="AC24" s="160"/>
      <c r="AD24" s="160"/>
      <c r="AE24" s="123"/>
      <c r="AF24" s="123"/>
      <c r="AI24" s="123"/>
      <c r="AJ24" s="123"/>
      <c r="AL24" s="123"/>
    </row>
    <row r="25" spans="1:40" ht="20.100000000000001" customHeight="1" x14ac:dyDescent="0.3">
      <c r="A25" s="41">
        <v>5</v>
      </c>
      <c r="C25" s="132" t="s">
        <v>137</v>
      </c>
      <c r="F25" s="3"/>
      <c r="G25" s="1"/>
      <c r="H25" s="3"/>
      <c r="I25" s="3"/>
      <c r="J25" s="213"/>
      <c r="K25" s="183"/>
      <c r="L25" s="145">
        <f>SUM(L24)</f>
        <v>2196</v>
      </c>
      <c r="M25" s="3"/>
      <c r="N25" s="253">
        <f>ROUND((L25/$L$39)*100,1)</f>
        <v>2.5</v>
      </c>
      <c r="O25" s="4"/>
      <c r="P25" s="145"/>
      <c r="Q25" s="3"/>
      <c r="R25" s="145">
        <f>SUM(R24)</f>
        <v>2196</v>
      </c>
      <c r="S25" s="123"/>
      <c r="T25" s="42"/>
      <c r="V25" s="123"/>
      <c r="Y25" s="123"/>
      <c r="Z25" s="212"/>
      <c r="AA25" s="123"/>
      <c r="AB25" s="123"/>
      <c r="AC25" s="160"/>
      <c r="AD25" s="160"/>
      <c r="AE25" s="123"/>
      <c r="AF25" s="123"/>
      <c r="AH25" s="160"/>
      <c r="AI25" s="123"/>
      <c r="AJ25" s="123"/>
      <c r="AL25" s="123"/>
      <c r="AM25" s="160"/>
      <c r="AN25" s="160"/>
    </row>
    <row r="26" spans="1:40" ht="24" customHeight="1" x14ac:dyDescent="0.3">
      <c r="F26" s="3"/>
      <c r="G26" s="1"/>
      <c r="H26" s="3"/>
      <c r="I26" s="3"/>
      <c r="J26" s="213"/>
      <c r="K26" s="183"/>
      <c r="L26" s="3"/>
      <c r="M26" s="3"/>
      <c r="N26" s="3"/>
      <c r="O26" s="3"/>
      <c r="P26" s="3"/>
      <c r="Q26" s="3"/>
      <c r="R26" s="3"/>
      <c r="S26" s="123"/>
      <c r="V26" s="210"/>
      <c r="Y26" s="210"/>
      <c r="Z26" s="213"/>
      <c r="AA26" s="210"/>
      <c r="AB26" s="210"/>
      <c r="AC26" s="210"/>
      <c r="AD26" s="210"/>
      <c r="AE26" s="210"/>
      <c r="AF26" s="210"/>
      <c r="AI26" s="210"/>
      <c r="AJ26" s="210"/>
      <c r="AK26" s="214"/>
      <c r="AL26" s="210"/>
      <c r="AM26" s="160"/>
      <c r="AN26" s="160"/>
    </row>
    <row r="27" spans="1:40" x14ac:dyDescent="0.3">
      <c r="A27" s="41">
        <v>6</v>
      </c>
      <c r="C27" s="132" t="s">
        <v>67</v>
      </c>
      <c r="F27" s="159"/>
      <c r="G27" s="1"/>
      <c r="H27" s="159"/>
      <c r="I27" s="159"/>
      <c r="J27" s="227"/>
      <c r="K27" s="199"/>
      <c r="L27" s="3"/>
      <c r="M27" s="3"/>
      <c r="N27" s="4"/>
      <c r="O27" s="4"/>
      <c r="P27" s="159"/>
      <c r="Q27" s="159"/>
      <c r="R27" s="3"/>
      <c r="S27" s="123"/>
      <c r="T27" s="42"/>
      <c r="V27" s="123"/>
      <c r="Y27" s="123"/>
      <c r="Z27" s="213"/>
      <c r="AA27" s="123"/>
      <c r="AB27" s="123"/>
      <c r="AC27" s="160"/>
      <c r="AD27" s="160"/>
      <c r="AE27" s="123"/>
      <c r="AF27" s="123"/>
      <c r="AH27" s="160"/>
      <c r="AI27" s="123"/>
      <c r="AJ27" s="123"/>
      <c r="AL27" s="123"/>
      <c r="AM27" s="160"/>
      <c r="AN27" s="160"/>
    </row>
    <row r="28" spans="1:40" x14ac:dyDescent="0.3">
      <c r="A28" s="41">
        <v>7</v>
      </c>
      <c r="C28" s="42" t="s">
        <v>384</v>
      </c>
      <c r="F28" s="159"/>
      <c r="G28" s="1"/>
      <c r="H28" s="184">
        <v>1106948</v>
      </c>
      <c r="I28" s="159"/>
      <c r="J28" s="205">
        <f>INPUT!D156</f>
        <v>3.0051000000000001E-2</v>
      </c>
      <c r="K28" s="199"/>
      <c r="L28" s="3">
        <f>ROUND((H28*J28),0)</f>
        <v>33265</v>
      </c>
      <c r="M28" s="3"/>
      <c r="N28" s="4">
        <f>ROUND((L28/$L$39)*100,1)</f>
        <v>38.6</v>
      </c>
      <c r="O28" s="4"/>
      <c r="P28" s="3"/>
      <c r="Q28" s="159"/>
      <c r="R28" s="3">
        <f>L28+P28</f>
        <v>33265</v>
      </c>
      <c r="S28" s="123"/>
      <c r="T28" s="42"/>
      <c r="Z28" s="213"/>
      <c r="AA28" s="123"/>
      <c r="AB28" s="123"/>
      <c r="AC28" s="160"/>
      <c r="AD28" s="160"/>
      <c r="AE28" s="123"/>
      <c r="AF28" s="123"/>
      <c r="AH28" s="160"/>
      <c r="AI28" s="123"/>
      <c r="AJ28" s="123"/>
      <c r="AL28" s="123"/>
      <c r="AM28" s="160"/>
      <c r="AN28" s="160"/>
    </row>
    <row r="29" spans="1:40" x14ac:dyDescent="0.3">
      <c r="A29" s="41">
        <v>8</v>
      </c>
      <c r="C29" s="42" t="s">
        <v>373</v>
      </c>
      <c r="F29" s="159"/>
      <c r="G29" s="1"/>
      <c r="H29" s="159">
        <f>H28</f>
        <v>1106948</v>
      </c>
      <c r="I29" s="159"/>
      <c r="J29" s="205">
        <f>INPUT!D161</f>
        <v>3.9684999999999998E-2</v>
      </c>
      <c r="K29" s="199"/>
      <c r="L29" s="3">
        <f>ROUND((H29*J29),0)</f>
        <v>43929</v>
      </c>
      <c r="M29" s="3"/>
      <c r="N29" s="253">
        <f>ROUND((L29/$L$39)*100,1)</f>
        <v>50.9</v>
      </c>
      <c r="O29" s="4"/>
      <c r="P29" s="259">
        <v>0</v>
      </c>
      <c r="Q29" s="159"/>
      <c r="R29" s="3">
        <f>L29+P29</f>
        <v>43929</v>
      </c>
      <c r="S29" s="123"/>
      <c r="T29" s="42"/>
      <c r="Z29" s="213"/>
      <c r="AA29" s="123"/>
      <c r="AB29" s="123"/>
      <c r="AC29" s="160"/>
      <c r="AD29" s="160"/>
      <c r="AE29" s="123"/>
      <c r="AF29" s="123"/>
      <c r="AH29" s="160"/>
      <c r="AI29" s="123"/>
      <c r="AJ29" s="123"/>
      <c r="AL29" s="123"/>
      <c r="AM29" s="160"/>
      <c r="AN29" s="160"/>
    </row>
    <row r="30" spans="1:40" ht="20.100000000000001" customHeight="1" x14ac:dyDescent="0.3">
      <c r="A30" s="41">
        <v>9</v>
      </c>
      <c r="C30" s="132" t="s">
        <v>143</v>
      </c>
      <c r="F30" s="49"/>
      <c r="G30" s="1"/>
      <c r="H30" s="145">
        <f>H28</f>
        <v>1106948</v>
      </c>
      <c r="I30" s="3"/>
      <c r="J30" s="216"/>
      <c r="K30" s="7"/>
      <c r="L30" s="145">
        <f>SUM(L28:L29)</f>
        <v>77194</v>
      </c>
      <c r="M30" s="3"/>
      <c r="N30" s="253">
        <f>ROUND((L30/$L$39)*100,1)</f>
        <v>89.5</v>
      </c>
      <c r="O30" s="4"/>
      <c r="P30" s="49">
        <f>P29</f>
        <v>0</v>
      </c>
      <c r="Q30" s="3"/>
      <c r="R30" s="145">
        <f>SUM(R28:R29)</f>
        <v>77194</v>
      </c>
      <c r="S30" s="123"/>
      <c r="T30" s="42"/>
      <c r="AA30" s="123"/>
      <c r="AB30" s="123"/>
      <c r="AC30" s="123"/>
      <c r="AD30" s="123"/>
      <c r="AI30" s="123"/>
      <c r="AJ30" s="123"/>
      <c r="AL30" s="123"/>
    </row>
    <row r="31" spans="1:40" ht="20.100000000000001" customHeight="1" x14ac:dyDescent="0.3">
      <c r="A31" s="41">
        <v>10</v>
      </c>
      <c r="C31" s="178" t="s">
        <v>458</v>
      </c>
      <c r="F31" s="145">
        <f>F24</f>
        <v>12</v>
      </c>
      <c r="G31" s="1"/>
      <c r="H31" s="145">
        <f>H30</f>
        <v>1106948</v>
      </c>
      <c r="I31" s="3"/>
      <c r="J31" s="216"/>
      <c r="K31" s="7"/>
      <c r="L31" s="145">
        <f>L30+L25</f>
        <v>79390</v>
      </c>
      <c r="M31" s="3"/>
      <c r="N31" s="211">
        <f>ROUND((L31/$L$39)*100,1)</f>
        <v>92</v>
      </c>
      <c r="O31" s="4"/>
      <c r="P31" s="145">
        <f>P30+P25</f>
        <v>0</v>
      </c>
      <c r="Q31" s="3"/>
      <c r="R31" s="145">
        <f>R30+R25</f>
        <v>79390</v>
      </c>
      <c r="S31" s="123"/>
      <c r="T31" s="42"/>
      <c r="AA31" s="123"/>
      <c r="AB31" s="123"/>
      <c r="AC31" s="123"/>
      <c r="AD31" s="123"/>
      <c r="AI31" s="123"/>
      <c r="AJ31" s="123"/>
      <c r="AL31" s="123"/>
    </row>
    <row r="32" spans="1:40" ht="15.75" customHeight="1" x14ac:dyDescent="0.3">
      <c r="C32" s="42"/>
      <c r="F32" s="3"/>
      <c r="G32" s="1"/>
      <c r="H32" s="3"/>
      <c r="I32" s="3"/>
      <c r="J32" s="216"/>
      <c r="K32" s="7"/>
      <c r="L32" s="3"/>
      <c r="M32" s="3"/>
      <c r="N32" s="4"/>
      <c r="O32" s="4"/>
      <c r="P32" s="3"/>
      <c r="Q32" s="3"/>
      <c r="R32" s="3"/>
      <c r="S32" s="123"/>
      <c r="T32" s="42"/>
      <c r="AA32" s="123"/>
      <c r="AB32" s="123"/>
      <c r="AC32" s="123"/>
      <c r="AD32" s="123"/>
      <c r="AI32" s="123"/>
      <c r="AJ32" s="123"/>
      <c r="AL32" s="123"/>
    </row>
    <row r="33" spans="1:43" ht="15.75" customHeight="1" x14ac:dyDescent="0.3">
      <c r="A33" s="41">
        <v>11</v>
      </c>
      <c r="C33" s="132" t="s">
        <v>432</v>
      </c>
      <c r="F33" s="3"/>
      <c r="G33" s="1"/>
      <c r="H33" s="3"/>
      <c r="I33" s="3"/>
      <c r="J33" s="216"/>
      <c r="K33" s="7"/>
      <c r="L33" s="3"/>
      <c r="M33" s="3"/>
      <c r="N33" s="4"/>
      <c r="O33" s="4"/>
      <c r="P33" s="3"/>
      <c r="Q33" s="3"/>
      <c r="R33" s="3"/>
      <c r="S33" s="123"/>
      <c r="T33" s="42"/>
      <c r="AA33" s="123"/>
      <c r="AB33" s="123"/>
      <c r="AC33" s="123"/>
      <c r="AD33" s="123"/>
      <c r="AI33" s="123"/>
      <c r="AJ33" s="123"/>
      <c r="AL33" s="123"/>
    </row>
    <row r="34" spans="1:43" ht="15.75" customHeight="1" x14ac:dyDescent="0.3">
      <c r="A34" s="41">
        <v>12</v>
      </c>
      <c r="C34" s="192" t="str">
        <f>DSMR_Name</f>
        <v>DEMAND SIDE MANAGEMENT RIDER (DSMR)</v>
      </c>
      <c r="F34" s="3"/>
      <c r="G34" s="1"/>
      <c r="H34" s="3"/>
      <c r="I34" s="3"/>
      <c r="J34" s="205">
        <f>PRO_DSM_DIST</f>
        <v>3.503E-3</v>
      </c>
      <c r="K34" s="7"/>
      <c r="L34" s="3">
        <f>ROUND(H31*PRO_DSM_DIST,0)</f>
        <v>3878</v>
      </c>
      <c r="M34" s="175">
        <f>ROUND((K34/$L$39)*100,1)</f>
        <v>0</v>
      </c>
      <c r="N34" s="4">
        <f>ROUND((L34/$L$39)*100,1)</f>
        <v>4.5</v>
      </c>
      <c r="O34" s="3"/>
      <c r="P34" s="3"/>
      <c r="Q34" s="3">
        <f>K34+O34</f>
        <v>0</v>
      </c>
      <c r="R34" s="3">
        <f>L34+P34</f>
        <v>3878</v>
      </c>
      <c r="S34" s="123"/>
      <c r="T34" s="42"/>
      <c r="AA34" s="123"/>
      <c r="AB34" s="123"/>
      <c r="AC34" s="123"/>
      <c r="AD34" s="123"/>
      <c r="AI34" s="123"/>
      <c r="AJ34" s="123"/>
      <c r="AL34" s="123"/>
    </row>
    <row r="35" spans="1:43" ht="15.75" customHeight="1" x14ac:dyDescent="0.3">
      <c r="A35" s="41">
        <v>13</v>
      </c>
      <c r="C35" s="192" t="str">
        <f>ESM_Name</f>
        <v>ENVIRONMENTAL SURCHARGE MECHANISM RIDER (ESM)</v>
      </c>
      <c r="F35" s="3"/>
      <c r="G35" s="1"/>
      <c r="H35" s="3"/>
      <c r="I35" s="3"/>
      <c r="J35" s="198">
        <f>PRO_ESM_NONRES</f>
        <v>5.7995821086186533E-3</v>
      </c>
      <c r="K35" s="7"/>
      <c r="L35" s="3">
        <f>ROUND((R31-(PRO_BASE_FUEL*H31)+R34+R36)*J35,0)</f>
        <v>282</v>
      </c>
      <c r="M35" s="3"/>
      <c r="N35" s="175">
        <f>ROUND((L35/$L$39)*100,1)</f>
        <v>0.3</v>
      </c>
      <c r="O35" s="4"/>
      <c r="P35" s="3"/>
      <c r="Q35" s="3"/>
      <c r="R35" s="3">
        <f>L35+P35</f>
        <v>282</v>
      </c>
      <c r="S35" s="123"/>
      <c r="T35" s="42"/>
      <c r="AA35" s="123"/>
      <c r="AB35" s="123"/>
      <c r="AC35" s="123"/>
      <c r="AD35" s="123"/>
      <c r="AI35" s="123"/>
      <c r="AJ35" s="123"/>
      <c r="AL35" s="123"/>
    </row>
    <row r="36" spans="1:43" ht="15.75" customHeight="1" x14ac:dyDescent="0.3">
      <c r="A36" s="41">
        <v>14</v>
      </c>
      <c r="C36" s="192" t="str">
        <f>PSM_Name</f>
        <v>PROFIT SHARING MECHANISM (PSM)</v>
      </c>
      <c r="F36" s="3"/>
      <c r="G36" s="1"/>
      <c r="H36" s="3"/>
      <c r="I36" s="3"/>
      <c r="J36" s="205">
        <f>PRO_PSM</f>
        <v>2.4750000000000002E-3</v>
      </c>
      <c r="K36" s="7"/>
      <c r="L36" s="3">
        <f>ROUND(H31*PRO_PSM,0)</f>
        <v>2740</v>
      </c>
      <c r="M36" s="3"/>
      <c r="N36" s="177">
        <f>ROUND((L36/$L$39)*100,1)</f>
        <v>3.2</v>
      </c>
      <c r="O36" s="4"/>
      <c r="P36" s="49"/>
      <c r="Q36" s="3"/>
      <c r="R36" s="49">
        <f>L36+P36</f>
        <v>2740</v>
      </c>
      <c r="S36" s="123"/>
      <c r="T36" s="42"/>
      <c r="AA36" s="123"/>
      <c r="AB36" s="123"/>
      <c r="AC36" s="123"/>
      <c r="AD36" s="123"/>
      <c r="AI36" s="123"/>
      <c r="AJ36" s="123"/>
      <c r="AL36" s="123"/>
    </row>
    <row r="37" spans="1:43" ht="20.100000000000001" customHeight="1" x14ac:dyDescent="0.3">
      <c r="A37" s="41">
        <v>15</v>
      </c>
      <c r="C37" s="132" t="s">
        <v>437</v>
      </c>
      <c r="F37" s="49"/>
      <c r="G37" s="1"/>
      <c r="H37" s="49"/>
      <c r="I37" s="3"/>
      <c r="J37" s="7"/>
      <c r="K37" s="7"/>
      <c r="L37" s="145">
        <f>SUM(L34:L36)</f>
        <v>6900</v>
      </c>
      <c r="M37" s="3"/>
      <c r="N37" s="180">
        <f>ROUND((L37/$L$39)*100,1)</f>
        <v>8</v>
      </c>
      <c r="O37" s="4"/>
      <c r="P37" s="145">
        <f>SUM(P34:P36)</f>
        <v>0</v>
      </c>
      <c r="Q37" s="3"/>
      <c r="R37" s="145">
        <f>SUM(R34:R36)</f>
        <v>6900</v>
      </c>
      <c r="S37" s="123"/>
      <c r="T37" s="42"/>
      <c r="AA37" s="123"/>
      <c r="AB37" s="123"/>
      <c r="AC37" s="123"/>
      <c r="AD37" s="123"/>
      <c r="AI37" s="123"/>
      <c r="AJ37" s="123"/>
      <c r="AL37" s="123"/>
    </row>
    <row r="38" spans="1:43" ht="15.75" customHeight="1" x14ac:dyDescent="0.3">
      <c r="C38" s="132"/>
      <c r="F38" s="3"/>
      <c r="G38" s="1"/>
      <c r="H38" s="3"/>
      <c r="I38" s="3"/>
      <c r="J38" s="7"/>
      <c r="K38" s="7"/>
      <c r="L38" s="3"/>
      <c r="M38" s="3"/>
      <c r="N38" s="4"/>
      <c r="O38" s="4"/>
      <c r="P38" s="3"/>
      <c r="Q38" s="3"/>
      <c r="R38" s="3"/>
      <c r="S38" s="123"/>
      <c r="T38" s="42"/>
      <c r="AA38" s="123"/>
      <c r="AB38" s="123"/>
      <c r="AC38" s="123"/>
      <c r="AD38" s="123"/>
      <c r="AI38" s="123"/>
      <c r="AJ38" s="123"/>
      <c r="AL38" s="123"/>
    </row>
    <row r="39" spans="1:43" ht="20.100000000000001" customHeight="1" thickBot="1" x14ac:dyDescent="0.35">
      <c r="A39" s="41">
        <v>16</v>
      </c>
      <c r="C39" s="178" t="s">
        <v>459</v>
      </c>
      <c r="F39" s="151">
        <f>F31</f>
        <v>12</v>
      </c>
      <c r="G39" s="1"/>
      <c r="H39" s="151">
        <f>H31</f>
        <v>1106948</v>
      </c>
      <c r="I39" s="3"/>
      <c r="J39" s="7"/>
      <c r="K39" s="7"/>
      <c r="L39" s="151">
        <f>L37+L31</f>
        <v>86290</v>
      </c>
      <c r="M39" s="3"/>
      <c r="N39" s="218">
        <v>100</v>
      </c>
      <c r="O39" s="4"/>
      <c r="P39" s="151">
        <f>P37+P31</f>
        <v>0</v>
      </c>
      <c r="Q39" s="3"/>
      <c r="R39" s="151">
        <f>R37+R31</f>
        <v>86290</v>
      </c>
      <c r="Y39" s="42"/>
    </row>
    <row r="40" spans="1:43" ht="16.2" thickTop="1" x14ac:dyDescent="0.3">
      <c r="F40" s="3"/>
      <c r="G40" s="1"/>
      <c r="H40" s="3"/>
      <c r="I40" s="3"/>
      <c r="J40" s="7"/>
      <c r="K40" s="7"/>
      <c r="L40" s="3"/>
      <c r="M40" s="3"/>
      <c r="N40" s="3"/>
      <c r="O40" s="3"/>
      <c r="P40" s="3"/>
      <c r="Q40" s="3"/>
      <c r="R40" s="3"/>
      <c r="AA40" s="42"/>
      <c r="AB40" s="42"/>
    </row>
    <row r="41" spans="1:43" x14ac:dyDescent="0.3">
      <c r="C41" s="202" t="s">
        <v>59</v>
      </c>
      <c r="F41" s="123"/>
      <c r="H41" s="123"/>
      <c r="I41" s="123"/>
      <c r="J41" s="219"/>
      <c r="K41" s="219"/>
      <c r="L41" s="123"/>
      <c r="M41" s="123"/>
      <c r="N41" s="123"/>
      <c r="O41" s="123"/>
      <c r="P41" s="123"/>
      <c r="Q41" s="123"/>
      <c r="R41" s="123"/>
      <c r="AK41" s="206"/>
      <c r="AL41" s="42"/>
    </row>
    <row r="42" spans="1:43" x14ac:dyDescent="0.3">
      <c r="C42" s="42"/>
      <c r="H42" s="123"/>
      <c r="R42" s="42"/>
    </row>
    <row r="43" spans="1:43" x14ac:dyDescent="0.3">
      <c r="A43" s="42"/>
      <c r="R43" s="42"/>
    </row>
    <row r="44" spans="1:43" x14ac:dyDescent="0.3">
      <c r="L44" s="42"/>
      <c r="M44" s="42"/>
    </row>
    <row r="45" spans="1:43" x14ac:dyDescent="0.3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T45" s="40" t="str">
        <f>NAME</f>
        <v>DUKE ENERGY KENTUCKY, INC.</v>
      </c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166"/>
      <c r="AH45" s="40"/>
      <c r="AI45" s="40"/>
      <c r="AJ45" s="40"/>
      <c r="AK45" s="166"/>
      <c r="AL45" s="40"/>
      <c r="AM45" s="40"/>
      <c r="AN45" s="40"/>
      <c r="AO45" s="40"/>
      <c r="AP45" s="40"/>
      <c r="AQ45" s="166"/>
    </row>
    <row r="46" spans="1:43" x14ac:dyDescent="0.3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T46" s="40" t="str">
        <f>CASE_NO</f>
        <v>CASE NO.   2024-00354</v>
      </c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166"/>
      <c r="AH46" s="40"/>
      <c r="AI46" s="40"/>
      <c r="AJ46" s="40"/>
      <c r="AK46" s="166"/>
      <c r="AL46" s="40"/>
      <c r="AM46" s="40"/>
      <c r="AN46" s="40"/>
      <c r="AO46" s="40"/>
      <c r="AP46" s="40"/>
      <c r="AQ46" s="166"/>
    </row>
    <row r="47" spans="1:43" x14ac:dyDescent="0.3">
      <c r="L47" s="44"/>
      <c r="M47" s="44"/>
      <c r="N47" s="44"/>
      <c r="O47" s="44"/>
      <c r="R47" s="44"/>
      <c r="T47" s="40" t="str">
        <f>TITLE</f>
        <v>ANNUALIZED TEST YEAR REVENUES AT REHEARING ORDER CALCULATED VS. MOST CURRENT RATES</v>
      </c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166"/>
      <c r="AH47" s="40"/>
      <c r="AI47" s="40"/>
      <c r="AJ47" s="40"/>
      <c r="AK47" s="166"/>
      <c r="AL47" s="40"/>
      <c r="AM47" s="40"/>
      <c r="AN47" s="40"/>
      <c r="AO47" s="40"/>
      <c r="AP47" s="40"/>
      <c r="AQ47" s="166"/>
    </row>
    <row r="48" spans="1:43" x14ac:dyDescent="0.3">
      <c r="L48" s="44"/>
      <c r="M48" s="44"/>
      <c r="N48" s="44"/>
      <c r="O48" s="44"/>
      <c r="R48" s="44"/>
      <c r="T48" s="40" t="str">
        <f>DATE</f>
        <v>FOR THE TWELVE MONTHS ENDED June 30, 2026</v>
      </c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166"/>
      <c r="AH48" s="40"/>
      <c r="AI48" s="40"/>
      <c r="AJ48" s="40"/>
      <c r="AK48" s="166"/>
      <c r="AL48" s="40"/>
      <c r="AM48" s="40"/>
      <c r="AN48" s="40"/>
      <c r="AO48" s="40"/>
      <c r="AP48" s="40"/>
      <c r="AQ48" s="166"/>
    </row>
    <row r="49" spans="1:47" x14ac:dyDescent="0.3">
      <c r="A49" s="44"/>
      <c r="C49" s="44"/>
      <c r="D49" s="44"/>
      <c r="E49" s="44"/>
      <c r="F49" s="44"/>
      <c r="J49" s="44"/>
      <c r="K49" s="44"/>
      <c r="L49" s="44"/>
      <c r="M49" s="44"/>
      <c r="N49" s="44"/>
      <c r="O49" s="44"/>
      <c r="P49" s="44"/>
      <c r="Q49" s="44"/>
      <c r="R49" s="44"/>
      <c r="T49" s="40" t="str">
        <f>SERVICE</f>
        <v>(ELECTRIC SERVICE)</v>
      </c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166"/>
      <c r="AH49" s="40"/>
      <c r="AI49" s="40"/>
      <c r="AJ49" s="40"/>
      <c r="AK49" s="166"/>
      <c r="AL49" s="40"/>
      <c r="AM49" s="40"/>
      <c r="AN49" s="40"/>
      <c r="AO49" s="40"/>
      <c r="AP49" s="40"/>
      <c r="AQ49" s="166"/>
    </row>
    <row r="50" spans="1:47" x14ac:dyDescent="0.3">
      <c r="A50" s="44"/>
      <c r="C50" s="44"/>
      <c r="D50" s="44"/>
      <c r="E50" s="44"/>
      <c r="F50" s="44"/>
      <c r="J50" s="44"/>
      <c r="K50" s="44"/>
      <c r="L50" s="44"/>
      <c r="M50" s="44"/>
      <c r="N50" s="44"/>
      <c r="O50" s="44"/>
      <c r="P50" s="44"/>
      <c r="Q50" s="44"/>
      <c r="R50" s="44"/>
      <c r="T50" s="41" t="str">
        <f>DATA_PERIOD</f>
        <v>DATA: ____ BASE PERIOD   __X__FORECASTED PERIOD</v>
      </c>
      <c r="AO50" s="42" t="s">
        <v>158</v>
      </c>
      <c r="AP50" s="42"/>
    </row>
    <row r="51" spans="1:47" x14ac:dyDescent="0.3">
      <c r="A51" s="44"/>
      <c r="C51" s="44"/>
      <c r="D51" s="44"/>
      <c r="E51" s="44"/>
      <c r="F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T51" s="41" t="str">
        <f>TYPE</f>
        <v>TYPE OF FILING: _X_ ORIGINAL   ___UPDATED  ___ REVISED</v>
      </c>
      <c r="AO51" s="45" t="str">
        <f>"PAGE 10 OF "&amp;TEXT(Page_Num_2.2,"00")</f>
        <v>PAGE 10 OF 24</v>
      </c>
      <c r="AP51" s="42"/>
    </row>
    <row r="52" spans="1:47" x14ac:dyDescent="0.3">
      <c r="C52" s="44"/>
      <c r="D52" s="44"/>
      <c r="E52" s="44"/>
      <c r="F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T52" s="42" t="s">
        <v>171</v>
      </c>
      <c r="AO52" s="42" t="s">
        <v>3</v>
      </c>
      <c r="AP52" s="42"/>
    </row>
    <row r="53" spans="1:47" x14ac:dyDescent="0.3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T53" s="132" t="str">
        <f>TIME</f>
        <v>12 Months Projected with Riders</v>
      </c>
      <c r="AO53" s="41" t="str">
        <f>WIT</f>
        <v>B. L. Sailers</v>
      </c>
    </row>
    <row r="54" spans="1:47" x14ac:dyDescent="0.3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T54" s="132" t="str">
        <f>INPUT!B5</f>
        <v xml:space="preserve"> </v>
      </c>
    </row>
    <row r="55" spans="1:47" x14ac:dyDescent="0.3"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T55" s="40" t="s">
        <v>131</v>
      </c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166"/>
      <c r="AH55" s="40"/>
      <c r="AI55" s="40"/>
      <c r="AJ55" s="40"/>
      <c r="AK55" s="166"/>
      <c r="AL55" s="40"/>
      <c r="AM55" s="40"/>
      <c r="AN55" s="40"/>
      <c r="AO55" s="40"/>
      <c r="AP55" s="40"/>
      <c r="AQ55" s="166"/>
    </row>
    <row r="56" spans="1:47" x14ac:dyDescent="0.3">
      <c r="C56" s="42"/>
      <c r="D56" s="42"/>
      <c r="E56" s="42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167"/>
      <c r="AH56" s="43"/>
      <c r="AI56" s="43"/>
      <c r="AJ56" s="43"/>
      <c r="AK56" s="167"/>
      <c r="AL56" s="43"/>
      <c r="AM56" s="43"/>
      <c r="AN56" s="43"/>
      <c r="AO56" s="43"/>
      <c r="AP56" s="43"/>
      <c r="AQ56" s="167"/>
    </row>
    <row r="57" spans="1:47" ht="18" customHeight="1" x14ac:dyDescent="0.3">
      <c r="D57" s="42"/>
      <c r="E57" s="42"/>
      <c r="AE57" s="44" t="s">
        <v>8</v>
      </c>
      <c r="AF57" s="44"/>
      <c r="AG57" s="168" t="s">
        <v>7</v>
      </c>
      <c r="AH57" s="44"/>
      <c r="AI57" s="44" t="s">
        <v>9</v>
      </c>
      <c r="AJ57" s="44"/>
      <c r="AK57" s="168" t="s">
        <v>10</v>
      </c>
      <c r="AL57" s="44"/>
      <c r="AO57" s="44" t="s">
        <v>8</v>
      </c>
      <c r="AP57" s="44"/>
      <c r="AQ57" s="168" t="s">
        <v>11</v>
      </c>
    </row>
    <row r="58" spans="1:47" x14ac:dyDescent="0.3">
      <c r="AC58" s="44" t="s">
        <v>14</v>
      </c>
      <c r="AD58" s="44"/>
      <c r="AE58" s="44" t="s">
        <v>12</v>
      </c>
      <c r="AF58" s="44"/>
      <c r="AG58" s="168" t="s">
        <v>13</v>
      </c>
      <c r="AH58" s="44"/>
      <c r="AI58" s="44" t="s">
        <v>15</v>
      </c>
      <c r="AJ58" s="44"/>
      <c r="AK58" s="168" t="s">
        <v>16</v>
      </c>
      <c r="AL58" s="44"/>
      <c r="AO58" s="44" t="s">
        <v>11</v>
      </c>
      <c r="AP58" s="44"/>
      <c r="AQ58" s="168" t="s">
        <v>9</v>
      </c>
    </row>
    <row r="59" spans="1:47" x14ac:dyDescent="0.3">
      <c r="C59" s="42"/>
      <c r="T59" s="44" t="s">
        <v>17</v>
      </c>
      <c r="V59" s="44" t="s">
        <v>18</v>
      </c>
      <c r="W59" s="44" t="s">
        <v>19</v>
      </c>
      <c r="X59" s="44"/>
      <c r="Y59" s="44" t="s">
        <v>20</v>
      </c>
      <c r="AC59" s="44" t="s">
        <v>8</v>
      </c>
      <c r="AD59" s="44"/>
      <c r="AE59" s="44" t="s">
        <v>842</v>
      </c>
      <c r="AF59" s="44"/>
      <c r="AG59" s="168" t="s">
        <v>842</v>
      </c>
      <c r="AH59" s="44"/>
      <c r="AI59" s="46" t="s">
        <v>965</v>
      </c>
      <c r="AJ59" s="44"/>
      <c r="AK59" s="169" t="s">
        <v>965</v>
      </c>
      <c r="AL59" s="44"/>
      <c r="AM59" s="44" t="s">
        <v>842</v>
      </c>
      <c r="AN59" s="44"/>
      <c r="AO59" s="44" t="s">
        <v>9</v>
      </c>
      <c r="AP59" s="44"/>
      <c r="AQ59" s="168" t="s">
        <v>21</v>
      </c>
    </row>
    <row r="60" spans="1:47" x14ac:dyDescent="0.3">
      <c r="C60" s="42"/>
      <c r="F60" s="184"/>
      <c r="H60" s="184"/>
      <c r="I60" s="184"/>
      <c r="J60" s="193"/>
      <c r="K60" s="193"/>
      <c r="L60" s="123"/>
      <c r="M60" s="123"/>
      <c r="N60" s="160"/>
      <c r="O60" s="160"/>
      <c r="R60" s="123"/>
      <c r="T60" s="44" t="s">
        <v>22</v>
      </c>
      <c r="V60" s="44" t="s">
        <v>23</v>
      </c>
      <c r="W60" s="44" t="s">
        <v>24</v>
      </c>
      <c r="X60" s="44"/>
      <c r="Y60" s="44" t="s">
        <v>25</v>
      </c>
      <c r="AA60" s="44" t="s">
        <v>26</v>
      </c>
      <c r="AB60" s="44"/>
      <c r="AC60" s="44" t="s">
        <v>27</v>
      </c>
      <c r="AD60" s="44"/>
      <c r="AE60" s="44" t="s">
        <v>9</v>
      </c>
      <c r="AF60" s="44"/>
      <c r="AG60" s="168" t="s">
        <v>9</v>
      </c>
      <c r="AH60" s="44"/>
      <c r="AI60" s="141" t="s">
        <v>29</v>
      </c>
      <c r="AJ60" s="141"/>
      <c r="AK60" s="170" t="s">
        <v>30</v>
      </c>
      <c r="AL60" s="44"/>
      <c r="AM60" s="44" t="s">
        <v>368</v>
      </c>
      <c r="AN60" s="44"/>
      <c r="AO60" s="141" t="s">
        <v>31</v>
      </c>
      <c r="AP60" s="141"/>
      <c r="AQ60" s="170" t="s">
        <v>32</v>
      </c>
    </row>
    <row r="61" spans="1:47" x14ac:dyDescent="0.3">
      <c r="C61" s="42"/>
      <c r="F61" s="184"/>
      <c r="H61" s="184"/>
      <c r="I61" s="184"/>
      <c r="J61" s="193"/>
      <c r="K61" s="193"/>
      <c r="L61" s="123"/>
      <c r="M61" s="123"/>
      <c r="N61" s="160"/>
      <c r="O61" s="160"/>
      <c r="R61" s="123"/>
      <c r="V61" s="141" t="s">
        <v>33</v>
      </c>
      <c r="W61" s="141" t="s">
        <v>34</v>
      </c>
      <c r="X61" s="141"/>
      <c r="Y61" s="141" t="s">
        <v>35</v>
      </c>
      <c r="Z61" s="153"/>
      <c r="AA61" s="141" t="s">
        <v>36</v>
      </c>
      <c r="AB61" s="141"/>
      <c r="AC61" s="141" t="s">
        <v>42</v>
      </c>
      <c r="AD61" s="141"/>
      <c r="AE61" s="141" t="s">
        <v>43</v>
      </c>
      <c r="AF61" s="141"/>
      <c r="AG61" s="170" t="s">
        <v>44</v>
      </c>
      <c r="AH61" s="141"/>
      <c r="AI61" s="141" t="s">
        <v>45</v>
      </c>
      <c r="AJ61" s="141"/>
      <c r="AK61" s="170" t="s">
        <v>46</v>
      </c>
      <c r="AL61" s="141"/>
      <c r="AM61" s="141" t="s">
        <v>40</v>
      </c>
      <c r="AN61" s="141"/>
      <c r="AO61" s="141" t="s">
        <v>47</v>
      </c>
      <c r="AP61" s="141"/>
      <c r="AQ61" s="170" t="s">
        <v>48</v>
      </c>
    </row>
    <row r="62" spans="1:47" x14ac:dyDescent="0.3">
      <c r="F62" s="210"/>
      <c r="H62" s="123"/>
      <c r="I62" s="123"/>
      <c r="J62" s="213"/>
      <c r="K62" s="213"/>
      <c r="L62" s="210"/>
      <c r="M62" s="210"/>
      <c r="N62" s="210"/>
      <c r="O62" s="210"/>
      <c r="P62" s="210"/>
      <c r="Q62" s="210"/>
      <c r="R62" s="210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167"/>
      <c r="AH62" s="43"/>
      <c r="AI62" s="43"/>
      <c r="AJ62" s="43"/>
      <c r="AK62" s="167"/>
      <c r="AL62" s="43"/>
      <c r="AM62" s="43"/>
      <c r="AN62" s="43"/>
      <c r="AO62" s="43"/>
      <c r="AP62" s="43"/>
      <c r="AQ62" s="167"/>
    </row>
    <row r="63" spans="1:47" ht="17.100000000000001" customHeight="1" x14ac:dyDescent="0.3">
      <c r="C63" s="42"/>
      <c r="F63" s="123"/>
      <c r="H63" s="123"/>
      <c r="I63" s="123"/>
      <c r="J63" s="213"/>
      <c r="K63" s="213"/>
      <c r="L63" s="123"/>
      <c r="M63" s="123"/>
      <c r="N63" s="160"/>
      <c r="O63" s="160"/>
      <c r="P63" s="123"/>
      <c r="Q63" s="123"/>
      <c r="R63" s="123"/>
      <c r="AA63" s="172" t="s">
        <v>49</v>
      </c>
      <c r="AB63" s="171"/>
      <c r="AC63" s="172" t="s">
        <v>313</v>
      </c>
      <c r="AD63" s="171"/>
      <c r="AE63" s="171" t="s">
        <v>50</v>
      </c>
      <c r="AF63" s="171"/>
      <c r="AG63" s="173" t="s">
        <v>51</v>
      </c>
      <c r="AH63" s="171"/>
      <c r="AI63" s="171" t="s">
        <v>50</v>
      </c>
      <c r="AJ63" s="171"/>
      <c r="AK63" s="173" t="s">
        <v>51</v>
      </c>
      <c r="AL63" s="171"/>
      <c r="AM63" s="171" t="s">
        <v>50</v>
      </c>
      <c r="AN63" s="171"/>
      <c r="AO63" s="171" t="s">
        <v>50</v>
      </c>
      <c r="AP63" s="171"/>
      <c r="AQ63" s="173" t="s">
        <v>51</v>
      </c>
    </row>
    <row r="64" spans="1:47" x14ac:dyDescent="0.3">
      <c r="F64" s="210"/>
      <c r="H64" s="123"/>
      <c r="I64" s="123"/>
      <c r="J64" s="213"/>
      <c r="K64" s="213"/>
      <c r="L64" s="210"/>
      <c r="M64" s="210"/>
      <c r="N64" s="210"/>
      <c r="O64" s="210"/>
      <c r="P64" s="210"/>
      <c r="Q64" s="210"/>
      <c r="R64" s="210"/>
      <c r="T64" s="41">
        <f t="shared" ref="T64:T75" si="0">A20</f>
        <v>1</v>
      </c>
      <c r="V64" s="132" t="s">
        <v>307</v>
      </c>
      <c r="W64" s="132" t="s">
        <v>365</v>
      </c>
      <c r="X64" s="42"/>
      <c r="Y64" s="1"/>
      <c r="Z64" s="1"/>
      <c r="AA64" s="1"/>
      <c r="AB64" s="1"/>
      <c r="AC64" s="1"/>
      <c r="AD64" s="1"/>
      <c r="AE64" s="1"/>
      <c r="AF64" s="1"/>
      <c r="AG64" s="175"/>
      <c r="AH64" s="1"/>
      <c r="AI64" s="1"/>
      <c r="AJ64" s="1"/>
      <c r="AK64" s="175"/>
      <c r="AL64" s="1"/>
      <c r="AM64" s="1"/>
      <c r="AN64" s="1"/>
      <c r="AO64" s="1"/>
      <c r="AP64" s="1"/>
      <c r="AQ64" s="175"/>
      <c r="AU64" s="235"/>
    </row>
    <row r="65" spans="1:76" x14ac:dyDescent="0.3">
      <c r="F65" s="123"/>
      <c r="H65" s="123"/>
      <c r="I65" s="123"/>
      <c r="J65" s="213"/>
      <c r="K65" s="213"/>
      <c r="L65" s="123"/>
      <c r="M65" s="123"/>
      <c r="N65" s="160"/>
      <c r="O65" s="160"/>
      <c r="P65" s="123"/>
      <c r="Q65" s="123"/>
      <c r="R65" s="123"/>
      <c r="T65" s="41">
        <f t="shared" si="0"/>
        <v>2</v>
      </c>
      <c r="V65" s="153"/>
      <c r="W65" s="132" t="s">
        <v>133</v>
      </c>
      <c r="X65" s="42"/>
      <c r="Y65" s="1"/>
      <c r="Z65" s="1"/>
      <c r="AA65" s="1"/>
      <c r="AB65" s="1"/>
      <c r="AC65" s="1"/>
      <c r="AD65" s="1"/>
      <c r="AE65" s="1"/>
      <c r="AF65" s="1"/>
      <c r="AG65" s="175"/>
      <c r="AH65" s="1"/>
      <c r="AI65" s="1"/>
      <c r="AJ65" s="1"/>
      <c r="AK65" s="175"/>
      <c r="AL65" s="1"/>
      <c r="AM65" s="1"/>
      <c r="AN65" s="1"/>
      <c r="AO65" s="1"/>
      <c r="AP65" s="1"/>
      <c r="AQ65" s="175"/>
      <c r="AU65" s="160"/>
      <c r="BX65" s="222"/>
    </row>
    <row r="66" spans="1:76" ht="21.75" customHeight="1" x14ac:dyDescent="0.3">
      <c r="C66" s="42"/>
      <c r="F66" s="184"/>
      <c r="H66" s="184"/>
      <c r="I66" s="184"/>
      <c r="J66" s="193"/>
      <c r="K66" s="193"/>
      <c r="L66" s="123"/>
      <c r="M66" s="123"/>
      <c r="N66" s="160"/>
      <c r="O66" s="160"/>
      <c r="P66" s="123"/>
      <c r="Q66" s="123"/>
      <c r="R66" s="123"/>
      <c r="Y66" s="1"/>
      <c r="Z66" s="1"/>
      <c r="AA66" s="1"/>
      <c r="AB66" s="1"/>
      <c r="AC66" s="1"/>
      <c r="AD66" s="1"/>
      <c r="AE66" s="1"/>
      <c r="AF66" s="1"/>
      <c r="AG66" s="175"/>
      <c r="AH66" s="1"/>
      <c r="AI66" s="1"/>
      <c r="AJ66" s="1"/>
      <c r="AK66" s="175"/>
      <c r="AL66" s="1"/>
      <c r="AM66" s="1"/>
      <c r="AN66" s="1"/>
      <c r="AO66" s="1"/>
      <c r="AP66" s="1"/>
      <c r="AQ66" s="175"/>
      <c r="AU66" s="160"/>
    </row>
    <row r="67" spans="1:76" x14ac:dyDescent="0.3">
      <c r="F67" s="123"/>
      <c r="H67" s="210"/>
      <c r="I67" s="210"/>
      <c r="J67" s="213"/>
      <c r="K67" s="213"/>
      <c r="L67" s="210"/>
      <c r="M67" s="210"/>
      <c r="N67" s="210"/>
      <c r="O67" s="210"/>
      <c r="P67" s="210"/>
      <c r="Q67" s="210"/>
      <c r="R67" s="210"/>
      <c r="T67" s="41">
        <f t="shared" si="0"/>
        <v>3</v>
      </c>
      <c r="V67" s="132" t="s">
        <v>134</v>
      </c>
      <c r="Y67" s="3"/>
      <c r="Z67" s="1"/>
      <c r="AA67" s="159"/>
      <c r="AB67" s="159"/>
      <c r="AC67" s="194"/>
      <c r="AD67" s="194"/>
      <c r="AE67" s="3"/>
      <c r="AF67" s="3"/>
      <c r="AG67" s="175"/>
      <c r="AH67" s="4"/>
      <c r="AI67" s="3"/>
      <c r="AJ67" s="3"/>
      <c r="AK67" s="225"/>
      <c r="AL67" s="226"/>
      <c r="AM67" s="1"/>
      <c r="AN67" s="1"/>
      <c r="AO67" s="3"/>
      <c r="AP67" s="3"/>
      <c r="AQ67" s="225"/>
      <c r="AS67" s="123"/>
      <c r="AT67" s="123"/>
      <c r="AU67" s="160"/>
    </row>
    <row r="68" spans="1:76" x14ac:dyDescent="0.3">
      <c r="C68" s="42"/>
      <c r="F68" s="123"/>
      <c r="H68" s="123"/>
      <c r="I68" s="123"/>
      <c r="J68" s="219"/>
      <c r="K68" s="219"/>
      <c r="L68" s="123"/>
      <c r="M68" s="123"/>
      <c r="N68" s="160"/>
      <c r="O68" s="160"/>
      <c r="P68" s="123"/>
      <c r="Q68" s="123"/>
      <c r="R68" s="123"/>
      <c r="T68" s="41">
        <f t="shared" si="0"/>
        <v>4</v>
      </c>
      <c r="V68" s="42" t="s">
        <v>312</v>
      </c>
      <c r="Y68" s="3">
        <f>F24</f>
        <v>12</v>
      </c>
      <c r="Z68" s="1"/>
      <c r="AA68" s="159"/>
      <c r="AB68" s="159"/>
      <c r="AC68" s="193">
        <f>INPUT!C154</f>
        <v>183</v>
      </c>
      <c r="AD68" s="194"/>
      <c r="AE68" s="3">
        <f>ROUND(Y68*AC68,0)</f>
        <v>2196</v>
      </c>
      <c r="AF68" s="3"/>
      <c r="AG68" s="177">
        <f>ROUND((AE68/$AE$83)*100,1)</f>
        <v>2.9</v>
      </c>
      <c r="AH68" s="4"/>
      <c r="AI68" s="3">
        <f>L24-AE68</f>
        <v>0</v>
      </c>
      <c r="AJ68" s="3"/>
      <c r="AK68" s="177">
        <f>ROUND((AI68/AE68)*100,1)</f>
        <v>0</v>
      </c>
      <c r="AL68" s="6"/>
      <c r="AM68" s="3"/>
      <c r="AN68" s="1"/>
      <c r="AO68" s="3">
        <f>AE68+AM68</f>
        <v>2196</v>
      </c>
      <c r="AP68" s="3"/>
      <c r="AQ68" s="175">
        <f>ROUND((AI68/AO68)*100,1)</f>
        <v>0</v>
      </c>
      <c r="AS68" s="123"/>
      <c r="AT68" s="123"/>
      <c r="AU68" s="235"/>
    </row>
    <row r="69" spans="1:76" ht="20.100000000000001" customHeight="1" x14ac:dyDescent="0.3">
      <c r="C69" s="42"/>
      <c r="F69" s="184"/>
      <c r="H69" s="184"/>
      <c r="I69" s="184"/>
      <c r="J69" s="227"/>
      <c r="K69" s="227"/>
      <c r="L69" s="123"/>
      <c r="M69" s="123"/>
      <c r="N69" s="160"/>
      <c r="O69" s="160"/>
      <c r="P69" s="184"/>
      <c r="Q69" s="184"/>
      <c r="R69" s="123"/>
      <c r="T69" s="41">
        <f t="shared" si="0"/>
        <v>5</v>
      </c>
      <c r="V69" s="132" t="s">
        <v>137</v>
      </c>
      <c r="Y69" s="3"/>
      <c r="Z69" s="1"/>
      <c r="AA69" s="3"/>
      <c r="AB69" s="3"/>
      <c r="AC69" s="219"/>
      <c r="AD69" s="7"/>
      <c r="AE69" s="145">
        <f>SUM(AE68)</f>
        <v>2196</v>
      </c>
      <c r="AF69" s="3"/>
      <c r="AG69" s="177">
        <f>ROUND((AE69/$AE$83)*100,1)</f>
        <v>2.9</v>
      </c>
      <c r="AH69" s="4"/>
      <c r="AI69" s="145">
        <f>SUM(AI68)</f>
        <v>0</v>
      </c>
      <c r="AJ69" s="3"/>
      <c r="AK69" s="180">
        <f>ROUND((AI69/AE69)*100,1)</f>
        <v>0</v>
      </c>
      <c r="AL69" s="6"/>
      <c r="AM69" s="145"/>
      <c r="AN69" s="3"/>
      <c r="AO69" s="145">
        <f>SUM(AO68)</f>
        <v>2196</v>
      </c>
      <c r="AP69" s="3"/>
      <c r="AQ69" s="175">
        <f>ROUND((AI69/AO69)*100,1)</f>
        <v>0</v>
      </c>
      <c r="AR69" s="123"/>
      <c r="AS69" s="123"/>
      <c r="AT69" s="123"/>
      <c r="AU69" s="160"/>
    </row>
    <row r="70" spans="1:76" ht="18.75" customHeight="1" x14ac:dyDescent="0.3">
      <c r="C70" s="42"/>
      <c r="F70" s="123"/>
      <c r="H70" s="123"/>
      <c r="I70" s="123"/>
      <c r="J70" s="219"/>
      <c r="K70" s="219"/>
      <c r="L70" s="123"/>
      <c r="M70" s="123"/>
      <c r="N70" s="160"/>
      <c r="O70" s="160"/>
      <c r="P70" s="123"/>
      <c r="Q70" s="123"/>
      <c r="R70" s="123"/>
      <c r="Y70" s="3"/>
      <c r="Z70" s="1"/>
      <c r="AA70" s="3"/>
      <c r="AB70" s="3"/>
      <c r="AC70" s="213"/>
      <c r="AD70" s="183"/>
      <c r="AE70" s="3"/>
      <c r="AF70" s="3"/>
      <c r="AG70" s="175"/>
      <c r="AH70" s="3"/>
      <c r="AI70" s="3"/>
      <c r="AJ70" s="3"/>
      <c r="AK70" s="175"/>
      <c r="AL70" s="6"/>
      <c r="AM70" s="3"/>
      <c r="AN70" s="3"/>
      <c r="AO70" s="3"/>
      <c r="AP70" s="3"/>
      <c r="AQ70" s="175"/>
      <c r="AR70" s="123"/>
      <c r="AS70" s="123"/>
      <c r="AT70" s="123"/>
      <c r="AU70" s="160"/>
    </row>
    <row r="71" spans="1:76" x14ac:dyDescent="0.3">
      <c r="A71" s="42"/>
      <c r="F71" s="123"/>
      <c r="H71" s="123"/>
      <c r="I71" s="123"/>
      <c r="J71" s="219"/>
      <c r="K71" s="219"/>
      <c r="L71" s="123"/>
      <c r="M71" s="123"/>
      <c r="N71" s="123"/>
      <c r="O71" s="123"/>
      <c r="P71" s="123"/>
      <c r="Q71" s="123"/>
      <c r="R71" s="123"/>
      <c r="T71" s="41">
        <f t="shared" si="0"/>
        <v>6</v>
      </c>
      <c r="V71" s="132" t="s">
        <v>67</v>
      </c>
      <c r="Y71" s="159"/>
      <c r="Z71" s="1"/>
      <c r="AA71" s="159"/>
      <c r="AB71" s="159"/>
      <c r="AC71" s="237"/>
      <c r="AD71" s="248"/>
      <c r="AE71" s="3"/>
      <c r="AF71" s="3"/>
      <c r="AG71" s="175"/>
      <c r="AH71" s="4"/>
      <c r="AI71" s="3"/>
      <c r="AJ71" s="3"/>
      <c r="AK71" s="175"/>
      <c r="AL71" s="6"/>
      <c r="AM71" s="159"/>
      <c r="AN71" s="159"/>
      <c r="AO71" s="3"/>
      <c r="AP71" s="3"/>
      <c r="AQ71" s="175"/>
      <c r="AR71" s="184"/>
      <c r="AS71" s="123"/>
      <c r="AT71" s="123"/>
      <c r="AU71" s="160"/>
    </row>
    <row r="72" spans="1:76" x14ac:dyDescent="0.3">
      <c r="T72" s="41">
        <f t="shared" si="0"/>
        <v>7</v>
      </c>
      <c r="V72" s="42" t="s">
        <v>384</v>
      </c>
      <c r="Y72" s="159"/>
      <c r="Z72" s="1"/>
      <c r="AA72" s="3">
        <f>H28</f>
        <v>1106948</v>
      </c>
      <c r="AB72" s="3"/>
      <c r="AC72" s="205">
        <f>INPUT!C156</f>
        <v>2.0034E-2</v>
      </c>
      <c r="AD72" s="204"/>
      <c r="AE72" s="3">
        <f>ROUND((AA72*AC72),0)</f>
        <v>22177</v>
      </c>
      <c r="AF72" s="3"/>
      <c r="AG72" s="175">
        <f>ROUND((AE72/$AE$83)*100,1)</f>
        <v>29.6</v>
      </c>
      <c r="AH72" s="4"/>
      <c r="AI72" s="3">
        <f>L28-AE72</f>
        <v>11088</v>
      </c>
      <c r="AJ72" s="3"/>
      <c r="AK72" s="175">
        <f>ROUND((AI72/AE72)*100,1)</f>
        <v>50</v>
      </c>
      <c r="AL72" s="6"/>
      <c r="AM72" s="159"/>
      <c r="AN72" s="159"/>
      <c r="AO72" s="3">
        <f>AE72+AM72</f>
        <v>22177</v>
      </c>
      <c r="AP72" s="3"/>
      <c r="AQ72" s="175">
        <f>ROUND((AI72/AO72)*100,1)</f>
        <v>50</v>
      </c>
      <c r="AR72" s="184"/>
      <c r="AS72" s="123"/>
      <c r="AT72" s="123"/>
      <c r="AU72" s="160"/>
    </row>
    <row r="73" spans="1:76" x14ac:dyDescent="0.3">
      <c r="L73" s="123"/>
      <c r="M73" s="123"/>
      <c r="N73" s="123"/>
      <c r="O73" s="123"/>
      <c r="P73" s="123"/>
      <c r="Q73" s="123"/>
      <c r="R73" s="123"/>
      <c r="T73" s="41">
        <f t="shared" si="0"/>
        <v>8</v>
      </c>
      <c r="V73" s="42" t="s">
        <v>373</v>
      </c>
      <c r="Y73" s="159"/>
      <c r="Z73" s="1"/>
      <c r="AA73" s="3">
        <f>H29</f>
        <v>1106948</v>
      </c>
      <c r="AB73" s="3"/>
      <c r="AC73" s="205">
        <f>INPUT!C161</f>
        <v>3.9684999999999998E-2</v>
      </c>
      <c r="AD73" s="204"/>
      <c r="AE73" s="3">
        <f>ROUND((AA73*AC73),0)</f>
        <v>43929</v>
      </c>
      <c r="AF73" s="3"/>
      <c r="AG73" s="177">
        <f>ROUND((AE73/$AE$83)*100,1)</f>
        <v>58.6</v>
      </c>
      <c r="AH73" s="4"/>
      <c r="AI73" s="3">
        <f>L29-AE73</f>
        <v>0</v>
      </c>
      <c r="AJ73" s="3"/>
      <c r="AK73" s="177">
        <f>ROUND((AI73/AE73)*100,1)</f>
        <v>0</v>
      </c>
      <c r="AL73" s="6"/>
      <c r="AM73" s="259">
        <v>0</v>
      </c>
      <c r="AN73" s="159"/>
      <c r="AO73" s="3">
        <f>AE73+AM73</f>
        <v>43929</v>
      </c>
      <c r="AP73" s="3"/>
      <c r="AQ73" s="175">
        <f>ROUND((AI73/AO73)*100,1)</f>
        <v>0</v>
      </c>
      <c r="AR73" s="184"/>
      <c r="AS73" s="123"/>
      <c r="AT73" s="123"/>
      <c r="AU73" s="160"/>
    </row>
    <row r="74" spans="1:76" ht="20.100000000000001" customHeight="1" x14ac:dyDescent="0.3">
      <c r="T74" s="41">
        <f t="shared" si="0"/>
        <v>9</v>
      </c>
      <c r="V74" s="132" t="s">
        <v>143</v>
      </c>
      <c r="Y74" s="49"/>
      <c r="Z74" s="1"/>
      <c r="AA74" s="145">
        <f>H30</f>
        <v>1106948</v>
      </c>
      <c r="AB74" s="3"/>
      <c r="AC74" s="216"/>
      <c r="AD74" s="7"/>
      <c r="AE74" s="145">
        <f>SUM(AE72:AE73)</f>
        <v>66106</v>
      </c>
      <c r="AF74" s="3"/>
      <c r="AG74" s="177">
        <f>ROUND((AE74/$AE$83)*100,1)</f>
        <v>88.2</v>
      </c>
      <c r="AH74" s="4"/>
      <c r="AI74" s="145">
        <f>SUM(AI72:AI73)</f>
        <v>11088</v>
      </c>
      <c r="AJ74" s="3"/>
      <c r="AK74" s="180">
        <f>ROUND((AI74/AE74)*100,1)</f>
        <v>16.8</v>
      </c>
      <c r="AL74" s="6"/>
      <c r="AM74" s="145">
        <f>AM73</f>
        <v>0</v>
      </c>
      <c r="AN74" s="3"/>
      <c r="AO74" s="145">
        <f>SUM(AO72:AO73)</f>
        <v>66106</v>
      </c>
      <c r="AP74" s="3"/>
      <c r="AQ74" s="175">
        <f>ROUND((AI74/AO74)*100,1)</f>
        <v>16.8</v>
      </c>
      <c r="AR74" s="123"/>
      <c r="AS74" s="123"/>
      <c r="AT74" s="123"/>
    </row>
    <row r="75" spans="1:76" ht="20.100000000000001" customHeight="1" x14ac:dyDescent="0.3">
      <c r="T75" s="41">
        <f t="shared" si="0"/>
        <v>10</v>
      </c>
      <c r="V75" s="178" t="s">
        <v>458</v>
      </c>
      <c r="Y75" s="145">
        <f>Y68</f>
        <v>12</v>
      </c>
      <c r="Z75" s="1"/>
      <c r="AA75" s="145">
        <f>AA74</f>
        <v>1106948</v>
      </c>
      <c r="AB75" s="3"/>
      <c r="AC75" s="216"/>
      <c r="AD75" s="7"/>
      <c r="AE75" s="145">
        <f>AE74+AE69</f>
        <v>68302</v>
      </c>
      <c r="AF75" s="3"/>
      <c r="AG75" s="177">
        <f>ROUND((AE75/$AE$83)*100,1)</f>
        <v>91.1</v>
      </c>
      <c r="AH75" s="4"/>
      <c r="AI75" s="145">
        <f>AI74+AI69</f>
        <v>11088</v>
      </c>
      <c r="AJ75" s="3"/>
      <c r="AK75" s="180">
        <f>ROUND((AI75/AE75)*100,1)</f>
        <v>16.2</v>
      </c>
      <c r="AL75" s="6"/>
      <c r="AM75" s="145">
        <f>AM74+AM69</f>
        <v>0</v>
      </c>
      <c r="AN75" s="3"/>
      <c r="AO75" s="145">
        <f>AO74+AO69</f>
        <v>68302</v>
      </c>
      <c r="AP75" s="3"/>
      <c r="AQ75" s="175">
        <f>ROUND((AI75/AO75)*100,1)</f>
        <v>16.2</v>
      </c>
      <c r="AR75" s="123"/>
      <c r="AS75" s="123"/>
      <c r="AT75" s="123"/>
    </row>
    <row r="76" spans="1:76" ht="15.75" customHeight="1" x14ac:dyDescent="0.3">
      <c r="V76" s="42"/>
      <c r="Y76" s="3"/>
      <c r="Z76" s="1"/>
      <c r="AA76" s="3"/>
      <c r="AB76" s="3"/>
      <c r="AC76" s="216"/>
      <c r="AD76" s="7"/>
      <c r="AE76" s="3"/>
      <c r="AF76" s="3"/>
      <c r="AG76" s="175"/>
      <c r="AH76" s="4"/>
      <c r="AI76" s="3"/>
      <c r="AJ76" s="3"/>
      <c r="AK76" s="175"/>
      <c r="AL76" s="6"/>
      <c r="AM76" s="3"/>
      <c r="AN76" s="3"/>
      <c r="AO76" s="3"/>
      <c r="AP76" s="3"/>
      <c r="AQ76" s="175"/>
      <c r="AR76" s="123"/>
      <c r="AS76" s="123"/>
      <c r="AT76" s="123"/>
    </row>
    <row r="77" spans="1:76" ht="15.75" customHeight="1" x14ac:dyDescent="0.3">
      <c r="T77" s="41">
        <f>A33</f>
        <v>11</v>
      </c>
      <c r="V77" s="132" t="s">
        <v>432</v>
      </c>
      <c r="Y77" s="3"/>
      <c r="Z77" s="1"/>
      <c r="AA77" s="3"/>
      <c r="AB77" s="3"/>
      <c r="AC77" s="216"/>
      <c r="AD77" s="7"/>
      <c r="AE77" s="3"/>
      <c r="AF77" s="3"/>
      <c r="AG77" s="175"/>
      <c r="AH77" s="4"/>
      <c r="AI77" s="3"/>
      <c r="AJ77" s="3"/>
      <c r="AK77" s="175"/>
      <c r="AL77" s="6"/>
      <c r="AM77" s="3"/>
      <c r="AN77" s="3"/>
      <c r="AO77" s="3"/>
      <c r="AP77" s="3"/>
      <c r="AQ77" s="175"/>
      <c r="AR77" s="123"/>
      <c r="AS77" s="123"/>
      <c r="AT77" s="123"/>
    </row>
    <row r="78" spans="1:76" ht="15.75" customHeight="1" x14ac:dyDescent="0.3">
      <c r="T78" s="41">
        <f>A34</f>
        <v>12</v>
      </c>
      <c r="V78" s="192" t="str">
        <f>C34</f>
        <v>DEMAND SIDE MANAGEMENT RIDER (DSMR)</v>
      </c>
      <c r="Y78" s="3"/>
      <c r="Z78" s="1"/>
      <c r="AA78" s="3"/>
      <c r="AB78" s="3"/>
      <c r="AC78" s="217">
        <f>DSM_DIST</f>
        <v>3.503E-3</v>
      </c>
      <c r="AD78" s="183"/>
      <c r="AE78" s="3">
        <f>ROUND(AA75*DSM_DIST,0)</f>
        <v>3878</v>
      </c>
      <c r="AF78" s="3"/>
      <c r="AG78" s="175">
        <f>ROUND((AE78/$AE$83)*100,1)</f>
        <v>5.2</v>
      </c>
      <c r="AH78" s="4"/>
      <c r="AI78" s="3">
        <f>L34-AE78</f>
        <v>0</v>
      </c>
      <c r="AJ78" s="3"/>
      <c r="AK78" s="175">
        <f>ROUND((AI78/AE78)*100,1)</f>
        <v>0</v>
      </c>
      <c r="AL78" s="6"/>
      <c r="AM78" s="3"/>
      <c r="AN78" s="3"/>
      <c r="AO78" s="3">
        <f>AE78+AM78</f>
        <v>3878</v>
      </c>
      <c r="AP78" s="3"/>
      <c r="AQ78" s="175">
        <f>ROUND((AI78/AO78)*100,1)</f>
        <v>0</v>
      </c>
      <c r="AR78" s="123"/>
      <c r="AS78" s="123"/>
      <c r="AT78" s="123"/>
    </row>
    <row r="79" spans="1:76" ht="15.75" customHeight="1" x14ac:dyDescent="0.3">
      <c r="T79" s="41">
        <f>A35</f>
        <v>13</v>
      </c>
      <c r="V79" s="192" t="str">
        <f>C35</f>
        <v>ENVIRONMENTAL SURCHARGE MECHANISM RIDER (ESM)</v>
      </c>
      <c r="Y79" s="3"/>
      <c r="Z79" s="1"/>
      <c r="AA79" s="3"/>
      <c r="AB79" s="3"/>
      <c r="AC79" s="231">
        <f>CUR_ESM_NonRes</f>
        <v>6.4941608437496566E-3</v>
      </c>
      <c r="AD79" s="183"/>
      <c r="AE79" s="3">
        <f>ROUND(AO69*AC79,0)</f>
        <v>14</v>
      </c>
      <c r="AF79" s="3"/>
      <c r="AG79" s="175">
        <f>ROUND((AE79/$AE$83)*100,1)</f>
        <v>0</v>
      </c>
      <c r="AH79" s="4"/>
      <c r="AI79" s="3">
        <f>L35-AE79</f>
        <v>268</v>
      </c>
      <c r="AJ79" s="3"/>
      <c r="AK79" s="175">
        <f>IF(AE79=0,0,ROUND((AI79/AE79)*100,1))</f>
        <v>1914.3</v>
      </c>
      <c r="AL79" s="6"/>
      <c r="AM79" s="3"/>
      <c r="AN79" s="3"/>
      <c r="AO79" s="3">
        <f>AE79+AM79</f>
        <v>14</v>
      </c>
      <c r="AP79" s="3"/>
      <c r="AQ79" s="175">
        <f>IF(AO79=0,0,ROUND((AI79/AO79)*100,1))</f>
        <v>1914.3</v>
      </c>
      <c r="AR79" s="123"/>
      <c r="AS79" s="123"/>
      <c r="AT79" s="123"/>
    </row>
    <row r="80" spans="1:76" ht="15.75" customHeight="1" x14ac:dyDescent="0.3">
      <c r="T80" s="41">
        <f>A36</f>
        <v>14</v>
      </c>
      <c r="V80" s="192" t="str">
        <f>C36</f>
        <v>PROFIT SHARING MECHANISM (PSM)</v>
      </c>
      <c r="Y80" s="3"/>
      <c r="Z80" s="1"/>
      <c r="AA80" s="3"/>
      <c r="AB80" s="3"/>
      <c r="AC80" s="217">
        <f>RS_PSM</f>
        <v>2.4750000000000002E-3</v>
      </c>
      <c r="AD80" s="183"/>
      <c r="AE80" s="49">
        <f>ROUND(AA75*RS_PSM,0)</f>
        <v>2740</v>
      </c>
      <c r="AF80" s="3"/>
      <c r="AG80" s="177">
        <f>ROUND((AE80/$AE$83)*100,1)</f>
        <v>3.7</v>
      </c>
      <c r="AH80" s="4"/>
      <c r="AI80" s="49">
        <f>L36-AE80</f>
        <v>0</v>
      </c>
      <c r="AJ80" s="3"/>
      <c r="AK80" s="177">
        <f>ROUND((AI80/AE80)*100,1)</f>
        <v>0</v>
      </c>
      <c r="AL80" s="6"/>
      <c r="AM80" s="49"/>
      <c r="AN80" s="3"/>
      <c r="AO80" s="49">
        <f>AE80+AM80</f>
        <v>2740</v>
      </c>
      <c r="AP80" s="3"/>
      <c r="AQ80" s="175">
        <f>ROUND((AI80/AO80)*100,1)</f>
        <v>0</v>
      </c>
      <c r="AR80" s="123"/>
      <c r="AS80" s="123"/>
      <c r="AT80" s="123"/>
    </row>
    <row r="81" spans="1:46" ht="20.100000000000001" customHeight="1" x14ac:dyDescent="0.3">
      <c r="T81" s="41">
        <f>A37</f>
        <v>15</v>
      </c>
      <c r="V81" s="132" t="s">
        <v>437</v>
      </c>
      <c r="Y81" s="49"/>
      <c r="Z81" s="1"/>
      <c r="AA81" s="49"/>
      <c r="AB81" s="3"/>
      <c r="AC81" s="7"/>
      <c r="AD81" s="7"/>
      <c r="AE81" s="145">
        <f>SUM(AE78:AE80)</f>
        <v>6632</v>
      </c>
      <c r="AF81" s="3"/>
      <c r="AG81" s="180">
        <f>ROUND((AE81/$AE$83)*100,1)</f>
        <v>8.9</v>
      </c>
      <c r="AH81" s="4"/>
      <c r="AI81" s="145">
        <f>SUM(AI78:AI80)</f>
        <v>268</v>
      </c>
      <c r="AJ81" s="3"/>
      <c r="AK81" s="180">
        <f>ROUND((AI81/AE81)*100,1)</f>
        <v>4</v>
      </c>
      <c r="AL81" s="6"/>
      <c r="AM81" s="145">
        <f>SUM(AM78:AM80)</f>
        <v>0</v>
      </c>
      <c r="AN81" s="3"/>
      <c r="AO81" s="145">
        <f>SUM(AO78:AO80)</f>
        <v>6632</v>
      </c>
      <c r="AP81" s="3"/>
      <c r="AQ81" s="175">
        <f>ROUND((AI81/AO81)*100,1)</f>
        <v>4</v>
      </c>
      <c r="AR81" s="123"/>
      <c r="AS81" s="123"/>
      <c r="AT81" s="123"/>
    </row>
    <row r="82" spans="1:46" ht="15.75" customHeight="1" x14ac:dyDescent="0.3">
      <c r="V82" s="132"/>
      <c r="Y82" s="3"/>
      <c r="Z82" s="1"/>
      <c r="AA82" s="3"/>
      <c r="AB82" s="3"/>
      <c r="AC82" s="7"/>
      <c r="AD82" s="7"/>
      <c r="AE82" s="3"/>
      <c r="AF82" s="3"/>
      <c r="AG82" s="175"/>
      <c r="AH82" s="4"/>
      <c r="AI82" s="3"/>
      <c r="AJ82" s="3"/>
      <c r="AK82" s="175"/>
      <c r="AL82" s="6"/>
      <c r="AM82" s="3"/>
      <c r="AN82" s="3"/>
      <c r="AO82" s="3"/>
      <c r="AP82" s="3"/>
      <c r="AQ82" s="175"/>
      <c r="AR82" s="123"/>
      <c r="AS82" s="123"/>
      <c r="AT82" s="123"/>
    </row>
    <row r="83" spans="1:46" ht="20.100000000000001" customHeight="1" thickBot="1" x14ac:dyDescent="0.35">
      <c r="T83" s="41">
        <f>A39</f>
        <v>16</v>
      </c>
      <c r="V83" s="178" t="s">
        <v>460</v>
      </c>
      <c r="Y83" s="151">
        <f>F39</f>
        <v>12</v>
      </c>
      <c r="Z83" s="1"/>
      <c r="AA83" s="151">
        <f>H39</f>
        <v>1106948</v>
      </c>
      <c r="AB83" s="3"/>
      <c r="AC83" s="7"/>
      <c r="AD83" s="7"/>
      <c r="AE83" s="151">
        <f>AE81+AE75</f>
        <v>74934</v>
      </c>
      <c r="AF83" s="3"/>
      <c r="AG83" s="187">
        <v>100</v>
      </c>
      <c r="AH83" s="4"/>
      <c r="AI83" s="151">
        <f>AI81+AI75</f>
        <v>11356</v>
      </c>
      <c r="AJ83" s="3"/>
      <c r="AK83" s="187">
        <f>ROUND((AI83/AE83)*100,1)</f>
        <v>15.2</v>
      </c>
      <c r="AL83" s="6"/>
      <c r="AM83" s="151">
        <f>AM81+AM75</f>
        <v>0</v>
      </c>
      <c r="AN83" s="3"/>
      <c r="AO83" s="151">
        <f>AO81+AO75</f>
        <v>74934</v>
      </c>
      <c r="AP83" s="3"/>
      <c r="AQ83" s="175">
        <f>ROUND((AI83/AO83)*100,1)</f>
        <v>15.2</v>
      </c>
      <c r="AR83" s="123"/>
      <c r="AS83" s="123"/>
      <c r="AT83" s="123"/>
    </row>
    <row r="84" spans="1:46" ht="16.2" thickTop="1" x14ac:dyDescent="0.3">
      <c r="L84" s="42"/>
      <c r="M84" s="42"/>
      <c r="Y84" s="3"/>
      <c r="Z84" s="1"/>
      <c r="AA84" s="3"/>
      <c r="AB84" s="3"/>
      <c r="AC84" s="7"/>
      <c r="AD84" s="7"/>
      <c r="AE84" s="3"/>
      <c r="AF84" s="3"/>
      <c r="AG84" s="175"/>
      <c r="AH84" s="3"/>
      <c r="AI84" s="1"/>
      <c r="AJ84" s="1"/>
      <c r="AK84" s="175"/>
      <c r="AL84" s="1"/>
      <c r="AM84" s="1"/>
      <c r="AN84" s="1"/>
      <c r="AO84" s="1"/>
      <c r="AP84" s="1"/>
      <c r="AQ84" s="175"/>
    </row>
    <row r="85" spans="1:46" x14ac:dyDescent="0.3">
      <c r="R85" s="42"/>
      <c r="V85" s="202" t="s">
        <v>59</v>
      </c>
      <c r="Y85" s="123"/>
      <c r="AA85" s="123"/>
      <c r="AB85" s="123"/>
      <c r="AC85" s="219"/>
      <c r="AD85" s="219"/>
      <c r="AE85" s="123"/>
      <c r="AF85" s="123"/>
      <c r="AH85" s="123"/>
    </row>
    <row r="86" spans="1:46" x14ac:dyDescent="0.3">
      <c r="R86" s="42"/>
      <c r="V86" s="42"/>
    </row>
    <row r="87" spans="1:46" x14ac:dyDescent="0.3">
      <c r="A87" s="42"/>
      <c r="R87" s="42"/>
      <c r="AA87" s="42"/>
      <c r="AB87" s="42"/>
    </row>
    <row r="88" spans="1:46" x14ac:dyDescent="0.3">
      <c r="L88" s="42"/>
      <c r="M88" s="42"/>
      <c r="AK88" s="206"/>
      <c r="AL88" s="42"/>
    </row>
    <row r="89" spans="1:46" x14ac:dyDescent="0.3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AK89" s="206"/>
      <c r="AL89" s="42"/>
    </row>
    <row r="90" spans="1:46" x14ac:dyDescent="0.3">
      <c r="L90" s="44"/>
      <c r="M90" s="44"/>
      <c r="N90" s="44"/>
      <c r="O90" s="44"/>
      <c r="R90" s="44"/>
      <c r="AK90" s="206"/>
      <c r="AL90" s="42"/>
    </row>
    <row r="91" spans="1:46" x14ac:dyDescent="0.3">
      <c r="L91" s="44"/>
      <c r="M91" s="44"/>
      <c r="N91" s="44"/>
      <c r="O91" s="44"/>
      <c r="R91" s="44"/>
      <c r="AA91" s="42"/>
      <c r="AB91" s="42"/>
    </row>
    <row r="92" spans="1:46" x14ac:dyDescent="0.3">
      <c r="A92" s="44"/>
      <c r="C92" s="44"/>
      <c r="D92" s="44"/>
      <c r="E92" s="44"/>
      <c r="F92" s="44"/>
      <c r="J92" s="44"/>
      <c r="K92" s="44"/>
      <c r="L92" s="44"/>
      <c r="M92" s="44"/>
      <c r="N92" s="44"/>
      <c r="O92" s="44"/>
      <c r="P92" s="44"/>
      <c r="Q92" s="44"/>
      <c r="R92" s="44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207"/>
      <c r="AH92" s="135"/>
      <c r="AI92" s="135"/>
      <c r="AJ92" s="135"/>
      <c r="AK92" s="207"/>
      <c r="AL92" s="135"/>
      <c r="AM92" s="135"/>
      <c r="AN92" s="135"/>
    </row>
    <row r="93" spans="1:46" x14ac:dyDescent="0.3">
      <c r="A93" s="44"/>
      <c r="C93" s="44"/>
      <c r="D93" s="44"/>
      <c r="E93" s="44"/>
      <c r="F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AA93" s="44"/>
      <c r="AB93" s="44"/>
      <c r="AC93" s="44"/>
      <c r="AD93" s="44"/>
      <c r="AE93" s="44"/>
      <c r="AF93" s="44"/>
      <c r="AG93" s="168"/>
      <c r="AH93" s="44"/>
      <c r="AK93" s="168"/>
      <c r="AL93" s="44"/>
      <c r="AM93" s="44"/>
      <c r="AN93" s="44"/>
    </row>
    <row r="94" spans="1:46" x14ac:dyDescent="0.3">
      <c r="C94" s="44"/>
      <c r="D94" s="44"/>
      <c r="E94" s="44"/>
      <c r="F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Z94" s="44"/>
      <c r="AA94" s="44"/>
      <c r="AB94" s="44"/>
      <c r="AC94" s="44"/>
      <c r="AD94" s="44"/>
      <c r="AE94" s="44"/>
      <c r="AF94" s="44"/>
      <c r="AG94" s="168"/>
      <c r="AH94" s="44"/>
      <c r="AK94" s="168"/>
      <c r="AL94" s="44"/>
      <c r="AM94" s="44"/>
      <c r="AN94" s="44"/>
    </row>
    <row r="95" spans="1:46" x14ac:dyDescent="0.3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T95" s="44"/>
      <c r="U95" s="44"/>
      <c r="V95" s="44"/>
      <c r="Z95" s="44"/>
      <c r="AA95" s="44"/>
      <c r="AB95" s="44"/>
      <c r="AC95" s="44"/>
      <c r="AD95" s="44"/>
      <c r="AE95" s="44"/>
      <c r="AF95" s="44"/>
      <c r="AG95" s="168"/>
      <c r="AH95" s="44"/>
      <c r="AI95" s="44"/>
      <c r="AJ95" s="44"/>
      <c r="AK95" s="168"/>
      <c r="AL95" s="44"/>
      <c r="AM95" s="44"/>
      <c r="AN95" s="44"/>
    </row>
    <row r="96" spans="1:46" x14ac:dyDescent="0.3"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T96" s="44"/>
      <c r="U96" s="44"/>
      <c r="V96" s="44"/>
      <c r="Y96" s="44"/>
      <c r="Z96" s="44"/>
      <c r="AA96" s="44"/>
      <c r="AB96" s="44"/>
      <c r="AC96" s="44"/>
      <c r="AD96" s="44"/>
      <c r="AE96" s="44"/>
      <c r="AF96" s="44"/>
      <c r="AG96" s="168"/>
      <c r="AH96" s="44"/>
      <c r="AI96" s="44"/>
      <c r="AJ96" s="44"/>
      <c r="AK96" s="168"/>
      <c r="AL96" s="44"/>
      <c r="AM96" s="44"/>
      <c r="AN96" s="44"/>
    </row>
    <row r="97" spans="3:40" x14ac:dyDescent="0.3">
      <c r="C97" s="42"/>
      <c r="D97" s="42"/>
      <c r="E97" s="42"/>
      <c r="T97" s="44"/>
      <c r="U97" s="44"/>
      <c r="V97" s="44"/>
      <c r="Y97" s="44"/>
      <c r="Z97" s="44"/>
      <c r="AA97" s="44"/>
      <c r="AB97" s="44"/>
      <c r="AC97" s="44"/>
      <c r="AD97" s="44"/>
      <c r="AE97" s="44"/>
      <c r="AF97" s="44"/>
      <c r="AG97" s="168"/>
      <c r="AH97" s="44"/>
      <c r="AI97" s="44"/>
      <c r="AJ97" s="44"/>
      <c r="AK97" s="168"/>
      <c r="AL97" s="44"/>
      <c r="AM97" s="44"/>
      <c r="AN97" s="44"/>
    </row>
    <row r="98" spans="3:40" x14ac:dyDescent="0.3">
      <c r="C98" s="42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207"/>
      <c r="AH98" s="135"/>
      <c r="AI98" s="135"/>
      <c r="AJ98" s="135"/>
      <c r="AK98" s="207"/>
      <c r="AL98" s="135"/>
      <c r="AM98" s="135"/>
      <c r="AN98" s="135"/>
    </row>
    <row r="99" spans="3:40" x14ac:dyDescent="0.3">
      <c r="Y99" s="44"/>
      <c r="Z99" s="44"/>
      <c r="AA99" s="44"/>
      <c r="AB99" s="44"/>
      <c r="AC99" s="44"/>
      <c r="AD99" s="44"/>
      <c r="AE99" s="44"/>
      <c r="AF99" s="44"/>
      <c r="AG99" s="168"/>
      <c r="AH99" s="44"/>
      <c r="AI99" s="44"/>
      <c r="AJ99" s="44"/>
      <c r="AK99" s="168"/>
      <c r="AL99" s="44"/>
      <c r="AM99" s="44"/>
      <c r="AN99" s="44"/>
    </row>
    <row r="100" spans="3:40" x14ac:dyDescent="0.3">
      <c r="C100" s="42"/>
      <c r="T100" s="42"/>
      <c r="U100" s="42"/>
    </row>
    <row r="101" spans="3:40" x14ac:dyDescent="0.3">
      <c r="C101" s="42"/>
      <c r="F101" s="184"/>
      <c r="H101" s="184"/>
      <c r="I101" s="184"/>
      <c r="J101" s="193"/>
      <c r="K101" s="193"/>
      <c r="L101" s="123"/>
      <c r="M101" s="123"/>
      <c r="N101" s="160"/>
      <c r="O101" s="160"/>
      <c r="R101" s="123"/>
      <c r="T101" s="42"/>
    </row>
    <row r="102" spans="3:40" x14ac:dyDescent="0.3">
      <c r="C102" s="42"/>
      <c r="F102" s="184"/>
      <c r="H102" s="184"/>
      <c r="I102" s="184"/>
      <c r="J102" s="193"/>
      <c r="K102" s="193"/>
      <c r="L102" s="123"/>
      <c r="M102" s="123"/>
      <c r="N102" s="160"/>
      <c r="O102" s="160"/>
      <c r="R102" s="123"/>
    </row>
    <row r="103" spans="3:40" x14ac:dyDescent="0.3">
      <c r="C103" s="42"/>
      <c r="F103" s="184"/>
      <c r="H103" s="184"/>
      <c r="I103" s="184"/>
      <c r="J103" s="193"/>
      <c r="K103" s="193"/>
      <c r="L103" s="123"/>
      <c r="M103" s="123"/>
      <c r="N103" s="160"/>
      <c r="O103" s="160"/>
      <c r="R103" s="123"/>
      <c r="T103" s="42"/>
    </row>
    <row r="104" spans="3:40" x14ac:dyDescent="0.3">
      <c r="F104" s="210"/>
      <c r="H104" s="123"/>
      <c r="I104" s="123"/>
      <c r="J104" s="213"/>
      <c r="K104" s="213"/>
      <c r="L104" s="210"/>
      <c r="M104" s="210"/>
      <c r="N104" s="210"/>
      <c r="O104" s="210"/>
      <c r="P104" s="210"/>
      <c r="Q104" s="210"/>
      <c r="R104" s="210"/>
      <c r="T104" s="42"/>
      <c r="V104" s="123"/>
      <c r="Y104" s="184"/>
      <c r="Z104" s="193"/>
      <c r="AA104" s="123"/>
      <c r="AB104" s="123"/>
      <c r="AC104" s="160"/>
      <c r="AD104" s="160"/>
      <c r="AE104" s="123"/>
      <c r="AF104" s="123"/>
      <c r="AG104" s="233"/>
      <c r="AH104" s="234"/>
      <c r="AL104" s="123"/>
      <c r="AM104" s="235"/>
      <c r="AN104" s="235"/>
    </row>
    <row r="105" spans="3:40" x14ac:dyDescent="0.3">
      <c r="C105" s="42"/>
      <c r="F105" s="123"/>
      <c r="H105" s="123"/>
      <c r="I105" s="123"/>
      <c r="J105" s="213"/>
      <c r="K105" s="213"/>
      <c r="L105" s="123"/>
      <c r="M105" s="123"/>
      <c r="N105" s="160"/>
      <c r="O105" s="160"/>
      <c r="P105" s="123"/>
      <c r="Q105" s="123"/>
      <c r="R105" s="123"/>
      <c r="T105" s="42"/>
      <c r="V105" s="123"/>
      <c r="Y105" s="184"/>
      <c r="Z105" s="193"/>
      <c r="AA105" s="123"/>
      <c r="AB105" s="123"/>
      <c r="AC105" s="160"/>
      <c r="AD105" s="160"/>
      <c r="AE105" s="123"/>
      <c r="AF105" s="123"/>
      <c r="AH105" s="236"/>
      <c r="AL105" s="123"/>
      <c r="AM105" s="160"/>
      <c r="AN105" s="160"/>
    </row>
    <row r="106" spans="3:40" x14ac:dyDescent="0.3">
      <c r="F106" s="210"/>
      <c r="H106" s="123"/>
      <c r="I106" s="123"/>
      <c r="J106" s="213"/>
      <c r="K106" s="213"/>
      <c r="L106" s="210"/>
      <c r="M106" s="210"/>
      <c r="N106" s="210"/>
      <c r="O106" s="210"/>
      <c r="P106" s="210"/>
      <c r="Q106" s="210"/>
      <c r="R106" s="210"/>
      <c r="T106" s="42"/>
      <c r="V106" s="123"/>
      <c r="Y106" s="184"/>
      <c r="Z106" s="193"/>
      <c r="AA106" s="123"/>
      <c r="AB106" s="123"/>
      <c r="AC106" s="160"/>
      <c r="AD106" s="160"/>
      <c r="AE106" s="123"/>
      <c r="AF106" s="123"/>
      <c r="AH106" s="236"/>
      <c r="AL106" s="123"/>
      <c r="AM106" s="160"/>
      <c r="AN106" s="160"/>
    </row>
    <row r="107" spans="3:40" x14ac:dyDescent="0.3">
      <c r="C107" s="42"/>
      <c r="F107" s="184"/>
      <c r="H107" s="184"/>
      <c r="I107" s="184"/>
      <c r="J107" s="237"/>
      <c r="K107" s="237"/>
      <c r="L107" s="123"/>
      <c r="M107" s="123"/>
      <c r="N107" s="160"/>
      <c r="O107" s="160"/>
      <c r="P107" s="123"/>
      <c r="Q107" s="123"/>
      <c r="R107" s="123"/>
      <c r="S107" s="123"/>
      <c r="V107" s="210"/>
      <c r="Y107" s="123"/>
      <c r="Z107" s="213"/>
      <c r="AA107" s="210"/>
      <c r="AB107" s="210"/>
      <c r="AC107" s="210"/>
      <c r="AD107" s="210"/>
      <c r="AE107" s="210"/>
      <c r="AF107" s="210"/>
      <c r="AI107" s="210"/>
      <c r="AJ107" s="210"/>
      <c r="AK107" s="214"/>
      <c r="AL107" s="210"/>
      <c r="AM107" s="160"/>
      <c r="AN107" s="160"/>
    </row>
    <row r="108" spans="3:40" x14ac:dyDescent="0.3">
      <c r="C108" s="42"/>
      <c r="F108" s="184"/>
      <c r="H108" s="184"/>
      <c r="I108" s="184"/>
      <c r="J108" s="193"/>
      <c r="K108" s="193"/>
      <c r="L108" s="123"/>
      <c r="M108" s="123"/>
      <c r="N108" s="160"/>
      <c r="O108" s="160"/>
      <c r="P108" s="123"/>
      <c r="Q108" s="123"/>
      <c r="R108" s="123"/>
      <c r="T108" s="42"/>
      <c r="V108" s="123"/>
      <c r="Y108" s="123"/>
      <c r="Z108" s="219"/>
      <c r="AA108" s="123"/>
      <c r="AB108" s="123"/>
      <c r="AC108" s="160"/>
      <c r="AD108" s="160"/>
      <c r="AE108" s="123"/>
      <c r="AF108" s="123"/>
      <c r="AH108" s="236"/>
      <c r="AI108" s="123"/>
      <c r="AJ108" s="123"/>
      <c r="AL108" s="123"/>
      <c r="AM108" s="160"/>
      <c r="AN108" s="160"/>
    </row>
    <row r="109" spans="3:40" x14ac:dyDescent="0.3">
      <c r="C109" s="42"/>
      <c r="F109" s="184"/>
      <c r="H109" s="184"/>
      <c r="I109" s="184"/>
      <c r="J109" s="193"/>
      <c r="K109" s="193"/>
      <c r="L109" s="123"/>
      <c r="M109" s="123"/>
      <c r="N109" s="160"/>
      <c r="O109" s="160"/>
      <c r="P109" s="123"/>
      <c r="Q109" s="123"/>
      <c r="R109" s="123"/>
      <c r="V109" s="210"/>
      <c r="Y109" s="123"/>
      <c r="Z109" s="213"/>
      <c r="AA109" s="210"/>
      <c r="AB109" s="210"/>
      <c r="AC109" s="210"/>
      <c r="AD109" s="210"/>
      <c r="AE109" s="210"/>
      <c r="AF109" s="210"/>
      <c r="AI109" s="210"/>
      <c r="AJ109" s="210"/>
      <c r="AK109" s="214"/>
      <c r="AL109" s="210"/>
      <c r="AM109" s="160"/>
      <c r="AN109" s="160"/>
    </row>
    <row r="110" spans="3:40" x14ac:dyDescent="0.3">
      <c r="F110" s="123"/>
      <c r="H110" s="210"/>
      <c r="I110" s="210"/>
      <c r="J110" s="213"/>
      <c r="K110" s="213"/>
      <c r="L110" s="210"/>
      <c r="M110" s="210"/>
      <c r="N110" s="210"/>
      <c r="O110" s="210"/>
      <c r="P110" s="210"/>
      <c r="Q110" s="210"/>
      <c r="R110" s="210"/>
      <c r="T110" s="42"/>
      <c r="V110" s="184"/>
      <c r="Y110" s="184"/>
      <c r="Z110" s="237"/>
      <c r="AA110" s="123"/>
      <c r="AB110" s="123"/>
      <c r="AC110" s="160"/>
      <c r="AD110" s="160"/>
      <c r="AE110" s="123"/>
      <c r="AF110" s="123"/>
      <c r="AH110" s="160"/>
      <c r="AI110" s="123"/>
      <c r="AJ110" s="123"/>
      <c r="AL110" s="123"/>
      <c r="AM110" s="160"/>
      <c r="AN110" s="160"/>
    </row>
    <row r="111" spans="3:40" x14ac:dyDescent="0.3">
      <c r="C111" s="42"/>
      <c r="F111" s="123"/>
      <c r="H111" s="123"/>
      <c r="I111" s="123"/>
      <c r="J111" s="213"/>
      <c r="K111" s="213"/>
      <c r="L111" s="123"/>
      <c r="M111" s="123"/>
      <c r="N111" s="160"/>
      <c r="O111" s="160"/>
      <c r="P111" s="123"/>
      <c r="Q111" s="123"/>
      <c r="R111" s="123"/>
      <c r="T111" s="42"/>
      <c r="V111" s="184"/>
      <c r="Y111" s="123"/>
      <c r="Z111" s="193"/>
      <c r="AA111" s="123"/>
      <c r="AB111" s="123"/>
      <c r="AC111" s="160"/>
      <c r="AD111" s="160"/>
      <c r="AE111" s="123"/>
      <c r="AF111" s="123"/>
      <c r="AH111" s="236"/>
      <c r="AI111" s="123"/>
      <c r="AJ111" s="123"/>
      <c r="AL111" s="123"/>
      <c r="AM111" s="160"/>
      <c r="AN111" s="160"/>
    </row>
    <row r="112" spans="3:40" x14ac:dyDescent="0.3">
      <c r="F112" s="123"/>
      <c r="H112" s="210"/>
      <c r="I112" s="210"/>
      <c r="J112" s="213"/>
      <c r="K112" s="213"/>
      <c r="L112" s="210"/>
      <c r="M112" s="210"/>
      <c r="N112" s="210"/>
      <c r="O112" s="210"/>
      <c r="P112" s="210"/>
      <c r="Q112" s="210"/>
      <c r="R112" s="210"/>
      <c r="T112" s="42"/>
      <c r="V112" s="184"/>
      <c r="Y112" s="123"/>
      <c r="Z112" s="193"/>
      <c r="AA112" s="123"/>
      <c r="AB112" s="123"/>
      <c r="AC112" s="160"/>
      <c r="AD112" s="160"/>
      <c r="AE112" s="123"/>
      <c r="AF112" s="123"/>
      <c r="AH112" s="236"/>
      <c r="AI112" s="123"/>
      <c r="AJ112" s="123"/>
      <c r="AL112" s="123"/>
      <c r="AM112" s="160"/>
      <c r="AN112" s="160"/>
    </row>
    <row r="113" spans="3:40" x14ac:dyDescent="0.3">
      <c r="C113" s="42"/>
      <c r="F113" s="123"/>
      <c r="H113" s="123"/>
      <c r="I113" s="123"/>
      <c r="J113" s="213"/>
      <c r="K113" s="213"/>
      <c r="L113" s="123"/>
      <c r="M113" s="123"/>
      <c r="N113" s="123"/>
      <c r="O113" s="123"/>
      <c r="P113" s="123"/>
      <c r="Q113" s="123"/>
      <c r="R113" s="123"/>
      <c r="V113" s="123"/>
      <c r="Y113" s="210"/>
      <c r="Z113" s="213"/>
      <c r="AA113" s="210"/>
      <c r="AB113" s="210"/>
      <c r="AC113" s="210"/>
      <c r="AD113" s="210"/>
      <c r="AE113" s="210"/>
      <c r="AF113" s="210"/>
      <c r="AI113" s="210"/>
      <c r="AJ113" s="210"/>
      <c r="AK113" s="214"/>
      <c r="AL113" s="210"/>
      <c r="AM113" s="160"/>
      <c r="AN113" s="160"/>
    </row>
    <row r="114" spans="3:40" x14ac:dyDescent="0.3">
      <c r="C114" s="42"/>
      <c r="F114" s="123"/>
      <c r="H114" s="184"/>
      <c r="I114" s="184"/>
      <c r="J114" s="238"/>
      <c r="K114" s="238"/>
      <c r="L114" s="123"/>
      <c r="M114" s="123"/>
      <c r="N114" s="160"/>
      <c r="O114" s="160"/>
      <c r="P114" s="123"/>
      <c r="Q114" s="123"/>
      <c r="R114" s="123"/>
      <c r="T114" s="42"/>
      <c r="V114" s="123"/>
      <c r="Y114" s="123"/>
      <c r="Z114" s="213"/>
      <c r="AA114" s="123"/>
      <c r="AB114" s="123"/>
      <c r="AC114" s="160"/>
      <c r="AD114" s="160"/>
      <c r="AE114" s="123"/>
      <c r="AF114" s="123"/>
      <c r="AH114" s="236"/>
      <c r="AI114" s="123"/>
      <c r="AJ114" s="123"/>
      <c r="AL114" s="123"/>
      <c r="AM114" s="160"/>
      <c r="AN114" s="160"/>
    </row>
    <row r="115" spans="3:40" x14ac:dyDescent="0.3">
      <c r="C115" s="42"/>
      <c r="H115" s="184"/>
      <c r="I115" s="184"/>
      <c r="J115" s="238"/>
      <c r="K115" s="238"/>
      <c r="L115" s="123"/>
      <c r="M115" s="123"/>
      <c r="N115" s="160"/>
      <c r="O115" s="160"/>
      <c r="P115" s="123"/>
      <c r="Q115" s="123"/>
      <c r="R115" s="123"/>
      <c r="V115" s="123"/>
      <c r="Y115" s="210"/>
      <c r="Z115" s="213"/>
      <c r="AA115" s="210"/>
      <c r="AB115" s="210"/>
      <c r="AC115" s="210"/>
      <c r="AD115" s="210"/>
      <c r="AE115" s="210"/>
      <c r="AF115" s="210"/>
      <c r="AI115" s="210"/>
      <c r="AJ115" s="210"/>
      <c r="AK115" s="214"/>
      <c r="AL115" s="210"/>
      <c r="AM115" s="160"/>
      <c r="AN115" s="160"/>
    </row>
    <row r="116" spans="3:40" x14ac:dyDescent="0.3">
      <c r="F116" s="123"/>
      <c r="H116" s="123"/>
      <c r="I116" s="123"/>
      <c r="J116" s="213"/>
      <c r="K116" s="213"/>
      <c r="L116" s="210"/>
      <c r="M116" s="210"/>
      <c r="N116" s="210"/>
      <c r="O116" s="210"/>
      <c r="P116" s="210"/>
      <c r="Q116" s="210"/>
      <c r="R116" s="210"/>
      <c r="T116" s="42"/>
      <c r="V116" s="123"/>
      <c r="Y116" s="123"/>
      <c r="Z116" s="213"/>
      <c r="AA116" s="123"/>
      <c r="AB116" s="123"/>
      <c r="AC116" s="123"/>
      <c r="AD116" s="123"/>
      <c r="AE116" s="123"/>
      <c r="AF116" s="123"/>
      <c r="AH116" s="236"/>
      <c r="AI116" s="123"/>
      <c r="AJ116" s="123"/>
      <c r="AL116" s="123"/>
      <c r="AM116" s="160"/>
      <c r="AN116" s="160"/>
    </row>
    <row r="117" spans="3:40" x14ac:dyDescent="0.3">
      <c r="C117" s="42"/>
      <c r="F117" s="123"/>
      <c r="H117" s="123"/>
      <c r="I117" s="123"/>
      <c r="J117" s="219"/>
      <c r="K117" s="219"/>
      <c r="L117" s="123"/>
      <c r="M117" s="123"/>
      <c r="N117" s="160"/>
      <c r="O117" s="160"/>
      <c r="P117" s="123"/>
      <c r="Q117" s="123"/>
      <c r="R117" s="123"/>
      <c r="T117" s="42"/>
      <c r="V117" s="123"/>
      <c r="Y117" s="123"/>
      <c r="Z117" s="238"/>
      <c r="AA117" s="123"/>
      <c r="AB117" s="123"/>
      <c r="AC117" s="160"/>
      <c r="AD117" s="160"/>
      <c r="AE117" s="123"/>
      <c r="AF117" s="123"/>
      <c r="AH117" s="236"/>
      <c r="AI117" s="123"/>
      <c r="AJ117" s="123"/>
      <c r="AL117" s="123"/>
      <c r="AM117" s="160"/>
      <c r="AN117" s="160"/>
    </row>
    <row r="118" spans="3:40" x14ac:dyDescent="0.3">
      <c r="F118" s="123"/>
      <c r="H118" s="123"/>
      <c r="I118" s="123"/>
      <c r="J118" s="213"/>
      <c r="K118" s="213"/>
      <c r="L118" s="210"/>
      <c r="M118" s="210"/>
      <c r="N118" s="210"/>
      <c r="O118" s="210"/>
      <c r="P118" s="210"/>
      <c r="Q118" s="210"/>
      <c r="R118" s="210"/>
      <c r="T118" s="42"/>
      <c r="Y118" s="123"/>
      <c r="Z118" s="238"/>
      <c r="AA118" s="123"/>
      <c r="AB118" s="123"/>
      <c r="AC118" s="160"/>
      <c r="AD118" s="160"/>
      <c r="AE118" s="123"/>
      <c r="AF118" s="123"/>
      <c r="AH118" s="236"/>
      <c r="AI118" s="123"/>
      <c r="AJ118" s="123"/>
      <c r="AL118" s="123"/>
      <c r="AM118" s="160"/>
      <c r="AN118" s="160"/>
    </row>
    <row r="119" spans="3:40" x14ac:dyDescent="0.3">
      <c r="C119" s="42"/>
      <c r="F119" s="123"/>
      <c r="H119" s="123"/>
      <c r="I119" s="123"/>
      <c r="J119" s="219"/>
      <c r="K119" s="219"/>
      <c r="L119" s="123"/>
      <c r="M119" s="123"/>
      <c r="N119" s="160"/>
      <c r="O119" s="160"/>
      <c r="P119" s="123"/>
      <c r="Q119" s="123"/>
      <c r="R119" s="123"/>
      <c r="V119" s="123"/>
      <c r="Y119" s="123"/>
      <c r="Z119" s="213"/>
      <c r="AA119" s="210"/>
      <c r="AB119" s="210"/>
      <c r="AC119" s="210"/>
      <c r="AD119" s="210"/>
      <c r="AE119" s="210"/>
      <c r="AF119" s="210"/>
      <c r="AI119" s="210"/>
      <c r="AJ119" s="210"/>
      <c r="AK119" s="214"/>
      <c r="AL119" s="210"/>
      <c r="AM119" s="160"/>
      <c r="AN119" s="160"/>
    </row>
    <row r="120" spans="3:40" x14ac:dyDescent="0.3">
      <c r="C120" s="42"/>
      <c r="F120" s="123"/>
      <c r="H120" s="184"/>
      <c r="I120" s="184"/>
      <c r="J120" s="227"/>
      <c r="K120" s="227"/>
      <c r="L120" s="123"/>
      <c r="M120" s="123"/>
      <c r="N120" s="160"/>
      <c r="O120" s="160"/>
      <c r="P120" s="123"/>
      <c r="Q120" s="123"/>
      <c r="R120" s="123"/>
      <c r="T120" s="42"/>
      <c r="V120" s="123"/>
      <c r="Y120" s="123"/>
      <c r="Z120" s="219"/>
      <c r="AA120" s="123"/>
      <c r="AB120" s="123"/>
      <c r="AC120" s="160"/>
      <c r="AD120" s="160"/>
      <c r="AE120" s="123"/>
      <c r="AF120" s="123"/>
      <c r="AH120" s="236"/>
      <c r="AI120" s="123"/>
      <c r="AJ120" s="123"/>
      <c r="AL120" s="123"/>
      <c r="AM120" s="160"/>
      <c r="AN120" s="160"/>
    </row>
    <row r="121" spans="3:40" x14ac:dyDescent="0.3">
      <c r="F121" s="210"/>
      <c r="H121" s="210"/>
      <c r="I121" s="210"/>
      <c r="J121" s="213"/>
      <c r="K121" s="213"/>
      <c r="L121" s="210"/>
      <c r="M121" s="210"/>
      <c r="N121" s="210"/>
      <c r="O121" s="210"/>
      <c r="P121" s="210"/>
      <c r="Q121" s="210"/>
      <c r="R121" s="210"/>
      <c r="V121" s="123"/>
      <c r="Y121" s="123"/>
      <c r="Z121" s="213"/>
      <c r="AA121" s="210"/>
      <c r="AB121" s="210"/>
      <c r="AC121" s="210"/>
      <c r="AD121" s="210"/>
      <c r="AE121" s="210"/>
      <c r="AF121" s="210"/>
      <c r="AI121" s="210"/>
      <c r="AJ121" s="210"/>
      <c r="AK121" s="214"/>
      <c r="AL121" s="210"/>
      <c r="AM121" s="160"/>
      <c r="AN121" s="160"/>
    </row>
    <row r="122" spans="3:40" x14ac:dyDescent="0.3">
      <c r="C122" s="42"/>
      <c r="F122" s="123"/>
      <c r="H122" s="123"/>
      <c r="I122" s="123"/>
      <c r="J122" s="213"/>
      <c r="K122" s="213"/>
      <c r="L122" s="123"/>
      <c r="M122" s="123"/>
      <c r="N122" s="160"/>
      <c r="O122" s="160"/>
      <c r="P122" s="123"/>
      <c r="Q122" s="123"/>
      <c r="R122" s="123"/>
      <c r="S122" s="123"/>
      <c r="T122" s="42"/>
      <c r="V122" s="123"/>
      <c r="Y122" s="123"/>
      <c r="Z122" s="219"/>
      <c r="AA122" s="123"/>
      <c r="AB122" s="123"/>
      <c r="AC122" s="160"/>
      <c r="AD122" s="160"/>
      <c r="AE122" s="123"/>
      <c r="AF122" s="123"/>
      <c r="AH122" s="236"/>
      <c r="AI122" s="123"/>
      <c r="AJ122" s="123"/>
      <c r="AL122" s="123"/>
      <c r="AM122" s="160"/>
      <c r="AN122" s="160"/>
    </row>
    <row r="123" spans="3:40" x14ac:dyDescent="0.3">
      <c r="F123" s="210"/>
      <c r="H123" s="210"/>
      <c r="I123" s="210"/>
      <c r="J123" s="213"/>
      <c r="K123" s="213"/>
      <c r="L123" s="210"/>
      <c r="M123" s="210"/>
      <c r="N123" s="210"/>
      <c r="O123" s="210"/>
      <c r="P123" s="210"/>
      <c r="Q123" s="210"/>
      <c r="R123" s="210"/>
      <c r="S123" s="123"/>
      <c r="T123" s="42"/>
      <c r="V123" s="184"/>
      <c r="Y123" s="123"/>
      <c r="Z123" s="227"/>
      <c r="AA123" s="123"/>
      <c r="AB123" s="123"/>
      <c r="AC123" s="160"/>
      <c r="AD123" s="160"/>
      <c r="AE123" s="123"/>
      <c r="AF123" s="123"/>
      <c r="AH123" s="236"/>
      <c r="AI123" s="123"/>
      <c r="AJ123" s="123"/>
      <c r="AL123" s="123"/>
      <c r="AM123" s="160"/>
      <c r="AN123" s="160"/>
    </row>
    <row r="124" spans="3:40" x14ac:dyDescent="0.3">
      <c r="C124" s="42"/>
      <c r="F124" s="184"/>
      <c r="H124" s="239"/>
      <c r="I124" s="239"/>
      <c r="J124" s="213"/>
      <c r="K124" s="213"/>
      <c r="L124" s="123"/>
      <c r="M124" s="123"/>
      <c r="N124" s="160"/>
      <c r="O124" s="160"/>
      <c r="P124" s="123"/>
      <c r="Q124" s="123"/>
      <c r="R124" s="123"/>
      <c r="S124" s="123"/>
      <c r="V124" s="210"/>
      <c r="Y124" s="210"/>
      <c r="Z124" s="213"/>
      <c r="AA124" s="210"/>
      <c r="AB124" s="210"/>
      <c r="AC124" s="210"/>
      <c r="AD124" s="210"/>
      <c r="AE124" s="210"/>
      <c r="AF124" s="210"/>
      <c r="AI124" s="210"/>
      <c r="AJ124" s="210"/>
      <c r="AK124" s="214"/>
      <c r="AL124" s="210"/>
      <c r="AM124" s="160"/>
      <c r="AN124" s="160"/>
    </row>
    <row r="125" spans="3:40" x14ac:dyDescent="0.3">
      <c r="T125" s="42"/>
      <c r="V125" s="123"/>
      <c r="Y125" s="123"/>
      <c r="Z125" s="213"/>
      <c r="AA125" s="123"/>
      <c r="AB125" s="123"/>
      <c r="AC125" s="160"/>
      <c r="AD125" s="160"/>
      <c r="AE125" s="123"/>
      <c r="AF125" s="123"/>
      <c r="AH125" s="160"/>
      <c r="AI125" s="123"/>
      <c r="AJ125" s="123"/>
      <c r="AL125" s="123"/>
      <c r="AM125" s="160"/>
      <c r="AN125" s="160"/>
    </row>
    <row r="126" spans="3:40" x14ac:dyDescent="0.3">
      <c r="C126" s="42"/>
      <c r="V126" s="210"/>
      <c r="Y126" s="210"/>
      <c r="Z126" s="213"/>
      <c r="AA126" s="210"/>
      <c r="AB126" s="210"/>
      <c r="AC126" s="210"/>
      <c r="AD126" s="210"/>
      <c r="AE126" s="210"/>
      <c r="AF126" s="210"/>
      <c r="AI126" s="210"/>
      <c r="AJ126" s="210"/>
      <c r="AK126" s="214"/>
      <c r="AL126" s="210"/>
      <c r="AM126" s="160"/>
      <c r="AN126" s="160"/>
    </row>
    <row r="127" spans="3:40" x14ac:dyDescent="0.3">
      <c r="C127" s="42"/>
      <c r="F127" s="184"/>
      <c r="H127" s="184"/>
      <c r="I127" s="184"/>
      <c r="J127" s="193"/>
      <c r="K127" s="193"/>
      <c r="L127" s="123"/>
      <c r="M127" s="123"/>
      <c r="N127" s="160"/>
      <c r="O127" s="160"/>
      <c r="R127" s="123"/>
      <c r="T127" s="42"/>
      <c r="V127" s="184"/>
      <c r="Y127" s="184"/>
      <c r="Z127" s="213"/>
      <c r="AA127" s="123"/>
      <c r="AB127" s="123"/>
      <c r="AC127" s="160"/>
      <c r="AD127" s="160"/>
      <c r="AE127" s="123"/>
      <c r="AF127" s="123"/>
      <c r="AI127" s="123"/>
      <c r="AJ127" s="123"/>
      <c r="AL127" s="123"/>
      <c r="AM127" s="160"/>
      <c r="AN127" s="160"/>
    </row>
    <row r="128" spans="3:40" x14ac:dyDescent="0.3">
      <c r="C128" s="42"/>
      <c r="F128" s="184"/>
      <c r="H128" s="184"/>
      <c r="I128" s="184"/>
      <c r="J128" s="193"/>
      <c r="K128" s="193"/>
      <c r="L128" s="123"/>
      <c r="M128" s="123"/>
      <c r="N128" s="160"/>
      <c r="O128" s="160"/>
      <c r="R128" s="123"/>
    </row>
    <row r="129" spans="3:40" x14ac:dyDescent="0.3">
      <c r="C129" s="42"/>
      <c r="F129" s="184"/>
      <c r="H129" s="184"/>
      <c r="I129" s="184"/>
      <c r="J129" s="193"/>
      <c r="K129" s="193"/>
      <c r="L129" s="123"/>
      <c r="M129" s="123"/>
      <c r="N129" s="160"/>
      <c r="O129" s="160"/>
      <c r="R129" s="123"/>
      <c r="T129" s="42"/>
    </row>
    <row r="130" spans="3:40" x14ac:dyDescent="0.3">
      <c r="F130" s="210"/>
      <c r="H130" s="123"/>
      <c r="I130" s="123"/>
      <c r="J130" s="213"/>
      <c r="K130" s="213"/>
      <c r="L130" s="210"/>
      <c r="M130" s="210"/>
      <c r="N130" s="210"/>
      <c r="O130" s="210"/>
      <c r="P130" s="210"/>
      <c r="Q130" s="210"/>
      <c r="R130" s="210"/>
      <c r="T130" s="42"/>
      <c r="V130" s="123"/>
      <c r="Y130" s="184"/>
      <c r="Z130" s="193"/>
      <c r="AA130" s="123"/>
      <c r="AB130" s="123"/>
      <c r="AC130" s="160"/>
      <c r="AD130" s="160"/>
      <c r="AE130" s="123"/>
      <c r="AF130" s="123"/>
      <c r="AG130" s="233"/>
      <c r="AH130" s="234"/>
      <c r="AL130" s="123"/>
      <c r="AM130" s="235"/>
      <c r="AN130" s="235"/>
    </row>
    <row r="131" spans="3:40" x14ac:dyDescent="0.3">
      <c r="C131" s="42"/>
      <c r="F131" s="123"/>
      <c r="H131" s="123"/>
      <c r="I131" s="123"/>
      <c r="J131" s="213"/>
      <c r="K131" s="213"/>
      <c r="L131" s="123"/>
      <c r="M131" s="123"/>
      <c r="N131" s="160"/>
      <c r="O131" s="160"/>
      <c r="P131" s="123"/>
      <c r="Q131" s="123"/>
      <c r="R131" s="123"/>
      <c r="T131" s="42"/>
      <c r="V131" s="123"/>
      <c r="Y131" s="184"/>
      <c r="Z131" s="193"/>
      <c r="AA131" s="123"/>
      <c r="AB131" s="123"/>
      <c r="AC131" s="160"/>
      <c r="AD131" s="160"/>
      <c r="AE131" s="123"/>
      <c r="AF131" s="123"/>
      <c r="AH131" s="236"/>
      <c r="AL131" s="123"/>
      <c r="AM131" s="160"/>
      <c r="AN131" s="160"/>
    </row>
    <row r="132" spans="3:40" x14ac:dyDescent="0.3">
      <c r="F132" s="210"/>
      <c r="H132" s="123"/>
      <c r="I132" s="123"/>
      <c r="J132" s="213"/>
      <c r="K132" s="213"/>
      <c r="L132" s="210"/>
      <c r="M132" s="210"/>
      <c r="N132" s="210"/>
      <c r="O132" s="210"/>
      <c r="P132" s="210"/>
      <c r="Q132" s="210"/>
      <c r="R132" s="210"/>
      <c r="T132" s="42"/>
      <c r="V132" s="123"/>
      <c r="Y132" s="184"/>
      <c r="Z132" s="193"/>
      <c r="AA132" s="123"/>
      <c r="AB132" s="123"/>
      <c r="AC132" s="160"/>
      <c r="AD132" s="160"/>
      <c r="AE132" s="123"/>
      <c r="AF132" s="123"/>
      <c r="AH132" s="236"/>
      <c r="AL132" s="123"/>
      <c r="AM132" s="160"/>
      <c r="AN132" s="160"/>
    </row>
    <row r="133" spans="3:40" x14ac:dyDescent="0.3">
      <c r="C133" s="42"/>
      <c r="F133" s="184"/>
      <c r="H133" s="184"/>
      <c r="I133" s="184"/>
      <c r="J133" s="237"/>
      <c r="K133" s="237"/>
      <c r="L133" s="123"/>
      <c r="M133" s="123"/>
      <c r="N133" s="160"/>
      <c r="O133" s="160"/>
      <c r="P133" s="123"/>
      <c r="Q133" s="123"/>
      <c r="R133" s="123"/>
      <c r="S133" s="123"/>
      <c r="V133" s="210"/>
      <c r="Y133" s="123"/>
      <c r="Z133" s="213"/>
      <c r="AA133" s="210"/>
      <c r="AB133" s="210"/>
      <c r="AC133" s="210"/>
      <c r="AD133" s="210"/>
      <c r="AE133" s="210"/>
      <c r="AF133" s="210"/>
      <c r="AI133" s="210"/>
      <c r="AJ133" s="210"/>
      <c r="AK133" s="214"/>
      <c r="AL133" s="210"/>
      <c r="AM133" s="160"/>
      <c r="AN133" s="160"/>
    </row>
    <row r="134" spans="3:40" x14ac:dyDescent="0.3">
      <c r="C134" s="42"/>
      <c r="F134" s="184"/>
      <c r="H134" s="184"/>
      <c r="I134" s="184"/>
      <c r="J134" s="193"/>
      <c r="K134" s="193"/>
      <c r="L134" s="123"/>
      <c r="M134" s="123"/>
      <c r="N134" s="160"/>
      <c r="O134" s="160"/>
      <c r="P134" s="123"/>
      <c r="Q134" s="123"/>
      <c r="R134" s="123"/>
      <c r="T134" s="42"/>
      <c r="V134" s="123"/>
      <c r="Y134" s="123"/>
      <c r="Z134" s="213"/>
      <c r="AA134" s="123"/>
      <c r="AB134" s="123"/>
      <c r="AC134" s="160"/>
      <c r="AD134" s="160"/>
      <c r="AE134" s="123"/>
      <c r="AF134" s="123"/>
      <c r="AH134" s="236"/>
      <c r="AI134" s="123"/>
      <c r="AJ134" s="123"/>
      <c r="AL134" s="123"/>
      <c r="AM134" s="160"/>
      <c r="AN134" s="160"/>
    </row>
    <row r="135" spans="3:40" x14ac:dyDescent="0.3">
      <c r="C135" s="42"/>
      <c r="F135" s="184"/>
      <c r="H135" s="184"/>
      <c r="I135" s="184"/>
      <c r="J135" s="193"/>
      <c r="K135" s="193"/>
      <c r="L135" s="123"/>
      <c r="M135" s="123"/>
      <c r="N135" s="160"/>
      <c r="O135" s="160"/>
      <c r="P135" s="123"/>
      <c r="Q135" s="123"/>
      <c r="R135" s="123"/>
      <c r="V135" s="210"/>
      <c r="Y135" s="123"/>
      <c r="Z135" s="213"/>
      <c r="AA135" s="210"/>
      <c r="AB135" s="210"/>
      <c r="AC135" s="210"/>
      <c r="AD135" s="210"/>
      <c r="AE135" s="210"/>
      <c r="AF135" s="210"/>
      <c r="AI135" s="210"/>
      <c r="AJ135" s="210"/>
      <c r="AK135" s="214"/>
      <c r="AL135" s="210"/>
      <c r="AM135" s="160"/>
      <c r="AN135" s="160"/>
    </row>
    <row r="136" spans="3:40" x14ac:dyDescent="0.3">
      <c r="F136" s="123"/>
      <c r="H136" s="210"/>
      <c r="I136" s="210"/>
      <c r="J136" s="213"/>
      <c r="K136" s="213"/>
      <c r="L136" s="210"/>
      <c r="M136" s="210"/>
      <c r="N136" s="210"/>
      <c r="O136" s="210"/>
      <c r="P136" s="210"/>
      <c r="Q136" s="210"/>
      <c r="R136" s="210"/>
      <c r="T136" s="42"/>
      <c r="V136" s="184"/>
      <c r="Y136" s="184"/>
      <c r="Z136" s="237"/>
      <c r="AA136" s="123"/>
      <c r="AB136" s="123"/>
      <c r="AC136" s="160"/>
      <c r="AD136" s="160"/>
      <c r="AE136" s="123"/>
      <c r="AF136" s="123"/>
      <c r="AH136" s="160"/>
      <c r="AI136" s="123"/>
      <c r="AJ136" s="123"/>
      <c r="AL136" s="123"/>
      <c r="AM136" s="160"/>
      <c r="AN136" s="160"/>
    </row>
    <row r="137" spans="3:40" x14ac:dyDescent="0.3">
      <c r="C137" s="42"/>
      <c r="F137" s="123"/>
      <c r="H137" s="123"/>
      <c r="I137" s="123"/>
      <c r="J137" s="213"/>
      <c r="K137" s="213"/>
      <c r="L137" s="123"/>
      <c r="M137" s="123"/>
      <c r="N137" s="160"/>
      <c r="O137" s="160"/>
      <c r="P137" s="123"/>
      <c r="Q137" s="123"/>
      <c r="R137" s="123"/>
      <c r="T137" s="42"/>
      <c r="V137" s="184"/>
      <c r="Y137" s="123"/>
      <c r="Z137" s="193"/>
      <c r="AA137" s="123"/>
      <c r="AB137" s="123"/>
      <c r="AC137" s="160"/>
      <c r="AD137" s="160"/>
      <c r="AE137" s="123"/>
      <c r="AF137" s="123"/>
      <c r="AH137" s="236"/>
      <c r="AI137" s="123"/>
      <c r="AJ137" s="123"/>
      <c r="AL137" s="123"/>
      <c r="AM137" s="160"/>
      <c r="AN137" s="160"/>
    </row>
    <row r="138" spans="3:40" x14ac:dyDescent="0.3">
      <c r="F138" s="123"/>
      <c r="H138" s="210"/>
      <c r="I138" s="210"/>
      <c r="J138" s="213"/>
      <c r="K138" s="213"/>
      <c r="L138" s="210"/>
      <c r="M138" s="210"/>
      <c r="N138" s="210"/>
      <c r="O138" s="210"/>
      <c r="P138" s="210"/>
      <c r="Q138" s="210"/>
      <c r="R138" s="210"/>
      <c r="T138" s="42"/>
      <c r="V138" s="184"/>
      <c r="Y138" s="123"/>
      <c r="Z138" s="193"/>
      <c r="AA138" s="123"/>
      <c r="AB138" s="123"/>
      <c r="AC138" s="160"/>
      <c r="AD138" s="160"/>
      <c r="AE138" s="123"/>
      <c r="AF138" s="123"/>
      <c r="AH138" s="236"/>
      <c r="AI138" s="123"/>
      <c r="AJ138" s="123"/>
      <c r="AL138" s="123"/>
      <c r="AM138" s="160"/>
      <c r="AN138" s="160"/>
    </row>
    <row r="139" spans="3:40" x14ac:dyDescent="0.3">
      <c r="C139" s="42"/>
      <c r="F139" s="123"/>
      <c r="H139" s="123"/>
      <c r="I139" s="123"/>
      <c r="J139" s="213"/>
      <c r="K139" s="213"/>
      <c r="L139" s="123"/>
      <c r="M139" s="123"/>
      <c r="N139" s="123"/>
      <c r="O139" s="123"/>
      <c r="P139" s="123"/>
      <c r="Q139" s="123"/>
      <c r="R139" s="123"/>
      <c r="V139" s="123"/>
      <c r="Y139" s="210"/>
      <c r="Z139" s="213"/>
      <c r="AA139" s="210"/>
      <c r="AB139" s="210"/>
      <c r="AC139" s="210"/>
      <c r="AD139" s="210"/>
      <c r="AE139" s="210"/>
      <c r="AF139" s="210"/>
      <c r="AI139" s="210"/>
      <c r="AJ139" s="210"/>
      <c r="AK139" s="214"/>
      <c r="AL139" s="210"/>
      <c r="AM139" s="160"/>
      <c r="AN139" s="160"/>
    </row>
    <row r="140" spans="3:40" x14ac:dyDescent="0.3">
      <c r="C140" s="42"/>
      <c r="F140" s="123"/>
      <c r="H140" s="184"/>
      <c r="I140" s="184"/>
      <c r="J140" s="238"/>
      <c r="K140" s="238"/>
      <c r="L140" s="123"/>
      <c r="M140" s="123"/>
      <c r="N140" s="160"/>
      <c r="O140" s="160"/>
      <c r="P140" s="123"/>
      <c r="Q140" s="123"/>
      <c r="R140" s="123"/>
      <c r="T140" s="42"/>
      <c r="V140" s="123"/>
      <c r="Y140" s="123"/>
      <c r="Z140" s="213"/>
      <c r="AA140" s="123"/>
      <c r="AB140" s="123"/>
      <c r="AC140" s="160"/>
      <c r="AD140" s="160"/>
      <c r="AE140" s="123"/>
      <c r="AF140" s="123"/>
      <c r="AH140" s="236"/>
      <c r="AI140" s="123"/>
      <c r="AJ140" s="123"/>
      <c r="AL140" s="123"/>
      <c r="AM140" s="160"/>
      <c r="AN140" s="160"/>
    </row>
    <row r="141" spans="3:40" x14ac:dyDescent="0.3">
      <c r="C141" s="42"/>
      <c r="H141" s="184"/>
      <c r="I141" s="184"/>
      <c r="J141" s="238"/>
      <c r="K141" s="238"/>
      <c r="L141" s="123"/>
      <c r="M141" s="123"/>
      <c r="N141" s="160"/>
      <c r="O141" s="160"/>
      <c r="P141" s="123"/>
      <c r="Q141" s="123"/>
      <c r="R141" s="123"/>
      <c r="V141" s="123"/>
      <c r="Y141" s="210"/>
      <c r="Z141" s="213"/>
      <c r="AA141" s="210"/>
      <c r="AB141" s="210"/>
      <c r="AC141" s="210"/>
      <c r="AD141" s="210"/>
      <c r="AE141" s="210"/>
      <c r="AF141" s="210"/>
      <c r="AI141" s="210"/>
      <c r="AJ141" s="210"/>
      <c r="AK141" s="214"/>
      <c r="AL141" s="210"/>
      <c r="AM141" s="160"/>
      <c r="AN141" s="160"/>
    </row>
    <row r="142" spans="3:40" x14ac:dyDescent="0.3">
      <c r="F142" s="123"/>
      <c r="H142" s="123"/>
      <c r="I142" s="123"/>
      <c r="J142" s="213"/>
      <c r="K142" s="213"/>
      <c r="L142" s="210"/>
      <c r="M142" s="210"/>
      <c r="N142" s="210"/>
      <c r="O142" s="210"/>
      <c r="P142" s="210"/>
      <c r="Q142" s="210"/>
      <c r="R142" s="210"/>
      <c r="T142" s="42"/>
      <c r="V142" s="123"/>
      <c r="Y142" s="123"/>
      <c r="Z142" s="213"/>
      <c r="AA142" s="123"/>
      <c r="AB142" s="123"/>
      <c r="AC142" s="123"/>
      <c r="AD142" s="123"/>
      <c r="AE142" s="123"/>
      <c r="AF142" s="123"/>
      <c r="AH142" s="236"/>
      <c r="AI142" s="123"/>
      <c r="AJ142" s="123"/>
      <c r="AL142" s="123"/>
      <c r="AM142" s="160"/>
      <c r="AN142" s="160"/>
    </row>
    <row r="143" spans="3:40" x14ac:dyDescent="0.3">
      <c r="C143" s="42"/>
      <c r="F143" s="123"/>
      <c r="H143" s="123"/>
      <c r="I143" s="123"/>
      <c r="J143" s="219"/>
      <c r="K143" s="219"/>
      <c r="L143" s="123"/>
      <c r="M143" s="123"/>
      <c r="N143" s="160"/>
      <c r="O143" s="160"/>
      <c r="P143" s="123"/>
      <c r="Q143" s="123"/>
      <c r="R143" s="123"/>
      <c r="T143" s="42"/>
      <c r="V143" s="123"/>
      <c r="Y143" s="123"/>
      <c r="Z143" s="238"/>
      <c r="AA143" s="123"/>
      <c r="AB143" s="123"/>
      <c r="AC143" s="160"/>
      <c r="AD143" s="160"/>
      <c r="AE143" s="123"/>
      <c r="AF143" s="123"/>
      <c r="AH143" s="236"/>
      <c r="AI143" s="123"/>
      <c r="AJ143" s="123"/>
      <c r="AL143" s="123"/>
      <c r="AM143" s="160"/>
      <c r="AN143" s="160"/>
    </row>
    <row r="144" spans="3:40" x14ac:dyDescent="0.3">
      <c r="F144" s="123"/>
      <c r="H144" s="123"/>
      <c r="I144" s="123"/>
      <c r="J144" s="213"/>
      <c r="K144" s="213"/>
      <c r="L144" s="210"/>
      <c r="M144" s="210"/>
      <c r="N144" s="210"/>
      <c r="O144" s="210"/>
      <c r="P144" s="210"/>
      <c r="Q144" s="210"/>
      <c r="R144" s="210"/>
      <c r="T144" s="42"/>
      <c r="Y144" s="123"/>
      <c r="Z144" s="238"/>
      <c r="AA144" s="123"/>
      <c r="AB144" s="123"/>
      <c r="AC144" s="160"/>
      <c r="AD144" s="160"/>
      <c r="AE144" s="123"/>
      <c r="AF144" s="123"/>
      <c r="AH144" s="236"/>
      <c r="AI144" s="123"/>
      <c r="AJ144" s="123"/>
      <c r="AL144" s="123"/>
      <c r="AM144" s="160"/>
      <c r="AN144" s="160"/>
    </row>
    <row r="145" spans="1:40" x14ac:dyDescent="0.3">
      <c r="C145" s="42"/>
      <c r="F145" s="123"/>
      <c r="H145" s="123"/>
      <c r="I145" s="123"/>
      <c r="J145" s="219"/>
      <c r="K145" s="219"/>
      <c r="L145" s="123"/>
      <c r="M145" s="123"/>
      <c r="N145" s="160"/>
      <c r="O145" s="160"/>
      <c r="P145" s="123"/>
      <c r="Q145" s="123"/>
      <c r="R145" s="123"/>
      <c r="V145" s="123"/>
      <c r="Y145" s="123"/>
      <c r="Z145" s="213"/>
      <c r="AA145" s="210"/>
      <c r="AB145" s="210"/>
      <c r="AC145" s="210"/>
      <c r="AD145" s="210"/>
      <c r="AE145" s="210"/>
      <c r="AF145" s="210"/>
      <c r="AI145" s="210"/>
      <c r="AJ145" s="210"/>
      <c r="AK145" s="214"/>
      <c r="AL145" s="210"/>
      <c r="AM145" s="160"/>
      <c r="AN145" s="160"/>
    </row>
    <row r="146" spans="1:40" x14ac:dyDescent="0.3">
      <c r="C146" s="42"/>
      <c r="F146" s="184"/>
      <c r="H146" s="184"/>
      <c r="I146" s="184"/>
      <c r="J146" s="227"/>
      <c r="K146" s="227"/>
      <c r="L146" s="123"/>
      <c r="M146" s="123"/>
      <c r="N146" s="160"/>
      <c r="O146" s="160"/>
      <c r="P146" s="123"/>
      <c r="Q146" s="123"/>
      <c r="R146" s="123"/>
      <c r="T146" s="42"/>
      <c r="V146" s="123"/>
      <c r="Y146" s="123"/>
      <c r="Z146" s="219"/>
      <c r="AA146" s="123"/>
      <c r="AB146" s="123"/>
      <c r="AC146" s="160"/>
      <c r="AD146" s="160"/>
      <c r="AE146" s="123"/>
      <c r="AF146" s="123"/>
      <c r="AH146" s="236"/>
      <c r="AI146" s="123"/>
      <c r="AJ146" s="123"/>
      <c r="AL146" s="123"/>
      <c r="AM146" s="160"/>
      <c r="AN146" s="160"/>
    </row>
    <row r="147" spans="1:40" x14ac:dyDescent="0.3">
      <c r="F147" s="210"/>
      <c r="H147" s="210"/>
      <c r="I147" s="210"/>
      <c r="J147" s="213"/>
      <c r="K147" s="213"/>
      <c r="L147" s="210"/>
      <c r="M147" s="210"/>
      <c r="N147" s="210"/>
      <c r="O147" s="210"/>
      <c r="P147" s="210"/>
      <c r="Q147" s="210"/>
      <c r="R147" s="210"/>
      <c r="V147" s="123"/>
      <c r="Y147" s="123"/>
      <c r="Z147" s="213"/>
      <c r="AA147" s="210"/>
      <c r="AB147" s="210"/>
      <c r="AC147" s="210"/>
      <c r="AD147" s="210"/>
      <c r="AE147" s="210"/>
      <c r="AF147" s="210"/>
      <c r="AI147" s="210"/>
      <c r="AJ147" s="210"/>
      <c r="AK147" s="214"/>
      <c r="AL147" s="210"/>
      <c r="AM147" s="160"/>
      <c r="AN147" s="160"/>
    </row>
    <row r="148" spans="1:40" x14ac:dyDescent="0.3">
      <c r="C148" s="42"/>
      <c r="F148" s="123"/>
      <c r="H148" s="123"/>
      <c r="I148" s="123"/>
      <c r="J148" s="213"/>
      <c r="K148" s="213"/>
      <c r="L148" s="123"/>
      <c r="M148" s="123"/>
      <c r="N148" s="160"/>
      <c r="O148" s="160"/>
      <c r="P148" s="123"/>
      <c r="Q148" s="123"/>
      <c r="R148" s="123"/>
      <c r="S148" s="123"/>
      <c r="T148" s="42"/>
      <c r="V148" s="123"/>
      <c r="Y148" s="123"/>
      <c r="Z148" s="219"/>
      <c r="AA148" s="123"/>
      <c r="AB148" s="123"/>
      <c r="AC148" s="160"/>
      <c r="AD148" s="160"/>
      <c r="AE148" s="123"/>
      <c r="AF148" s="123"/>
      <c r="AH148" s="236"/>
      <c r="AI148" s="123"/>
      <c r="AJ148" s="123"/>
      <c r="AL148" s="123"/>
      <c r="AM148" s="160"/>
      <c r="AN148" s="160"/>
    </row>
    <row r="149" spans="1:40" x14ac:dyDescent="0.3">
      <c r="F149" s="210"/>
      <c r="H149" s="210"/>
      <c r="I149" s="210"/>
      <c r="J149" s="213"/>
      <c r="K149" s="213"/>
      <c r="L149" s="210"/>
      <c r="M149" s="210"/>
      <c r="N149" s="210"/>
      <c r="O149" s="210"/>
      <c r="P149" s="210"/>
      <c r="Q149" s="210"/>
      <c r="R149" s="210"/>
      <c r="S149" s="123"/>
      <c r="T149" s="42"/>
      <c r="V149" s="184"/>
      <c r="Y149" s="123"/>
      <c r="Z149" s="227"/>
      <c r="AA149" s="123"/>
      <c r="AB149" s="123"/>
      <c r="AC149" s="160"/>
      <c r="AD149" s="160"/>
      <c r="AE149" s="123"/>
      <c r="AF149" s="123"/>
      <c r="AH149" s="236"/>
      <c r="AI149" s="123"/>
      <c r="AJ149" s="123"/>
      <c r="AL149" s="123"/>
      <c r="AM149" s="160"/>
      <c r="AN149" s="160"/>
    </row>
    <row r="150" spans="1:40" x14ac:dyDescent="0.3">
      <c r="C150" s="42"/>
      <c r="V150" s="210"/>
      <c r="Y150" s="210"/>
      <c r="Z150" s="213"/>
      <c r="AA150" s="210"/>
      <c r="AB150" s="210"/>
      <c r="AC150" s="210"/>
      <c r="AD150" s="210"/>
      <c r="AE150" s="210"/>
      <c r="AF150" s="210"/>
      <c r="AI150" s="210"/>
      <c r="AJ150" s="210"/>
      <c r="AK150" s="214"/>
      <c r="AL150" s="210"/>
      <c r="AM150" s="160"/>
      <c r="AN150" s="160"/>
    </row>
    <row r="151" spans="1:40" x14ac:dyDescent="0.3">
      <c r="C151" s="42"/>
      <c r="F151" s="123"/>
      <c r="H151" s="123"/>
      <c r="I151" s="123"/>
      <c r="L151" s="123"/>
      <c r="M151" s="123"/>
      <c r="N151" s="160"/>
      <c r="O151" s="160"/>
      <c r="P151" s="184"/>
      <c r="Q151" s="184"/>
      <c r="R151" s="123"/>
      <c r="T151" s="42"/>
      <c r="V151" s="123"/>
      <c r="Y151" s="123"/>
      <c r="Z151" s="213"/>
      <c r="AA151" s="123"/>
      <c r="AB151" s="123"/>
      <c r="AC151" s="160"/>
      <c r="AD151" s="160"/>
      <c r="AE151" s="123"/>
      <c r="AF151" s="123"/>
      <c r="AH151" s="160"/>
      <c r="AI151" s="123"/>
      <c r="AJ151" s="123"/>
      <c r="AL151" s="123"/>
      <c r="AM151" s="160"/>
      <c r="AN151" s="160"/>
    </row>
    <row r="152" spans="1:40" x14ac:dyDescent="0.3">
      <c r="F152" s="210"/>
      <c r="H152" s="210"/>
      <c r="I152" s="210"/>
      <c r="J152" s="213"/>
      <c r="K152" s="213"/>
      <c r="L152" s="210"/>
      <c r="M152" s="210"/>
      <c r="N152" s="210"/>
      <c r="O152" s="210"/>
      <c r="P152" s="210"/>
      <c r="Q152" s="210"/>
      <c r="R152" s="210"/>
      <c r="V152" s="210"/>
      <c r="Y152" s="210"/>
      <c r="Z152" s="213"/>
      <c r="AA152" s="210"/>
      <c r="AB152" s="210"/>
      <c r="AC152" s="210"/>
      <c r="AD152" s="210"/>
      <c r="AE152" s="210"/>
      <c r="AF152" s="210"/>
      <c r="AI152" s="210"/>
      <c r="AJ152" s="210"/>
      <c r="AK152" s="214"/>
      <c r="AL152" s="210"/>
      <c r="AM152" s="160"/>
      <c r="AN152" s="160"/>
    </row>
    <row r="153" spans="1:40" x14ac:dyDescent="0.3">
      <c r="T153" s="42"/>
    </row>
    <row r="154" spans="1:40" x14ac:dyDescent="0.3">
      <c r="C154" s="42"/>
      <c r="L154" s="123"/>
      <c r="M154" s="123"/>
      <c r="N154" s="123"/>
      <c r="O154" s="123"/>
      <c r="P154" s="123"/>
      <c r="Q154" s="123"/>
      <c r="R154" s="123"/>
      <c r="S154" s="123"/>
      <c r="T154" s="42"/>
      <c r="V154" s="123"/>
      <c r="Y154" s="123"/>
      <c r="AA154" s="123"/>
      <c r="AB154" s="123"/>
      <c r="AC154" s="160"/>
      <c r="AD154" s="160"/>
      <c r="AE154" s="123"/>
      <c r="AF154" s="123"/>
      <c r="AH154" s="160"/>
      <c r="AI154" s="184"/>
      <c r="AJ154" s="184"/>
      <c r="AL154" s="123"/>
      <c r="AM154" s="160"/>
      <c r="AN154" s="160"/>
    </row>
    <row r="155" spans="1:40" x14ac:dyDescent="0.3">
      <c r="A155" s="42"/>
      <c r="V155" s="210"/>
      <c r="Y155" s="210"/>
      <c r="Z155" s="213"/>
      <c r="AA155" s="210"/>
      <c r="AB155" s="210"/>
      <c r="AC155" s="210"/>
      <c r="AD155" s="210"/>
      <c r="AE155" s="210"/>
      <c r="AF155" s="210"/>
      <c r="AI155" s="210"/>
      <c r="AJ155" s="210"/>
      <c r="AK155" s="214"/>
      <c r="AL155" s="210"/>
    </row>
    <row r="157" spans="1:40" x14ac:dyDescent="0.3">
      <c r="H157" s="42"/>
      <c r="I157" s="42"/>
      <c r="T157" s="42"/>
      <c r="AA157" s="123"/>
      <c r="AB157" s="123"/>
      <c r="AC157" s="123"/>
      <c r="AD157" s="123"/>
      <c r="AI157" s="123"/>
      <c r="AJ157" s="123"/>
      <c r="AL157" s="123"/>
    </row>
    <row r="159" spans="1:40" x14ac:dyDescent="0.3">
      <c r="L159" s="42"/>
      <c r="M159" s="42"/>
    </row>
    <row r="160" spans="1:40" x14ac:dyDescent="0.3">
      <c r="R160" s="42"/>
      <c r="Y160" s="42"/>
    </row>
    <row r="161" spans="1:40" x14ac:dyDescent="0.3">
      <c r="R161" s="42"/>
    </row>
    <row r="162" spans="1:40" x14ac:dyDescent="0.3">
      <c r="A162" s="42"/>
      <c r="R162" s="42"/>
      <c r="AK162" s="206"/>
      <c r="AL162" s="42"/>
    </row>
    <row r="163" spans="1:40" x14ac:dyDescent="0.3">
      <c r="L163" s="42"/>
      <c r="M163" s="42"/>
      <c r="AA163" s="42"/>
      <c r="AB163" s="42"/>
    </row>
    <row r="164" spans="1:40" x14ac:dyDescent="0.3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207"/>
      <c r="AH164" s="135"/>
      <c r="AI164" s="135"/>
      <c r="AJ164" s="135"/>
      <c r="AK164" s="207"/>
      <c r="AL164" s="135"/>
      <c r="AM164" s="135"/>
      <c r="AN164" s="135"/>
    </row>
    <row r="165" spans="1:40" x14ac:dyDescent="0.3">
      <c r="L165" s="44"/>
      <c r="M165" s="44"/>
      <c r="N165" s="44"/>
      <c r="O165" s="44"/>
      <c r="R165" s="44"/>
      <c r="AA165" s="44"/>
      <c r="AB165" s="44"/>
      <c r="AC165" s="44"/>
      <c r="AD165" s="44"/>
      <c r="AE165" s="44"/>
      <c r="AF165" s="44"/>
      <c r="AG165" s="168"/>
      <c r="AH165" s="44"/>
      <c r="AK165" s="168"/>
      <c r="AL165" s="44"/>
      <c r="AM165" s="44"/>
      <c r="AN165" s="44"/>
    </row>
    <row r="166" spans="1:40" x14ac:dyDescent="0.3">
      <c r="L166" s="44"/>
      <c r="M166" s="44"/>
      <c r="N166" s="44"/>
      <c r="O166" s="44"/>
      <c r="R166" s="44"/>
      <c r="Z166" s="44"/>
      <c r="AA166" s="44"/>
      <c r="AB166" s="44"/>
      <c r="AC166" s="44"/>
      <c r="AD166" s="44"/>
      <c r="AE166" s="44"/>
      <c r="AF166" s="44"/>
      <c r="AG166" s="168"/>
      <c r="AH166" s="44"/>
      <c r="AK166" s="168"/>
      <c r="AL166" s="44"/>
      <c r="AM166" s="44"/>
      <c r="AN166" s="44"/>
    </row>
    <row r="167" spans="1:40" x14ac:dyDescent="0.3">
      <c r="A167" s="44"/>
      <c r="C167" s="44"/>
      <c r="D167" s="44"/>
      <c r="E167" s="44"/>
      <c r="F167" s="44"/>
      <c r="J167" s="44"/>
      <c r="K167" s="44"/>
      <c r="L167" s="44"/>
      <c r="M167" s="44"/>
      <c r="N167" s="44"/>
      <c r="O167" s="44"/>
      <c r="P167" s="44"/>
      <c r="Q167" s="44"/>
      <c r="R167" s="44"/>
      <c r="T167" s="44"/>
      <c r="U167" s="44"/>
      <c r="V167" s="44"/>
      <c r="Z167" s="44"/>
      <c r="AA167" s="44"/>
      <c r="AB167" s="44"/>
      <c r="AC167" s="44"/>
      <c r="AD167" s="44"/>
      <c r="AE167" s="44"/>
      <c r="AF167" s="44"/>
      <c r="AG167" s="168"/>
      <c r="AH167" s="44"/>
      <c r="AI167" s="44"/>
      <c r="AJ167" s="44"/>
      <c r="AK167" s="168"/>
      <c r="AL167" s="44"/>
      <c r="AM167" s="44"/>
      <c r="AN167" s="44"/>
    </row>
    <row r="168" spans="1:40" x14ac:dyDescent="0.3">
      <c r="A168" s="44"/>
      <c r="C168" s="44"/>
      <c r="D168" s="44"/>
      <c r="E168" s="44"/>
      <c r="F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T168" s="44"/>
      <c r="U168" s="44"/>
      <c r="V168" s="44"/>
      <c r="Y168" s="44"/>
      <c r="Z168" s="44"/>
      <c r="AA168" s="44"/>
      <c r="AB168" s="44"/>
      <c r="AC168" s="44"/>
      <c r="AD168" s="44"/>
      <c r="AE168" s="44"/>
      <c r="AF168" s="44"/>
      <c r="AG168" s="168"/>
      <c r="AH168" s="44"/>
      <c r="AI168" s="44"/>
      <c r="AJ168" s="44"/>
      <c r="AK168" s="168"/>
      <c r="AL168" s="44"/>
      <c r="AM168" s="44"/>
      <c r="AN168" s="44"/>
    </row>
    <row r="169" spans="1:40" x14ac:dyDescent="0.3">
      <c r="C169" s="44"/>
      <c r="D169" s="44"/>
      <c r="E169" s="44"/>
      <c r="F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T169" s="44"/>
      <c r="U169" s="44"/>
      <c r="V169" s="44"/>
      <c r="Y169" s="44"/>
      <c r="Z169" s="44"/>
      <c r="AA169" s="44"/>
      <c r="AB169" s="44"/>
      <c r="AC169" s="44"/>
      <c r="AD169" s="44"/>
      <c r="AE169" s="44"/>
      <c r="AF169" s="44"/>
      <c r="AG169" s="168"/>
      <c r="AH169" s="44"/>
      <c r="AI169" s="44"/>
      <c r="AJ169" s="44"/>
      <c r="AK169" s="168"/>
      <c r="AL169" s="44"/>
      <c r="AM169" s="44"/>
      <c r="AN169" s="44"/>
    </row>
    <row r="170" spans="1:40" x14ac:dyDescent="0.3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207"/>
      <c r="AH170" s="135"/>
      <c r="AI170" s="135"/>
      <c r="AJ170" s="135"/>
      <c r="AK170" s="207"/>
      <c r="AL170" s="135"/>
      <c r="AM170" s="135"/>
      <c r="AN170" s="135"/>
    </row>
    <row r="171" spans="1:40" x14ac:dyDescent="0.3"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Y171" s="44"/>
      <c r="Z171" s="44"/>
      <c r="AA171" s="44"/>
      <c r="AB171" s="44"/>
      <c r="AC171" s="44"/>
      <c r="AD171" s="44"/>
      <c r="AE171" s="44"/>
      <c r="AF171" s="44"/>
      <c r="AG171" s="168"/>
      <c r="AH171" s="44"/>
      <c r="AI171" s="44"/>
      <c r="AJ171" s="44"/>
      <c r="AK171" s="168"/>
      <c r="AL171" s="44"/>
      <c r="AM171" s="44"/>
      <c r="AN171" s="44"/>
    </row>
    <row r="172" spans="1:40" x14ac:dyDescent="0.3">
      <c r="C172" s="42"/>
      <c r="D172" s="42"/>
      <c r="E172" s="42"/>
      <c r="T172" s="42"/>
      <c r="U172" s="42"/>
    </row>
    <row r="173" spans="1:40" x14ac:dyDescent="0.3">
      <c r="D173" s="42"/>
      <c r="E173" s="42"/>
      <c r="U173" s="42"/>
    </row>
    <row r="175" spans="1:40" x14ac:dyDescent="0.3">
      <c r="C175" s="42"/>
      <c r="F175" s="184"/>
      <c r="H175" s="184"/>
      <c r="I175" s="184"/>
      <c r="J175" s="193"/>
      <c r="K175" s="193"/>
      <c r="L175" s="123"/>
      <c r="M175" s="123"/>
      <c r="N175" s="160"/>
      <c r="O175" s="160"/>
      <c r="R175" s="123"/>
      <c r="T175" s="42"/>
      <c r="V175" s="123"/>
      <c r="Y175" s="184"/>
      <c r="Z175" s="193"/>
      <c r="AA175" s="123"/>
      <c r="AB175" s="123"/>
      <c r="AC175" s="160"/>
      <c r="AD175" s="160"/>
      <c r="AE175" s="123"/>
      <c r="AF175" s="123"/>
      <c r="AG175" s="233"/>
      <c r="AH175" s="234"/>
      <c r="AL175" s="123"/>
      <c r="AM175" s="235"/>
      <c r="AN175" s="235"/>
    </row>
    <row r="176" spans="1:40" x14ac:dyDescent="0.3">
      <c r="C176" s="42"/>
      <c r="F176" s="184"/>
      <c r="H176" s="184"/>
      <c r="I176" s="184"/>
      <c r="J176" s="193"/>
      <c r="K176" s="193"/>
      <c r="L176" s="123"/>
      <c r="M176" s="123"/>
      <c r="N176" s="160"/>
      <c r="O176" s="160"/>
      <c r="R176" s="123"/>
      <c r="T176" s="42"/>
      <c r="V176" s="123"/>
      <c r="Y176" s="184"/>
      <c r="Z176" s="193"/>
      <c r="AA176" s="123"/>
      <c r="AB176" s="123"/>
      <c r="AC176" s="160"/>
      <c r="AD176" s="160"/>
      <c r="AE176" s="123"/>
      <c r="AF176" s="123"/>
      <c r="AH176" s="236"/>
      <c r="AL176" s="123"/>
      <c r="AM176" s="160"/>
      <c r="AN176" s="160"/>
    </row>
    <row r="177" spans="3:40" x14ac:dyDescent="0.3">
      <c r="F177" s="210"/>
      <c r="H177" s="123"/>
      <c r="I177" s="123"/>
      <c r="J177" s="213"/>
      <c r="K177" s="213"/>
      <c r="L177" s="210"/>
      <c r="M177" s="210"/>
      <c r="N177" s="210"/>
      <c r="O177" s="210"/>
      <c r="P177" s="210"/>
      <c r="Q177" s="210"/>
      <c r="R177" s="210"/>
      <c r="V177" s="210"/>
      <c r="Y177" s="123"/>
      <c r="Z177" s="213"/>
      <c r="AA177" s="210"/>
      <c r="AB177" s="210"/>
      <c r="AC177" s="210"/>
      <c r="AD177" s="210"/>
      <c r="AE177" s="210"/>
      <c r="AF177" s="210"/>
      <c r="AI177" s="210"/>
      <c r="AJ177" s="210"/>
      <c r="AK177" s="214"/>
      <c r="AL177" s="210"/>
      <c r="AM177" s="160"/>
      <c r="AN177" s="160"/>
    </row>
    <row r="178" spans="3:40" x14ac:dyDescent="0.3">
      <c r="C178" s="42"/>
      <c r="F178" s="123"/>
      <c r="H178" s="123"/>
      <c r="I178" s="123"/>
      <c r="J178" s="213"/>
      <c r="K178" s="213"/>
      <c r="L178" s="123"/>
      <c r="M178" s="123"/>
      <c r="N178" s="160"/>
      <c r="O178" s="160"/>
      <c r="P178" s="123"/>
      <c r="Q178" s="123"/>
      <c r="R178" s="123"/>
      <c r="T178" s="42"/>
      <c r="V178" s="123"/>
      <c r="Y178" s="123"/>
      <c r="Z178" s="219"/>
      <c r="AA178" s="123"/>
      <c r="AB178" s="123"/>
      <c r="AC178" s="160"/>
      <c r="AD178" s="160"/>
      <c r="AE178" s="123"/>
      <c r="AF178" s="123"/>
      <c r="AH178" s="236"/>
      <c r="AI178" s="123"/>
      <c r="AJ178" s="123"/>
      <c r="AL178" s="123"/>
      <c r="AM178" s="160"/>
      <c r="AN178" s="160"/>
    </row>
    <row r="179" spans="3:40" x14ac:dyDescent="0.3">
      <c r="F179" s="210"/>
      <c r="H179" s="123"/>
      <c r="I179" s="123"/>
      <c r="J179" s="213"/>
      <c r="K179" s="213"/>
      <c r="L179" s="210"/>
      <c r="M179" s="210"/>
      <c r="N179" s="210"/>
      <c r="O179" s="210"/>
      <c r="P179" s="210"/>
      <c r="Q179" s="210"/>
      <c r="R179" s="210"/>
      <c r="V179" s="210"/>
      <c r="Y179" s="123"/>
      <c r="Z179" s="213"/>
      <c r="AA179" s="210"/>
      <c r="AB179" s="210"/>
      <c r="AC179" s="210"/>
      <c r="AD179" s="210"/>
      <c r="AE179" s="210"/>
      <c r="AF179" s="210"/>
      <c r="AI179" s="210"/>
      <c r="AJ179" s="210"/>
      <c r="AK179" s="214"/>
      <c r="AL179" s="210"/>
      <c r="AM179" s="160"/>
      <c r="AN179" s="160"/>
    </row>
    <row r="180" spans="3:40" x14ac:dyDescent="0.3">
      <c r="F180" s="123"/>
      <c r="H180" s="123"/>
      <c r="I180" s="123"/>
      <c r="J180" s="213"/>
      <c r="K180" s="213"/>
      <c r="L180" s="123"/>
      <c r="M180" s="123"/>
      <c r="N180" s="160"/>
      <c r="O180" s="160"/>
      <c r="P180" s="123"/>
      <c r="Q180" s="123"/>
      <c r="R180" s="123"/>
      <c r="V180" s="123"/>
      <c r="Y180" s="123"/>
      <c r="Z180" s="219"/>
      <c r="AA180" s="123"/>
      <c r="AB180" s="123"/>
      <c r="AC180" s="160"/>
      <c r="AD180" s="160"/>
      <c r="AE180" s="123"/>
      <c r="AF180" s="123"/>
      <c r="AH180" s="236"/>
      <c r="AI180" s="123"/>
      <c r="AJ180" s="123"/>
      <c r="AL180" s="123"/>
      <c r="AM180" s="160"/>
      <c r="AN180" s="160"/>
    </row>
    <row r="181" spans="3:40" x14ac:dyDescent="0.3">
      <c r="C181" s="42"/>
      <c r="F181" s="184"/>
      <c r="H181" s="184"/>
      <c r="I181" s="184"/>
      <c r="J181" s="193"/>
      <c r="K181" s="193"/>
      <c r="L181" s="123"/>
      <c r="M181" s="123"/>
      <c r="N181" s="160"/>
      <c r="O181" s="160"/>
      <c r="P181" s="123"/>
      <c r="Q181" s="123"/>
      <c r="R181" s="123"/>
      <c r="T181" s="42"/>
      <c r="V181" s="184"/>
      <c r="Y181" s="123"/>
      <c r="Z181" s="193"/>
      <c r="AA181" s="123"/>
      <c r="AB181" s="123"/>
      <c r="AC181" s="160"/>
      <c r="AD181" s="160"/>
      <c r="AE181" s="123"/>
      <c r="AF181" s="123"/>
      <c r="AG181" s="233"/>
      <c r="AH181" s="234"/>
      <c r="AI181" s="123"/>
      <c r="AJ181" s="123"/>
      <c r="AL181" s="123"/>
      <c r="AM181" s="235"/>
      <c r="AN181" s="235"/>
    </row>
    <row r="182" spans="3:40" x14ac:dyDescent="0.3">
      <c r="C182" s="42"/>
      <c r="F182" s="184"/>
      <c r="H182" s="184"/>
      <c r="I182" s="184"/>
      <c r="J182" s="193"/>
      <c r="K182" s="193"/>
      <c r="L182" s="123"/>
      <c r="M182" s="123"/>
      <c r="N182" s="160"/>
      <c r="O182" s="160"/>
      <c r="P182" s="123"/>
      <c r="Q182" s="123"/>
      <c r="R182" s="123"/>
      <c r="T182" s="42"/>
      <c r="V182" s="184"/>
      <c r="Y182" s="123"/>
      <c r="Z182" s="193"/>
      <c r="AA182" s="123"/>
      <c r="AB182" s="123"/>
      <c r="AC182" s="160"/>
      <c r="AD182" s="160"/>
      <c r="AE182" s="123"/>
      <c r="AF182" s="123"/>
      <c r="AH182" s="236"/>
      <c r="AI182" s="123"/>
      <c r="AJ182" s="123"/>
      <c r="AL182" s="123"/>
      <c r="AM182" s="160"/>
      <c r="AN182" s="160"/>
    </row>
    <row r="183" spans="3:40" x14ac:dyDescent="0.3">
      <c r="F183" s="123"/>
      <c r="H183" s="210"/>
      <c r="I183" s="210"/>
      <c r="J183" s="213"/>
      <c r="K183" s="213"/>
      <c r="L183" s="210"/>
      <c r="M183" s="210"/>
      <c r="N183" s="210"/>
      <c r="O183" s="210"/>
      <c r="P183" s="210"/>
      <c r="Q183" s="210"/>
      <c r="R183" s="210"/>
      <c r="V183" s="123"/>
      <c r="Y183" s="210"/>
      <c r="Z183" s="213"/>
      <c r="AA183" s="210"/>
      <c r="AB183" s="210"/>
      <c r="AC183" s="210"/>
      <c r="AD183" s="210"/>
      <c r="AE183" s="210"/>
      <c r="AF183" s="210"/>
      <c r="AI183" s="210"/>
      <c r="AJ183" s="210"/>
      <c r="AK183" s="214"/>
      <c r="AL183" s="210"/>
      <c r="AM183" s="160"/>
      <c r="AN183" s="160"/>
    </row>
    <row r="184" spans="3:40" x14ac:dyDescent="0.3">
      <c r="C184" s="42"/>
      <c r="F184" s="123"/>
      <c r="H184" s="123"/>
      <c r="I184" s="123"/>
      <c r="J184" s="213"/>
      <c r="K184" s="213"/>
      <c r="L184" s="123"/>
      <c r="M184" s="123"/>
      <c r="N184" s="160"/>
      <c r="O184" s="160"/>
      <c r="P184" s="123"/>
      <c r="Q184" s="123"/>
      <c r="R184" s="123"/>
      <c r="T184" s="42"/>
      <c r="V184" s="123"/>
      <c r="Y184" s="123"/>
      <c r="Z184" s="213"/>
      <c r="AA184" s="123"/>
      <c r="AB184" s="123"/>
      <c r="AC184" s="160"/>
      <c r="AD184" s="160"/>
      <c r="AE184" s="123"/>
      <c r="AF184" s="123"/>
      <c r="AH184" s="236"/>
      <c r="AI184" s="123"/>
      <c r="AJ184" s="123"/>
      <c r="AL184" s="123"/>
      <c r="AM184" s="160"/>
      <c r="AN184" s="160"/>
    </row>
    <row r="185" spans="3:40" x14ac:dyDescent="0.3">
      <c r="F185" s="123"/>
      <c r="H185" s="210"/>
      <c r="I185" s="210"/>
      <c r="J185" s="213"/>
      <c r="K185" s="213"/>
      <c r="L185" s="210"/>
      <c r="M185" s="210"/>
      <c r="N185" s="210"/>
      <c r="O185" s="210"/>
      <c r="P185" s="210"/>
      <c r="Q185" s="210"/>
      <c r="R185" s="210"/>
      <c r="V185" s="123"/>
      <c r="Y185" s="210"/>
      <c r="Z185" s="213"/>
      <c r="AA185" s="210"/>
      <c r="AB185" s="210"/>
      <c r="AC185" s="210"/>
      <c r="AD185" s="210"/>
      <c r="AE185" s="210"/>
      <c r="AF185" s="210"/>
      <c r="AI185" s="210"/>
      <c r="AJ185" s="210"/>
      <c r="AK185" s="214"/>
      <c r="AL185" s="210"/>
      <c r="AM185" s="160"/>
      <c r="AN185" s="160"/>
    </row>
    <row r="186" spans="3:40" x14ac:dyDescent="0.3">
      <c r="F186" s="123"/>
      <c r="H186" s="123"/>
      <c r="I186" s="123"/>
      <c r="J186" s="213"/>
      <c r="K186" s="213"/>
      <c r="L186" s="123"/>
      <c r="M186" s="123"/>
      <c r="N186" s="123"/>
      <c r="O186" s="123"/>
      <c r="P186" s="123"/>
      <c r="Q186" s="123"/>
      <c r="R186" s="123"/>
      <c r="V186" s="123"/>
      <c r="Y186" s="123"/>
      <c r="Z186" s="213"/>
      <c r="AA186" s="123"/>
      <c r="AB186" s="123"/>
      <c r="AC186" s="123"/>
      <c r="AD186" s="123"/>
      <c r="AE186" s="123"/>
      <c r="AF186" s="123"/>
      <c r="AH186" s="236"/>
      <c r="AI186" s="123"/>
      <c r="AJ186" s="123"/>
      <c r="AL186" s="123"/>
      <c r="AM186" s="160"/>
      <c r="AN186" s="160"/>
    </row>
    <row r="187" spans="3:40" x14ac:dyDescent="0.3">
      <c r="C187" s="42"/>
      <c r="F187" s="184"/>
      <c r="H187" s="184"/>
      <c r="I187" s="184"/>
      <c r="J187" s="227"/>
      <c r="K187" s="227"/>
      <c r="L187" s="123"/>
      <c r="M187" s="123"/>
      <c r="N187" s="160"/>
      <c r="O187" s="160"/>
      <c r="P187" s="184"/>
      <c r="Q187" s="184"/>
      <c r="R187" s="123"/>
      <c r="T187" s="42"/>
      <c r="V187" s="184"/>
      <c r="Y187" s="184"/>
      <c r="Z187" s="237"/>
      <c r="AA187" s="123"/>
      <c r="AB187" s="123"/>
      <c r="AC187" s="160"/>
      <c r="AD187" s="160"/>
      <c r="AE187" s="123"/>
      <c r="AF187" s="123"/>
      <c r="AH187" s="236"/>
      <c r="AI187" s="184"/>
      <c r="AJ187" s="184"/>
      <c r="AL187" s="123"/>
      <c r="AM187" s="160"/>
      <c r="AN187" s="160"/>
    </row>
    <row r="188" spans="3:40" x14ac:dyDescent="0.3">
      <c r="C188" s="42"/>
      <c r="F188" s="184"/>
      <c r="H188" s="184"/>
      <c r="I188" s="184"/>
      <c r="J188" s="227"/>
      <c r="K188" s="227"/>
      <c r="L188" s="123"/>
      <c r="M188" s="123"/>
      <c r="N188" s="160"/>
      <c r="O188" s="160"/>
      <c r="P188" s="184"/>
      <c r="Q188" s="184"/>
      <c r="R188" s="123"/>
      <c r="T188" s="42"/>
      <c r="V188" s="184"/>
      <c r="Y188" s="123"/>
      <c r="Z188" s="212"/>
      <c r="AA188" s="123"/>
      <c r="AB188" s="123"/>
      <c r="AC188" s="160"/>
      <c r="AD188" s="160"/>
      <c r="AE188" s="123"/>
      <c r="AF188" s="123"/>
      <c r="AH188" s="236"/>
      <c r="AI188" s="184"/>
      <c r="AJ188" s="184"/>
      <c r="AL188" s="123"/>
      <c r="AM188" s="160"/>
      <c r="AN188" s="160"/>
    </row>
    <row r="189" spans="3:40" x14ac:dyDescent="0.3">
      <c r="C189" s="42"/>
      <c r="F189" s="184"/>
      <c r="H189" s="184"/>
      <c r="I189" s="184"/>
      <c r="J189" s="227"/>
      <c r="K189" s="227"/>
      <c r="L189" s="123"/>
      <c r="M189" s="123"/>
      <c r="N189" s="160"/>
      <c r="O189" s="160"/>
      <c r="P189" s="184"/>
      <c r="Q189" s="184"/>
      <c r="R189" s="123"/>
      <c r="T189" s="42"/>
      <c r="V189" s="184"/>
      <c r="Y189" s="123"/>
      <c r="Z189" s="212"/>
      <c r="AA189" s="123"/>
      <c r="AB189" s="123"/>
      <c r="AC189" s="160"/>
      <c r="AD189" s="160"/>
      <c r="AE189" s="123"/>
      <c r="AF189" s="123"/>
      <c r="AH189" s="236"/>
      <c r="AI189" s="184"/>
      <c r="AJ189" s="184"/>
      <c r="AL189" s="123"/>
      <c r="AM189" s="160"/>
      <c r="AN189" s="160"/>
    </row>
    <row r="190" spans="3:40" x14ac:dyDescent="0.3">
      <c r="F190" s="210"/>
      <c r="H190" s="210"/>
      <c r="I190" s="210"/>
      <c r="J190" s="213"/>
      <c r="K190" s="213"/>
      <c r="L190" s="210"/>
      <c r="M190" s="210"/>
      <c r="N190" s="210"/>
      <c r="O190" s="210"/>
      <c r="P190" s="210"/>
      <c r="Q190" s="210"/>
      <c r="R190" s="210"/>
      <c r="V190" s="210"/>
      <c r="Y190" s="210"/>
      <c r="Z190" s="213"/>
      <c r="AA190" s="210"/>
      <c r="AB190" s="210"/>
      <c r="AC190" s="210"/>
      <c r="AD190" s="210"/>
      <c r="AE190" s="210"/>
      <c r="AF190" s="210"/>
      <c r="AI190" s="210"/>
      <c r="AJ190" s="210"/>
      <c r="AK190" s="214"/>
      <c r="AL190" s="210"/>
      <c r="AM190" s="160"/>
      <c r="AN190" s="160"/>
    </row>
    <row r="191" spans="3:40" x14ac:dyDescent="0.3">
      <c r="C191" s="42"/>
      <c r="F191" s="123"/>
      <c r="H191" s="123"/>
      <c r="I191" s="123"/>
      <c r="J191" s="219"/>
      <c r="K191" s="219"/>
      <c r="L191" s="123"/>
      <c r="M191" s="123"/>
      <c r="N191" s="160"/>
      <c r="O191" s="160"/>
      <c r="P191" s="123"/>
      <c r="Q191" s="123"/>
      <c r="R191" s="123"/>
      <c r="T191" s="42"/>
      <c r="V191" s="123"/>
      <c r="Y191" s="123"/>
      <c r="Z191" s="219"/>
      <c r="AA191" s="123"/>
      <c r="AB191" s="123"/>
      <c r="AC191" s="160"/>
      <c r="AD191" s="160"/>
      <c r="AE191" s="123"/>
      <c r="AF191" s="123"/>
      <c r="AH191" s="236"/>
      <c r="AI191" s="123"/>
      <c r="AJ191" s="123"/>
      <c r="AL191" s="123"/>
      <c r="AM191" s="160"/>
      <c r="AN191" s="160"/>
    </row>
    <row r="192" spans="3:40" x14ac:dyDescent="0.3">
      <c r="F192" s="210"/>
      <c r="H192" s="210"/>
      <c r="I192" s="210"/>
      <c r="J192" s="213"/>
      <c r="K192" s="213"/>
      <c r="L192" s="210"/>
      <c r="M192" s="210"/>
      <c r="N192" s="210"/>
      <c r="O192" s="210"/>
      <c r="P192" s="210"/>
      <c r="Q192" s="210"/>
      <c r="R192" s="210"/>
      <c r="V192" s="210"/>
      <c r="Y192" s="210"/>
      <c r="Z192" s="213"/>
      <c r="AA192" s="210"/>
      <c r="AB192" s="210"/>
      <c r="AC192" s="210"/>
      <c r="AD192" s="210"/>
      <c r="AE192" s="210"/>
      <c r="AF192" s="210"/>
      <c r="AI192" s="210"/>
      <c r="AJ192" s="210"/>
      <c r="AK192" s="214"/>
      <c r="AL192" s="210"/>
      <c r="AM192" s="160"/>
      <c r="AN192" s="160"/>
    </row>
    <row r="193" spans="1:40" x14ac:dyDescent="0.3">
      <c r="C193" s="42"/>
      <c r="F193" s="123"/>
      <c r="H193" s="123"/>
      <c r="I193" s="123"/>
      <c r="J193" s="219"/>
      <c r="K193" s="219"/>
      <c r="L193" s="123"/>
      <c r="M193" s="123"/>
      <c r="N193" s="160"/>
      <c r="O193" s="160"/>
      <c r="P193" s="123"/>
      <c r="Q193" s="123"/>
      <c r="R193" s="123"/>
      <c r="T193" s="42"/>
      <c r="V193" s="123"/>
      <c r="Y193" s="123"/>
      <c r="Z193" s="219"/>
      <c r="AA193" s="123"/>
      <c r="AB193" s="123"/>
      <c r="AC193" s="160"/>
      <c r="AD193" s="160"/>
      <c r="AE193" s="123"/>
      <c r="AF193" s="123"/>
      <c r="AH193" s="236"/>
      <c r="AI193" s="123"/>
      <c r="AJ193" s="123"/>
      <c r="AL193" s="123"/>
      <c r="AM193" s="160"/>
      <c r="AN193" s="160"/>
    </row>
    <row r="194" spans="1:40" x14ac:dyDescent="0.3">
      <c r="C194" s="42"/>
      <c r="F194" s="123"/>
      <c r="H194" s="123"/>
      <c r="I194" s="123"/>
      <c r="J194" s="219"/>
      <c r="K194" s="219"/>
      <c r="L194" s="123"/>
      <c r="M194" s="123"/>
      <c r="N194" s="160"/>
      <c r="O194" s="160"/>
      <c r="P194" s="123"/>
      <c r="Q194" s="123"/>
      <c r="R194" s="123"/>
      <c r="T194" s="42"/>
      <c r="V194" s="123"/>
      <c r="Y194" s="123"/>
      <c r="Z194" s="219"/>
      <c r="AA194" s="123"/>
      <c r="AB194" s="123"/>
      <c r="AC194" s="160"/>
      <c r="AD194" s="160"/>
      <c r="AE194" s="123"/>
      <c r="AF194" s="123"/>
      <c r="AH194" s="236"/>
      <c r="AI194" s="123"/>
      <c r="AJ194" s="123"/>
      <c r="AL194" s="123"/>
      <c r="AM194" s="160"/>
      <c r="AN194" s="160"/>
    </row>
    <row r="195" spans="1:40" x14ac:dyDescent="0.3">
      <c r="F195" s="210"/>
      <c r="H195" s="210"/>
      <c r="I195" s="210"/>
      <c r="J195" s="213"/>
      <c r="K195" s="213"/>
      <c r="L195" s="210"/>
      <c r="M195" s="210"/>
      <c r="N195" s="210"/>
      <c r="O195" s="210"/>
      <c r="P195" s="210"/>
      <c r="Q195" s="210"/>
      <c r="R195" s="210"/>
      <c r="V195" s="210"/>
      <c r="Y195" s="210"/>
      <c r="Z195" s="213"/>
      <c r="AA195" s="210"/>
      <c r="AB195" s="210"/>
      <c r="AC195" s="210"/>
      <c r="AD195" s="210"/>
      <c r="AE195" s="210"/>
      <c r="AF195" s="210"/>
      <c r="AI195" s="210"/>
      <c r="AJ195" s="210"/>
      <c r="AK195" s="214"/>
      <c r="AL195" s="210"/>
      <c r="AM195" s="123"/>
      <c r="AN195" s="123"/>
    </row>
    <row r="196" spans="1:40" x14ac:dyDescent="0.3">
      <c r="F196" s="123"/>
      <c r="H196" s="123"/>
      <c r="I196" s="123"/>
      <c r="J196" s="219"/>
      <c r="K196" s="219"/>
      <c r="L196" s="123"/>
      <c r="M196" s="123"/>
      <c r="N196" s="123"/>
      <c r="O196" s="123"/>
      <c r="P196" s="123"/>
      <c r="Q196" s="123"/>
      <c r="R196" s="123"/>
      <c r="V196" s="123"/>
      <c r="Y196" s="123"/>
      <c r="Z196" s="219"/>
      <c r="AA196" s="123"/>
      <c r="AB196" s="123"/>
      <c r="AC196" s="123"/>
      <c r="AD196" s="123"/>
    </row>
    <row r="197" spans="1:40" x14ac:dyDescent="0.3">
      <c r="C197" s="42"/>
      <c r="F197" s="123"/>
      <c r="H197" s="123"/>
      <c r="I197" s="123"/>
      <c r="J197" s="219"/>
      <c r="K197" s="219"/>
      <c r="L197" s="123"/>
      <c r="M197" s="123"/>
      <c r="N197" s="123"/>
      <c r="O197" s="123"/>
      <c r="P197" s="123"/>
      <c r="Q197" s="123"/>
      <c r="R197" s="123"/>
      <c r="T197" s="42"/>
      <c r="V197" s="123"/>
      <c r="Y197" s="123"/>
      <c r="Z197" s="219"/>
      <c r="AA197" s="123"/>
      <c r="AB197" s="123"/>
      <c r="AC197" s="123"/>
      <c r="AD197" s="123"/>
    </row>
    <row r="198" spans="1:40" x14ac:dyDescent="0.3">
      <c r="A198" s="42"/>
    </row>
    <row r="200" spans="1:40" x14ac:dyDescent="0.3">
      <c r="H200" s="42"/>
      <c r="I200" s="42"/>
      <c r="Y200" s="42"/>
    </row>
    <row r="202" spans="1:40" x14ac:dyDescent="0.3">
      <c r="L202" s="42"/>
      <c r="M202" s="42"/>
      <c r="AA202" s="42"/>
      <c r="AB202" s="42"/>
    </row>
    <row r="203" spans="1:40" x14ac:dyDescent="0.3">
      <c r="R203" s="42"/>
      <c r="AK203" s="206"/>
      <c r="AL203" s="42"/>
    </row>
    <row r="204" spans="1:40" x14ac:dyDescent="0.3">
      <c r="R204" s="42"/>
      <c r="AK204" s="206"/>
      <c r="AL204" s="42"/>
    </row>
    <row r="205" spans="1:40" x14ac:dyDescent="0.3">
      <c r="A205" s="42"/>
      <c r="R205" s="42"/>
      <c r="AK205" s="206"/>
      <c r="AL205" s="42"/>
    </row>
    <row r="206" spans="1:40" x14ac:dyDescent="0.3">
      <c r="L206" s="42"/>
      <c r="M206" s="42"/>
      <c r="AA206" s="42"/>
      <c r="AB206" s="42"/>
    </row>
    <row r="207" spans="1:40" x14ac:dyDescent="0.3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207"/>
      <c r="AH207" s="135"/>
      <c r="AI207" s="135"/>
      <c r="AJ207" s="135"/>
      <c r="AK207" s="207"/>
      <c r="AL207" s="135"/>
      <c r="AM207" s="135"/>
      <c r="AN207" s="135"/>
    </row>
    <row r="208" spans="1:40" x14ac:dyDescent="0.3">
      <c r="L208" s="44"/>
      <c r="M208" s="44"/>
      <c r="N208" s="44"/>
      <c r="O208" s="44"/>
      <c r="R208" s="44"/>
      <c r="AA208" s="44"/>
      <c r="AB208" s="44"/>
      <c r="AC208" s="44"/>
      <c r="AD208" s="44"/>
      <c r="AE208" s="44"/>
      <c r="AF208" s="44"/>
      <c r="AG208" s="168"/>
      <c r="AH208" s="44"/>
      <c r="AK208" s="168"/>
      <c r="AL208" s="44"/>
      <c r="AM208" s="44"/>
      <c r="AN208" s="44"/>
    </row>
    <row r="209" spans="1:40" x14ac:dyDescent="0.3">
      <c r="L209" s="44"/>
      <c r="M209" s="44"/>
      <c r="N209" s="44"/>
      <c r="O209" s="44"/>
      <c r="R209" s="44"/>
      <c r="Z209" s="44"/>
      <c r="AA209" s="44"/>
      <c r="AB209" s="44"/>
      <c r="AC209" s="44"/>
      <c r="AD209" s="44"/>
      <c r="AE209" s="44"/>
      <c r="AF209" s="44"/>
      <c r="AG209" s="168"/>
      <c r="AH209" s="44"/>
      <c r="AK209" s="168"/>
      <c r="AL209" s="44"/>
      <c r="AM209" s="44"/>
      <c r="AN209" s="44"/>
    </row>
    <row r="210" spans="1:40" x14ac:dyDescent="0.3">
      <c r="A210" s="44"/>
      <c r="C210" s="44"/>
      <c r="D210" s="44"/>
      <c r="E210" s="44"/>
      <c r="F210" s="44"/>
      <c r="J210" s="44"/>
      <c r="K210" s="44"/>
      <c r="L210" s="44"/>
      <c r="M210" s="44"/>
      <c r="N210" s="44"/>
      <c r="O210" s="44"/>
      <c r="P210" s="44"/>
      <c r="Q210" s="44"/>
      <c r="R210" s="44"/>
      <c r="T210" s="44"/>
      <c r="U210" s="44"/>
      <c r="V210" s="44"/>
      <c r="Z210" s="44"/>
      <c r="AA210" s="44"/>
      <c r="AB210" s="44"/>
      <c r="AC210" s="44"/>
      <c r="AD210" s="44"/>
      <c r="AE210" s="44"/>
      <c r="AF210" s="44"/>
      <c r="AG210" s="168"/>
      <c r="AH210" s="44"/>
      <c r="AI210" s="44"/>
      <c r="AJ210" s="44"/>
      <c r="AK210" s="168"/>
      <c r="AL210" s="44"/>
      <c r="AM210" s="44"/>
      <c r="AN210" s="44"/>
    </row>
    <row r="211" spans="1:40" x14ac:dyDescent="0.3">
      <c r="A211" s="44"/>
      <c r="C211" s="44"/>
      <c r="D211" s="44"/>
      <c r="E211" s="44"/>
      <c r="F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T211" s="44"/>
      <c r="U211" s="44"/>
      <c r="V211" s="44"/>
      <c r="Y211" s="44"/>
      <c r="Z211" s="44"/>
      <c r="AA211" s="44"/>
      <c r="AB211" s="44"/>
      <c r="AC211" s="44"/>
      <c r="AD211" s="44"/>
      <c r="AE211" s="44"/>
      <c r="AF211" s="44"/>
      <c r="AG211" s="168"/>
      <c r="AH211" s="44"/>
      <c r="AI211" s="44"/>
      <c r="AJ211" s="44"/>
      <c r="AK211" s="168"/>
      <c r="AL211" s="44"/>
      <c r="AM211" s="44"/>
      <c r="AN211" s="44"/>
    </row>
    <row r="212" spans="1:40" x14ac:dyDescent="0.3">
      <c r="C212" s="44"/>
      <c r="D212" s="44"/>
      <c r="E212" s="44"/>
      <c r="F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T212" s="44"/>
      <c r="U212" s="44"/>
      <c r="V212" s="44"/>
      <c r="Y212" s="44"/>
      <c r="Z212" s="44"/>
      <c r="AA212" s="44"/>
      <c r="AB212" s="44"/>
      <c r="AC212" s="44"/>
      <c r="AD212" s="44"/>
      <c r="AE212" s="44"/>
      <c r="AF212" s="44"/>
      <c r="AG212" s="168"/>
      <c r="AH212" s="44"/>
      <c r="AI212" s="44"/>
      <c r="AJ212" s="44"/>
      <c r="AK212" s="168"/>
      <c r="AL212" s="44"/>
      <c r="AM212" s="44"/>
      <c r="AN212" s="44"/>
    </row>
    <row r="213" spans="1:40" x14ac:dyDescent="0.3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207"/>
      <c r="AH213" s="135"/>
      <c r="AI213" s="135"/>
      <c r="AJ213" s="135"/>
      <c r="AK213" s="207"/>
      <c r="AL213" s="135"/>
      <c r="AM213" s="135"/>
      <c r="AN213" s="135"/>
    </row>
    <row r="214" spans="1:40" x14ac:dyDescent="0.3"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Y214" s="44"/>
      <c r="Z214" s="44"/>
      <c r="AA214" s="44"/>
      <c r="AB214" s="44"/>
      <c r="AC214" s="44"/>
      <c r="AD214" s="44"/>
      <c r="AE214" s="44"/>
      <c r="AF214" s="44"/>
      <c r="AG214" s="168"/>
      <c r="AH214" s="44"/>
      <c r="AI214" s="44"/>
      <c r="AJ214" s="44"/>
      <c r="AK214" s="168"/>
      <c r="AL214" s="44"/>
      <c r="AM214" s="44"/>
      <c r="AN214" s="44"/>
    </row>
    <row r="215" spans="1:40" x14ac:dyDescent="0.3">
      <c r="C215" s="42"/>
      <c r="D215" s="42"/>
      <c r="E215" s="42"/>
      <c r="T215" s="42"/>
      <c r="U215" s="42"/>
    </row>
    <row r="217" spans="1:40" x14ac:dyDescent="0.3">
      <c r="C217" s="42"/>
      <c r="F217" s="184"/>
      <c r="H217" s="222"/>
      <c r="I217" s="222"/>
      <c r="J217" s="193"/>
      <c r="K217" s="193"/>
      <c r="L217" s="123"/>
      <c r="M217" s="123"/>
      <c r="R217" s="123"/>
      <c r="T217" s="42"/>
      <c r="V217" s="123"/>
      <c r="Z217" s="193"/>
      <c r="AA217" s="123"/>
      <c r="AB217" s="123"/>
      <c r="AE217" s="123"/>
      <c r="AF217" s="123"/>
      <c r="AG217" s="233"/>
      <c r="AH217" s="234"/>
      <c r="AI217" s="123"/>
      <c r="AJ217" s="123"/>
      <c r="AL217" s="123"/>
      <c r="AM217" s="235"/>
      <c r="AN217" s="235"/>
    </row>
    <row r="218" spans="1:40" x14ac:dyDescent="0.3">
      <c r="F218" s="184"/>
      <c r="H218" s="222"/>
      <c r="I218" s="222"/>
      <c r="J218" s="222"/>
      <c r="K218" s="222"/>
      <c r="R218" s="123"/>
      <c r="V218" s="123"/>
      <c r="Z218" s="222"/>
    </row>
    <row r="219" spans="1:40" x14ac:dyDescent="0.3">
      <c r="C219" s="42"/>
      <c r="F219" s="184"/>
      <c r="H219" s="184"/>
      <c r="I219" s="184"/>
      <c r="J219" s="227"/>
      <c r="K219" s="227"/>
      <c r="L219" s="123"/>
      <c r="M219" s="123"/>
      <c r="N219" s="160"/>
      <c r="O219" s="160"/>
      <c r="P219" s="184"/>
      <c r="Q219" s="184"/>
      <c r="R219" s="123"/>
      <c r="T219" s="42"/>
      <c r="V219" s="123"/>
      <c r="Y219" s="123"/>
      <c r="Z219" s="212"/>
      <c r="AA219" s="123"/>
      <c r="AB219" s="123"/>
      <c r="AC219" s="160"/>
      <c r="AD219" s="160"/>
      <c r="AE219" s="123"/>
      <c r="AF219" s="123"/>
      <c r="AH219" s="236"/>
      <c r="AI219" s="184"/>
      <c r="AJ219" s="184"/>
      <c r="AL219" s="123"/>
      <c r="AM219" s="160"/>
      <c r="AN219" s="160"/>
    </row>
    <row r="220" spans="1:40" x14ac:dyDescent="0.3">
      <c r="F220" s="210"/>
      <c r="H220" s="210"/>
      <c r="I220" s="210"/>
      <c r="J220" s="213"/>
      <c r="K220" s="213"/>
      <c r="L220" s="210"/>
      <c r="M220" s="210"/>
      <c r="N220" s="210"/>
      <c r="O220" s="210"/>
      <c r="P220" s="210"/>
      <c r="Q220" s="210"/>
      <c r="R220" s="210"/>
      <c r="V220" s="210"/>
      <c r="Y220" s="210"/>
      <c r="Z220" s="213"/>
      <c r="AA220" s="210"/>
      <c r="AB220" s="210"/>
      <c r="AC220" s="210"/>
      <c r="AD220" s="210"/>
      <c r="AE220" s="210"/>
      <c r="AF220" s="210"/>
      <c r="AI220" s="210"/>
      <c r="AJ220" s="210"/>
      <c r="AK220" s="214"/>
      <c r="AL220" s="210"/>
    </row>
    <row r="221" spans="1:40" x14ac:dyDescent="0.3">
      <c r="D221" s="42"/>
      <c r="E221" s="42"/>
      <c r="F221" s="123"/>
      <c r="H221" s="123"/>
      <c r="I221" s="123"/>
      <c r="J221" s="219"/>
      <c r="K221" s="219"/>
      <c r="L221" s="123"/>
      <c r="M221" s="123"/>
      <c r="N221" s="160"/>
      <c r="O221" s="160"/>
      <c r="P221" s="123"/>
      <c r="Q221" s="123"/>
      <c r="R221" s="123"/>
      <c r="U221" s="42"/>
      <c r="V221" s="123"/>
      <c r="Y221" s="123"/>
      <c r="Z221" s="219"/>
      <c r="AA221" s="123"/>
      <c r="AB221" s="123"/>
      <c r="AC221" s="160"/>
      <c r="AD221" s="160"/>
      <c r="AE221" s="123"/>
      <c r="AF221" s="123"/>
      <c r="AH221" s="236"/>
      <c r="AI221" s="123"/>
      <c r="AJ221" s="123"/>
      <c r="AL221" s="123"/>
      <c r="AM221" s="160"/>
      <c r="AN221" s="160"/>
    </row>
    <row r="222" spans="1:40" x14ac:dyDescent="0.3">
      <c r="F222" s="210"/>
      <c r="H222" s="210"/>
      <c r="I222" s="210"/>
      <c r="J222" s="213"/>
      <c r="K222" s="213"/>
      <c r="L222" s="210"/>
      <c r="M222" s="210"/>
      <c r="N222" s="210"/>
      <c r="O222" s="210"/>
      <c r="P222" s="210"/>
      <c r="Q222" s="210"/>
      <c r="R222" s="210"/>
      <c r="V222" s="210"/>
      <c r="Y222" s="210"/>
      <c r="Z222" s="213"/>
      <c r="AA222" s="210"/>
      <c r="AB222" s="210"/>
      <c r="AC222" s="210"/>
      <c r="AD222" s="210"/>
      <c r="AE222" s="210"/>
      <c r="AF222" s="210"/>
      <c r="AI222" s="210"/>
      <c r="AJ222" s="210"/>
      <c r="AK222" s="214"/>
      <c r="AL222" s="210"/>
    </row>
    <row r="223" spans="1:40" x14ac:dyDescent="0.3">
      <c r="R223" s="123"/>
    </row>
    <row r="224" spans="1:40" x14ac:dyDescent="0.3">
      <c r="R224" s="123"/>
    </row>
    <row r="225" spans="1:40" x14ac:dyDescent="0.3">
      <c r="R225" s="123"/>
    </row>
    <row r="226" spans="1:40" x14ac:dyDescent="0.3">
      <c r="C226" s="42"/>
      <c r="D226" s="42"/>
      <c r="E226" s="42"/>
      <c r="H226" s="123"/>
      <c r="I226" s="123"/>
      <c r="J226" s="219"/>
      <c r="K226" s="219"/>
      <c r="L226" s="123"/>
      <c r="M226" s="123"/>
      <c r="N226" s="160"/>
      <c r="O226" s="160"/>
      <c r="P226" s="123"/>
      <c r="Q226" s="123"/>
      <c r="R226" s="123"/>
      <c r="T226" s="42"/>
      <c r="U226" s="42"/>
      <c r="Y226" s="123"/>
      <c r="Z226" s="219"/>
      <c r="AA226" s="123"/>
      <c r="AB226" s="123"/>
      <c r="AC226" s="160"/>
      <c r="AD226" s="160"/>
    </row>
    <row r="227" spans="1:40" x14ac:dyDescent="0.3">
      <c r="H227" s="123"/>
      <c r="I227" s="123"/>
      <c r="J227" s="219"/>
      <c r="K227" s="219"/>
      <c r="L227" s="123"/>
      <c r="M227" s="123"/>
      <c r="N227" s="160"/>
      <c r="O227" s="160"/>
      <c r="P227" s="123"/>
      <c r="Q227" s="123"/>
      <c r="R227" s="123"/>
      <c r="Y227" s="123"/>
      <c r="Z227" s="219"/>
      <c r="AA227" s="123"/>
      <c r="AB227" s="123"/>
      <c r="AC227" s="160"/>
      <c r="AD227" s="160"/>
    </row>
    <row r="228" spans="1:40" x14ac:dyDescent="0.3">
      <c r="C228" s="42"/>
      <c r="F228" s="184"/>
      <c r="H228" s="184"/>
      <c r="I228" s="184"/>
      <c r="J228" s="240"/>
      <c r="K228" s="240"/>
      <c r="L228" s="184"/>
      <c r="M228" s="184"/>
      <c r="N228" s="160"/>
      <c r="O228" s="160"/>
      <c r="P228" s="123"/>
      <c r="Q228" s="123"/>
      <c r="R228" s="123"/>
      <c r="T228" s="42"/>
      <c r="V228" s="123"/>
      <c r="Y228" s="123"/>
      <c r="Z228" s="240"/>
      <c r="AA228" s="123"/>
      <c r="AB228" s="123"/>
      <c r="AC228" s="160"/>
      <c r="AD228" s="160"/>
      <c r="AE228" s="123"/>
      <c r="AF228" s="123"/>
      <c r="AH228" s="236"/>
      <c r="AI228" s="123"/>
      <c r="AJ228" s="123"/>
      <c r="AL228" s="123"/>
      <c r="AM228" s="160"/>
      <c r="AN228" s="160"/>
    </row>
    <row r="229" spans="1:40" x14ac:dyDescent="0.3">
      <c r="F229" s="184"/>
      <c r="H229" s="222"/>
      <c r="I229" s="222"/>
      <c r="J229" s="222"/>
      <c r="K229" s="222"/>
      <c r="R229" s="123"/>
      <c r="V229" s="123"/>
      <c r="Z229" s="222"/>
    </row>
    <row r="230" spans="1:40" x14ac:dyDescent="0.3">
      <c r="C230" s="42"/>
      <c r="F230" s="184"/>
      <c r="H230" s="184"/>
      <c r="I230" s="184"/>
      <c r="J230" s="193"/>
      <c r="K230" s="193"/>
      <c r="L230" s="123"/>
      <c r="M230" s="123"/>
      <c r="N230" s="160"/>
      <c r="O230" s="160"/>
      <c r="P230" s="123"/>
      <c r="Q230" s="123"/>
      <c r="R230" s="123"/>
      <c r="T230" s="42"/>
      <c r="V230" s="123"/>
      <c r="Y230" s="123"/>
      <c r="Z230" s="193"/>
      <c r="AA230" s="123"/>
      <c r="AB230" s="123"/>
      <c r="AC230" s="160"/>
      <c r="AD230" s="160"/>
      <c r="AE230" s="123"/>
      <c r="AF230" s="123"/>
      <c r="AH230" s="236"/>
      <c r="AI230" s="123"/>
      <c r="AJ230" s="123"/>
      <c r="AL230" s="123"/>
      <c r="AM230" s="160"/>
      <c r="AN230" s="160"/>
    </row>
    <row r="231" spans="1:40" x14ac:dyDescent="0.3">
      <c r="F231" s="184"/>
      <c r="H231" s="222"/>
      <c r="I231" s="222"/>
      <c r="J231" s="222"/>
      <c r="K231" s="222"/>
      <c r="R231" s="123"/>
      <c r="V231" s="123"/>
      <c r="Z231" s="222"/>
    </row>
    <row r="232" spans="1:40" x14ac:dyDescent="0.3">
      <c r="C232" s="42"/>
      <c r="F232" s="184"/>
      <c r="H232" s="184"/>
      <c r="I232" s="184"/>
      <c r="J232" s="227"/>
      <c r="K232" s="227"/>
      <c r="L232" s="123"/>
      <c r="M232" s="123"/>
      <c r="N232" s="160"/>
      <c r="O232" s="160"/>
      <c r="P232" s="123"/>
      <c r="Q232" s="123"/>
      <c r="R232" s="123"/>
      <c r="T232" s="42"/>
      <c r="V232" s="123"/>
      <c r="Y232" s="123"/>
      <c r="Z232" s="212"/>
      <c r="AA232" s="123"/>
      <c r="AB232" s="123"/>
      <c r="AC232" s="160"/>
      <c r="AD232" s="160"/>
      <c r="AE232" s="123"/>
      <c r="AF232" s="123"/>
      <c r="AH232" s="236"/>
      <c r="AI232" s="123"/>
      <c r="AJ232" s="123"/>
      <c r="AL232" s="123"/>
      <c r="AM232" s="160"/>
      <c r="AN232" s="160"/>
    </row>
    <row r="233" spans="1:40" x14ac:dyDescent="0.3">
      <c r="F233" s="210"/>
      <c r="H233" s="210"/>
      <c r="I233" s="210"/>
      <c r="J233" s="213"/>
      <c r="K233" s="213"/>
      <c r="L233" s="210"/>
      <c r="M233" s="210"/>
      <c r="N233" s="210"/>
      <c r="O233" s="210"/>
      <c r="P233" s="210"/>
      <c r="Q233" s="210"/>
      <c r="R233" s="210"/>
      <c r="S233" s="123"/>
      <c r="V233" s="210"/>
      <c r="Y233" s="210"/>
      <c r="Z233" s="213"/>
      <c r="AA233" s="210"/>
      <c r="AB233" s="210"/>
      <c r="AC233" s="210"/>
      <c r="AD233" s="210"/>
      <c r="AE233" s="210"/>
      <c r="AF233" s="210"/>
      <c r="AI233" s="210"/>
      <c r="AJ233" s="210"/>
      <c r="AK233" s="214"/>
      <c r="AL233" s="210"/>
    </row>
    <row r="234" spans="1:40" x14ac:dyDescent="0.3">
      <c r="D234" s="42"/>
      <c r="E234" s="42"/>
      <c r="F234" s="123"/>
      <c r="H234" s="123"/>
      <c r="I234" s="123"/>
      <c r="J234" s="219"/>
      <c r="K234" s="219"/>
      <c r="L234" s="123"/>
      <c r="M234" s="123"/>
      <c r="N234" s="160"/>
      <c r="O234" s="160"/>
      <c r="P234" s="184"/>
      <c r="Q234" s="184"/>
      <c r="R234" s="123"/>
      <c r="S234" s="123"/>
      <c r="U234" s="42"/>
      <c r="V234" s="123"/>
      <c r="Y234" s="123"/>
      <c r="Z234" s="219"/>
      <c r="AA234" s="123"/>
      <c r="AB234" s="123"/>
      <c r="AC234" s="160"/>
      <c r="AD234" s="160"/>
      <c r="AE234" s="123"/>
      <c r="AF234" s="123"/>
      <c r="AH234" s="236"/>
      <c r="AI234" s="184"/>
      <c r="AJ234" s="184"/>
      <c r="AL234" s="123"/>
      <c r="AM234" s="160"/>
      <c r="AN234" s="160"/>
    </row>
    <row r="235" spans="1:40" x14ac:dyDescent="0.3">
      <c r="F235" s="210"/>
      <c r="H235" s="210"/>
      <c r="I235" s="210"/>
      <c r="J235" s="213"/>
      <c r="K235" s="213"/>
      <c r="L235" s="210"/>
      <c r="M235" s="210"/>
      <c r="N235" s="210"/>
      <c r="O235" s="210"/>
      <c r="P235" s="210"/>
      <c r="Q235" s="210"/>
      <c r="R235" s="210"/>
      <c r="S235" s="123"/>
      <c r="V235" s="210"/>
      <c r="Y235" s="210"/>
      <c r="Z235" s="213"/>
      <c r="AA235" s="210"/>
      <c r="AB235" s="210"/>
      <c r="AC235" s="210"/>
      <c r="AD235" s="210"/>
      <c r="AE235" s="210"/>
      <c r="AF235" s="210"/>
      <c r="AI235" s="210"/>
      <c r="AJ235" s="210"/>
      <c r="AK235" s="214"/>
      <c r="AL235" s="210"/>
    </row>
    <row r="236" spans="1:40" x14ac:dyDescent="0.3">
      <c r="R236" s="123"/>
    </row>
    <row r="237" spans="1:40" x14ac:dyDescent="0.3">
      <c r="F237" s="123"/>
      <c r="H237" s="123"/>
      <c r="I237" s="123"/>
      <c r="J237" s="219"/>
      <c r="K237" s="219"/>
      <c r="L237" s="123"/>
      <c r="M237" s="123"/>
      <c r="N237" s="123"/>
      <c r="O237" s="123"/>
      <c r="P237" s="123"/>
      <c r="Q237" s="123"/>
      <c r="R237" s="123"/>
      <c r="V237" s="123"/>
      <c r="Y237" s="123"/>
      <c r="Z237" s="219"/>
      <c r="AA237" s="123"/>
      <c r="AB237" s="123"/>
      <c r="AC237" s="123"/>
      <c r="AD237" s="123"/>
    </row>
    <row r="238" spans="1:40" x14ac:dyDescent="0.3">
      <c r="C238" s="42"/>
      <c r="F238" s="123"/>
      <c r="H238" s="123"/>
      <c r="I238" s="123"/>
      <c r="J238" s="219"/>
      <c r="K238" s="219"/>
      <c r="L238" s="123"/>
      <c r="M238" s="123"/>
      <c r="N238" s="123"/>
      <c r="O238" s="123"/>
      <c r="P238" s="123"/>
      <c r="Q238" s="123"/>
      <c r="R238" s="123"/>
      <c r="T238" s="42"/>
      <c r="V238" s="123"/>
      <c r="Y238" s="123"/>
      <c r="Z238" s="219"/>
      <c r="AA238" s="123"/>
      <c r="AB238" s="123"/>
      <c r="AC238" s="123"/>
      <c r="AD238" s="123"/>
    </row>
    <row r="239" spans="1:40" x14ac:dyDescent="0.3">
      <c r="C239" s="42"/>
      <c r="T239" s="42"/>
    </row>
    <row r="240" spans="1:40" x14ac:dyDescent="0.3">
      <c r="A240" s="42"/>
    </row>
    <row r="243" spans="1:40" x14ac:dyDescent="0.3">
      <c r="H243" s="42"/>
      <c r="I243" s="42"/>
      <c r="Y243" s="42"/>
    </row>
    <row r="245" spans="1:40" x14ac:dyDescent="0.3">
      <c r="L245" s="42"/>
      <c r="M245" s="42"/>
      <c r="AA245" s="42"/>
      <c r="AB245" s="42"/>
    </row>
    <row r="246" spans="1:40" x14ac:dyDescent="0.3">
      <c r="R246" s="42"/>
      <c r="AK246" s="206"/>
      <c r="AL246" s="42"/>
    </row>
    <row r="247" spans="1:40" x14ac:dyDescent="0.3">
      <c r="R247" s="42"/>
      <c r="AK247" s="206"/>
      <c r="AL247" s="42"/>
    </row>
    <row r="248" spans="1:40" x14ac:dyDescent="0.3">
      <c r="A248" s="42"/>
      <c r="R248" s="42"/>
      <c r="AK248" s="206"/>
      <c r="AL248" s="42"/>
    </row>
    <row r="249" spans="1:40" x14ac:dyDescent="0.3">
      <c r="L249" s="42"/>
      <c r="M249" s="42"/>
      <c r="AA249" s="42"/>
      <c r="AB249" s="42"/>
    </row>
    <row r="250" spans="1:40" x14ac:dyDescent="0.3">
      <c r="A250" s="135"/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207"/>
      <c r="AH250" s="135"/>
      <c r="AI250" s="135"/>
      <c r="AJ250" s="135"/>
      <c r="AK250" s="207"/>
      <c r="AL250" s="135"/>
      <c r="AM250" s="135"/>
      <c r="AN250" s="135"/>
    </row>
    <row r="251" spans="1:40" x14ac:dyDescent="0.3">
      <c r="L251" s="44"/>
      <c r="M251" s="44"/>
      <c r="N251" s="44"/>
      <c r="O251" s="44"/>
      <c r="R251" s="44"/>
      <c r="AA251" s="44"/>
      <c r="AB251" s="44"/>
      <c r="AC251" s="44"/>
      <c r="AD251" s="44"/>
      <c r="AE251" s="44"/>
      <c r="AF251" s="44"/>
      <c r="AG251" s="168"/>
      <c r="AH251" s="44"/>
      <c r="AK251" s="168"/>
      <c r="AL251" s="44"/>
      <c r="AM251" s="44"/>
      <c r="AN251" s="44"/>
    </row>
    <row r="252" spans="1:40" x14ac:dyDescent="0.3">
      <c r="L252" s="44"/>
      <c r="M252" s="44"/>
      <c r="N252" s="44"/>
      <c r="O252" s="44"/>
      <c r="R252" s="44"/>
      <c r="Z252" s="44"/>
      <c r="AA252" s="44"/>
      <c r="AB252" s="44"/>
      <c r="AC252" s="44"/>
      <c r="AD252" s="44"/>
      <c r="AE252" s="44"/>
      <c r="AF252" s="44"/>
      <c r="AG252" s="168"/>
      <c r="AH252" s="44"/>
      <c r="AK252" s="168"/>
      <c r="AL252" s="44"/>
      <c r="AM252" s="44"/>
      <c r="AN252" s="44"/>
    </row>
    <row r="253" spans="1:40" x14ac:dyDescent="0.3">
      <c r="A253" s="44"/>
      <c r="C253" s="44"/>
      <c r="D253" s="44"/>
      <c r="E253" s="44"/>
      <c r="F253" s="44"/>
      <c r="J253" s="44"/>
      <c r="K253" s="44"/>
      <c r="L253" s="44"/>
      <c r="M253" s="44"/>
      <c r="N253" s="44"/>
      <c r="O253" s="44"/>
      <c r="P253" s="44"/>
      <c r="Q253" s="44"/>
      <c r="R253" s="44"/>
      <c r="T253" s="44"/>
      <c r="U253" s="44"/>
      <c r="V253" s="44"/>
      <c r="Z253" s="44"/>
      <c r="AA253" s="44"/>
      <c r="AB253" s="44"/>
      <c r="AC253" s="44"/>
      <c r="AD253" s="44"/>
      <c r="AE253" s="44"/>
      <c r="AF253" s="44"/>
      <c r="AG253" s="168"/>
      <c r="AH253" s="44"/>
      <c r="AI253" s="44"/>
      <c r="AJ253" s="44"/>
      <c r="AK253" s="168"/>
      <c r="AL253" s="44"/>
      <c r="AM253" s="44"/>
      <c r="AN253" s="44"/>
    </row>
    <row r="254" spans="1:40" x14ac:dyDescent="0.3">
      <c r="A254" s="44"/>
      <c r="C254" s="44"/>
      <c r="D254" s="44"/>
      <c r="E254" s="44"/>
      <c r="F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T254" s="44"/>
      <c r="U254" s="44"/>
      <c r="V254" s="44"/>
      <c r="Y254" s="44"/>
      <c r="Z254" s="44"/>
      <c r="AA254" s="44"/>
      <c r="AB254" s="44"/>
      <c r="AC254" s="44"/>
      <c r="AD254" s="44"/>
      <c r="AE254" s="44"/>
      <c r="AF254" s="44"/>
      <c r="AG254" s="168"/>
      <c r="AH254" s="44"/>
      <c r="AI254" s="44"/>
      <c r="AJ254" s="44"/>
      <c r="AK254" s="168"/>
      <c r="AL254" s="44"/>
      <c r="AM254" s="44"/>
      <c r="AN254" s="44"/>
    </row>
    <row r="255" spans="1:40" x14ac:dyDescent="0.3">
      <c r="C255" s="44"/>
      <c r="D255" s="44"/>
      <c r="E255" s="44"/>
      <c r="F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T255" s="44"/>
      <c r="U255" s="44"/>
      <c r="V255" s="44"/>
      <c r="Y255" s="44"/>
      <c r="Z255" s="44"/>
      <c r="AA255" s="44"/>
      <c r="AB255" s="44"/>
      <c r="AC255" s="44"/>
      <c r="AD255" s="44"/>
      <c r="AE255" s="44"/>
      <c r="AF255" s="44"/>
      <c r="AG255" s="168"/>
      <c r="AH255" s="44"/>
      <c r="AI255" s="44"/>
      <c r="AJ255" s="44"/>
      <c r="AK255" s="168"/>
      <c r="AL255" s="44"/>
      <c r="AM255" s="44"/>
      <c r="AN255" s="44"/>
    </row>
    <row r="256" spans="1:40" x14ac:dyDescent="0.3">
      <c r="A256" s="135"/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207"/>
      <c r="AH256" s="135"/>
      <c r="AI256" s="135"/>
      <c r="AJ256" s="135"/>
      <c r="AK256" s="207"/>
      <c r="AL256" s="135"/>
      <c r="AM256" s="135"/>
      <c r="AN256" s="135"/>
    </row>
    <row r="257" spans="3:40" x14ac:dyDescent="0.3"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Y257" s="44"/>
      <c r="Z257" s="44"/>
      <c r="AA257" s="44"/>
      <c r="AB257" s="44"/>
      <c r="AC257" s="44"/>
      <c r="AD257" s="44"/>
      <c r="AE257" s="44"/>
      <c r="AF257" s="44"/>
      <c r="AG257" s="168"/>
      <c r="AH257" s="44"/>
      <c r="AI257" s="44"/>
      <c r="AJ257" s="44"/>
      <c r="AK257" s="168"/>
      <c r="AL257" s="44"/>
      <c r="AM257" s="44"/>
      <c r="AN257" s="44"/>
    </row>
    <row r="258" spans="3:40" x14ac:dyDescent="0.3">
      <c r="C258" s="42"/>
      <c r="D258" s="42"/>
      <c r="E258" s="42"/>
      <c r="T258" s="42"/>
      <c r="U258" s="42"/>
    </row>
    <row r="259" spans="3:40" x14ac:dyDescent="0.3">
      <c r="D259" s="42"/>
      <c r="E259" s="42"/>
      <c r="U259" s="42"/>
    </row>
    <row r="261" spans="3:40" x14ac:dyDescent="0.3">
      <c r="C261" s="42"/>
      <c r="F261" s="123"/>
      <c r="J261" s="209"/>
      <c r="K261" s="209"/>
      <c r="L261" s="123"/>
      <c r="M261" s="123"/>
      <c r="R261" s="123"/>
      <c r="T261" s="42"/>
      <c r="V261" s="123"/>
      <c r="Z261" s="209"/>
      <c r="AA261" s="123"/>
      <c r="AB261" s="123"/>
      <c r="AL261" s="123"/>
    </row>
    <row r="262" spans="3:40" x14ac:dyDescent="0.3">
      <c r="F262" s="123"/>
      <c r="R262" s="123"/>
      <c r="V262" s="123"/>
      <c r="AL262" s="123"/>
    </row>
    <row r="263" spans="3:40" x14ac:dyDescent="0.3">
      <c r="C263" s="42"/>
      <c r="F263" s="184"/>
      <c r="H263" s="184"/>
      <c r="I263" s="184"/>
      <c r="J263" s="193"/>
      <c r="K263" s="193"/>
      <c r="L263" s="123"/>
      <c r="M263" s="123"/>
      <c r="N263" s="160"/>
      <c r="O263" s="160"/>
      <c r="P263" s="123"/>
      <c r="Q263" s="123"/>
      <c r="R263" s="123"/>
      <c r="T263" s="42"/>
      <c r="V263" s="123"/>
      <c r="Y263" s="123"/>
      <c r="Z263" s="193"/>
      <c r="AA263" s="123"/>
      <c r="AB263" s="123"/>
      <c r="AC263" s="160"/>
      <c r="AD263" s="160"/>
      <c r="AE263" s="123"/>
      <c r="AF263" s="123"/>
      <c r="AH263" s="236"/>
      <c r="AI263" s="123"/>
      <c r="AJ263" s="123"/>
      <c r="AL263" s="123"/>
      <c r="AM263" s="160"/>
      <c r="AN263" s="160"/>
    </row>
    <row r="264" spans="3:40" x14ac:dyDescent="0.3">
      <c r="C264" s="42"/>
      <c r="F264" s="184"/>
      <c r="H264" s="222"/>
      <c r="I264" s="222"/>
      <c r="J264" s="193"/>
      <c r="K264" s="193"/>
      <c r="L264" s="123"/>
      <c r="M264" s="123"/>
      <c r="N264" s="160"/>
      <c r="O264" s="160"/>
      <c r="P264" s="123"/>
      <c r="Q264" s="123"/>
      <c r="R264" s="123"/>
      <c r="T264" s="42"/>
      <c r="V264" s="123"/>
      <c r="Y264" s="123"/>
      <c r="Z264" s="193"/>
      <c r="AA264" s="123"/>
      <c r="AB264" s="123"/>
      <c r="AC264" s="160"/>
      <c r="AD264" s="160"/>
      <c r="AE264" s="123"/>
      <c r="AF264" s="123"/>
      <c r="AH264" s="236"/>
      <c r="AI264" s="123"/>
      <c r="AJ264" s="123"/>
      <c r="AL264" s="123"/>
      <c r="AM264" s="160"/>
      <c r="AN264" s="160"/>
    </row>
    <row r="265" spans="3:40" x14ac:dyDescent="0.3">
      <c r="F265" s="210"/>
      <c r="H265" s="123"/>
      <c r="I265" s="123"/>
      <c r="J265" s="213"/>
      <c r="K265" s="213"/>
      <c r="L265" s="210"/>
      <c r="M265" s="210"/>
      <c r="N265" s="210"/>
      <c r="O265" s="210"/>
      <c r="P265" s="210"/>
      <c r="Q265" s="210"/>
      <c r="R265" s="210"/>
      <c r="V265" s="210"/>
      <c r="Y265" s="123"/>
      <c r="Z265" s="213"/>
      <c r="AA265" s="210"/>
      <c r="AB265" s="210"/>
      <c r="AC265" s="210"/>
      <c r="AD265" s="210"/>
      <c r="AE265" s="210"/>
      <c r="AF265" s="210"/>
      <c r="AI265" s="210"/>
      <c r="AJ265" s="210"/>
      <c r="AK265" s="214"/>
      <c r="AL265" s="210"/>
    </row>
    <row r="266" spans="3:40" x14ac:dyDescent="0.3">
      <c r="C266" s="42"/>
      <c r="F266" s="123"/>
      <c r="H266" s="123"/>
      <c r="I266" s="123"/>
      <c r="J266" s="219"/>
      <c r="K266" s="219"/>
      <c r="L266" s="123"/>
      <c r="M266" s="123"/>
      <c r="N266" s="160"/>
      <c r="O266" s="160"/>
      <c r="P266" s="123"/>
      <c r="Q266" s="123"/>
      <c r="R266" s="123"/>
      <c r="T266" s="42"/>
      <c r="V266" s="123"/>
      <c r="Y266" s="123"/>
      <c r="Z266" s="219"/>
      <c r="AA266" s="123"/>
      <c r="AB266" s="123"/>
      <c r="AC266" s="160"/>
      <c r="AD266" s="160"/>
      <c r="AE266" s="123"/>
      <c r="AF266" s="123"/>
      <c r="AH266" s="236"/>
      <c r="AI266" s="123"/>
      <c r="AJ266" s="123"/>
      <c r="AL266" s="123"/>
      <c r="AM266" s="160"/>
      <c r="AN266" s="160"/>
    </row>
    <row r="267" spans="3:40" x14ac:dyDescent="0.3">
      <c r="F267" s="210"/>
      <c r="H267" s="123"/>
      <c r="I267" s="123"/>
      <c r="J267" s="213"/>
      <c r="K267" s="213"/>
      <c r="L267" s="210"/>
      <c r="M267" s="210"/>
      <c r="N267" s="210"/>
      <c r="O267" s="210"/>
      <c r="P267" s="210"/>
      <c r="Q267" s="210"/>
      <c r="R267" s="210"/>
      <c r="V267" s="210"/>
      <c r="Y267" s="123"/>
      <c r="Z267" s="213"/>
      <c r="AA267" s="210"/>
      <c r="AB267" s="210"/>
      <c r="AC267" s="210"/>
      <c r="AD267" s="210"/>
      <c r="AE267" s="210"/>
      <c r="AF267" s="210"/>
      <c r="AI267" s="210"/>
      <c r="AJ267" s="210"/>
      <c r="AK267" s="214"/>
      <c r="AL267" s="210"/>
    </row>
    <row r="268" spans="3:40" x14ac:dyDescent="0.3">
      <c r="F268" s="123"/>
      <c r="R268" s="123"/>
      <c r="V268" s="123"/>
      <c r="AL268" s="123"/>
    </row>
    <row r="269" spans="3:40" x14ac:dyDescent="0.3">
      <c r="C269" s="42"/>
      <c r="F269" s="123"/>
      <c r="R269" s="123"/>
      <c r="T269" s="42"/>
      <c r="V269" s="123"/>
      <c r="AL269" s="123"/>
    </row>
    <row r="270" spans="3:40" x14ac:dyDescent="0.3">
      <c r="F270" s="123"/>
      <c r="R270" s="123"/>
      <c r="V270" s="123"/>
      <c r="AL270" s="123"/>
    </row>
    <row r="271" spans="3:40" x14ac:dyDescent="0.3">
      <c r="C271" s="42"/>
      <c r="F271" s="123"/>
      <c r="H271" s="184"/>
      <c r="I271" s="184"/>
      <c r="J271" s="227"/>
      <c r="K271" s="227"/>
      <c r="L271" s="123"/>
      <c r="M271" s="123"/>
      <c r="N271" s="160"/>
      <c r="O271" s="160"/>
      <c r="P271" s="184"/>
      <c r="Q271" s="184"/>
      <c r="R271" s="123"/>
      <c r="T271" s="42"/>
      <c r="V271" s="123"/>
      <c r="Y271" s="123"/>
      <c r="Z271" s="212"/>
      <c r="AA271" s="123"/>
      <c r="AB271" s="123"/>
      <c r="AC271" s="160"/>
      <c r="AD271" s="160"/>
      <c r="AE271" s="123"/>
      <c r="AF271" s="123"/>
      <c r="AH271" s="236"/>
      <c r="AI271" s="184"/>
      <c r="AJ271" s="184"/>
      <c r="AL271" s="123"/>
      <c r="AM271" s="160"/>
      <c r="AN271" s="160"/>
    </row>
    <row r="272" spans="3:40" x14ac:dyDescent="0.3">
      <c r="F272" s="210"/>
      <c r="H272" s="210"/>
      <c r="I272" s="210"/>
      <c r="J272" s="213"/>
      <c r="K272" s="213"/>
      <c r="L272" s="210"/>
      <c r="M272" s="210"/>
      <c r="N272" s="210"/>
      <c r="O272" s="210"/>
      <c r="P272" s="210"/>
      <c r="Q272" s="210"/>
      <c r="R272" s="210"/>
      <c r="V272" s="210"/>
      <c r="Y272" s="210"/>
      <c r="Z272" s="213"/>
      <c r="AA272" s="210"/>
      <c r="AB272" s="210"/>
      <c r="AC272" s="210"/>
      <c r="AD272" s="210"/>
      <c r="AE272" s="210"/>
      <c r="AF272" s="210"/>
      <c r="AI272" s="210"/>
      <c r="AJ272" s="210"/>
      <c r="AK272" s="214"/>
      <c r="AL272" s="210"/>
    </row>
    <row r="274" spans="1:40" x14ac:dyDescent="0.3">
      <c r="C274" s="42"/>
      <c r="F274" s="123"/>
      <c r="H274" s="123"/>
      <c r="I274" s="123"/>
      <c r="J274" s="209"/>
      <c r="K274" s="209"/>
      <c r="L274" s="123"/>
      <c r="M274" s="123"/>
      <c r="N274" s="160"/>
      <c r="O274" s="160"/>
      <c r="P274" s="123"/>
      <c r="Q274" s="123"/>
      <c r="R274" s="123"/>
      <c r="T274" s="42"/>
      <c r="V274" s="123"/>
      <c r="Y274" s="123"/>
      <c r="Z274" s="209"/>
      <c r="AA274" s="123"/>
      <c r="AB274" s="123"/>
      <c r="AC274" s="160"/>
      <c r="AD274" s="160"/>
      <c r="AE274" s="123"/>
      <c r="AF274" s="123"/>
      <c r="AH274" s="236"/>
      <c r="AI274" s="123"/>
      <c r="AJ274" s="123"/>
      <c r="AL274" s="123"/>
      <c r="AM274" s="160"/>
      <c r="AN274" s="160"/>
    </row>
    <row r="275" spans="1:40" x14ac:dyDescent="0.3">
      <c r="F275" s="210"/>
      <c r="H275" s="210"/>
      <c r="I275" s="210"/>
      <c r="J275" s="213"/>
      <c r="K275" s="213"/>
      <c r="L275" s="210"/>
      <c r="M275" s="210"/>
      <c r="N275" s="210"/>
      <c r="O275" s="210"/>
      <c r="P275" s="210"/>
      <c r="Q275" s="210"/>
      <c r="R275" s="210"/>
      <c r="V275" s="210"/>
      <c r="Y275" s="210"/>
      <c r="Z275" s="213"/>
      <c r="AA275" s="210"/>
      <c r="AB275" s="210"/>
      <c r="AC275" s="210"/>
      <c r="AD275" s="210"/>
      <c r="AE275" s="210"/>
      <c r="AF275" s="210"/>
      <c r="AI275" s="210"/>
      <c r="AJ275" s="210"/>
      <c r="AK275" s="214"/>
      <c r="AL275" s="210"/>
    </row>
    <row r="276" spans="1:40" x14ac:dyDescent="0.3">
      <c r="R276" s="123"/>
      <c r="AH276" s="123"/>
    </row>
    <row r="277" spans="1:40" x14ac:dyDescent="0.3">
      <c r="F277" s="123"/>
      <c r="H277" s="123"/>
      <c r="I277" s="123"/>
      <c r="J277" s="219"/>
      <c r="K277" s="219"/>
      <c r="L277" s="123"/>
      <c r="M277" s="123"/>
      <c r="N277" s="123"/>
      <c r="O277" s="123"/>
      <c r="P277" s="123"/>
      <c r="Q277" s="123"/>
      <c r="R277" s="123"/>
      <c r="V277" s="123"/>
      <c r="Y277" s="123"/>
      <c r="Z277" s="219"/>
      <c r="AA277" s="123"/>
      <c r="AB277" s="123"/>
      <c r="AC277" s="123"/>
      <c r="AD277" s="123"/>
      <c r="AE277" s="123"/>
      <c r="AF277" s="123"/>
      <c r="AH277" s="123"/>
    </row>
    <row r="278" spans="1:40" x14ac:dyDescent="0.3">
      <c r="C278" s="42"/>
      <c r="F278" s="123"/>
      <c r="H278" s="123"/>
      <c r="I278" s="123"/>
      <c r="J278" s="219"/>
      <c r="K278" s="219"/>
      <c r="L278" s="123"/>
      <c r="M278" s="123"/>
      <c r="N278" s="123"/>
      <c r="O278" s="123"/>
      <c r="P278" s="123"/>
      <c r="Q278" s="123"/>
      <c r="R278" s="123"/>
      <c r="T278" s="42"/>
      <c r="V278" s="123"/>
      <c r="Y278" s="123"/>
      <c r="Z278" s="219"/>
      <c r="AA278" s="123"/>
      <c r="AB278" s="123"/>
      <c r="AC278" s="123"/>
      <c r="AD278" s="123"/>
      <c r="AE278" s="123"/>
      <c r="AF278" s="123"/>
      <c r="AH278" s="123"/>
    </row>
    <row r="279" spans="1:40" x14ac:dyDescent="0.3">
      <c r="A279" s="42"/>
    </row>
    <row r="282" spans="1:40" x14ac:dyDescent="0.3">
      <c r="H282" s="42"/>
      <c r="I282" s="42"/>
      <c r="Y282" s="42"/>
    </row>
    <row r="284" spans="1:40" x14ac:dyDescent="0.3">
      <c r="L284" s="42"/>
      <c r="M284" s="42"/>
      <c r="AA284" s="42"/>
      <c r="AB284" s="42"/>
    </row>
    <row r="285" spans="1:40" x14ac:dyDescent="0.3">
      <c r="R285" s="42"/>
      <c r="AK285" s="206"/>
      <c r="AL285" s="42"/>
    </row>
    <row r="286" spans="1:40" x14ac:dyDescent="0.3">
      <c r="R286" s="42"/>
      <c r="AK286" s="206"/>
      <c r="AL286" s="42"/>
    </row>
    <row r="287" spans="1:40" x14ac:dyDescent="0.3">
      <c r="A287" s="42"/>
      <c r="R287" s="42"/>
      <c r="AK287" s="206"/>
      <c r="AL287" s="42"/>
    </row>
    <row r="288" spans="1:40" x14ac:dyDescent="0.3">
      <c r="L288" s="42"/>
      <c r="M288" s="42"/>
      <c r="AA288" s="42"/>
      <c r="AB288" s="42"/>
    </row>
    <row r="289" spans="1:40" x14ac:dyDescent="0.3">
      <c r="A289" s="135"/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207"/>
      <c r="AH289" s="135"/>
      <c r="AI289" s="135"/>
      <c r="AJ289" s="135"/>
      <c r="AK289" s="207"/>
      <c r="AL289" s="135"/>
      <c r="AM289" s="135"/>
      <c r="AN289" s="135"/>
    </row>
    <row r="290" spans="1:40" x14ac:dyDescent="0.3">
      <c r="L290" s="44"/>
      <c r="M290" s="44"/>
      <c r="N290" s="44"/>
      <c r="O290" s="44"/>
      <c r="R290" s="44"/>
      <c r="AA290" s="44"/>
      <c r="AB290" s="44"/>
      <c r="AC290" s="44"/>
      <c r="AD290" s="44"/>
      <c r="AE290" s="44"/>
      <c r="AF290" s="44"/>
      <c r="AG290" s="168"/>
      <c r="AH290" s="44"/>
      <c r="AK290" s="168"/>
      <c r="AL290" s="44"/>
      <c r="AM290" s="44"/>
      <c r="AN290" s="44"/>
    </row>
    <row r="291" spans="1:40" x14ac:dyDescent="0.3">
      <c r="L291" s="44"/>
      <c r="M291" s="44"/>
      <c r="N291" s="44"/>
      <c r="O291" s="44"/>
      <c r="R291" s="44"/>
      <c r="Z291" s="44"/>
      <c r="AA291" s="44"/>
      <c r="AB291" s="44"/>
      <c r="AC291" s="44"/>
      <c r="AD291" s="44"/>
      <c r="AE291" s="44"/>
      <c r="AF291" s="44"/>
      <c r="AG291" s="168"/>
      <c r="AH291" s="44"/>
      <c r="AK291" s="168"/>
      <c r="AL291" s="44"/>
      <c r="AM291" s="44"/>
      <c r="AN291" s="44"/>
    </row>
    <row r="292" spans="1:40" x14ac:dyDescent="0.3">
      <c r="A292" s="44"/>
      <c r="C292" s="44"/>
      <c r="D292" s="44"/>
      <c r="E292" s="44"/>
      <c r="F292" s="44"/>
      <c r="J292" s="44"/>
      <c r="K292" s="44"/>
      <c r="L292" s="44"/>
      <c r="M292" s="44"/>
      <c r="N292" s="44"/>
      <c r="O292" s="44"/>
      <c r="P292" s="44"/>
      <c r="Q292" s="44"/>
      <c r="R292" s="44"/>
      <c r="T292" s="44"/>
      <c r="U292" s="44"/>
      <c r="V292" s="44"/>
      <c r="Z292" s="44"/>
      <c r="AA292" s="44"/>
      <c r="AB292" s="44"/>
      <c r="AC292" s="44"/>
      <c r="AD292" s="44"/>
      <c r="AE292" s="44"/>
      <c r="AF292" s="44"/>
      <c r="AG292" s="168"/>
      <c r="AH292" s="44"/>
      <c r="AI292" s="44"/>
      <c r="AJ292" s="44"/>
      <c r="AK292" s="168"/>
      <c r="AL292" s="44"/>
      <c r="AM292" s="44"/>
      <c r="AN292" s="44"/>
    </row>
    <row r="293" spans="1:40" x14ac:dyDescent="0.3">
      <c r="A293" s="44"/>
      <c r="C293" s="44"/>
      <c r="D293" s="44"/>
      <c r="E293" s="44"/>
      <c r="F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T293" s="44"/>
      <c r="U293" s="44"/>
      <c r="V293" s="44"/>
      <c r="Y293" s="44"/>
      <c r="Z293" s="44"/>
      <c r="AA293" s="44"/>
      <c r="AB293" s="44"/>
      <c r="AC293" s="44"/>
      <c r="AD293" s="44"/>
      <c r="AE293" s="44"/>
      <c r="AF293" s="44"/>
      <c r="AG293" s="168"/>
      <c r="AH293" s="44"/>
      <c r="AI293" s="44"/>
      <c r="AJ293" s="44"/>
      <c r="AK293" s="168"/>
      <c r="AL293" s="44"/>
      <c r="AM293" s="44"/>
      <c r="AN293" s="44"/>
    </row>
    <row r="294" spans="1:40" x14ac:dyDescent="0.3">
      <c r="C294" s="44"/>
      <c r="D294" s="44"/>
      <c r="E294" s="44"/>
      <c r="F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T294" s="44"/>
      <c r="U294" s="44"/>
      <c r="V294" s="44"/>
      <c r="Y294" s="44"/>
      <c r="Z294" s="44"/>
      <c r="AA294" s="44"/>
      <c r="AB294" s="44"/>
      <c r="AC294" s="44"/>
      <c r="AD294" s="44"/>
      <c r="AE294" s="44"/>
      <c r="AF294" s="44"/>
      <c r="AG294" s="168"/>
      <c r="AH294" s="44"/>
      <c r="AI294" s="44"/>
      <c r="AJ294" s="44"/>
      <c r="AK294" s="168"/>
      <c r="AL294" s="44"/>
      <c r="AM294" s="44"/>
      <c r="AN294" s="44"/>
    </row>
    <row r="295" spans="1:40" x14ac:dyDescent="0.3">
      <c r="A295" s="135"/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207"/>
      <c r="AH295" s="135"/>
      <c r="AI295" s="135"/>
      <c r="AJ295" s="135"/>
      <c r="AK295" s="207"/>
      <c r="AL295" s="135"/>
      <c r="AM295" s="135"/>
      <c r="AN295" s="135"/>
    </row>
    <row r="296" spans="1:40" x14ac:dyDescent="0.3"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Y296" s="44"/>
      <c r="Z296" s="44"/>
      <c r="AA296" s="44"/>
      <c r="AB296" s="44"/>
      <c r="AC296" s="44"/>
      <c r="AD296" s="44"/>
      <c r="AE296" s="44"/>
      <c r="AF296" s="44"/>
      <c r="AG296" s="168"/>
      <c r="AH296" s="44"/>
      <c r="AI296" s="44"/>
      <c r="AJ296" s="44"/>
      <c r="AK296" s="168"/>
      <c r="AL296" s="44"/>
      <c r="AM296" s="44"/>
      <c r="AN296" s="44"/>
    </row>
    <row r="297" spans="1:40" x14ac:dyDescent="0.3">
      <c r="C297" s="42"/>
      <c r="D297" s="42"/>
      <c r="E297" s="42"/>
      <c r="T297" s="42"/>
      <c r="U297" s="42"/>
    </row>
    <row r="298" spans="1:40" x14ac:dyDescent="0.3">
      <c r="C298" s="42"/>
      <c r="T298" s="42"/>
    </row>
    <row r="300" spans="1:40" x14ac:dyDescent="0.3">
      <c r="C300" s="42"/>
      <c r="F300" s="184"/>
      <c r="H300" s="184"/>
      <c r="I300" s="184"/>
      <c r="J300" s="193"/>
      <c r="K300" s="193"/>
      <c r="L300" s="123"/>
      <c r="M300" s="123"/>
      <c r="N300" s="160"/>
      <c r="O300" s="160"/>
      <c r="R300" s="123"/>
      <c r="T300" s="42"/>
      <c r="V300" s="123"/>
      <c r="Y300" s="184"/>
      <c r="Z300" s="193"/>
      <c r="AA300" s="123"/>
      <c r="AB300" s="123"/>
      <c r="AC300" s="160"/>
      <c r="AD300" s="160"/>
      <c r="AE300" s="123"/>
      <c r="AF300" s="123"/>
      <c r="AH300" s="236"/>
      <c r="AL300" s="123"/>
      <c r="AM300" s="160"/>
      <c r="AN300" s="160"/>
    </row>
    <row r="301" spans="1:40" x14ac:dyDescent="0.3">
      <c r="F301" s="210"/>
      <c r="H301" s="123"/>
      <c r="I301" s="123"/>
      <c r="J301" s="213"/>
      <c r="K301" s="213"/>
      <c r="L301" s="210"/>
      <c r="M301" s="210"/>
      <c r="N301" s="210"/>
      <c r="O301" s="210"/>
      <c r="P301" s="210"/>
      <c r="Q301" s="210"/>
      <c r="R301" s="210"/>
      <c r="V301" s="210"/>
      <c r="Y301" s="123"/>
      <c r="Z301" s="213"/>
      <c r="AA301" s="210"/>
      <c r="AB301" s="210"/>
      <c r="AC301" s="210"/>
      <c r="AD301" s="210"/>
      <c r="AE301" s="210"/>
      <c r="AF301" s="210"/>
      <c r="AI301" s="210"/>
      <c r="AJ301" s="210"/>
      <c r="AK301" s="214"/>
      <c r="AL301" s="210"/>
      <c r="AM301" s="160"/>
      <c r="AN301" s="160"/>
    </row>
    <row r="302" spans="1:40" x14ac:dyDescent="0.3">
      <c r="C302" s="42"/>
      <c r="F302" s="184"/>
      <c r="H302" s="184"/>
      <c r="I302" s="184"/>
      <c r="J302" s="237"/>
      <c r="K302" s="237"/>
      <c r="L302" s="123"/>
      <c r="M302" s="123"/>
      <c r="N302" s="160"/>
      <c r="O302" s="160"/>
      <c r="P302" s="123"/>
      <c r="Q302" s="123"/>
      <c r="R302" s="123"/>
      <c r="S302" s="123"/>
      <c r="T302" s="42"/>
      <c r="V302" s="184"/>
      <c r="Y302" s="184"/>
      <c r="Z302" s="237"/>
      <c r="AA302" s="123"/>
      <c r="AB302" s="123"/>
      <c r="AC302" s="160"/>
      <c r="AD302" s="160"/>
      <c r="AE302" s="123"/>
      <c r="AF302" s="123"/>
      <c r="AH302" s="160"/>
      <c r="AI302" s="123"/>
      <c r="AJ302" s="123"/>
      <c r="AL302" s="123"/>
      <c r="AM302" s="160"/>
      <c r="AN302" s="160"/>
    </row>
    <row r="303" spans="1:40" x14ac:dyDescent="0.3">
      <c r="C303" s="42"/>
      <c r="F303" s="184"/>
      <c r="H303" s="184"/>
      <c r="I303" s="184"/>
      <c r="J303" s="193"/>
      <c r="K303" s="193"/>
      <c r="L303" s="123"/>
      <c r="M303" s="123"/>
      <c r="N303" s="160"/>
      <c r="O303" s="160"/>
      <c r="P303" s="123"/>
      <c r="Q303" s="123"/>
      <c r="R303" s="123"/>
      <c r="T303" s="42"/>
      <c r="V303" s="184"/>
      <c r="Y303" s="123"/>
      <c r="Z303" s="193"/>
      <c r="AA303" s="123"/>
      <c r="AB303" s="123"/>
      <c r="AC303" s="160"/>
      <c r="AD303" s="160"/>
      <c r="AE303" s="123"/>
      <c r="AF303" s="123"/>
      <c r="AH303" s="236"/>
      <c r="AI303" s="123"/>
      <c r="AJ303" s="123"/>
      <c r="AL303" s="123"/>
      <c r="AM303" s="160"/>
      <c r="AN303" s="160"/>
    </row>
    <row r="304" spans="1:40" x14ac:dyDescent="0.3">
      <c r="C304" s="42"/>
      <c r="F304" s="184"/>
      <c r="H304" s="184"/>
      <c r="I304" s="184"/>
      <c r="J304" s="193"/>
      <c r="K304" s="193"/>
      <c r="L304" s="123"/>
      <c r="M304" s="123"/>
      <c r="N304" s="160"/>
      <c r="O304" s="160"/>
      <c r="P304" s="123"/>
      <c r="Q304" s="123"/>
      <c r="R304" s="123"/>
      <c r="T304" s="42"/>
      <c r="V304" s="184"/>
      <c r="Y304" s="123"/>
      <c r="Z304" s="193"/>
      <c r="AA304" s="123"/>
      <c r="AB304" s="123"/>
      <c r="AC304" s="160"/>
      <c r="AD304" s="160"/>
      <c r="AE304" s="123"/>
      <c r="AF304" s="123"/>
      <c r="AH304" s="236"/>
      <c r="AI304" s="123"/>
      <c r="AJ304" s="123"/>
      <c r="AL304" s="123"/>
      <c r="AM304" s="160"/>
      <c r="AN304" s="160"/>
    </row>
    <row r="305" spans="3:40" x14ac:dyDescent="0.3">
      <c r="F305" s="210"/>
      <c r="H305" s="210"/>
      <c r="I305" s="210"/>
      <c r="J305" s="213"/>
      <c r="K305" s="213"/>
      <c r="L305" s="210"/>
      <c r="M305" s="210"/>
      <c r="N305" s="210"/>
      <c r="O305" s="210"/>
      <c r="P305" s="210"/>
      <c r="Q305" s="210"/>
      <c r="R305" s="210"/>
      <c r="V305" s="210"/>
      <c r="Y305" s="210"/>
      <c r="Z305" s="213"/>
      <c r="AA305" s="210"/>
      <c r="AB305" s="210"/>
      <c r="AC305" s="210"/>
      <c r="AD305" s="210"/>
      <c r="AE305" s="210"/>
      <c r="AF305" s="210"/>
      <c r="AI305" s="210"/>
      <c r="AJ305" s="210"/>
      <c r="AK305" s="214"/>
      <c r="AL305" s="210"/>
      <c r="AM305" s="160"/>
      <c r="AN305" s="160"/>
    </row>
    <row r="306" spans="3:40" x14ac:dyDescent="0.3">
      <c r="C306" s="42"/>
      <c r="F306" s="123"/>
      <c r="H306" s="123"/>
      <c r="I306" s="123"/>
      <c r="J306" s="219"/>
      <c r="K306" s="219"/>
      <c r="L306" s="123"/>
      <c r="M306" s="123"/>
      <c r="N306" s="160"/>
      <c r="O306" s="160"/>
      <c r="P306" s="123"/>
      <c r="Q306" s="123"/>
      <c r="R306" s="123"/>
      <c r="T306" s="42"/>
      <c r="V306" s="123"/>
      <c r="Y306" s="123"/>
      <c r="Z306" s="219"/>
      <c r="AA306" s="123"/>
      <c r="AB306" s="123"/>
      <c r="AC306" s="160"/>
      <c r="AD306" s="160"/>
      <c r="AE306" s="123"/>
      <c r="AF306" s="123"/>
      <c r="AH306" s="236"/>
      <c r="AI306" s="123"/>
      <c r="AJ306" s="123"/>
      <c r="AL306" s="123"/>
      <c r="AM306" s="160"/>
      <c r="AN306" s="160"/>
    </row>
    <row r="307" spans="3:40" x14ac:dyDescent="0.3">
      <c r="F307" s="210"/>
      <c r="H307" s="210"/>
      <c r="I307" s="210"/>
      <c r="J307" s="213"/>
      <c r="K307" s="213"/>
      <c r="L307" s="210"/>
      <c r="M307" s="210"/>
      <c r="N307" s="210"/>
      <c r="O307" s="210"/>
      <c r="P307" s="210"/>
      <c r="Q307" s="210"/>
      <c r="R307" s="210"/>
      <c r="V307" s="210"/>
      <c r="Y307" s="210"/>
      <c r="Z307" s="213"/>
      <c r="AA307" s="210"/>
      <c r="AB307" s="210"/>
      <c r="AC307" s="210"/>
      <c r="AD307" s="210"/>
      <c r="AE307" s="210"/>
      <c r="AF307" s="210"/>
      <c r="AI307" s="210"/>
      <c r="AJ307" s="210"/>
      <c r="AK307" s="214"/>
      <c r="AL307" s="210"/>
      <c r="AM307" s="160"/>
      <c r="AN307" s="160"/>
    </row>
    <row r="308" spans="3:40" x14ac:dyDescent="0.3">
      <c r="C308" s="42"/>
      <c r="F308" s="123"/>
      <c r="H308" s="123"/>
      <c r="I308" s="123"/>
      <c r="J308" s="219"/>
      <c r="K308" s="219"/>
      <c r="L308" s="123"/>
      <c r="M308" s="123"/>
      <c r="N308" s="160"/>
      <c r="O308" s="160"/>
      <c r="P308" s="123"/>
      <c r="Q308" s="123"/>
      <c r="R308" s="123"/>
      <c r="T308" s="42"/>
      <c r="V308" s="123"/>
      <c r="Y308" s="123"/>
      <c r="Z308" s="219"/>
      <c r="AA308" s="123"/>
      <c r="AB308" s="123"/>
      <c r="AC308" s="160"/>
      <c r="AD308" s="160"/>
      <c r="AE308" s="123"/>
      <c r="AF308" s="123"/>
      <c r="AH308" s="236"/>
      <c r="AI308" s="123"/>
      <c r="AJ308" s="123"/>
      <c r="AL308" s="123"/>
      <c r="AM308" s="160"/>
      <c r="AN308" s="160"/>
    </row>
    <row r="309" spans="3:40" x14ac:dyDescent="0.3">
      <c r="C309" s="42"/>
      <c r="F309" s="123"/>
      <c r="H309" s="184"/>
      <c r="I309" s="184"/>
      <c r="J309" s="227"/>
      <c r="K309" s="227"/>
      <c r="L309" s="123"/>
      <c r="M309" s="123"/>
      <c r="N309" s="160"/>
      <c r="O309" s="160"/>
      <c r="P309" s="123"/>
      <c r="Q309" s="123"/>
      <c r="R309" s="123"/>
      <c r="T309" s="42"/>
      <c r="V309" s="123"/>
      <c r="Y309" s="123"/>
      <c r="Z309" s="212"/>
      <c r="AA309" s="123"/>
      <c r="AB309" s="123"/>
      <c r="AC309" s="160"/>
      <c r="AD309" s="160"/>
      <c r="AE309" s="123"/>
      <c r="AF309" s="123"/>
      <c r="AH309" s="236"/>
      <c r="AI309" s="123"/>
      <c r="AJ309" s="123"/>
      <c r="AL309" s="123"/>
      <c r="AM309" s="160"/>
      <c r="AN309" s="160"/>
    </row>
    <row r="310" spans="3:40" x14ac:dyDescent="0.3">
      <c r="F310" s="210"/>
      <c r="H310" s="210"/>
      <c r="I310" s="210"/>
      <c r="J310" s="213"/>
      <c r="K310" s="213"/>
      <c r="L310" s="210"/>
      <c r="M310" s="210"/>
      <c r="N310" s="210"/>
      <c r="O310" s="210"/>
      <c r="P310" s="210"/>
      <c r="Q310" s="210"/>
      <c r="R310" s="210"/>
      <c r="V310" s="210"/>
      <c r="Y310" s="210"/>
      <c r="Z310" s="213"/>
      <c r="AA310" s="210"/>
      <c r="AB310" s="210"/>
      <c r="AC310" s="210"/>
      <c r="AD310" s="210"/>
      <c r="AE310" s="210"/>
      <c r="AF310" s="210"/>
      <c r="AI310" s="210"/>
      <c r="AJ310" s="210"/>
      <c r="AK310" s="214"/>
      <c r="AL310" s="210"/>
      <c r="AM310" s="160"/>
      <c r="AN310" s="160"/>
    </row>
    <row r="312" spans="3:40" x14ac:dyDescent="0.3">
      <c r="C312" s="42"/>
      <c r="F312" s="123"/>
      <c r="H312" s="123"/>
      <c r="I312" s="123"/>
      <c r="J312" s="213"/>
      <c r="K312" s="213"/>
      <c r="L312" s="123"/>
      <c r="M312" s="123"/>
      <c r="N312" s="160"/>
      <c r="O312" s="160"/>
      <c r="P312" s="123"/>
      <c r="Q312" s="123"/>
      <c r="R312" s="123"/>
      <c r="S312" s="123"/>
      <c r="T312" s="42"/>
      <c r="V312" s="123"/>
      <c r="Y312" s="123"/>
      <c r="Z312" s="213"/>
      <c r="AA312" s="123"/>
      <c r="AB312" s="123"/>
      <c r="AC312" s="160"/>
      <c r="AD312" s="160"/>
      <c r="AE312" s="123"/>
      <c r="AF312" s="123"/>
      <c r="AH312" s="160"/>
      <c r="AI312" s="123"/>
      <c r="AJ312" s="123"/>
      <c r="AL312" s="123"/>
      <c r="AM312" s="160"/>
      <c r="AN312" s="160"/>
    </row>
    <row r="313" spans="3:40" x14ac:dyDescent="0.3">
      <c r="F313" s="210"/>
      <c r="H313" s="210"/>
      <c r="I313" s="210"/>
      <c r="J313" s="213"/>
      <c r="K313" s="213"/>
      <c r="L313" s="210"/>
      <c r="M313" s="210"/>
      <c r="N313" s="210"/>
      <c r="O313" s="210"/>
      <c r="P313" s="210"/>
      <c r="Q313" s="210"/>
      <c r="R313" s="210"/>
      <c r="S313" s="123"/>
      <c r="V313" s="210"/>
      <c r="Y313" s="210"/>
      <c r="Z313" s="213"/>
      <c r="AA313" s="210"/>
      <c r="AB313" s="210"/>
      <c r="AC313" s="210"/>
      <c r="AD313" s="210"/>
      <c r="AE313" s="210"/>
      <c r="AF313" s="210"/>
      <c r="AI313" s="210"/>
      <c r="AJ313" s="210"/>
      <c r="AK313" s="214"/>
      <c r="AL313" s="210"/>
      <c r="AM313" s="160"/>
      <c r="AN313" s="160"/>
    </row>
    <row r="314" spans="3:40" x14ac:dyDescent="0.3">
      <c r="C314" s="42"/>
      <c r="F314" s="184"/>
      <c r="H314" s="184"/>
      <c r="I314" s="184"/>
      <c r="J314" s="213"/>
      <c r="K314" s="213"/>
      <c r="L314" s="123"/>
      <c r="M314" s="123"/>
      <c r="N314" s="160"/>
      <c r="O314" s="160"/>
      <c r="P314" s="123"/>
      <c r="Q314" s="123"/>
      <c r="R314" s="123"/>
      <c r="S314" s="123"/>
      <c r="T314" s="42"/>
      <c r="V314" s="184"/>
      <c r="Y314" s="184"/>
      <c r="Z314" s="213"/>
      <c r="AA314" s="123"/>
      <c r="AB314" s="123"/>
      <c r="AC314" s="160"/>
      <c r="AD314" s="160"/>
      <c r="AE314" s="123"/>
      <c r="AF314" s="123"/>
      <c r="AI314" s="123"/>
      <c r="AJ314" s="123"/>
      <c r="AL314" s="123"/>
      <c r="AM314" s="160"/>
      <c r="AN314" s="160"/>
    </row>
    <row r="316" spans="3:40" x14ac:dyDescent="0.3">
      <c r="C316" s="42"/>
      <c r="F316" s="184"/>
      <c r="H316" s="184"/>
      <c r="I316" s="184"/>
      <c r="J316" s="193"/>
      <c r="K316" s="193"/>
      <c r="L316" s="123"/>
      <c r="M316" s="123"/>
      <c r="N316" s="160"/>
      <c r="O316" s="160"/>
      <c r="R316" s="123"/>
      <c r="T316" s="42"/>
      <c r="V316" s="123"/>
      <c r="Y316" s="184"/>
      <c r="Z316" s="193"/>
      <c r="AA316" s="123"/>
      <c r="AB316" s="123"/>
      <c r="AC316" s="160"/>
      <c r="AD316" s="160"/>
      <c r="AE316" s="123"/>
      <c r="AF316" s="123"/>
      <c r="AH316" s="236"/>
      <c r="AL316" s="123"/>
      <c r="AM316" s="160"/>
      <c r="AN316" s="160"/>
    </row>
    <row r="317" spans="3:40" x14ac:dyDescent="0.3">
      <c r="F317" s="210"/>
      <c r="H317" s="123"/>
      <c r="I317" s="123"/>
      <c r="J317" s="213"/>
      <c r="K317" s="213"/>
      <c r="L317" s="210"/>
      <c r="M317" s="210"/>
      <c r="N317" s="210"/>
      <c r="O317" s="210"/>
      <c r="P317" s="210"/>
      <c r="Q317" s="210"/>
      <c r="R317" s="210"/>
      <c r="V317" s="210"/>
      <c r="Y317" s="123"/>
      <c r="Z317" s="213"/>
      <c r="AA317" s="210"/>
      <c r="AB317" s="210"/>
      <c r="AC317" s="210"/>
      <c r="AD317" s="210"/>
      <c r="AE317" s="210"/>
      <c r="AF317" s="210"/>
      <c r="AI317" s="210"/>
      <c r="AJ317" s="210"/>
      <c r="AK317" s="214"/>
      <c r="AL317" s="210"/>
      <c r="AM317" s="160"/>
      <c r="AN317" s="160"/>
    </row>
    <row r="318" spans="3:40" x14ac:dyDescent="0.3">
      <c r="C318" s="42"/>
      <c r="F318" s="184"/>
      <c r="H318" s="184"/>
      <c r="I318" s="184"/>
      <c r="J318" s="237"/>
      <c r="K318" s="237"/>
      <c r="L318" s="123"/>
      <c r="M318" s="123"/>
      <c r="N318" s="160"/>
      <c r="O318" s="160"/>
      <c r="P318" s="123"/>
      <c r="Q318" s="123"/>
      <c r="R318" s="123"/>
      <c r="S318" s="123"/>
      <c r="T318" s="42"/>
      <c r="V318" s="184"/>
      <c r="Y318" s="184"/>
      <c r="Z318" s="237"/>
      <c r="AA318" s="123"/>
      <c r="AB318" s="123"/>
      <c r="AC318" s="160"/>
      <c r="AD318" s="160"/>
      <c r="AE318" s="123"/>
      <c r="AF318" s="123"/>
      <c r="AH318" s="160"/>
      <c r="AI318" s="123"/>
      <c r="AJ318" s="123"/>
      <c r="AL318" s="123"/>
      <c r="AM318" s="160"/>
      <c r="AN318" s="160"/>
    </row>
    <row r="319" spans="3:40" x14ac:dyDescent="0.3">
      <c r="C319" s="42"/>
      <c r="F319" s="184"/>
      <c r="H319" s="184"/>
      <c r="I319" s="184"/>
      <c r="J319" s="193"/>
      <c r="K319" s="193"/>
      <c r="L319" s="123"/>
      <c r="M319" s="123"/>
      <c r="N319" s="160"/>
      <c r="O319" s="160"/>
      <c r="P319" s="123"/>
      <c r="Q319" s="123"/>
      <c r="R319" s="123"/>
      <c r="T319" s="42"/>
      <c r="V319" s="184"/>
      <c r="Y319" s="123"/>
      <c r="Z319" s="193"/>
      <c r="AA319" s="123"/>
      <c r="AB319" s="123"/>
      <c r="AC319" s="160"/>
      <c r="AD319" s="160"/>
      <c r="AE319" s="123"/>
      <c r="AF319" s="123"/>
      <c r="AH319" s="236"/>
      <c r="AI319" s="123"/>
      <c r="AJ319" s="123"/>
      <c r="AL319" s="123"/>
      <c r="AM319" s="160"/>
      <c r="AN319" s="160"/>
    </row>
    <row r="320" spans="3:40" x14ac:dyDescent="0.3">
      <c r="C320" s="42"/>
      <c r="F320" s="184"/>
      <c r="H320" s="184"/>
      <c r="I320" s="184"/>
      <c r="J320" s="193"/>
      <c r="K320" s="193"/>
      <c r="L320" s="123"/>
      <c r="M320" s="123"/>
      <c r="N320" s="160"/>
      <c r="O320" s="160"/>
      <c r="P320" s="123"/>
      <c r="Q320" s="123"/>
      <c r="R320" s="123"/>
      <c r="T320" s="42"/>
      <c r="V320" s="184"/>
      <c r="Y320" s="123"/>
      <c r="Z320" s="193"/>
      <c r="AA320" s="123"/>
      <c r="AB320" s="123"/>
      <c r="AC320" s="160"/>
      <c r="AD320" s="160"/>
      <c r="AE320" s="123"/>
      <c r="AF320" s="123"/>
      <c r="AH320" s="236"/>
      <c r="AI320" s="123"/>
      <c r="AJ320" s="123"/>
      <c r="AL320" s="123"/>
      <c r="AM320" s="160"/>
      <c r="AN320" s="160"/>
    </row>
    <row r="321" spans="1:40" x14ac:dyDescent="0.3">
      <c r="F321" s="210"/>
      <c r="H321" s="210"/>
      <c r="I321" s="210"/>
      <c r="J321" s="213"/>
      <c r="K321" s="213"/>
      <c r="L321" s="210"/>
      <c r="M321" s="210"/>
      <c r="N321" s="210"/>
      <c r="O321" s="210"/>
      <c r="P321" s="210"/>
      <c r="Q321" s="210"/>
      <c r="R321" s="210"/>
      <c r="V321" s="210"/>
      <c r="Y321" s="210"/>
      <c r="Z321" s="213"/>
      <c r="AA321" s="210"/>
      <c r="AB321" s="210"/>
      <c r="AC321" s="210"/>
      <c r="AD321" s="210"/>
      <c r="AE321" s="210"/>
      <c r="AF321" s="210"/>
      <c r="AI321" s="210"/>
      <c r="AJ321" s="210"/>
      <c r="AK321" s="214"/>
      <c r="AL321" s="210"/>
      <c r="AM321" s="160"/>
      <c r="AN321" s="160"/>
    </row>
    <row r="322" spans="1:40" x14ac:dyDescent="0.3">
      <c r="C322" s="42"/>
      <c r="F322" s="123"/>
      <c r="H322" s="123"/>
      <c r="I322" s="123"/>
      <c r="J322" s="219"/>
      <c r="K322" s="219"/>
      <c r="L322" s="123"/>
      <c r="M322" s="123"/>
      <c r="N322" s="160"/>
      <c r="O322" s="160"/>
      <c r="P322" s="123"/>
      <c r="Q322" s="123"/>
      <c r="R322" s="123"/>
      <c r="T322" s="42"/>
      <c r="V322" s="123"/>
      <c r="Y322" s="123"/>
      <c r="Z322" s="219"/>
      <c r="AA322" s="123"/>
      <c r="AB322" s="123"/>
      <c r="AC322" s="160"/>
      <c r="AD322" s="160"/>
      <c r="AE322" s="123"/>
      <c r="AF322" s="123"/>
      <c r="AH322" s="236"/>
      <c r="AI322" s="123"/>
      <c r="AJ322" s="123"/>
      <c r="AL322" s="123"/>
      <c r="AM322" s="160"/>
      <c r="AN322" s="160"/>
    </row>
    <row r="323" spans="1:40" x14ac:dyDescent="0.3">
      <c r="F323" s="210"/>
      <c r="H323" s="210"/>
      <c r="I323" s="210"/>
      <c r="J323" s="213"/>
      <c r="K323" s="213"/>
      <c r="L323" s="210"/>
      <c r="M323" s="210"/>
      <c r="N323" s="210"/>
      <c r="O323" s="210"/>
      <c r="P323" s="210"/>
      <c r="Q323" s="210"/>
      <c r="R323" s="210"/>
      <c r="V323" s="210"/>
      <c r="Y323" s="210"/>
      <c r="Z323" s="213"/>
      <c r="AA323" s="210"/>
      <c r="AB323" s="210"/>
      <c r="AC323" s="210"/>
      <c r="AD323" s="210"/>
      <c r="AE323" s="210"/>
      <c r="AF323" s="210"/>
      <c r="AI323" s="210"/>
      <c r="AJ323" s="210"/>
      <c r="AK323" s="214"/>
      <c r="AL323" s="210"/>
      <c r="AM323" s="160"/>
      <c r="AN323" s="160"/>
    </row>
    <row r="324" spans="1:40" x14ac:dyDescent="0.3">
      <c r="C324" s="42"/>
      <c r="F324" s="123"/>
      <c r="H324" s="123"/>
      <c r="I324" s="123"/>
      <c r="J324" s="219"/>
      <c r="K324" s="219"/>
      <c r="L324" s="123"/>
      <c r="M324" s="123"/>
      <c r="N324" s="160"/>
      <c r="O324" s="160"/>
      <c r="P324" s="123"/>
      <c r="Q324" s="123"/>
      <c r="R324" s="123"/>
      <c r="T324" s="42"/>
      <c r="V324" s="123"/>
      <c r="Y324" s="123"/>
      <c r="Z324" s="219"/>
      <c r="AA324" s="123"/>
      <c r="AB324" s="123"/>
      <c r="AC324" s="160"/>
      <c r="AD324" s="160"/>
      <c r="AE324" s="123"/>
      <c r="AF324" s="123"/>
      <c r="AH324" s="236"/>
      <c r="AI324" s="123"/>
      <c r="AJ324" s="123"/>
      <c r="AL324" s="123"/>
      <c r="AM324" s="160"/>
      <c r="AN324" s="160"/>
    </row>
    <row r="325" spans="1:40" x14ac:dyDescent="0.3">
      <c r="C325" s="42"/>
      <c r="F325" s="123"/>
      <c r="H325" s="184"/>
      <c r="I325" s="184"/>
      <c r="J325" s="227"/>
      <c r="K325" s="227"/>
      <c r="L325" s="123"/>
      <c r="M325" s="123"/>
      <c r="N325" s="160"/>
      <c r="O325" s="160"/>
      <c r="P325" s="123"/>
      <c r="Q325" s="123"/>
      <c r="R325" s="123"/>
      <c r="T325" s="42"/>
      <c r="V325" s="123"/>
      <c r="Y325" s="123"/>
      <c r="Z325" s="212"/>
      <c r="AA325" s="123"/>
      <c r="AB325" s="123"/>
      <c r="AC325" s="160"/>
      <c r="AD325" s="160"/>
      <c r="AE325" s="123"/>
      <c r="AF325" s="123"/>
      <c r="AH325" s="236"/>
      <c r="AI325" s="123"/>
      <c r="AJ325" s="123"/>
      <c r="AL325" s="123"/>
      <c r="AM325" s="160"/>
      <c r="AN325" s="160"/>
    </row>
    <row r="326" spans="1:40" x14ac:dyDescent="0.3">
      <c r="F326" s="210"/>
      <c r="H326" s="210"/>
      <c r="I326" s="210"/>
      <c r="J326" s="213"/>
      <c r="K326" s="213"/>
      <c r="L326" s="210"/>
      <c r="M326" s="210"/>
      <c r="N326" s="210"/>
      <c r="O326" s="210"/>
      <c r="P326" s="210"/>
      <c r="Q326" s="210"/>
      <c r="R326" s="210"/>
      <c r="V326" s="210"/>
      <c r="Y326" s="210"/>
      <c r="Z326" s="213"/>
      <c r="AA326" s="210"/>
      <c r="AB326" s="210"/>
      <c r="AC326" s="210"/>
      <c r="AD326" s="210"/>
      <c r="AE326" s="210"/>
      <c r="AF326" s="210"/>
      <c r="AI326" s="210"/>
      <c r="AJ326" s="210"/>
      <c r="AK326" s="214"/>
      <c r="AL326" s="210"/>
      <c r="AM326" s="160"/>
      <c r="AN326" s="160"/>
    </row>
    <row r="328" spans="1:40" x14ac:dyDescent="0.3">
      <c r="C328" s="42"/>
      <c r="F328" s="123"/>
      <c r="H328" s="123"/>
      <c r="I328" s="123"/>
      <c r="J328" s="213"/>
      <c r="K328" s="213"/>
      <c r="L328" s="123"/>
      <c r="M328" s="123"/>
      <c r="N328" s="160"/>
      <c r="O328" s="160"/>
      <c r="P328" s="123"/>
      <c r="Q328" s="123"/>
      <c r="R328" s="123"/>
      <c r="S328" s="123"/>
      <c r="T328" s="42"/>
      <c r="V328" s="123"/>
      <c r="Y328" s="123"/>
      <c r="Z328" s="213"/>
      <c r="AA328" s="123"/>
      <c r="AB328" s="123"/>
      <c r="AC328" s="160"/>
      <c r="AD328" s="160"/>
      <c r="AE328" s="123"/>
      <c r="AF328" s="123"/>
      <c r="AH328" s="160"/>
      <c r="AI328" s="123"/>
      <c r="AJ328" s="123"/>
      <c r="AL328" s="123"/>
      <c r="AM328" s="160"/>
      <c r="AN328" s="160"/>
    </row>
    <row r="329" spans="1:40" x14ac:dyDescent="0.3">
      <c r="F329" s="210"/>
      <c r="H329" s="210"/>
      <c r="I329" s="210"/>
      <c r="J329" s="213"/>
      <c r="K329" s="213"/>
      <c r="L329" s="210"/>
      <c r="M329" s="210"/>
      <c r="N329" s="210"/>
      <c r="O329" s="210"/>
      <c r="P329" s="210"/>
      <c r="Q329" s="210"/>
      <c r="R329" s="210"/>
      <c r="S329" s="123"/>
      <c r="V329" s="210"/>
      <c r="Y329" s="210"/>
      <c r="Z329" s="213"/>
      <c r="AA329" s="210"/>
      <c r="AB329" s="210"/>
      <c r="AC329" s="210"/>
      <c r="AD329" s="210"/>
      <c r="AE329" s="210"/>
      <c r="AF329" s="210"/>
      <c r="AI329" s="210"/>
      <c r="AJ329" s="210"/>
      <c r="AK329" s="214"/>
      <c r="AL329" s="210"/>
      <c r="AM329" s="160"/>
      <c r="AN329" s="160"/>
    </row>
    <row r="330" spans="1:40" x14ac:dyDescent="0.3">
      <c r="C330" s="42"/>
      <c r="T330" s="42"/>
    </row>
    <row r="331" spans="1:40" x14ac:dyDescent="0.3">
      <c r="C331" s="42"/>
      <c r="F331" s="123"/>
      <c r="H331" s="123"/>
      <c r="I331" s="123"/>
      <c r="L331" s="123"/>
      <c r="M331" s="123"/>
      <c r="N331" s="160"/>
      <c r="O331" s="160"/>
      <c r="P331" s="184"/>
      <c r="Q331" s="184"/>
      <c r="R331" s="123"/>
      <c r="T331" s="42"/>
      <c r="V331" s="123"/>
      <c r="Y331" s="123"/>
      <c r="AA331" s="123"/>
      <c r="AB331" s="123"/>
      <c r="AC331" s="160"/>
      <c r="AD331" s="160"/>
      <c r="AE331" s="123"/>
      <c r="AF331" s="123"/>
      <c r="AH331" s="160"/>
      <c r="AI331" s="184"/>
      <c r="AJ331" s="184"/>
      <c r="AL331" s="123"/>
      <c r="AM331" s="160"/>
      <c r="AN331" s="160"/>
    </row>
    <row r="332" spans="1:40" x14ac:dyDescent="0.3">
      <c r="F332" s="210"/>
      <c r="H332" s="210"/>
      <c r="I332" s="210"/>
      <c r="J332" s="213"/>
      <c r="K332" s="213"/>
      <c r="L332" s="210"/>
      <c r="M332" s="210"/>
      <c r="N332" s="210"/>
      <c r="O332" s="210"/>
      <c r="P332" s="210"/>
      <c r="Q332" s="210"/>
      <c r="R332" s="210"/>
      <c r="V332" s="210"/>
      <c r="Y332" s="210"/>
      <c r="Z332" s="213"/>
      <c r="AA332" s="210"/>
      <c r="AB332" s="210"/>
      <c r="AC332" s="210"/>
      <c r="AD332" s="210"/>
      <c r="AE332" s="210"/>
      <c r="AF332" s="210"/>
      <c r="AI332" s="210"/>
      <c r="AJ332" s="210"/>
      <c r="AK332" s="214"/>
      <c r="AL332" s="210"/>
    </row>
    <row r="334" spans="1:40" x14ac:dyDescent="0.3">
      <c r="C334" s="42"/>
      <c r="L334" s="123"/>
      <c r="M334" s="123"/>
      <c r="N334" s="123"/>
      <c r="O334" s="123"/>
      <c r="P334" s="123"/>
      <c r="Q334" s="123"/>
      <c r="R334" s="123"/>
      <c r="S334" s="123"/>
      <c r="T334" s="42"/>
      <c r="AA334" s="123"/>
      <c r="AB334" s="123"/>
      <c r="AC334" s="123"/>
      <c r="AD334" s="123"/>
      <c r="AI334" s="123"/>
      <c r="AJ334" s="123"/>
      <c r="AL334" s="123"/>
    </row>
    <row r="335" spans="1:40" x14ac:dyDescent="0.3">
      <c r="A335" s="42"/>
    </row>
    <row r="337" spans="1:40" x14ac:dyDescent="0.3">
      <c r="H337" s="42"/>
      <c r="I337" s="42"/>
      <c r="Y337" s="42"/>
    </row>
    <row r="339" spans="1:40" x14ac:dyDescent="0.3">
      <c r="L339" s="42"/>
      <c r="M339" s="42"/>
      <c r="AA339" s="42"/>
      <c r="AB339" s="42"/>
    </row>
    <row r="340" spans="1:40" x14ac:dyDescent="0.3">
      <c r="R340" s="42"/>
      <c r="AK340" s="206"/>
      <c r="AL340" s="42"/>
    </row>
    <row r="341" spans="1:40" x14ac:dyDescent="0.3">
      <c r="R341" s="42"/>
      <c r="AK341" s="206"/>
      <c r="AL341" s="42"/>
    </row>
    <row r="342" spans="1:40" x14ac:dyDescent="0.3">
      <c r="A342" s="42"/>
      <c r="R342" s="42"/>
      <c r="AK342" s="206"/>
      <c r="AL342" s="42"/>
    </row>
    <row r="343" spans="1:40" x14ac:dyDescent="0.3">
      <c r="L343" s="42"/>
      <c r="M343" s="42"/>
      <c r="AA343" s="42"/>
      <c r="AB343" s="42"/>
    </row>
    <row r="344" spans="1:40" x14ac:dyDescent="0.3">
      <c r="A344" s="135"/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207"/>
      <c r="AH344" s="135"/>
      <c r="AI344" s="135"/>
      <c r="AJ344" s="135"/>
      <c r="AK344" s="207"/>
      <c r="AL344" s="135"/>
      <c r="AM344" s="135"/>
      <c r="AN344" s="135"/>
    </row>
    <row r="345" spans="1:40" x14ac:dyDescent="0.3">
      <c r="L345" s="44"/>
      <c r="M345" s="44"/>
      <c r="N345" s="44"/>
      <c r="O345" s="44"/>
      <c r="R345" s="44"/>
      <c r="AA345" s="44"/>
      <c r="AB345" s="44"/>
      <c r="AC345" s="44"/>
      <c r="AD345" s="44"/>
      <c r="AE345" s="44"/>
      <c r="AF345" s="44"/>
      <c r="AG345" s="168"/>
      <c r="AH345" s="44"/>
      <c r="AK345" s="168"/>
      <c r="AL345" s="44"/>
      <c r="AM345" s="44"/>
      <c r="AN345" s="44"/>
    </row>
    <row r="346" spans="1:40" x14ac:dyDescent="0.3">
      <c r="L346" s="44"/>
      <c r="M346" s="44"/>
      <c r="N346" s="44"/>
      <c r="O346" s="44"/>
      <c r="R346" s="44"/>
      <c r="Z346" s="44"/>
      <c r="AA346" s="44"/>
      <c r="AB346" s="44"/>
      <c r="AC346" s="44"/>
      <c r="AD346" s="44"/>
      <c r="AE346" s="44"/>
      <c r="AF346" s="44"/>
      <c r="AG346" s="168"/>
      <c r="AH346" s="44"/>
      <c r="AK346" s="168"/>
      <c r="AL346" s="44"/>
      <c r="AM346" s="44"/>
      <c r="AN346" s="44"/>
    </row>
    <row r="347" spans="1:40" x14ac:dyDescent="0.3">
      <c r="A347" s="44"/>
      <c r="C347" s="44"/>
      <c r="D347" s="44"/>
      <c r="E347" s="44"/>
      <c r="F347" s="44"/>
      <c r="J347" s="44"/>
      <c r="K347" s="44"/>
      <c r="L347" s="44"/>
      <c r="M347" s="44"/>
      <c r="N347" s="44"/>
      <c r="O347" s="44"/>
      <c r="P347" s="44"/>
      <c r="Q347" s="44"/>
      <c r="R347" s="44"/>
      <c r="T347" s="44"/>
      <c r="U347" s="44"/>
      <c r="V347" s="44"/>
      <c r="Z347" s="44"/>
      <c r="AA347" s="44"/>
      <c r="AB347" s="44"/>
      <c r="AC347" s="44"/>
      <c r="AD347" s="44"/>
      <c r="AE347" s="44"/>
      <c r="AF347" s="44"/>
      <c r="AG347" s="168"/>
      <c r="AH347" s="44"/>
      <c r="AI347" s="44"/>
      <c r="AJ347" s="44"/>
      <c r="AK347" s="168"/>
      <c r="AL347" s="44"/>
      <c r="AM347" s="44"/>
      <c r="AN347" s="44"/>
    </row>
    <row r="348" spans="1:40" x14ac:dyDescent="0.3">
      <c r="A348" s="44"/>
      <c r="C348" s="44"/>
      <c r="D348" s="44"/>
      <c r="E348" s="44"/>
      <c r="F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T348" s="44"/>
      <c r="U348" s="44"/>
      <c r="V348" s="44"/>
      <c r="Y348" s="44"/>
      <c r="Z348" s="44"/>
      <c r="AA348" s="44"/>
      <c r="AB348" s="44"/>
      <c r="AC348" s="44"/>
      <c r="AD348" s="44"/>
      <c r="AE348" s="44"/>
      <c r="AF348" s="44"/>
      <c r="AG348" s="168"/>
      <c r="AH348" s="44"/>
      <c r="AI348" s="44"/>
      <c r="AJ348" s="44"/>
      <c r="AK348" s="168"/>
      <c r="AL348" s="44"/>
      <c r="AM348" s="44"/>
      <c r="AN348" s="44"/>
    </row>
    <row r="349" spans="1:40" x14ac:dyDescent="0.3">
      <c r="C349" s="44"/>
      <c r="D349" s="44"/>
      <c r="E349" s="44"/>
      <c r="F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T349" s="44"/>
      <c r="U349" s="44"/>
      <c r="V349" s="44"/>
      <c r="Y349" s="44"/>
      <c r="Z349" s="44"/>
      <c r="AA349" s="44"/>
      <c r="AB349" s="44"/>
      <c r="AC349" s="44"/>
      <c r="AD349" s="44"/>
      <c r="AE349" s="44"/>
      <c r="AF349" s="44"/>
      <c r="AG349" s="168"/>
      <c r="AH349" s="44"/>
      <c r="AI349" s="44"/>
      <c r="AJ349" s="44"/>
      <c r="AK349" s="168"/>
      <c r="AL349" s="44"/>
      <c r="AM349" s="44"/>
      <c r="AN349" s="44"/>
    </row>
    <row r="350" spans="1:40" x14ac:dyDescent="0.3">
      <c r="A350" s="135"/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207"/>
      <c r="AH350" s="135"/>
      <c r="AI350" s="135"/>
      <c r="AJ350" s="135"/>
      <c r="AK350" s="207"/>
      <c r="AL350" s="135"/>
      <c r="AM350" s="135"/>
      <c r="AN350" s="135"/>
    </row>
    <row r="351" spans="1:40" x14ac:dyDescent="0.3"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Y351" s="44"/>
      <c r="Z351" s="44"/>
      <c r="AA351" s="44"/>
      <c r="AB351" s="44"/>
      <c r="AC351" s="44"/>
      <c r="AD351" s="44"/>
      <c r="AE351" s="44"/>
      <c r="AF351" s="44"/>
      <c r="AG351" s="168"/>
      <c r="AH351" s="44"/>
      <c r="AI351" s="44"/>
      <c r="AJ351" s="44"/>
      <c r="AK351" s="168"/>
      <c r="AL351" s="44"/>
      <c r="AM351" s="44"/>
      <c r="AN351" s="44"/>
    </row>
    <row r="352" spans="1:40" x14ac:dyDescent="0.3">
      <c r="C352" s="42"/>
      <c r="D352" s="42"/>
      <c r="E352" s="42"/>
      <c r="T352" s="42"/>
      <c r="U352" s="42"/>
    </row>
    <row r="353" spans="3:40" x14ac:dyDescent="0.3">
      <c r="D353" s="42"/>
      <c r="E353" s="42"/>
      <c r="U353" s="42"/>
    </row>
    <row r="355" spans="3:40" x14ac:dyDescent="0.3">
      <c r="C355" s="42"/>
      <c r="T355" s="42"/>
    </row>
    <row r="356" spans="3:40" x14ac:dyDescent="0.3">
      <c r="C356" s="42"/>
      <c r="F356" s="184"/>
      <c r="H356" s="184"/>
      <c r="I356" s="184"/>
      <c r="J356" s="238"/>
      <c r="K356" s="238"/>
      <c r="L356" s="123"/>
      <c r="M356" s="123"/>
      <c r="N356" s="160"/>
      <c r="O356" s="160"/>
      <c r="P356" s="123"/>
      <c r="Q356" s="123"/>
      <c r="R356" s="123"/>
      <c r="T356" s="42"/>
      <c r="V356" s="184"/>
      <c r="W356" s="123"/>
      <c r="X356" s="123"/>
      <c r="Y356" s="184"/>
      <c r="Z356" s="238"/>
      <c r="AA356" s="123"/>
      <c r="AB356" s="123"/>
      <c r="AC356" s="160"/>
      <c r="AD356" s="160"/>
      <c r="AE356" s="123"/>
      <c r="AF356" s="123"/>
      <c r="AH356" s="236"/>
      <c r="AI356" s="123"/>
      <c r="AJ356" s="123"/>
      <c r="AL356" s="123"/>
      <c r="AM356" s="160"/>
      <c r="AN356" s="160"/>
    </row>
    <row r="357" spans="3:40" x14ac:dyDescent="0.3">
      <c r="C357" s="42"/>
      <c r="F357" s="123"/>
      <c r="H357" s="123"/>
      <c r="I357" s="123"/>
      <c r="J357" s="213"/>
      <c r="K357" s="213"/>
      <c r="L357" s="123"/>
      <c r="M357" s="123"/>
      <c r="N357" s="160"/>
      <c r="O357" s="160"/>
      <c r="P357" s="123"/>
      <c r="Q357" s="123"/>
      <c r="R357" s="123"/>
      <c r="T357" s="42"/>
      <c r="V357" s="184"/>
      <c r="W357" s="123"/>
      <c r="X357" s="123"/>
      <c r="Y357" s="184"/>
      <c r="Z357" s="213"/>
      <c r="AA357" s="123"/>
      <c r="AB357" s="123"/>
      <c r="AC357" s="160"/>
      <c r="AD357" s="160"/>
      <c r="AE357" s="123"/>
      <c r="AF357" s="123"/>
      <c r="AH357" s="236"/>
      <c r="AI357" s="123"/>
      <c r="AJ357" s="123"/>
      <c r="AL357" s="123"/>
      <c r="AM357" s="160"/>
      <c r="AN357" s="160"/>
    </row>
    <row r="358" spans="3:40" x14ac:dyDescent="0.3">
      <c r="C358" s="42"/>
      <c r="F358" s="184"/>
      <c r="H358" s="184"/>
      <c r="I358" s="184"/>
      <c r="J358" s="238"/>
      <c r="K358" s="238"/>
      <c r="L358" s="123"/>
      <c r="M358" s="123"/>
      <c r="N358" s="160"/>
      <c r="O358" s="160"/>
      <c r="P358" s="123"/>
      <c r="Q358" s="123"/>
      <c r="R358" s="123"/>
      <c r="T358" s="42"/>
      <c r="V358" s="184"/>
      <c r="W358" s="123"/>
      <c r="X358" s="123"/>
      <c r="Y358" s="184"/>
      <c r="Z358" s="238"/>
      <c r="AA358" s="123"/>
      <c r="AB358" s="123"/>
      <c r="AC358" s="160"/>
      <c r="AD358" s="160"/>
      <c r="AE358" s="123"/>
      <c r="AF358" s="123"/>
      <c r="AH358" s="236"/>
      <c r="AI358" s="123"/>
      <c r="AJ358" s="123"/>
      <c r="AL358" s="123"/>
      <c r="AM358" s="160"/>
      <c r="AN358" s="160"/>
    </row>
    <row r="359" spans="3:40" x14ac:dyDescent="0.3">
      <c r="C359" s="42"/>
      <c r="F359" s="184"/>
      <c r="H359" s="184"/>
      <c r="I359" s="184"/>
      <c r="J359" s="238"/>
      <c r="K359" s="238"/>
      <c r="L359" s="123"/>
      <c r="M359" s="123"/>
      <c r="N359" s="160"/>
      <c r="O359" s="160"/>
      <c r="P359" s="123"/>
      <c r="Q359" s="123"/>
      <c r="R359" s="123"/>
      <c r="T359" s="42"/>
      <c r="V359" s="184"/>
      <c r="W359" s="123"/>
      <c r="X359" s="123"/>
      <c r="Y359" s="184"/>
      <c r="Z359" s="238"/>
      <c r="AA359" s="123"/>
      <c r="AB359" s="123"/>
      <c r="AC359" s="160"/>
      <c r="AD359" s="160"/>
      <c r="AE359" s="123"/>
      <c r="AF359" s="123"/>
      <c r="AH359" s="236"/>
      <c r="AI359" s="123"/>
      <c r="AJ359" s="123"/>
      <c r="AL359" s="123"/>
      <c r="AM359" s="160"/>
      <c r="AN359" s="160"/>
    </row>
    <row r="360" spans="3:40" x14ac:dyDescent="0.3">
      <c r="C360" s="42"/>
      <c r="F360" s="184"/>
      <c r="H360" s="184"/>
      <c r="I360" s="184"/>
      <c r="J360" s="238"/>
      <c r="K360" s="238"/>
      <c r="L360" s="123"/>
      <c r="M360" s="123"/>
      <c r="N360" s="160"/>
      <c r="O360" s="160"/>
      <c r="P360" s="123"/>
      <c r="Q360" s="123"/>
      <c r="R360" s="123"/>
      <c r="T360" s="42"/>
      <c r="V360" s="184"/>
      <c r="W360" s="123"/>
      <c r="X360" s="123"/>
      <c r="Y360" s="184"/>
      <c r="Z360" s="238"/>
      <c r="AA360" s="123"/>
      <c r="AB360" s="123"/>
      <c r="AC360" s="160"/>
      <c r="AD360" s="160"/>
      <c r="AE360" s="123"/>
      <c r="AF360" s="123"/>
      <c r="AH360" s="236"/>
      <c r="AI360" s="123"/>
      <c r="AJ360" s="123"/>
      <c r="AL360" s="123"/>
      <c r="AM360" s="160"/>
      <c r="AN360" s="160"/>
    </row>
    <row r="361" spans="3:40" x14ac:dyDescent="0.3">
      <c r="C361" s="42"/>
      <c r="F361" s="123"/>
      <c r="H361" s="123"/>
      <c r="I361" s="123"/>
      <c r="J361" s="238"/>
      <c r="K361" s="238"/>
      <c r="L361" s="123"/>
      <c r="M361" s="123"/>
      <c r="N361" s="160"/>
      <c r="O361" s="160"/>
      <c r="P361" s="123"/>
      <c r="Q361" s="123"/>
      <c r="R361" s="123"/>
      <c r="T361" s="42"/>
      <c r="V361" s="184"/>
      <c r="W361" s="123"/>
      <c r="X361" s="123"/>
      <c r="Y361" s="184"/>
      <c r="Z361" s="238"/>
      <c r="AA361" s="123"/>
      <c r="AB361" s="123"/>
      <c r="AC361" s="160"/>
      <c r="AD361" s="160"/>
      <c r="AE361" s="123"/>
      <c r="AF361" s="123"/>
      <c r="AH361" s="236"/>
      <c r="AI361" s="123"/>
      <c r="AJ361" s="123"/>
      <c r="AL361" s="123"/>
      <c r="AM361" s="160"/>
      <c r="AN361" s="160"/>
    </row>
    <row r="362" spans="3:40" x14ac:dyDescent="0.3">
      <c r="C362" s="42"/>
      <c r="F362" s="123"/>
      <c r="H362" s="123"/>
      <c r="I362" s="123"/>
      <c r="J362" s="238"/>
      <c r="K362" s="238"/>
      <c r="L362" s="123"/>
      <c r="M362" s="123"/>
      <c r="N362" s="160"/>
      <c r="O362" s="160"/>
      <c r="P362" s="123"/>
      <c r="Q362" s="123"/>
      <c r="R362" s="123"/>
      <c r="T362" s="42"/>
      <c r="V362" s="184"/>
      <c r="W362" s="123"/>
      <c r="X362" s="123"/>
      <c r="Y362" s="184"/>
      <c r="Z362" s="238"/>
      <c r="AA362" s="123"/>
      <c r="AB362" s="123"/>
      <c r="AC362" s="160"/>
      <c r="AD362" s="160"/>
      <c r="AE362" s="123"/>
      <c r="AF362" s="123"/>
      <c r="AH362" s="236"/>
      <c r="AI362" s="123"/>
      <c r="AJ362" s="123"/>
      <c r="AL362" s="123"/>
      <c r="AM362" s="160"/>
      <c r="AN362" s="160"/>
    </row>
    <row r="363" spans="3:40" x14ac:dyDescent="0.3">
      <c r="F363" s="241"/>
      <c r="H363" s="242"/>
      <c r="I363" s="242"/>
      <c r="J363" s="238"/>
      <c r="K363" s="238"/>
      <c r="L363" s="241"/>
      <c r="M363" s="241"/>
      <c r="N363" s="210"/>
      <c r="O363" s="210"/>
      <c r="P363" s="241"/>
      <c r="Q363" s="241"/>
      <c r="R363" s="241"/>
      <c r="V363" s="241"/>
      <c r="W363" s="123"/>
      <c r="X363" s="123"/>
      <c r="Y363" s="241"/>
      <c r="Z363" s="238"/>
      <c r="AA363" s="241"/>
      <c r="AB363" s="241"/>
      <c r="AC363" s="243"/>
      <c r="AD363" s="243"/>
      <c r="AE363" s="241"/>
      <c r="AF363" s="241"/>
      <c r="AH363" s="236"/>
      <c r="AI363" s="241"/>
      <c r="AJ363" s="241"/>
      <c r="AK363" s="207"/>
      <c r="AL363" s="241"/>
      <c r="AM363" s="160"/>
      <c r="AN363" s="160"/>
    </row>
    <row r="364" spans="3:40" x14ac:dyDescent="0.3">
      <c r="C364" s="42"/>
      <c r="F364" s="123"/>
      <c r="H364" s="123"/>
      <c r="I364" s="123"/>
      <c r="J364" s="238"/>
      <c r="K364" s="238"/>
      <c r="L364" s="123"/>
      <c r="M364" s="123"/>
      <c r="N364" s="236"/>
      <c r="O364" s="236"/>
      <c r="P364" s="123"/>
      <c r="Q364" s="123"/>
      <c r="R364" s="123"/>
      <c r="T364" s="44"/>
      <c r="V364" s="123"/>
      <c r="W364" s="123"/>
      <c r="X364" s="123"/>
      <c r="Y364" s="123"/>
      <c r="Z364" s="238"/>
      <c r="AA364" s="123"/>
      <c r="AB364" s="123"/>
      <c r="AC364" s="236"/>
      <c r="AD364" s="236"/>
      <c r="AE364" s="123"/>
      <c r="AF364" s="123"/>
      <c r="AH364" s="236"/>
      <c r="AI364" s="123"/>
      <c r="AJ364" s="123"/>
      <c r="AL364" s="123"/>
      <c r="AM364" s="160"/>
      <c r="AN364" s="160"/>
    </row>
    <row r="365" spans="3:40" x14ac:dyDescent="0.3">
      <c r="F365" s="135"/>
      <c r="H365" s="135"/>
      <c r="I365" s="135"/>
      <c r="L365" s="135"/>
      <c r="M365" s="135"/>
      <c r="N365" s="243"/>
      <c r="O365" s="243"/>
      <c r="P365" s="241"/>
      <c r="Q365" s="241"/>
      <c r="R365" s="241"/>
      <c r="V365" s="241"/>
      <c r="Y365" s="241"/>
      <c r="Z365" s="213"/>
      <c r="AA365" s="241"/>
      <c r="AB365" s="241"/>
      <c r="AC365" s="241"/>
      <c r="AD365" s="241"/>
      <c r="AE365" s="241"/>
      <c r="AF365" s="241"/>
      <c r="AI365" s="241"/>
      <c r="AJ365" s="241"/>
      <c r="AK365" s="207"/>
      <c r="AL365" s="241"/>
      <c r="AM365" s="243"/>
      <c r="AN365" s="243"/>
    </row>
    <row r="370" spans="1:40" x14ac:dyDescent="0.3">
      <c r="N370" s="123"/>
      <c r="O370" s="123"/>
      <c r="P370" s="123"/>
      <c r="Q370" s="123"/>
      <c r="R370" s="123"/>
      <c r="V370" s="123"/>
      <c r="Y370" s="123"/>
      <c r="Z370" s="219"/>
      <c r="AA370" s="123"/>
      <c r="AB370" s="123"/>
      <c r="AC370" s="160"/>
      <c r="AD370" s="160"/>
      <c r="AE370" s="123"/>
      <c r="AF370" s="123"/>
      <c r="AH370" s="236"/>
      <c r="AI370" s="123"/>
      <c r="AJ370" s="123"/>
      <c r="AL370" s="123"/>
      <c r="AM370" s="160"/>
      <c r="AN370" s="160"/>
    </row>
    <row r="371" spans="1:40" x14ac:dyDescent="0.3">
      <c r="C371" s="42"/>
      <c r="D371" s="42"/>
      <c r="E371" s="42"/>
      <c r="J371" s="188"/>
      <c r="K371" s="188"/>
      <c r="T371" s="42"/>
      <c r="U371" s="42"/>
      <c r="Z371" s="188"/>
      <c r="AE371" s="123"/>
      <c r="AF371" s="123"/>
      <c r="AI371" s="123"/>
      <c r="AJ371" s="123"/>
      <c r="AL371" s="123"/>
      <c r="AM371" s="160"/>
      <c r="AN371" s="160"/>
    </row>
    <row r="372" spans="1:40" x14ac:dyDescent="0.3">
      <c r="D372" s="42"/>
      <c r="E372" s="42"/>
      <c r="F372" s="123"/>
      <c r="H372" s="123"/>
      <c r="I372" s="123"/>
      <c r="J372" s="238"/>
      <c r="K372" s="238"/>
      <c r="L372" s="123"/>
      <c r="M372" s="123"/>
      <c r="N372" s="160"/>
      <c r="O372" s="160"/>
      <c r="P372" s="123"/>
      <c r="Q372" s="123"/>
      <c r="R372" s="123"/>
      <c r="U372" s="42"/>
      <c r="V372" s="123"/>
      <c r="Y372" s="123"/>
      <c r="Z372" s="238"/>
      <c r="AA372" s="123"/>
      <c r="AB372" s="123"/>
      <c r="AC372" s="160"/>
      <c r="AD372" s="160"/>
      <c r="AE372" s="123"/>
      <c r="AF372" s="123"/>
      <c r="AH372" s="236"/>
      <c r="AI372" s="123"/>
      <c r="AJ372" s="123"/>
      <c r="AL372" s="123"/>
      <c r="AM372" s="160"/>
      <c r="AN372" s="160"/>
    </row>
    <row r="373" spans="1:40" x14ac:dyDescent="0.3">
      <c r="F373" s="123"/>
      <c r="H373" s="123"/>
      <c r="I373" s="123"/>
      <c r="J373" s="213"/>
      <c r="K373" s="213"/>
      <c r="L373" s="123"/>
      <c r="M373" s="123"/>
      <c r="N373" s="123"/>
      <c r="O373" s="123"/>
      <c r="P373" s="123"/>
      <c r="Q373" s="123"/>
      <c r="R373" s="123"/>
      <c r="V373" s="123"/>
      <c r="Y373" s="123"/>
      <c r="Z373" s="213"/>
      <c r="AA373" s="123"/>
      <c r="AB373" s="123"/>
      <c r="AC373" s="123"/>
      <c r="AD373" s="123"/>
      <c r="AE373" s="123"/>
      <c r="AF373" s="123"/>
      <c r="AH373" s="236"/>
      <c r="AI373" s="184"/>
      <c r="AJ373" s="184"/>
      <c r="AL373" s="123"/>
      <c r="AM373" s="160"/>
      <c r="AN373" s="160"/>
    </row>
    <row r="374" spans="1:40" x14ac:dyDescent="0.3">
      <c r="C374" s="42"/>
      <c r="F374" s="184"/>
      <c r="H374" s="184"/>
      <c r="I374" s="184"/>
      <c r="J374" s="212"/>
      <c r="K374" s="212"/>
      <c r="L374" s="123"/>
      <c r="M374" s="123"/>
      <c r="N374" s="160"/>
      <c r="O374" s="160"/>
      <c r="P374" s="123"/>
      <c r="Q374" s="123"/>
      <c r="R374" s="123"/>
      <c r="T374" s="42"/>
      <c r="V374" s="184"/>
      <c r="Y374" s="184"/>
      <c r="Z374" s="212"/>
      <c r="AA374" s="123"/>
      <c r="AB374" s="123"/>
      <c r="AC374" s="160"/>
      <c r="AD374" s="160"/>
      <c r="AE374" s="123"/>
      <c r="AF374" s="123"/>
      <c r="AH374" s="236"/>
      <c r="AI374" s="123"/>
      <c r="AJ374" s="123"/>
      <c r="AL374" s="123"/>
      <c r="AM374" s="160"/>
      <c r="AN374" s="160"/>
    </row>
    <row r="375" spans="1:40" x14ac:dyDescent="0.3">
      <c r="F375" s="135"/>
      <c r="H375" s="135"/>
      <c r="I375" s="135"/>
      <c r="L375" s="135"/>
      <c r="M375" s="135"/>
      <c r="N375" s="135"/>
      <c r="O375" s="135"/>
      <c r="P375" s="135"/>
      <c r="Q375" s="135"/>
      <c r="R375" s="135"/>
      <c r="V375" s="135"/>
      <c r="Y375" s="135"/>
      <c r="AA375" s="135"/>
      <c r="AB375" s="135"/>
      <c r="AC375" s="135"/>
      <c r="AD375" s="135"/>
      <c r="AE375" s="135"/>
      <c r="AF375" s="135"/>
      <c r="AG375" s="207"/>
      <c r="AH375" s="135"/>
      <c r="AI375" s="135"/>
      <c r="AJ375" s="135"/>
      <c r="AK375" s="207"/>
      <c r="AL375" s="135"/>
      <c r="AM375" s="135"/>
      <c r="AN375" s="135"/>
    </row>
    <row r="376" spans="1:40" x14ac:dyDescent="0.3">
      <c r="C376" s="44"/>
      <c r="F376" s="184"/>
      <c r="H376" s="184"/>
      <c r="I376" s="184"/>
      <c r="J376" s="193"/>
      <c r="K376" s="193"/>
      <c r="L376" s="184"/>
      <c r="M376" s="184"/>
      <c r="N376" s="160"/>
      <c r="O376" s="160"/>
      <c r="P376" s="184"/>
      <c r="Q376" s="184"/>
      <c r="R376" s="184"/>
      <c r="T376" s="44"/>
      <c r="V376" s="123"/>
      <c r="Y376" s="123"/>
      <c r="Z376" s="219"/>
      <c r="AA376" s="123"/>
      <c r="AB376" s="123"/>
      <c r="AC376" s="160"/>
      <c r="AD376" s="160"/>
      <c r="AH376" s="236"/>
      <c r="AI376" s="123"/>
      <c r="AJ376" s="123"/>
      <c r="AL376" s="123"/>
      <c r="AM376" s="160"/>
      <c r="AN376" s="160"/>
    </row>
    <row r="377" spans="1:40" x14ac:dyDescent="0.3">
      <c r="F377" s="241"/>
      <c r="H377" s="241"/>
      <c r="I377" s="241"/>
      <c r="J377" s="213"/>
      <c r="K377" s="213"/>
      <c r="L377" s="241"/>
      <c r="M377" s="241"/>
      <c r="N377" s="241"/>
      <c r="O377" s="241"/>
      <c r="P377" s="241"/>
      <c r="Q377" s="241"/>
      <c r="R377" s="241"/>
      <c r="V377" s="135"/>
      <c r="Y377" s="135"/>
      <c r="AA377" s="135"/>
      <c r="AB377" s="135"/>
      <c r="AC377" s="135"/>
      <c r="AD377" s="135"/>
      <c r="AE377" s="135"/>
      <c r="AF377" s="135"/>
      <c r="AG377" s="207"/>
      <c r="AH377" s="135"/>
      <c r="AI377" s="135"/>
      <c r="AJ377" s="135"/>
      <c r="AK377" s="207"/>
      <c r="AL377" s="135"/>
      <c r="AM377" s="135"/>
      <c r="AN377" s="135"/>
    </row>
    <row r="378" spans="1:40" x14ac:dyDescent="0.3">
      <c r="F378" s="184"/>
      <c r="H378" s="184"/>
      <c r="I378" s="184"/>
      <c r="J378" s="237"/>
      <c r="K378" s="237"/>
      <c r="L378" s="123"/>
      <c r="M378" s="123"/>
      <c r="N378" s="160"/>
      <c r="O378" s="160"/>
      <c r="P378" s="123"/>
      <c r="Q378" s="123"/>
      <c r="R378" s="123"/>
    </row>
    <row r="379" spans="1:40" x14ac:dyDescent="0.3">
      <c r="A379" s="42"/>
      <c r="F379" s="184"/>
      <c r="H379" s="184"/>
      <c r="I379" s="184"/>
      <c r="J379" s="193"/>
      <c r="K379" s="193"/>
      <c r="L379" s="123"/>
      <c r="M379" s="123"/>
      <c r="N379" s="160"/>
      <c r="O379" s="160"/>
      <c r="P379" s="123"/>
      <c r="Q379" s="123"/>
      <c r="R379" s="123"/>
    </row>
    <row r="380" spans="1:40" x14ac:dyDescent="0.3">
      <c r="F380" s="184"/>
      <c r="H380" s="184"/>
      <c r="I380" s="184"/>
      <c r="J380" s="193"/>
      <c r="K380" s="193"/>
      <c r="L380" s="123"/>
      <c r="M380" s="123"/>
      <c r="N380" s="160"/>
      <c r="O380" s="160"/>
      <c r="P380" s="123"/>
      <c r="Q380" s="123"/>
      <c r="R380" s="123"/>
    </row>
    <row r="381" spans="1:40" x14ac:dyDescent="0.3">
      <c r="A381" s="42"/>
    </row>
    <row r="384" spans="1:40" x14ac:dyDescent="0.3">
      <c r="H384" s="42"/>
      <c r="I384" s="42"/>
      <c r="Y384" s="42"/>
    </row>
    <row r="386" spans="1:40" x14ac:dyDescent="0.3">
      <c r="L386" s="42"/>
      <c r="M386" s="42"/>
      <c r="AA386" s="42"/>
      <c r="AB386" s="42"/>
    </row>
    <row r="387" spans="1:40" x14ac:dyDescent="0.3">
      <c r="R387" s="42"/>
      <c r="AK387" s="206"/>
      <c r="AL387" s="42"/>
    </row>
    <row r="388" spans="1:40" x14ac:dyDescent="0.3">
      <c r="R388" s="42"/>
      <c r="AK388" s="206"/>
      <c r="AL388" s="42"/>
    </row>
    <row r="389" spans="1:40" x14ac:dyDescent="0.3">
      <c r="A389" s="42"/>
      <c r="R389" s="42"/>
      <c r="AK389" s="206"/>
      <c r="AL389" s="42"/>
    </row>
    <row r="390" spans="1:40" x14ac:dyDescent="0.3">
      <c r="L390" s="42"/>
      <c r="M390" s="42"/>
      <c r="AA390" s="42"/>
      <c r="AB390" s="42"/>
    </row>
    <row r="391" spans="1:40" x14ac:dyDescent="0.3">
      <c r="A391" s="135"/>
      <c r="B391" s="135"/>
      <c r="C391" s="135"/>
      <c r="D391" s="135"/>
      <c r="E391" s="135"/>
      <c r="F391" s="135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207"/>
      <c r="AH391" s="135"/>
      <c r="AI391" s="135"/>
      <c r="AJ391" s="135"/>
      <c r="AK391" s="207"/>
      <c r="AL391" s="135"/>
      <c r="AM391" s="135"/>
      <c r="AN391" s="135"/>
    </row>
    <row r="392" spans="1:40" x14ac:dyDescent="0.3">
      <c r="L392" s="44"/>
      <c r="M392" s="44"/>
      <c r="N392" s="44"/>
      <c r="O392" s="44"/>
      <c r="R392" s="44"/>
      <c r="AA392" s="44"/>
      <c r="AB392" s="44"/>
      <c r="AC392" s="44"/>
      <c r="AD392" s="44"/>
      <c r="AE392" s="44"/>
      <c r="AF392" s="44"/>
      <c r="AG392" s="168"/>
      <c r="AH392" s="44"/>
      <c r="AK392" s="168"/>
      <c r="AL392" s="44"/>
      <c r="AM392" s="44"/>
      <c r="AN392" s="44"/>
    </row>
    <row r="393" spans="1:40" x14ac:dyDescent="0.3">
      <c r="L393" s="44"/>
      <c r="M393" s="44"/>
      <c r="N393" s="44"/>
      <c r="O393" s="44"/>
      <c r="R393" s="44"/>
      <c r="Z393" s="44"/>
      <c r="AA393" s="44"/>
      <c r="AB393" s="44"/>
      <c r="AC393" s="44"/>
      <c r="AD393" s="44"/>
      <c r="AE393" s="44"/>
      <c r="AF393" s="44"/>
      <c r="AG393" s="168"/>
      <c r="AH393" s="44"/>
      <c r="AK393" s="168"/>
      <c r="AL393" s="44"/>
      <c r="AM393" s="44"/>
      <c r="AN393" s="44"/>
    </row>
    <row r="394" spans="1:40" x14ac:dyDescent="0.3">
      <c r="A394" s="44"/>
      <c r="C394" s="44"/>
      <c r="D394" s="44"/>
      <c r="E394" s="44"/>
      <c r="F394" s="44"/>
      <c r="J394" s="44"/>
      <c r="K394" s="44"/>
      <c r="L394" s="44"/>
      <c r="M394" s="44"/>
      <c r="N394" s="44"/>
      <c r="O394" s="44"/>
      <c r="P394" s="44"/>
      <c r="Q394" s="44"/>
      <c r="R394" s="44"/>
      <c r="T394" s="44"/>
      <c r="U394" s="44"/>
      <c r="V394" s="44"/>
      <c r="Z394" s="44"/>
      <c r="AA394" s="44"/>
      <c r="AB394" s="44"/>
      <c r="AC394" s="44"/>
      <c r="AD394" s="44"/>
      <c r="AE394" s="44"/>
      <c r="AF394" s="44"/>
      <c r="AG394" s="168"/>
      <c r="AH394" s="44"/>
      <c r="AI394" s="44"/>
      <c r="AJ394" s="44"/>
      <c r="AK394" s="168"/>
      <c r="AL394" s="44"/>
      <c r="AM394" s="44"/>
      <c r="AN394" s="44"/>
    </row>
    <row r="395" spans="1:40" x14ac:dyDescent="0.3">
      <c r="A395" s="44"/>
      <c r="C395" s="44"/>
      <c r="D395" s="44"/>
      <c r="E395" s="44"/>
      <c r="F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T395" s="44"/>
      <c r="U395" s="44"/>
      <c r="V395" s="44"/>
      <c r="Y395" s="44"/>
      <c r="Z395" s="44"/>
      <c r="AA395" s="44"/>
      <c r="AB395" s="44"/>
      <c r="AC395" s="44"/>
      <c r="AD395" s="44"/>
      <c r="AE395" s="44"/>
      <c r="AF395" s="44"/>
      <c r="AG395" s="168"/>
      <c r="AH395" s="44"/>
      <c r="AI395" s="44"/>
      <c r="AJ395" s="44"/>
      <c r="AK395" s="168"/>
      <c r="AL395" s="44"/>
      <c r="AM395" s="44"/>
      <c r="AN395" s="44"/>
    </row>
    <row r="396" spans="1:40" x14ac:dyDescent="0.3">
      <c r="C396" s="44"/>
      <c r="D396" s="44"/>
      <c r="E396" s="44"/>
      <c r="F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T396" s="44"/>
      <c r="U396" s="44"/>
      <c r="V396" s="44"/>
      <c r="Y396" s="44"/>
      <c r="Z396" s="44"/>
      <c r="AA396" s="44"/>
      <c r="AB396" s="44"/>
      <c r="AC396" s="44"/>
      <c r="AD396" s="44"/>
      <c r="AE396" s="44"/>
      <c r="AF396" s="44"/>
      <c r="AG396" s="168"/>
      <c r="AH396" s="44"/>
      <c r="AI396" s="44"/>
      <c r="AJ396" s="44"/>
      <c r="AK396" s="168"/>
      <c r="AL396" s="44"/>
      <c r="AM396" s="44"/>
      <c r="AN396" s="44"/>
    </row>
    <row r="397" spans="1:40" x14ac:dyDescent="0.3">
      <c r="A397" s="135"/>
      <c r="B397" s="135"/>
      <c r="C397" s="135"/>
      <c r="D397" s="135"/>
      <c r="E397" s="135"/>
      <c r="F397" s="135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207"/>
      <c r="AH397" s="135"/>
      <c r="AI397" s="135"/>
      <c r="AJ397" s="135"/>
      <c r="AK397" s="207"/>
      <c r="AL397" s="135"/>
      <c r="AM397" s="135"/>
      <c r="AN397" s="135"/>
    </row>
    <row r="398" spans="1:40" x14ac:dyDescent="0.3"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Y398" s="44"/>
      <c r="Z398" s="44"/>
      <c r="AA398" s="44"/>
      <c r="AB398" s="44"/>
      <c r="AC398" s="44"/>
      <c r="AD398" s="44"/>
      <c r="AE398" s="44"/>
      <c r="AF398" s="44"/>
      <c r="AG398" s="168"/>
      <c r="AH398" s="44"/>
      <c r="AI398" s="44"/>
      <c r="AJ398" s="44"/>
      <c r="AK398" s="168"/>
      <c r="AL398" s="44"/>
      <c r="AM398" s="44"/>
      <c r="AN398" s="44"/>
    </row>
    <row r="399" spans="1:40" x14ac:dyDescent="0.3">
      <c r="C399" s="42"/>
      <c r="D399" s="42"/>
      <c r="E399" s="42"/>
      <c r="T399" s="42"/>
      <c r="U399" s="42"/>
    </row>
    <row r="401" spans="3:40" x14ac:dyDescent="0.3">
      <c r="C401" s="42"/>
      <c r="T401" s="42"/>
    </row>
    <row r="402" spans="3:40" x14ac:dyDescent="0.3">
      <c r="C402" s="42"/>
      <c r="F402" s="184"/>
      <c r="H402" s="184"/>
      <c r="I402" s="184"/>
      <c r="J402" s="213"/>
      <c r="K402" s="213"/>
      <c r="L402" s="123"/>
      <c r="M402" s="123"/>
      <c r="N402" s="160"/>
      <c r="O402" s="160"/>
      <c r="P402" s="123"/>
      <c r="Q402" s="123"/>
      <c r="R402" s="123"/>
      <c r="T402" s="42"/>
      <c r="V402" s="184"/>
      <c r="Y402" s="184"/>
      <c r="Z402" s="213"/>
      <c r="AA402" s="123"/>
      <c r="AB402" s="123"/>
      <c r="AC402" s="160"/>
      <c r="AD402" s="160"/>
      <c r="AE402" s="123"/>
      <c r="AF402" s="123"/>
      <c r="AH402" s="236"/>
      <c r="AI402" s="123"/>
      <c r="AJ402" s="123"/>
      <c r="AL402" s="123"/>
      <c r="AM402" s="160"/>
      <c r="AN402" s="160"/>
    </row>
    <row r="403" spans="3:40" x14ac:dyDescent="0.3">
      <c r="C403" s="42"/>
      <c r="T403" s="42"/>
    </row>
    <row r="404" spans="3:40" x14ac:dyDescent="0.3">
      <c r="C404" s="42"/>
      <c r="F404" s="184"/>
      <c r="H404" s="184"/>
      <c r="I404" s="184"/>
      <c r="J404" s="238"/>
      <c r="K404" s="238"/>
      <c r="L404" s="123"/>
      <c r="M404" s="123"/>
      <c r="N404" s="160"/>
      <c r="O404" s="160"/>
      <c r="P404" s="123"/>
      <c r="Q404" s="123"/>
      <c r="R404" s="123"/>
      <c r="T404" s="42"/>
      <c r="V404" s="123"/>
      <c r="Y404" s="123"/>
      <c r="Z404" s="238"/>
      <c r="AA404" s="123"/>
      <c r="AB404" s="123"/>
      <c r="AC404" s="160"/>
      <c r="AD404" s="160"/>
      <c r="AE404" s="123"/>
      <c r="AF404" s="123"/>
      <c r="AH404" s="236"/>
      <c r="AI404" s="123"/>
      <c r="AJ404" s="123"/>
      <c r="AL404" s="123"/>
      <c r="AM404" s="160"/>
      <c r="AN404" s="160"/>
    </row>
    <row r="405" spans="3:40" x14ac:dyDescent="0.3">
      <c r="C405" s="42"/>
      <c r="F405" s="184"/>
      <c r="H405" s="184"/>
      <c r="I405" s="184"/>
      <c r="J405" s="238"/>
      <c r="K405" s="238"/>
      <c r="L405" s="123"/>
      <c r="M405" s="123"/>
      <c r="N405" s="160"/>
      <c r="O405" s="160"/>
      <c r="P405" s="123"/>
      <c r="Q405" s="123"/>
      <c r="R405" s="123"/>
      <c r="T405" s="42"/>
      <c r="V405" s="123"/>
      <c r="Y405" s="123"/>
      <c r="Z405" s="238"/>
      <c r="AA405" s="123"/>
      <c r="AB405" s="123"/>
      <c r="AC405" s="160"/>
      <c r="AD405" s="160"/>
      <c r="AE405" s="123"/>
      <c r="AF405" s="123"/>
      <c r="AH405" s="236"/>
      <c r="AI405" s="123"/>
      <c r="AJ405" s="123"/>
      <c r="AL405" s="123"/>
      <c r="AM405" s="160"/>
      <c r="AN405" s="160"/>
    </row>
    <row r="406" spans="3:40" x14ac:dyDescent="0.3">
      <c r="C406" s="42"/>
      <c r="F406" s="184"/>
      <c r="H406" s="184"/>
      <c r="I406" s="184"/>
      <c r="J406" s="238"/>
      <c r="K406" s="238"/>
      <c r="L406" s="123"/>
      <c r="M406" s="123"/>
      <c r="N406" s="160"/>
      <c r="O406" s="160"/>
      <c r="P406" s="123"/>
      <c r="Q406" s="123"/>
      <c r="R406" s="123"/>
      <c r="T406" s="42"/>
      <c r="V406" s="123"/>
      <c r="Y406" s="123"/>
      <c r="Z406" s="238"/>
      <c r="AA406" s="123"/>
      <c r="AB406" s="123"/>
      <c r="AC406" s="160"/>
      <c r="AD406" s="160"/>
      <c r="AE406" s="123"/>
      <c r="AF406" s="123"/>
      <c r="AH406" s="236"/>
      <c r="AI406" s="123"/>
      <c r="AJ406" s="123"/>
      <c r="AL406" s="123"/>
      <c r="AM406" s="160"/>
      <c r="AN406" s="160"/>
    </row>
    <row r="407" spans="3:40" x14ac:dyDescent="0.3">
      <c r="C407" s="42"/>
      <c r="F407" s="184"/>
      <c r="H407" s="184"/>
      <c r="I407" s="184"/>
      <c r="J407" s="238"/>
      <c r="K407" s="238"/>
      <c r="L407" s="123"/>
      <c r="M407" s="123"/>
      <c r="N407" s="160"/>
      <c r="O407" s="160"/>
      <c r="P407" s="123"/>
      <c r="Q407" s="123"/>
      <c r="R407" s="123"/>
      <c r="T407" s="42"/>
      <c r="V407" s="123"/>
      <c r="Y407" s="123"/>
      <c r="Z407" s="238"/>
      <c r="AA407" s="123"/>
      <c r="AB407" s="123"/>
      <c r="AC407" s="160"/>
      <c r="AD407" s="160"/>
      <c r="AE407" s="123"/>
      <c r="AF407" s="123"/>
      <c r="AH407" s="236"/>
      <c r="AI407" s="123"/>
      <c r="AJ407" s="123"/>
      <c r="AL407" s="123"/>
      <c r="AM407" s="160"/>
      <c r="AN407" s="160"/>
    </row>
    <row r="408" spans="3:40" x14ac:dyDescent="0.3">
      <c r="C408" s="42"/>
      <c r="J408" s="188"/>
      <c r="K408" s="188"/>
      <c r="T408" s="42"/>
      <c r="Z408" s="188"/>
    </row>
    <row r="409" spans="3:40" x14ac:dyDescent="0.3">
      <c r="C409" s="42"/>
      <c r="F409" s="184"/>
      <c r="H409" s="184"/>
      <c r="I409" s="184"/>
      <c r="J409" s="238"/>
      <c r="K409" s="238"/>
      <c r="L409" s="123"/>
      <c r="M409" s="123"/>
      <c r="N409" s="160"/>
      <c r="O409" s="160"/>
      <c r="P409" s="123"/>
      <c r="Q409" s="123"/>
      <c r="R409" s="123"/>
      <c r="T409" s="42"/>
      <c r="V409" s="123"/>
      <c r="Y409" s="123"/>
      <c r="Z409" s="238"/>
      <c r="AA409" s="123"/>
      <c r="AB409" s="123"/>
      <c r="AC409" s="160"/>
      <c r="AD409" s="160"/>
      <c r="AE409" s="123"/>
      <c r="AF409" s="123"/>
      <c r="AH409" s="236"/>
      <c r="AI409" s="123"/>
      <c r="AJ409" s="123"/>
      <c r="AL409" s="123"/>
      <c r="AM409" s="160"/>
      <c r="AN409" s="160"/>
    </row>
    <row r="410" spans="3:40" x14ac:dyDescent="0.3">
      <c r="C410" s="42"/>
      <c r="F410" s="184"/>
      <c r="H410" s="184"/>
      <c r="I410" s="184"/>
      <c r="J410" s="238"/>
      <c r="K410" s="238"/>
      <c r="L410" s="123"/>
      <c r="M410" s="123"/>
      <c r="N410" s="160"/>
      <c r="O410" s="160"/>
      <c r="P410" s="123"/>
      <c r="Q410" s="123"/>
      <c r="R410" s="123"/>
      <c r="T410" s="42"/>
      <c r="V410" s="123"/>
      <c r="Y410" s="123"/>
      <c r="Z410" s="238"/>
      <c r="AA410" s="123"/>
      <c r="AB410" s="123"/>
      <c r="AC410" s="160"/>
      <c r="AD410" s="160"/>
      <c r="AE410" s="123"/>
      <c r="AF410" s="123"/>
      <c r="AH410" s="236"/>
      <c r="AI410" s="123"/>
      <c r="AJ410" s="123"/>
      <c r="AL410" s="123"/>
      <c r="AM410" s="160"/>
      <c r="AN410" s="160"/>
    </row>
    <row r="411" spans="3:40" x14ac:dyDescent="0.3">
      <c r="C411" s="42"/>
      <c r="F411" s="184"/>
      <c r="H411" s="184"/>
      <c r="I411" s="184"/>
      <c r="J411" s="238"/>
      <c r="K411" s="238"/>
      <c r="L411" s="123"/>
      <c r="M411" s="123"/>
      <c r="N411" s="160"/>
      <c r="O411" s="160"/>
      <c r="P411" s="123"/>
      <c r="Q411" s="123"/>
      <c r="R411" s="123"/>
      <c r="T411" s="42"/>
      <c r="V411" s="123"/>
      <c r="Y411" s="123"/>
      <c r="Z411" s="238"/>
      <c r="AA411" s="123"/>
      <c r="AB411" s="123"/>
      <c r="AC411" s="160"/>
      <c r="AD411" s="160"/>
      <c r="AE411" s="123"/>
      <c r="AF411" s="123"/>
      <c r="AH411" s="236"/>
      <c r="AI411" s="123"/>
      <c r="AJ411" s="123"/>
      <c r="AL411" s="123"/>
      <c r="AM411" s="160"/>
      <c r="AN411" s="160"/>
    </row>
    <row r="412" spans="3:40" x14ac:dyDescent="0.3">
      <c r="C412" s="42"/>
      <c r="J412" s="188"/>
      <c r="K412" s="188"/>
      <c r="T412" s="42"/>
      <c r="Z412" s="188"/>
    </row>
    <row r="413" spans="3:40" x14ac:dyDescent="0.3">
      <c r="C413" s="42"/>
      <c r="F413" s="184"/>
      <c r="H413" s="184"/>
      <c r="I413" s="184"/>
      <c r="J413" s="238"/>
      <c r="K413" s="238"/>
      <c r="L413" s="123"/>
      <c r="M413" s="123"/>
      <c r="N413" s="160"/>
      <c r="O413" s="160"/>
      <c r="P413" s="123"/>
      <c r="Q413" s="123"/>
      <c r="R413" s="123"/>
      <c r="T413" s="42"/>
      <c r="V413" s="123"/>
      <c r="Y413" s="123"/>
      <c r="Z413" s="238"/>
      <c r="AA413" s="123"/>
      <c r="AB413" s="123"/>
      <c r="AC413" s="160"/>
      <c r="AD413" s="160"/>
      <c r="AE413" s="123"/>
      <c r="AF413" s="123"/>
      <c r="AH413" s="236"/>
      <c r="AI413" s="123"/>
      <c r="AJ413" s="123"/>
      <c r="AL413" s="123"/>
      <c r="AM413" s="160"/>
      <c r="AN413" s="160"/>
    </row>
    <row r="414" spans="3:40" x14ac:dyDescent="0.3">
      <c r="C414" s="42"/>
      <c r="F414" s="184"/>
      <c r="H414" s="184"/>
      <c r="I414" s="184"/>
      <c r="J414" s="238"/>
      <c r="K414" s="238"/>
      <c r="L414" s="123"/>
      <c r="M414" s="123"/>
      <c r="N414" s="160"/>
      <c r="O414" s="160"/>
      <c r="P414" s="123"/>
      <c r="Q414" s="123"/>
      <c r="R414" s="123"/>
      <c r="T414" s="42"/>
      <c r="V414" s="123"/>
      <c r="Y414" s="123"/>
      <c r="Z414" s="238"/>
      <c r="AA414" s="123"/>
      <c r="AB414" s="123"/>
      <c r="AC414" s="160"/>
      <c r="AD414" s="160"/>
      <c r="AE414" s="123"/>
      <c r="AF414" s="123"/>
      <c r="AH414" s="236"/>
      <c r="AI414" s="123"/>
      <c r="AJ414" s="123"/>
      <c r="AL414" s="123"/>
      <c r="AM414" s="160"/>
      <c r="AN414" s="160"/>
    </row>
    <row r="415" spans="3:40" x14ac:dyDescent="0.3">
      <c r="C415" s="42"/>
      <c r="J415" s="188"/>
      <c r="K415" s="188"/>
      <c r="T415" s="42"/>
      <c r="Z415" s="188"/>
    </row>
    <row r="416" spans="3:40" x14ac:dyDescent="0.3">
      <c r="C416" s="42"/>
      <c r="F416" s="184"/>
      <c r="H416" s="184"/>
      <c r="I416" s="184"/>
      <c r="J416" s="238"/>
      <c r="K416" s="238"/>
      <c r="L416" s="123"/>
      <c r="M416" s="123"/>
      <c r="N416" s="160"/>
      <c r="O416" s="160"/>
      <c r="P416" s="123"/>
      <c r="Q416" s="123"/>
      <c r="R416" s="123"/>
      <c r="T416" s="42"/>
      <c r="V416" s="123"/>
      <c r="Y416" s="123"/>
      <c r="Z416" s="238"/>
      <c r="AA416" s="123"/>
      <c r="AB416" s="123"/>
      <c r="AC416" s="160"/>
      <c r="AD416" s="160"/>
      <c r="AE416" s="123"/>
      <c r="AF416" s="123"/>
      <c r="AH416" s="236"/>
      <c r="AI416" s="123"/>
      <c r="AJ416" s="123"/>
      <c r="AL416" s="123"/>
      <c r="AM416" s="160"/>
      <c r="AN416" s="160"/>
    </row>
    <row r="417" spans="3:40" x14ac:dyDescent="0.3">
      <c r="C417" s="42"/>
      <c r="F417" s="184"/>
      <c r="H417" s="184"/>
      <c r="I417" s="184"/>
      <c r="J417" s="238"/>
      <c r="K417" s="238"/>
      <c r="L417" s="123"/>
      <c r="M417" s="123"/>
      <c r="N417" s="160"/>
      <c r="O417" s="160"/>
      <c r="P417" s="123"/>
      <c r="Q417" s="123"/>
      <c r="R417" s="123"/>
      <c r="T417" s="42"/>
      <c r="V417" s="123"/>
      <c r="Y417" s="123"/>
      <c r="Z417" s="238"/>
      <c r="AA417" s="123"/>
      <c r="AB417" s="123"/>
      <c r="AC417" s="160"/>
      <c r="AD417" s="160"/>
      <c r="AE417" s="123"/>
      <c r="AF417" s="123"/>
      <c r="AH417" s="236"/>
      <c r="AI417" s="123"/>
      <c r="AJ417" s="123"/>
      <c r="AL417" s="123"/>
      <c r="AM417" s="160"/>
      <c r="AN417" s="160"/>
    </row>
    <row r="418" spans="3:40" x14ac:dyDescent="0.3">
      <c r="C418" s="42"/>
      <c r="F418" s="184"/>
      <c r="H418" s="184"/>
      <c r="I418" s="184"/>
      <c r="J418" s="238"/>
      <c r="K418" s="238"/>
      <c r="L418" s="123"/>
      <c r="M418" s="123"/>
      <c r="N418" s="160"/>
      <c r="O418" s="160"/>
      <c r="P418" s="123"/>
      <c r="Q418" s="123"/>
      <c r="R418" s="123"/>
      <c r="T418" s="42"/>
      <c r="V418" s="123"/>
      <c r="Y418" s="123"/>
      <c r="Z418" s="238"/>
      <c r="AA418" s="123"/>
      <c r="AB418" s="123"/>
      <c r="AC418" s="160"/>
      <c r="AD418" s="160"/>
      <c r="AE418" s="123"/>
      <c r="AF418" s="123"/>
      <c r="AH418" s="236"/>
      <c r="AI418" s="123"/>
      <c r="AJ418" s="123"/>
      <c r="AL418" s="123"/>
      <c r="AM418" s="160"/>
      <c r="AN418" s="160"/>
    </row>
    <row r="419" spans="3:40" x14ac:dyDescent="0.3">
      <c r="F419" s="210"/>
      <c r="H419" s="210"/>
      <c r="I419" s="210"/>
      <c r="J419" s="238"/>
      <c r="K419" s="238"/>
      <c r="L419" s="210"/>
      <c r="M419" s="210"/>
      <c r="N419" s="210"/>
      <c r="O419" s="210"/>
      <c r="P419" s="210"/>
      <c r="Q419" s="210"/>
      <c r="R419" s="210"/>
      <c r="V419" s="210"/>
      <c r="Y419" s="210"/>
      <c r="Z419" s="238"/>
      <c r="AA419" s="210"/>
      <c r="AB419" s="210"/>
      <c r="AC419" s="210"/>
      <c r="AD419" s="210"/>
      <c r="AE419" s="210"/>
      <c r="AF419" s="210"/>
      <c r="AI419" s="210"/>
      <c r="AJ419" s="210"/>
      <c r="AK419" s="214"/>
      <c r="AL419" s="210"/>
    </row>
    <row r="420" spans="3:40" x14ac:dyDescent="0.3">
      <c r="C420" s="44"/>
      <c r="F420" s="123"/>
      <c r="H420" s="123"/>
      <c r="I420" s="123"/>
      <c r="J420" s="188"/>
      <c r="K420" s="188"/>
      <c r="L420" s="123"/>
      <c r="M420" s="123"/>
      <c r="N420" s="236"/>
      <c r="O420" s="236"/>
      <c r="P420" s="123"/>
      <c r="Q420" s="123"/>
      <c r="R420" s="123"/>
      <c r="T420" s="44"/>
      <c r="V420" s="123"/>
      <c r="Y420" s="123"/>
      <c r="Z420" s="188"/>
      <c r="AA420" s="123"/>
      <c r="AB420" s="123"/>
      <c r="AC420" s="123"/>
      <c r="AD420" s="123"/>
      <c r="AE420" s="123"/>
      <c r="AF420" s="123"/>
      <c r="AH420" s="236"/>
      <c r="AI420" s="123"/>
      <c r="AJ420" s="123"/>
      <c r="AL420" s="123"/>
      <c r="AM420" s="160"/>
      <c r="AN420" s="160"/>
    </row>
    <row r="421" spans="3:40" x14ac:dyDescent="0.3">
      <c r="F421" s="210"/>
      <c r="H421" s="210"/>
      <c r="I421" s="210"/>
      <c r="J421" s="238"/>
      <c r="K421" s="238"/>
      <c r="L421" s="210"/>
      <c r="M421" s="210"/>
      <c r="N421" s="210"/>
      <c r="O421" s="210"/>
      <c r="P421" s="210"/>
      <c r="Q421" s="210"/>
      <c r="R421" s="210"/>
      <c r="V421" s="210"/>
      <c r="Y421" s="210"/>
      <c r="Z421" s="238"/>
      <c r="AA421" s="210"/>
      <c r="AB421" s="210"/>
      <c r="AC421" s="210"/>
      <c r="AD421" s="210"/>
      <c r="AE421" s="210"/>
      <c r="AF421" s="210"/>
      <c r="AI421" s="210"/>
      <c r="AJ421" s="210"/>
      <c r="AK421" s="214"/>
      <c r="AL421" s="210"/>
    </row>
    <row r="422" spans="3:40" x14ac:dyDescent="0.3">
      <c r="C422" s="42"/>
      <c r="J422" s="188"/>
      <c r="K422" s="188"/>
      <c r="T422" s="42"/>
      <c r="Z422" s="188"/>
    </row>
    <row r="423" spans="3:40" x14ac:dyDescent="0.3">
      <c r="C423" s="42"/>
      <c r="J423" s="188"/>
      <c r="K423" s="188"/>
      <c r="T423" s="42"/>
      <c r="Z423" s="188"/>
    </row>
    <row r="424" spans="3:40" x14ac:dyDescent="0.3">
      <c r="C424" s="42"/>
      <c r="F424" s="184"/>
      <c r="H424" s="184"/>
      <c r="I424" s="184"/>
      <c r="J424" s="238"/>
      <c r="K424" s="238"/>
      <c r="L424" s="123"/>
      <c r="M424" s="123"/>
      <c r="N424" s="160"/>
      <c r="O424" s="160"/>
      <c r="P424" s="123"/>
      <c r="Q424" s="123"/>
      <c r="R424" s="123"/>
      <c r="T424" s="42"/>
      <c r="V424" s="123"/>
      <c r="Y424" s="123"/>
      <c r="Z424" s="238"/>
      <c r="AA424" s="123"/>
      <c r="AB424" s="123"/>
      <c r="AC424" s="160"/>
      <c r="AD424" s="160"/>
      <c r="AE424" s="123"/>
      <c r="AF424" s="123"/>
      <c r="AH424" s="236"/>
      <c r="AI424" s="123"/>
      <c r="AJ424" s="123"/>
      <c r="AL424" s="123"/>
      <c r="AM424" s="160"/>
      <c r="AN424" s="160"/>
    </row>
    <row r="425" spans="3:40" x14ac:dyDescent="0.3">
      <c r="C425" s="42"/>
      <c r="F425" s="184"/>
      <c r="H425" s="184"/>
      <c r="I425" s="184"/>
      <c r="J425" s="238"/>
      <c r="K425" s="238"/>
      <c r="L425" s="123"/>
      <c r="M425" s="123"/>
      <c r="N425" s="160"/>
      <c r="O425" s="160"/>
      <c r="P425" s="123"/>
      <c r="Q425" s="123"/>
      <c r="R425" s="123"/>
      <c r="T425" s="42"/>
      <c r="V425" s="123"/>
      <c r="Y425" s="123"/>
      <c r="Z425" s="238"/>
      <c r="AA425" s="123"/>
      <c r="AB425" s="123"/>
      <c r="AC425" s="160"/>
      <c r="AD425" s="160"/>
      <c r="AE425" s="123"/>
      <c r="AF425" s="123"/>
      <c r="AH425" s="236"/>
      <c r="AI425" s="123"/>
      <c r="AJ425" s="123"/>
      <c r="AL425" s="123"/>
      <c r="AM425" s="160"/>
      <c r="AN425" s="160"/>
    </row>
    <row r="426" spans="3:40" x14ac:dyDescent="0.3">
      <c r="C426" s="42"/>
      <c r="F426" s="184"/>
      <c r="H426" s="184"/>
      <c r="I426" s="184"/>
      <c r="J426" s="238"/>
      <c r="K426" s="238"/>
      <c r="L426" s="123"/>
      <c r="M426" s="123"/>
      <c r="N426" s="160"/>
      <c r="O426" s="160"/>
      <c r="P426" s="123"/>
      <c r="Q426" s="123"/>
      <c r="R426" s="123"/>
      <c r="T426" s="42"/>
      <c r="V426" s="123"/>
      <c r="Y426" s="123"/>
      <c r="Z426" s="238"/>
      <c r="AA426" s="123"/>
      <c r="AB426" s="123"/>
      <c r="AC426" s="160"/>
      <c r="AD426" s="160"/>
      <c r="AE426" s="123"/>
      <c r="AF426" s="123"/>
      <c r="AH426" s="236"/>
      <c r="AI426" s="123"/>
      <c r="AJ426" s="123"/>
      <c r="AL426" s="123"/>
      <c r="AM426" s="160"/>
      <c r="AN426" s="160"/>
    </row>
    <row r="427" spans="3:40" x14ac:dyDescent="0.3">
      <c r="C427" s="42"/>
      <c r="F427" s="184"/>
      <c r="H427" s="184"/>
      <c r="I427" s="184"/>
      <c r="J427" s="238"/>
      <c r="K427" s="238"/>
      <c r="L427" s="123"/>
      <c r="M427" s="123"/>
      <c r="N427" s="160"/>
      <c r="O427" s="160"/>
      <c r="P427" s="123"/>
      <c r="Q427" s="123"/>
      <c r="R427" s="123"/>
      <c r="T427" s="42"/>
      <c r="V427" s="123"/>
      <c r="Y427" s="123"/>
      <c r="Z427" s="238"/>
      <c r="AA427" s="123"/>
      <c r="AB427" s="123"/>
      <c r="AC427" s="160"/>
      <c r="AD427" s="160"/>
      <c r="AE427" s="123"/>
      <c r="AF427" s="123"/>
      <c r="AH427" s="236"/>
      <c r="AI427" s="123"/>
      <c r="AJ427" s="123"/>
      <c r="AL427" s="123"/>
      <c r="AM427" s="160"/>
      <c r="AN427" s="160"/>
    </row>
    <row r="428" spans="3:40" x14ac:dyDescent="0.3">
      <c r="C428" s="42"/>
      <c r="F428" s="184"/>
      <c r="H428" s="184"/>
      <c r="I428" s="184"/>
      <c r="J428" s="238"/>
      <c r="K428" s="238"/>
      <c r="L428" s="123"/>
      <c r="M428" s="123"/>
      <c r="N428" s="160"/>
      <c r="O428" s="160"/>
      <c r="P428" s="123"/>
      <c r="Q428" s="123"/>
      <c r="R428" s="123"/>
      <c r="T428" s="42"/>
      <c r="V428" s="123"/>
      <c r="Y428" s="123"/>
      <c r="Z428" s="238"/>
      <c r="AA428" s="123"/>
      <c r="AB428" s="123"/>
      <c r="AC428" s="160"/>
      <c r="AD428" s="160"/>
      <c r="AE428" s="123"/>
      <c r="AF428" s="123"/>
      <c r="AH428" s="236"/>
      <c r="AI428" s="123"/>
      <c r="AJ428" s="123"/>
      <c r="AL428" s="123"/>
      <c r="AM428" s="160"/>
      <c r="AN428" s="160"/>
    </row>
    <row r="429" spans="3:40" x14ac:dyDescent="0.3">
      <c r="C429" s="42"/>
      <c r="F429" s="184"/>
      <c r="H429" s="184"/>
      <c r="I429" s="184"/>
      <c r="J429" s="238"/>
      <c r="K429" s="238"/>
      <c r="L429" s="123"/>
      <c r="M429" s="123"/>
      <c r="N429" s="160"/>
      <c r="O429" s="160"/>
      <c r="P429" s="123"/>
      <c r="Q429" s="123"/>
      <c r="R429" s="123"/>
      <c r="T429" s="42"/>
      <c r="V429" s="123"/>
      <c r="Y429" s="123"/>
      <c r="Z429" s="238"/>
      <c r="AA429" s="123"/>
      <c r="AB429" s="123"/>
      <c r="AC429" s="160"/>
      <c r="AD429" s="160"/>
      <c r="AE429" s="123"/>
      <c r="AF429" s="123"/>
      <c r="AH429" s="236"/>
      <c r="AI429" s="123"/>
      <c r="AJ429" s="123"/>
      <c r="AL429" s="123"/>
      <c r="AM429" s="160"/>
      <c r="AN429" s="160"/>
    </row>
    <row r="430" spans="3:40" x14ac:dyDescent="0.3">
      <c r="C430" s="42"/>
      <c r="F430" s="184"/>
      <c r="H430" s="184"/>
      <c r="I430" s="184"/>
      <c r="J430" s="238"/>
      <c r="K430" s="238"/>
      <c r="L430" s="123"/>
      <c r="M430" s="123"/>
      <c r="N430" s="160"/>
      <c r="O430" s="160"/>
      <c r="P430" s="123"/>
      <c r="Q430" s="123"/>
      <c r="R430" s="123"/>
      <c r="T430" s="42"/>
      <c r="V430" s="123"/>
      <c r="Y430" s="123"/>
      <c r="Z430" s="238"/>
      <c r="AA430" s="123"/>
      <c r="AB430" s="123"/>
      <c r="AC430" s="160"/>
      <c r="AD430" s="160"/>
      <c r="AE430" s="123"/>
      <c r="AF430" s="123"/>
      <c r="AH430" s="236"/>
      <c r="AI430" s="123"/>
      <c r="AJ430" s="123"/>
      <c r="AL430" s="123"/>
      <c r="AM430" s="160"/>
      <c r="AN430" s="160"/>
    </row>
    <row r="431" spans="3:40" x14ac:dyDescent="0.3">
      <c r="C431" s="42"/>
      <c r="J431" s="188"/>
      <c r="K431" s="188"/>
      <c r="T431" s="42"/>
      <c r="Z431" s="188"/>
    </row>
    <row r="432" spans="3:40" x14ac:dyDescent="0.3">
      <c r="C432" s="42"/>
      <c r="F432" s="184"/>
      <c r="H432" s="184"/>
      <c r="I432" s="184"/>
      <c r="J432" s="238"/>
      <c r="K432" s="238"/>
      <c r="L432" s="123"/>
      <c r="M432" s="123"/>
      <c r="N432" s="160"/>
      <c r="O432" s="160"/>
      <c r="P432" s="123"/>
      <c r="Q432" s="123"/>
      <c r="R432" s="123"/>
      <c r="T432" s="42"/>
      <c r="V432" s="123"/>
      <c r="Y432" s="123"/>
      <c r="Z432" s="238"/>
      <c r="AA432" s="123"/>
      <c r="AB432" s="123"/>
      <c r="AC432" s="160"/>
      <c r="AD432" s="160"/>
      <c r="AE432" s="123"/>
      <c r="AF432" s="123"/>
      <c r="AH432" s="236"/>
      <c r="AI432" s="123"/>
      <c r="AJ432" s="123"/>
      <c r="AL432" s="123"/>
      <c r="AM432" s="160"/>
      <c r="AN432" s="160"/>
    </row>
    <row r="433" spans="3:40" x14ac:dyDescent="0.3">
      <c r="C433" s="42"/>
      <c r="F433" s="184"/>
      <c r="H433" s="184"/>
      <c r="I433" s="184"/>
      <c r="J433" s="238"/>
      <c r="K433" s="238"/>
      <c r="L433" s="123"/>
      <c r="M433" s="123"/>
      <c r="N433" s="160"/>
      <c r="O433" s="160"/>
      <c r="P433" s="123"/>
      <c r="Q433" s="123"/>
      <c r="R433" s="123"/>
      <c r="T433" s="42"/>
      <c r="V433" s="123"/>
      <c r="Y433" s="123"/>
      <c r="Z433" s="238"/>
      <c r="AA433" s="123"/>
      <c r="AB433" s="123"/>
      <c r="AC433" s="160"/>
      <c r="AD433" s="160"/>
      <c r="AE433" s="123"/>
      <c r="AF433" s="123"/>
      <c r="AH433" s="236"/>
      <c r="AI433" s="123"/>
      <c r="AJ433" s="123"/>
      <c r="AL433" s="123"/>
      <c r="AM433" s="160"/>
      <c r="AN433" s="160"/>
    </row>
    <row r="434" spans="3:40" x14ac:dyDescent="0.3">
      <c r="C434" s="42"/>
      <c r="F434" s="184"/>
      <c r="H434" s="184"/>
      <c r="I434" s="184"/>
      <c r="J434" s="238"/>
      <c r="K434" s="238"/>
      <c r="L434" s="123"/>
      <c r="M434" s="123"/>
      <c r="N434" s="160"/>
      <c r="O434" s="160"/>
      <c r="P434" s="123"/>
      <c r="Q434" s="123"/>
      <c r="R434" s="123"/>
      <c r="T434" s="42"/>
      <c r="V434" s="123"/>
      <c r="Y434" s="123"/>
      <c r="Z434" s="238"/>
      <c r="AA434" s="123"/>
      <c r="AB434" s="123"/>
      <c r="AC434" s="160"/>
      <c r="AD434" s="160"/>
      <c r="AE434" s="123"/>
      <c r="AF434" s="123"/>
      <c r="AH434" s="236"/>
      <c r="AI434" s="123"/>
      <c r="AJ434" s="123"/>
      <c r="AL434" s="123"/>
      <c r="AM434" s="160"/>
      <c r="AN434" s="160"/>
    </row>
    <row r="435" spans="3:40" x14ac:dyDescent="0.3">
      <c r="C435" s="42"/>
      <c r="F435" s="184"/>
      <c r="H435" s="184"/>
      <c r="I435" s="184"/>
      <c r="J435" s="238"/>
      <c r="K435" s="238"/>
      <c r="L435" s="123"/>
      <c r="M435" s="123"/>
      <c r="N435" s="160"/>
      <c r="O435" s="160"/>
      <c r="P435" s="123"/>
      <c r="Q435" s="123"/>
      <c r="R435" s="123"/>
      <c r="T435" s="42"/>
      <c r="V435" s="123"/>
      <c r="Y435" s="123"/>
      <c r="Z435" s="238"/>
      <c r="AA435" s="123"/>
      <c r="AB435" s="123"/>
      <c r="AC435" s="160"/>
      <c r="AD435" s="160"/>
      <c r="AE435" s="123"/>
      <c r="AF435" s="123"/>
      <c r="AH435" s="236"/>
      <c r="AI435" s="123"/>
      <c r="AJ435" s="123"/>
      <c r="AL435" s="123"/>
      <c r="AM435" s="160"/>
      <c r="AN435" s="160"/>
    </row>
    <row r="436" spans="3:40" x14ac:dyDescent="0.3">
      <c r="C436" s="42"/>
      <c r="J436" s="188"/>
      <c r="K436" s="188"/>
      <c r="T436" s="42"/>
      <c r="Z436" s="188"/>
    </row>
    <row r="437" spans="3:40" x14ac:dyDescent="0.3">
      <c r="C437" s="42"/>
      <c r="F437" s="184"/>
      <c r="H437" s="184"/>
      <c r="I437" s="184"/>
      <c r="J437" s="238"/>
      <c r="K437" s="238"/>
      <c r="L437" s="123"/>
      <c r="M437" s="123"/>
      <c r="N437" s="160"/>
      <c r="O437" s="160"/>
      <c r="P437" s="123"/>
      <c r="Q437" s="123"/>
      <c r="R437" s="123"/>
      <c r="T437" s="42"/>
      <c r="V437" s="123"/>
      <c r="Y437" s="123"/>
      <c r="Z437" s="238"/>
      <c r="AA437" s="123"/>
      <c r="AB437" s="123"/>
      <c r="AC437" s="160"/>
      <c r="AD437" s="160"/>
      <c r="AE437" s="123"/>
      <c r="AF437" s="123"/>
      <c r="AH437" s="236"/>
      <c r="AI437" s="123"/>
      <c r="AJ437" s="123"/>
      <c r="AL437" s="123"/>
      <c r="AM437" s="160"/>
      <c r="AN437" s="160"/>
    </row>
    <row r="438" spans="3:40" x14ac:dyDescent="0.3">
      <c r="C438" s="42"/>
      <c r="F438" s="184"/>
      <c r="H438" s="184"/>
      <c r="I438" s="184"/>
      <c r="J438" s="238"/>
      <c r="K438" s="238"/>
      <c r="L438" s="123"/>
      <c r="M438" s="123"/>
      <c r="N438" s="160"/>
      <c r="O438" s="160"/>
      <c r="P438" s="123"/>
      <c r="Q438" s="123"/>
      <c r="R438" s="123"/>
      <c r="T438" s="42"/>
      <c r="V438" s="123"/>
      <c r="Y438" s="123"/>
      <c r="Z438" s="238"/>
      <c r="AA438" s="123"/>
      <c r="AB438" s="123"/>
      <c r="AC438" s="160"/>
      <c r="AD438" s="160"/>
      <c r="AE438" s="123"/>
      <c r="AF438" s="123"/>
      <c r="AH438" s="236"/>
      <c r="AI438" s="123"/>
      <c r="AJ438" s="123"/>
      <c r="AL438" s="123"/>
      <c r="AM438" s="160"/>
      <c r="AN438" s="160"/>
    </row>
    <row r="439" spans="3:40" x14ac:dyDescent="0.3">
      <c r="C439" s="42"/>
      <c r="F439" s="184"/>
      <c r="H439" s="184"/>
      <c r="I439" s="184"/>
      <c r="J439" s="238"/>
      <c r="K439" s="238"/>
      <c r="L439" s="123"/>
      <c r="M439" s="123"/>
      <c r="N439" s="160"/>
      <c r="O439" s="160"/>
      <c r="P439" s="123"/>
      <c r="Q439" s="123"/>
      <c r="R439" s="123"/>
      <c r="T439" s="42"/>
      <c r="V439" s="123"/>
      <c r="Y439" s="123"/>
      <c r="Z439" s="238"/>
      <c r="AA439" s="123"/>
      <c r="AB439" s="123"/>
      <c r="AC439" s="160"/>
      <c r="AD439" s="160"/>
      <c r="AE439" s="123"/>
      <c r="AF439" s="123"/>
      <c r="AH439" s="236"/>
      <c r="AI439" s="123"/>
      <c r="AJ439" s="123"/>
      <c r="AL439" s="123"/>
      <c r="AM439" s="160"/>
      <c r="AN439" s="160"/>
    </row>
    <row r="440" spans="3:40" x14ac:dyDescent="0.3">
      <c r="C440" s="42"/>
      <c r="F440" s="184"/>
      <c r="H440" s="184"/>
      <c r="I440" s="184"/>
      <c r="J440" s="238"/>
      <c r="K440" s="238"/>
      <c r="L440" s="123"/>
      <c r="M440" s="123"/>
      <c r="N440" s="160"/>
      <c r="O440" s="160"/>
      <c r="P440" s="123"/>
      <c r="Q440" s="123"/>
      <c r="R440" s="123"/>
      <c r="T440" s="42"/>
      <c r="V440" s="123"/>
      <c r="Y440" s="123"/>
      <c r="Z440" s="238"/>
      <c r="AA440" s="123"/>
      <c r="AB440" s="123"/>
      <c r="AC440" s="160"/>
      <c r="AD440" s="160"/>
      <c r="AE440" s="123"/>
      <c r="AF440" s="123"/>
      <c r="AH440" s="236"/>
      <c r="AI440" s="123"/>
      <c r="AJ440" s="123"/>
      <c r="AL440" s="123"/>
      <c r="AM440" s="160"/>
      <c r="AN440" s="160"/>
    </row>
    <row r="441" spans="3:40" x14ac:dyDescent="0.3">
      <c r="C441" s="42"/>
      <c r="F441" s="184"/>
      <c r="H441" s="184"/>
      <c r="I441" s="184"/>
      <c r="J441" s="238"/>
      <c r="K441" s="238"/>
      <c r="L441" s="123"/>
      <c r="M441" s="123"/>
      <c r="N441" s="160"/>
      <c r="O441" s="160"/>
      <c r="P441" s="123"/>
      <c r="Q441" s="123"/>
      <c r="R441" s="123"/>
      <c r="T441" s="42"/>
      <c r="V441" s="123"/>
      <c r="Y441" s="123"/>
      <c r="Z441" s="238"/>
      <c r="AA441" s="123"/>
      <c r="AB441" s="123"/>
      <c r="AC441" s="160"/>
      <c r="AD441" s="160"/>
      <c r="AE441" s="123"/>
      <c r="AF441" s="123"/>
      <c r="AH441" s="236"/>
      <c r="AI441" s="123"/>
      <c r="AJ441" s="123"/>
      <c r="AL441" s="123"/>
      <c r="AM441" s="160"/>
      <c r="AN441" s="160"/>
    </row>
    <row r="442" spans="3:40" x14ac:dyDescent="0.3">
      <c r="F442" s="210"/>
      <c r="H442" s="210"/>
      <c r="I442" s="210"/>
      <c r="J442" s="213"/>
      <c r="K442" s="213"/>
      <c r="L442" s="210"/>
      <c r="M442" s="210"/>
      <c r="N442" s="210"/>
      <c r="O442" s="210"/>
      <c r="P442" s="210"/>
      <c r="Q442" s="210"/>
      <c r="R442" s="210"/>
      <c r="V442" s="210"/>
      <c r="Y442" s="210"/>
      <c r="Z442" s="238"/>
      <c r="AA442" s="210"/>
      <c r="AB442" s="210"/>
      <c r="AC442" s="210"/>
      <c r="AD442" s="210"/>
      <c r="AE442" s="210"/>
      <c r="AF442" s="210"/>
      <c r="AI442" s="210"/>
      <c r="AJ442" s="210"/>
      <c r="AK442" s="214"/>
      <c r="AL442" s="210"/>
    </row>
    <row r="443" spans="3:40" x14ac:dyDescent="0.3">
      <c r="C443" s="42"/>
      <c r="F443" s="123"/>
      <c r="H443" s="123"/>
      <c r="I443" s="123"/>
      <c r="L443" s="123"/>
      <c r="M443" s="123"/>
      <c r="N443" s="236"/>
      <c r="O443" s="236"/>
      <c r="P443" s="123"/>
      <c r="Q443" s="123"/>
      <c r="R443" s="123"/>
      <c r="T443" s="42"/>
      <c r="V443" s="123"/>
      <c r="Y443" s="123"/>
      <c r="AA443" s="123"/>
      <c r="AB443" s="123"/>
      <c r="AC443" s="160"/>
      <c r="AD443" s="160"/>
      <c r="AE443" s="123"/>
      <c r="AF443" s="123"/>
      <c r="AH443" s="236"/>
      <c r="AI443" s="123"/>
      <c r="AJ443" s="123"/>
      <c r="AL443" s="123"/>
      <c r="AM443" s="160"/>
      <c r="AN443" s="160"/>
    </row>
    <row r="444" spans="3:40" x14ac:dyDescent="0.3">
      <c r="F444" s="210"/>
      <c r="H444" s="210"/>
      <c r="I444" s="210"/>
      <c r="J444" s="213"/>
      <c r="K444" s="213"/>
      <c r="L444" s="210"/>
      <c r="M444" s="210"/>
      <c r="N444" s="210"/>
      <c r="O444" s="210"/>
      <c r="P444" s="210"/>
      <c r="Q444" s="210"/>
      <c r="R444" s="210"/>
      <c r="V444" s="210"/>
      <c r="Y444" s="210"/>
      <c r="Z444" s="213"/>
      <c r="AA444" s="210"/>
      <c r="AB444" s="210"/>
      <c r="AC444" s="210"/>
      <c r="AD444" s="210"/>
      <c r="AE444" s="210"/>
      <c r="AF444" s="210"/>
      <c r="AI444" s="210"/>
      <c r="AJ444" s="210"/>
      <c r="AK444" s="214"/>
      <c r="AL444" s="210"/>
    </row>
    <row r="445" spans="3:40" x14ac:dyDescent="0.3">
      <c r="C445" s="42"/>
      <c r="T445" s="42"/>
    </row>
    <row r="446" spans="3:40" x14ac:dyDescent="0.3">
      <c r="C446" s="42"/>
      <c r="F446" s="184"/>
      <c r="H446" s="184"/>
      <c r="I446" s="184"/>
      <c r="J446" s="193"/>
      <c r="K446" s="193"/>
      <c r="L446" s="123"/>
      <c r="M446" s="123"/>
      <c r="N446" s="160"/>
      <c r="O446" s="160"/>
      <c r="P446" s="123"/>
      <c r="Q446" s="123"/>
      <c r="R446" s="123"/>
      <c r="T446" s="42"/>
      <c r="V446" s="123"/>
      <c r="Y446" s="123"/>
      <c r="Z446" s="193"/>
      <c r="AA446" s="123"/>
      <c r="AB446" s="123"/>
      <c r="AC446" s="160"/>
      <c r="AD446" s="160"/>
      <c r="AE446" s="123"/>
      <c r="AF446" s="123"/>
      <c r="AH446" s="236"/>
      <c r="AI446" s="123"/>
      <c r="AJ446" s="123"/>
      <c r="AL446" s="123"/>
      <c r="AM446" s="160"/>
      <c r="AN446" s="160"/>
    </row>
    <row r="447" spans="3:40" x14ac:dyDescent="0.3">
      <c r="C447" s="42"/>
      <c r="F447" s="184"/>
      <c r="H447" s="184"/>
      <c r="I447" s="184"/>
      <c r="J447" s="193"/>
      <c r="K447" s="193"/>
      <c r="L447" s="123"/>
      <c r="M447" s="123"/>
      <c r="N447" s="160"/>
      <c r="O447" s="160"/>
      <c r="P447" s="123"/>
      <c r="Q447" s="123"/>
      <c r="R447" s="123"/>
      <c r="T447" s="42"/>
      <c r="V447" s="123"/>
      <c r="Y447" s="123"/>
      <c r="Z447" s="193"/>
      <c r="AA447" s="123"/>
      <c r="AB447" s="123"/>
      <c r="AC447" s="160"/>
      <c r="AD447" s="160"/>
      <c r="AE447" s="123"/>
      <c r="AF447" s="123"/>
      <c r="AH447" s="236"/>
      <c r="AI447" s="123"/>
      <c r="AJ447" s="123"/>
      <c r="AL447" s="123"/>
      <c r="AM447" s="160"/>
      <c r="AN447" s="160"/>
    </row>
    <row r="448" spans="3:40" x14ac:dyDescent="0.3">
      <c r="F448" s="210"/>
      <c r="H448" s="123"/>
      <c r="I448" s="123"/>
      <c r="J448" s="213"/>
      <c r="K448" s="213"/>
      <c r="L448" s="210"/>
      <c r="M448" s="210"/>
      <c r="N448" s="210"/>
      <c r="O448" s="210"/>
      <c r="P448" s="210"/>
      <c r="Q448" s="210"/>
      <c r="R448" s="210"/>
      <c r="V448" s="210"/>
      <c r="Y448" s="123"/>
      <c r="Z448" s="213"/>
      <c r="AA448" s="210"/>
      <c r="AB448" s="210"/>
      <c r="AC448" s="210"/>
      <c r="AD448" s="210"/>
      <c r="AE448" s="210"/>
      <c r="AF448" s="210"/>
      <c r="AI448" s="210"/>
      <c r="AJ448" s="210"/>
      <c r="AK448" s="214"/>
      <c r="AL448" s="210"/>
    </row>
    <row r="449" spans="1:40" x14ac:dyDescent="0.3">
      <c r="F449" s="123"/>
      <c r="H449" s="123"/>
      <c r="I449" s="123"/>
      <c r="J449" s="213"/>
      <c r="K449" s="213"/>
      <c r="L449" s="123"/>
      <c r="M449" s="123"/>
      <c r="N449" s="123"/>
      <c r="O449" s="123"/>
      <c r="P449" s="123"/>
      <c r="Q449" s="123"/>
      <c r="R449" s="123"/>
      <c r="V449" s="123"/>
      <c r="Y449" s="123"/>
      <c r="Z449" s="213"/>
      <c r="AA449" s="123"/>
      <c r="AB449" s="123"/>
      <c r="AC449" s="123"/>
      <c r="AD449" s="123"/>
      <c r="AE449" s="123"/>
      <c r="AF449" s="123"/>
      <c r="AI449" s="123"/>
      <c r="AJ449" s="123"/>
      <c r="AL449" s="123"/>
    </row>
    <row r="450" spans="1:40" x14ac:dyDescent="0.3">
      <c r="C450" s="42"/>
      <c r="F450" s="123"/>
      <c r="H450" s="123"/>
      <c r="I450" s="123"/>
      <c r="L450" s="123"/>
      <c r="M450" s="123"/>
      <c r="N450" s="160"/>
      <c r="O450" s="160"/>
      <c r="P450" s="123"/>
      <c r="Q450" s="123"/>
      <c r="R450" s="123"/>
      <c r="T450" s="42"/>
      <c r="V450" s="123"/>
      <c r="Y450" s="123"/>
      <c r="AA450" s="123"/>
      <c r="AB450" s="123"/>
      <c r="AC450" s="160"/>
      <c r="AD450" s="160"/>
      <c r="AE450" s="123"/>
      <c r="AF450" s="123"/>
      <c r="AH450" s="236"/>
      <c r="AI450" s="184"/>
      <c r="AJ450" s="184"/>
      <c r="AL450" s="123"/>
      <c r="AM450" s="160"/>
      <c r="AN450" s="160"/>
    </row>
    <row r="451" spans="1:40" x14ac:dyDescent="0.3">
      <c r="F451" s="210"/>
      <c r="H451" s="210"/>
      <c r="I451" s="210"/>
      <c r="J451" s="213"/>
      <c r="K451" s="213"/>
      <c r="L451" s="210"/>
      <c r="M451" s="210"/>
      <c r="N451" s="210"/>
      <c r="O451" s="210"/>
      <c r="P451" s="210"/>
      <c r="Q451" s="210"/>
      <c r="R451" s="210"/>
      <c r="V451" s="210"/>
      <c r="Y451" s="210"/>
      <c r="Z451" s="213"/>
      <c r="AA451" s="210"/>
      <c r="AB451" s="210"/>
      <c r="AC451" s="210"/>
      <c r="AD451" s="210"/>
      <c r="AE451" s="210"/>
      <c r="AF451" s="210"/>
      <c r="AI451" s="210"/>
      <c r="AJ451" s="210"/>
      <c r="AK451" s="214"/>
      <c r="AL451" s="210"/>
    </row>
    <row r="453" spans="1:40" x14ac:dyDescent="0.3">
      <c r="A453" s="42"/>
      <c r="T453" s="42"/>
    </row>
    <row r="454" spans="1:40" x14ac:dyDescent="0.3">
      <c r="A454" s="42"/>
      <c r="T454" s="42"/>
    </row>
    <row r="455" spans="1:40" x14ac:dyDescent="0.3">
      <c r="A455" s="42"/>
      <c r="T455" s="42"/>
    </row>
    <row r="456" spans="1:40" x14ac:dyDescent="0.3">
      <c r="A456" s="42"/>
      <c r="T456" s="42"/>
    </row>
    <row r="457" spans="1:40" x14ac:dyDescent="0.3">
      <c r="A457" s="42"/>
      <c r="T457" s="42"/>
    </row>
    <row r="458" spans="1:40" x14ac:dyDescent="0.3">
      <c r="A458" s="42"/>
      <c r="T458" s="42"/>
    </row>
    <row r="459" spans="1:40" x14ac:dyDescent="0.3">
      <c r="A459" s="42"/>
      <c r="T459" s="42"/>
    </row>
    <row r="460" spans="1:40" x14ac:dyDescent="0.3">
      <c r="A460" s="42"/>
      <c r="T460" s="42"/>
    </row>
    <row r="461" spans="1:40" x14ac:dyDescent="0.3">
      <c r="A461" s="42"/>
      <c r="T461" s="42"/>
    </row>
    <row r="463" spans="1:40" x14ac:dyDescent="0.3">
      <c r="A463" s="42"/>
    </row>
    <row r="465" spans="1:40" x14ac:dyDescent="0.3">
      <c r="H465" s="42"/>
      <c r="I465" s="42"/>
      <c r="Y465" s="42"/>
    </row>
    <row r="467" spans="1:40" x14ac:dyDescent="0.3">
      <c r="L467" s="42"/>
      <c r="M467" s="42"/>
      <c r="AA467" s="42"/>
      <c r="AB467" s="42"/>
    </row>
    <row r="468" spans="1:40" x14ac:dyDescent="0.3">
      <c r="R468" s="42"/>
      <c r="AK468" s="206"/>
      <c r="AL468" s="42"/>
    </row>
    <row r="469" spans="1:40" x14ac:dyDescent="0.3">
      <c r="R469" s="42"/>
      <c r="AK469" s="206"/>
      <c r="AL469" s="42"/>
    </row>
    <row r="470" spans="1:40" x14ac:dyDescent="0.3">
      <c r="A470" s="42"/>
      <c r="R470" s="42"/>
      <c r="AK470" s="206"/>
      <c r="AL470" s="42"/>
    </row>
    <row r="471" spans="1:40" x14ac:dyDescent="0.3">
      <c r="L471" s="42"/>
      <c r="M471" s="42"/>
      <c r="AA471" s="42"/>
      <c r="AB471" s="42"/>
    </row>
    <row r="472" spans="1:40" x14ac:dyDescent="0.3">
      <c r="A472" s="135"/>
      <c r="B472" s="135"/>
      <c r="C472" s="135"/>
      <c r="D472" s="135"/>
      <c r="E472" s="135"/>
      <c r="F472" s="135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207"/>
      <c r="AH472" s="135"/>
      <c r="AI472" s="135"/>
      <c r="AJ472" s="135"/>
      <c r="AK472" s="207"/>
      <c r="AL472" s="135"/>
      <c r="AM472" s="135"/>
      <c r="AN472" s="135"/>
    </row>
    <row r="473" spans="1:40" x14ac:dyDescent="0.3">
      <c r="L473" s="44"/>
      <c r="M473" s="44"/>
      <c r="N473" s="44"/>
      <c r="O473" s="44"/>
      <c r="R473" s="44"/>
      <c r="AA473" s="44"/>
      <c r="AB473" s="44"/>
      <c r="AC473" s="44"/>
      <c r="AD473" s="44"/>
      <c r="AE473" s="44"/>
      <c r="AF473" s="44"/>
      <c r="AG473" s="168"/>
      <c r="AH473" s="44"/>
      <c r="AK473" s="168"/>
      <c r="AL473" s="44"/>
      <c r="AM473" s="44"/>
      <c r="AN473" s="44"/>
    </row>
    <row r="474" spans="1:40" x14ac:dyDescent="0.3">
      <c r="L474" s="44"/>
      <c r="M474" s="44"/>
      <c r="N474" s="44"/>
      <c r="O474" s="44"/>
      <c r="R474" s="44"/>
      <c r="Z474" s="44"/>
      <c r="AA474" s="44"/>
      <c r="AB474" s="44"/>
      <c r="AC474" s="44"/>
      <c r="AD474" s="44"/>
      <c r="AE474" s="44"/>
      <c r="AF474" s="44"/>
      <c r="AG474" s="168"/>
      <c r="AH474" s="44"/>
      <c r="AK474" s="168"/>
      <c r="AL474" s="44"/>
      <c r="AM474" s="44"/>
      <c r="AN474" s="44"/>
    </row>
    <row r="475" spans="1:40" x14ac:dyDescent="0.3">
      <c r="A475" s="44"/>
      <c r="C475" s="44"/>
      <c r="D475" s="44"/>
      <c r="E475" s="44"/>
      <c r="F475" s="44"/>
      <c r="J475" s="44"/>
      <c r="K475" s="44"/>
      <c r="L475" s="44"/>
      <c r="M475" s="44"/>
      <c r="N475" s="44"/>
      <c r="O475" s="44"/>
      <c r="P475" s="44"/>
      <c r="Q475" s="44"/>
      <c r="R475" s="44"/>
      <c r="T475" s="44"/>
      <c r="U475" s="44"/>
      <c r="V475" s="44"/>
      <c r="Z475" s="44"/>
      <c r="AA475" s="44"/>
      <c r="AB475" s="44"/>
      <c r="AC475" s="44"/>
      <c r="AD475" s="44"/>
      <c r="AE475" s="44"/>
      <c r="AF475" s="44"/>
      <c r="AG475" s="168"/>
      <c r="AH475" s="44"/>
      <c r="AI475" s="44"/>
      <c r="AJ475" s="44"/>
      <c r="AK475" s="168"/>
      <c r="AL475" s="44"/>
      <c r="AM475" s="44"/>
      <c r="AN475" s="44"/>
    </row>
    <row r="476" spans="1:40" x14ac:dyDescent="0.3">
      <c r="A476" s="44"/>
      <c r="C476" s="44"/>
      <c r="D476" s="44"/>
      <c r="E476" s="44"/>
      <c r="F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T476" s="44"/>
      <c r="U476" s="44"/>
      <c r="V476" s="44"/>
      <c r="Y476" s="44"/>
      <c r="Z476" s="44"/>
      <c r="AA476" s="44"/>
      <c r="AB476" s="44"/>
      <c r="AC476" s="44"/>
      <c r="AD476" s="44"/>
      <c r="AE476" s="44"/>
      <c r="AF476" s="44"/>
      <c r="AG476" s="168"/>
      <c r="AH476" s="44"/>
      <c r="AI476" s="44"/>
      <c r="AJ476" s="44"/>
      <c r="AK476" s="168"/>
      <c r="AL476" s="44"/>
      <c r="AM476" s="44"/>
      <c r="AN476" s="44"/>
    </row>
    <row r="477" spans="1:40" x14ac:dyDescent="0.3">
      <c r="C477" s="44"/>
      <c r="D477" s="44"/>
      <c r="E477" s="44"/>
      <c r="F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T477" s="44"/>
      <c r="U477" s="44"/>
      <c r="V477" s="44"/>
      <c r="Y477" s="44"/>
      <c r="Z477" s="44"/>
      <c r="AA477" s="44"/>
      <c r="AB477" s="44"/>
      <c r="AC477" s="44"/>
      <c r="AD477" s="44"/>
      <c r="AE477" s="44"/>
      <c r="AF477" s="44"/>
      <c r="AG477" s="168"/>
      <c r="AH477" s="44"/>
      <c r="AI477" s="44"/>
      <c r="AJ477" s="44"/>
      <c r="AK477" s="168"/>
      <c r="AL477" s="44"/>
      <c r="AM477" s="44"/>
      <c r="AN477" s="44"/>
    </row>
    <row r="478" spans="1:40" x14ac:dyDescent="0.3">
      <c r="A478" s="135"/>
      <c r="B478" s="135"/>
      <c r="C478" s="135"/>
      <c r="D478" s="135"/>
      <c r="E478" s="135"/>
      <c r="F478" s="135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207"/>
      <c r="AH478" s="135"/>
      <c r="AI478" s="135"/>
      <c r="AJ478" s="135"/>
      <c r="AK478" s="207"/>
      <c r="AL478" s="135"/>
      <c r="AM478" s="135"/>
      <c r="AN478" s="135"/>
    </row>
    <row r="479" spans="1:40" x14ac:dyDescent="0.3"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Y479" s="44"/>
      <c r="Z479" s="44"/>
      <c r="AA479" s="44"/>
      <c r="AB479" s="44"/>
      <c r="AC479" s="44"/>
      <c r="AD479" s="44"/>
      <c r="AE479" s="44"/>
      <c r="AF479" s="44"/>
      <c r="AG479" s="168"/>
      <c r="AH479" s="44"/>
      <c r="AI479" s="44"/>
      <c r="AJ479" s="44"/>
      <c r="AK479" s="168"/>
      <c r="AL479" s="44"/>
      <c r="AM479" s="44"/>
      <c r="AN479" s="44"/>
    </row>
    <row r="480" spans="1:40" x14ac:dyDescent="0.3">
      <c r="C480" s="42"/>
      <c r="D480" s="42"/>
      <c r="E480" s="42"/>
      <c r="T480" s="42"/>
      <c r="U480" s="42"/>
    </row>
    <row r="481" spans="3:40" x14ac:dyDescent="0.3">
      <c r="D481" s="42"/>
      <c r="E481" s="42"/>
      <c r="U481" s="42"/>
    </row>
    <row r="483" spans="3:40" x14ac:dyDescent="0.3">
      <c r="C483" s="42"/>
      <c r="F483" s="123"/>
      <c r="J483" s="209"/>
      <c r="K483" s="209"/>
      <c r="L483" s="123"/>
      <c r="M483" s="123"/>
      <c r="R483" s="123"/>
      <c r="T483" s="42"/>
      <c r="V483" s="123"/>
      <c r="Z483" s="209"/>
      <c r="AA483" s="123"/>
      <c r="AB483" s="123"/>
      <c r="AH483" s="123"/>
      <c r="AL483" s="123"/>
    </row>
    <row r="484" spans="3:40" x14ac:dyDescent="0.3">
      <c r="C484" s="42"/>
      <c r="F484" s="123"/>
      <c r="R484" s="123"/>
      <c r="T484" s="42"/>
      <c r="V484" s="123"/>
      <c r="AH484" s="123"/>
      <c r="AL484" s="123"/>
    </row>
    <row r="485" spans="3:40" x14ac:dyDescent="0.3">
      <c r="AI485" s="123"/>
      <c r="AJ485" s="123"/>
      <c r="AL485" s="123"/>
      <c r="AM485" s="160"/>
      <c r="AN485" s="160"/>
    </row>
    <row r="486" spans="3:40" x14ac:dyDescent="0.3">
      <c r="C486" s="42"/>
      <c r="F486" s="184"/>
      <c r="H486" s="184"/>
      <c r="I486" s="184"/>
      <c r="J486" s="237"/>
      <c r="K486" s="237"/>
      <c r="L486" s="123"/>
      <c r="M486" s="123"/>
      <c r="N486" s="160"/>
      <c r="O486" s="160"/>
      <c r="P486" s="123"/>
      <c r="Q486" s="123"/>
      <c r="R486" s="123"/>
      <c r="T486" s="42"/>
      <c r="V486" s="123"/>
      <c r="Y486" s="123"/>
      <c r="Z486" s="237"/>
      <c r="AA486" s="123"/>
      <c r="AB486" s="123"/>
      <c r="AC486" s="160"/>
      <c r="AD486" s="160"/>
      <c r="AE486" s="123"/>
      <c r="AF486" s="123"/>
      <c r="AH486" s="236"/>
      <c r="AI486" s="123"/>
      <c r="AJ486" s="123"/>
      <c r="AL486" s="123"/>
      <c r="AM486" s="160"/>
      <c r="AN486" s="160"/>
    </row>
    <row r="487" spans="3:40" x14ac:dyDescent="0.3">
      <c r="F487" s="123"/>
      <c r="H487" s="123"/>
      <c r="I487" s="123"/>
      <c r="J487" s="219"/>
      <c r="K487" s="219"/>
      <c r="L487" s="123"/>
      <c r="M487" s="123"/>
      <c r="P487" s="123"/>
      <c r="Q487" s="123"/>
      <c r="R487" s="123"/>
      <c r="V487" s="123"/>
      <c r="Y487" s="123"/>
      <c r="Z487" s="219"/>
      <c r="AA487" s="123"/>
      <c r="AB487" s="123"/>
      <c r="AI487" s="123"/>
      <c r="AJ487" s="123"/>
      <c r="AL487" s="123"/>
      <c r="AM487" s="160"/>
      <c r="AN487" s="160"/>
    </row>
    <row r="488" spans="3:40" x14ac:dyDescent="0.3">
      <c r="F488" s="123"/>
      <c r="R488" s="123"/>
      <c r="V488" s="123"/>
      <c r="AL488" s="123"/>
      <c r="AM488" s="160"/>
      <c r="AN488" s="160"/>
    </row>
    <row r="489" spans="3:40" x14ac:dyDescent="0.3">
      <c r="C489" s="42"/>
      <c r="F489" s="123"/>
      <c r="J489" s="209"/>
      <c r="K489" s="209"/>
      <c r="L489" s="123"/>
      <c r="M489" s="123"/>
      <c r="N489" s="160"/>
      <c r="O489" s="160"/>
      <c r="R489" s="123"/>
      <c r="T489" s="42"/>
      <c r="V489" s="123"/>
      <c r="Z489" s="209"/>
      <c r="AA489" s="123"/>
      <c r="AB489" s="123"/>
      <c r="AC489" s="160"/>
      <c r="AD489" s="160"/>
      <c r="AL489" s="123"/>
      <c r="AM489" s="160"/>
      <c r="AN489" s="160"/>
    </row>
    <row r="490" spans="3:40" x14ac:dyDescent="0.3">
      <c r="C490" s="42"/>
      <c r="F490" s="123"/>
      <c r="H490" s="123"/>
      <c r="I490" s="123"/>
      <c r="J490" s="209"/>
      <c r="K490" s="209"/>
      <c r="L490" s="123"/>
      <c r="M490" s="123"/>
      <c r="N490" s="160"/>
      <c r="O490" s="160"/>
      <c r="P490" s="123"/>
      <c r="Q490" s="123"/>
      <c r="R490" s="123"/>
      <c r="T490" s="42"/>
      <c r="V490" s="123"/>
      <c r="Y490" s="123"/>
      <c r="Z490" s="209"/>
      <c r="AA490" s="123"/>
      <c r="AB490" s="123"/>
      <c r="AC490" s="160"/>
      <c r="AD490" s="160"/>
      <c r="AI490" s="123"/>
      <c r="AJ490" s="123"/>
      <c r="AL490" s="123"/>
      <c r="AM490" s="160"/>
      <c r="AN490" s="160"/>
    </row>
    <row r="491" spans="3:40" x14ac:dyDescent="0.3">
      <c r="C491" s="42"/>
      <c r="T491" s="42"/>
      <c r="AM491" s="160"/>
      <c r="AN491" s="160"/>
    </row>
    <row r="492" spans="3:40" x14ac:dyDescent="0.3">
      <c r="C492" s="42"/>
      <c r="T492" s="42"/>
      <c r="AM492" s="160"/>
      <c r="AN492" s="160"/>
    </row>
    <row r="493" spans="3:40" x14ac:dyDescent="0.3">
      <c r="AM493" s="160"/>
      <c r="AN493" s="160"/>
    </row>
    <row r="494" spans="3:40" x14ac:dyDescent="0.3">
      <c r="C494" s="42"/>
      <c r="F494" s="184"/>
      <c r="H494" s="184"/>
      <c r="I494" s="184"/>
      <c r="J494" s="237"/>
      <c r="K494" s="237"/>
      <c r="L494" s="123"/>
      <c r="M494" s="123"/>
      <c r="N494" s="160"/>
      <c r="O494" s="160"/>
      <c r="P494" s="123"/>
      <c r="Q494" s="123"/>
      <c r="R494" s="123"/>
      <c r="T494" s="42"/>
      <c r="V494" s="123"/>
      <c r="Y494" s="123"/>
      <c r="Z494" s="237"/>
      <c r="AA494" s="123"/>
      <c r="AB494" s="123"/>
      <c r="AC494" s="160"/>
      <c r="AD494" s="160"/>
      <c r="AE494" s="123"/>
      <c r="AF494" s="123"/>
      <c r="AH494" s="236"/>
      <c r="AI494" s="123"/>
      <c r="AJ494" s="123"/>
      <c r="AL494" s="123"/>
      <c r="AM494" s="160"/>
      <c r="AN494" s="160"/>
    </row>
    <row r="495" spans="3:40" x14ac:dyDescent="0.3">
      <c r="F495" s="210"/>
      <c r="H495" s="210"/>
      <c r="I495" s="210"/>
      <c r="J495" s="213"/>
      <c r="K495" s="213"/>
      <c r="L495" s="210"/>
      <c r="M495" s="210"/>
      <c r="N495" s="210"/>
      <c r="O495" s="210"/>
      <c r="P495" s="210"/>
      <c r="Q495" s="210"/>
      <c r="R495" s="210"/>
      <c r="V495" s="210"/>
      <c r="Y495" s="210"/>
      <c r="Z495" s="213"/>
      <c r="AA495" s="210"/>
      <c r="AB495" s="210"/>
      <c r="AC495" s="210"/>
      <c r="AD495" s="210"/>
      <c r="AE495" s="210"/>
      <c r="AF495" s="210"/>
      <c r="AI495" s="210"/>
      <c r="AJ495" s="210"/>
      <c r="AK495" s="214"/>
      <c r="AL495" s="210"/>
      <c r="AM495" s="160"/>
      <c r="AN495" s="160"/>
    </row>
    <row r="496" spans="3:40" x14ac:dyDescent="0.3">
      <c r="H496" s="123"/>
      <c r="I496" s="123"/>
      <c r="Y496" s="123"/>
      <c r="AM496" s="160"/>
      <c r="AN496" s="160"/>
    </row>
    <row r="497" spans="1:40" x14ac:dyDescent="0.3">
      <c r="C497" s="42"/>
      <c r="F497" s="123"/>
      <c r="H497" s="123"/>
      <c r="I497" s="123"/>
      <c r="L497" s="123"/>
      <c r="M497" s="123"/>
      <c r="N497" s="160"/>
      <c r="O497" s="160"/>
      <c r="P497" s="184"/>
      <c r="Q497" s="184"/>
      <c r="R497" s="123"/>
      <c r="T497" s="42"/>
      <c r="V497" s="123"/>
      <c r="Y497" s="123"/>
      <c r="AA497" s="123"/>
      <c r="AB497" s="123"/>
      <c r="AC497" s="160"/>
      <c r="AD497" s="160"/>
      <c r="AE497" s="123"/>
      <c r="AF497" s="123"/>
      <c r="AH497" s="236"/>
      <c r="AI497" s="184"/>
      <c r="AJ497" s="184"/>
      <c r="AL497" s="123"/>
      <c r="AM497" s="160"/>
      <c r="AN497" s="160"/>
    </row>
    <row r="498" spans="1:40" x14ac:dyDescent="0.3">
      <c r="F498" s="210"/>
      <c r="H498" s="210"/>
      <c r="I498" s="210"/>
      <c r="J498" s="213"/>
      <c r="K498" s="213"/>
      <c r="L498" s="210"/>
      <c r="M498" s="210"/>
      <c r="N498" s="210"/>
      <c r="O498" s="210"/>
      <c r="P498" s="210"/>
      <c r="Q498" s="210"/>
      <c r="R498" s="210"/>
      <c r="V498" s="210"/>
      <c r="Y498" s="210"/>
      <c r="Z498" s="213"/>
      <c r="AA498" s="210"/>
      <c r="AB498" s="210"/>
      <c r="AC498" s="210"/>
      <c r="AD498" s="210"/>
      <c r="AE498" s="210"/>
      <c r="AF498" s="210"/>
      <c r="AI498" s="210"/>
      <c r="AJ498" s="210"/>
      <c r="AK498" s="214"/>
      <c r="AL498" s="210"/>
      <c r="AM498" s="160"/>
      <c r="AN498" s="160"/>
    </row>
    <row r="500" spans="1:40" x14ac:dyDescent="0.3">
      <c r="F500" s="123"/>
      <c r="H500" s="123"/>
      <c r="I500" s="123"/>
      <c r="J500" s="219"/>
      <c r="K500" s="219"/>
      <c r="L500" s="123"/>
      <c r="M500" s="123"/>
      <c r="N500" s="123"/>
      <c r="O500" s="123"/>
      <c r="P500" s="123"/>
      <c r="Q500" s="123"/>
      <c r="R500" s="123"/>
      <c r="V500" s="123"/>
      <c r="Y500" s="123"/>
      <c r="Z500" s="219"/>
      <c r="AA500" s="123"/>
      <c r="AB500" s="123"/>
      <c r="AC500" s="123"/>
      <c r="AD500" s="123"/>
      <c r="AE500" s="123"/>
      <c r="AF500" s="123"/>
      <c r="AH500" s="123"/>
      <c r="AI500" s="123"/>
      <c r="AJ500" s="123"/>
      <c r="AL500" s="123"/>
    </row>
    <row r="501" spans="1:40" x14ac:dyDescent="0.3">
      <c r="A501" s="42"/>
    </row>
    <row r="503" spans="1:40" x14ac:dyDescent="0.3">
      <c r="H503" s="42"/>
      <c r="I503" s="42"/>
      <c r="Y503" s="42"/>
    </row>
    <row r="505" spans="1:40" x14ac:dyDescent="0.3">
      <c r="L505" s="42"/>
      <c r="M505" s="42"/>
      <c r="AA505" s="42"/>
      <c r="AB505" s="42"/>
    </row>
    <row r="506" spans="1:40" x14ac:dyDescent="0.3">
      <c r="R506" s="42"/>
      <c r="AK506" s="206"/>
      <c r="AL506" s="42"/>
    </row>
    <row r="507" spans="1:40" x14ac:dyDescent="0.3">
      <c r="R507" s="42"/>
      <c r="AK507" s="206"/>
      <c r="AL507" s="42"/>
    </row>
    <row r="508" spans="1:40" x14ac:dyDescent="0.3">
      <c r="A508" s="42"/>
      <c r="R508" s="42"/>
      <c r="AK508" s="206"/>
      <c r="AL508" s="42"/>
    </row>
    <row r="509" spans="1:40" x14ac:dyDescent="0.3">
      <c r="L509" s="42"/>
      <c r="M509" s="42"/>
      <c r="AA509" s="42"/>
      <c r="AB509" s="42"/>
    </row>
    <row r="510" spans="1:40" x14ac:dyDescent="0.3">
      <c r="A510" s="135"/>
      <c r="B510" s="135"/>
      <c r="C510" s="135"/>
      <c r="D510" s="135"/>
      <c r="E510" s="135"/>
      <c r="F510" s="135"/>
      <c r="G510" s="135"/>
      <c r="H510" s="135"/>
      <c r="I510" s="135"/>
      <c r="J510" s="135"/>
      <c r="K510" s="135"/>
      <c r="L510" s="135"/>
      <c r="M510" s="135"/>
      <c r="N510" s="135"/>
      <c r="O510" s="135"/>
      <c r="P510" s="135"/>
      <c r="Q510" s="135"/>
      <c r="R510" s="135"/>
      <c r="T510" s="135"/>
      <c r="U510" s="135"/>
      <c r="V510" s="135"/>
      <c r="W510" s="135"/>
      <c r="X510" s="135"/>
      <c r="Y510" s="135"/>
      <c r="Z510" s="135"/>
      <c r="AA510" s="135"/>
      <c r="AB510" s="135"/>
      <c r="AC510" s="135"/>
      <c r="AD510" s="135"/>
      <c r="AE510" s="135"/>
      <c r="AF510" s="135"/>
      <c r="AG510" s="207"/>
      <c r="AH510" s="135"/>
      <c r="AI510" s="135"/>
      <c r="AJ510" s="135"/>
      <c r="AK510" s="207"/>
      <c r="AL510" s="135"/>
      <c r="AM510" s="135"/>
      <c r="AN510" s="135"/>
    </row>
    <row r="511" spans="1:40" x14ac:dyDescent="0.3">
      <c r="L511" s="44"/>
      <c r="M511" s="44"/>
      <c r="N511" s="44"/>
      <c r="O511" s="44"/>
      <c r="R511" s="44"/>
      <c r="AA511" s="44"/>
      <c r="AB511" s="44"/>
      <c r="AC511" s="44"/>
      <c r="AD511" s="44"/>
      <c r="AE511" s="44"/>
      <c r="AF511" s="44"/>
      <c r="AG511" s="168"/>
      <c r="AH511" s="44"/>
      <c r="AK511" s="168"/>
      <c r="AL511" s="44"/>
      <c r="AM511" s="44"/>
      <c r="AN511" s="44"/>
    </row>
    <row r="512" spans="1:40" x14ac:dyDescent="0.3">
      <c r="L512" s="44"/>
      <c r="M512" s="44"/>
      <c r="N512" s="44"/>
      <c r="O512" s="44"/>
      <c r="R512" s="44"/>
      <c r="Z512" s="44"/>
      <c r="AA512" s="44"/>
      <c r="AB512" s="44"/>
      <c r="AC512" s="44"/>
      <c r="AD512" s="44"/>
      <c r="AE512" s="44"/>
      <c r="AF512" s="44"/>
      <c r="AG512" s="168"/>
      <c r="AH512" s="44"/>
      <c r="AK512" s="168"/>
      <c r="AL512" s="44"/>
      <c r="AM512" s="44"/>
      <c r="AN512" s="44"/>
    </row>
    <row r="513" spans="1:40" x14ac:dyDescent="0.3">
      <c r="A513" s="44"/>
      <c r="C513" s="44"/>
      <c r="D513" s="44"/>
      <c r="E513" s="44"/>
      <c r="F513" s="44"/>
      <c r="J513" s="44"/>
      <c r="K513" s="44"/>
      <c r="L513" s="44"/>
      <c r="M513" s="44"/>
      <c r="N513" s="44"/>
      <c r="O513" s="44"/>
      <c r="P513" s="44"/>
      <c r="Q513" s="44"/>
      <c r="R513" s="44"/>
      <c r="T513" s="44"/>
      <c r="U513" s="44"/>
      <c r="V513" s="44"/>
      <c r="Z513" s="44"/>
      <c r="AA513" s="44"/>
      <c r="AB513" s="44"/>
      <c r="AC513" s="44"/>
      <c r="AD513" s="44"/>
      <c r="AE513" s="44"/>
      <c r="AF513" s="44"/>
      <c r="AG513" s="168"/>
      <c r="AH513" s="44"/>
      <c r="AI513" s="44"/>
      <c r="AJ513" s="44"/>
      <c r="AK513" s="168"/>
      <c r="AL513" s="44"/>
      <c r="AM513" s="44"/>
      <c r="AN513" s="44"/>
    </row>
    <row r="514" spans="1:40" x14ac:dyDescent="0.3">
      <c r="A514" s="44"/>
      <c r="C514" s="44"/>
      <c r="D514" s="44"/>
      <c r="E514" s="44"/>
      <c r="F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T514" s="44"/>
      <c r="U514" s="44"/>
      <c r="V514" s="44"/>
      <c r="Y514" s="44"/>
      <c r="Z514" s="44"/>
      <c r="AA514" s="44"/>
      <c r="AB514" s="44"/>
      <c r="AC514" s="44"/>
      <c r="AD514" s="44"/>
      <c r="AE514" s="44"/>
      <c r="AF514" s="44"/>
      <c r="AG514" s="168"/>
      <c r="AH514" s="44"/>
      <c r="AI514" s="44"/>
      <c r="AJ514" s="44"/>
      <c r="AK514" s="168"/>
      <c r="AL514" s="44"/>
      <c r="AM514" s="44"/>
      <c r="AN514" s="44"/>
    </row>
    <row r="515" spans="1:40" x14ac:dyDescent="0.3">
      <c r="C515" s="44"/>
      <c r="D515" s="44"/>
      <c r="E515" s="44"/>
      <c r="F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T515" s="44"/>
      <c r="U515" s="44"/>
      <c r="V515" s="44"/>
      <c r="Y515" s="44"/>
      <c r="Z515" s="44"/>
      <c r="AA515" s="44"/>
      <c r="AB515" s="44"/>
      <c r="AC515" s="44"/>
      <c r="AD515" s="44"/>
      <c r="AE515" s="44"/>
      <c r="AF515" s="44"/>
      <c r="AG515" s="168"/>
      <c r="AH515" s="44"/>
      <c r="AI515" s="44"/>
      <c r="AJ515" s="44"/>
      <c r="AK515" s="168"/>
      <c r="AL515" s="44"/>
      <c r="AM515" s="44"/>
      <c r="AN515" s="44"/>
    </row>
    <row r="516" spans="1:40" x14ac:dyDescent="0.3">
      <c r="A516" s="135"/>
      <c r="B516" s="135"/>
      <c r="C516" s="135"/>
      <c r="D516" s="135"/>
      <c r="E516" s="135"/>
      <c r="F516" s="135"/>
      <c r="G516" s="135"/>
      <c r="H516" s="135"/>
      <c r="I516" s="135"/>
      <c r="J516" s="135"/>
      <c r="K516" s="135"/>
      <c r="L516" s="135"/>
      <c r="M516" s="135"/>
      <c r="N516" s="135"/>
      <c r="O516" s="135"/>
      <c r="P516" s="135"/>
      <c r="Q516" s="135"/>
      <c r="R516" s="135"/>
      <c r="T516" s="135"/>
      <c r="U516" s="135"/>
      <c r="V516" s="135"/>
      <c r="W516" s="135"/>
      <c r="X516" s="135"/>
      <c r="Y516" s="135"/>
      <c r="Z516" s="135"/>
      <c r="AA516" s="135"/>
      <c r="AB516" s="135"/>
      <c r="AC516" s="135"/>
      <c r="AD516" s="135"/>
      <c r="AE516" s="135"/>
      <c r="AF516" s="135"/>
      <c r="AG516" s="207"/>
      <c r="AH516" s="135"/>
      <c r="AI516" s="135"/>
      <c r="AJ516" s="135"/>
      <c r="AK516" s="207"/>
      <c r="AL516" s="135"/>
      <c r="AM516" s="135"/>
      <c r="AN516" s="135"/>
    </row>
    <row r="517" spans="1:40" x14ac:dyDescent="0.3"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Y517" s="44"/>
      <c r="Z517" s="44"/>
      <c r="AA517" s="44"/>
      <c r="AB517" s="44"/>
      <c r="AC517" s="44"/>
      <c r="AD517" s="44"/>
      <c r="AE517" s="44"/>
      <c r="AF517" s="44"/>
      <c r="AG517" s="168"/>
      <c r="AH517" s="44"/>
      <c r="AI517" s="44"/>
      <c r="AJ517" s="44"/>
      <c r="AK517" s="168"/>
      <c r="AL517" s="44"/>
      <c r="AM517" s="44"/>
      <c r="AN517" s="44"/>
    </row>
    <row r="518" spans="1:40" x14ac:dyDescent="0.3">
      <c r="C518" s="42"/>
      <c r="D518" s="42"/>
      <c r="E518" s="42"/>
      <c r="T518" s="42"/>
      <c r="U518" s="42"/>
      <c r="V518" s="123"/>
      <c r="W518" s="123"/>
      <c r="X518" s="123"/>
      <c r="Y518" s="123"/>
      <c r="Z518" s="237"/>
    </row>
    <row r="520" spans="1:40" x14ac:dyDescent="0.3">
      <c r="C520" s="42"/>
      <c r="T520" s="42"/>
      <c r="V520" s="123"/>
      <c r="W520" s="123"/>
      <c r="X520" s="123"/>
      <c r="Y520" s="123"/>
      <c r="Z520" s="237"/>
    </row>
    <row r="521" spans="1:40" x14ac:dyDescent="0.3">
      <c r="C521" s="42"/>
      <c r="F521" s="184"/>
      <c r="H521" s="184"/>
      <c r="I521" s="184"/>
      <c r="J521" s="238"/>
      <c r="K521" s="238"/>
      <c r="L521" s="123"/>
      <c r="M521" s="123"/>
      <c r="N521" s="160"/>
      <c r="O521" s="160"/>
      <c r="P521" s="123"/>
      <c r="Q521" s="123"/>
      <c r="R521" s="123"/>
      <c r="T521" s="42"/>
      <c r="V521" s="123"/>
      <c r="W521" s="123"/>
      <c r="X521" s="123"/>
      <c r="Y521" s="123"/>
      <c r="Z521" s="238"/>
      <c r="AA521" s="123"/>
      <c r="AB521" s="123"/>
      <c r="AC521" s="160"/>
      <c r="AD521" s="160"/>
      <c r="AE521" s="123"/>
      <c r="AF521" s="123"/>
      <c r="AH521" s="236"/>
      <c r="AI521" s="123"/>
      <c r="AJ521" s="123"/>
      <c r="AL521" s="123"/>
      <c r="AM521" s="160"/>
      <c r="AN521" s="160"/>
    </row>
    <row r="522" spans="1:40" x14ac:dyDescent="0.3">
      <c r="C522" s="42"/>
      <c r="F522" s="184"/>
      <c r="H522" s="184"/>
      <c r="I522" s="184"/>
      <c r="J522" s="238"/>
      <c r="K522" s="238"/>
      <c r="L522" s="123"/>
      <c r="M522" s="123"/>
      <c r="N522" s="160"/>
      <c r="O522" s="160"/>
      <c r="P522" s="123"/>
      <c r="Q522" s="123"/>
      <c r="R522" s="123"/>
      <c r="T522" s="42"/>
      <c r="V522" s="123"/>
      <c r="W522" s="123"/>
      <c r="X522" s="123"/>
      <c r="Y522" s="123"/>
      <c r="Z522" s="238"/>
      <c r="AA522" s="123"/>
      <c r="AB522" s="123"/>
      <c r="AC522" s="160"/>
      <c r="AD522" s="160"/>
      <c r="AE522" s="123"/>
      <c r="AF522" s="123"/>
      <c r="AH522" s="236"/>
      <c r="AI522" s="123"/>
      <c r="AJ522" s="123"/>
      <c r="AL522" s="123"/>
      <c r="AM522" s="160"/>
      <c r="AN522" s="160"/>
    </row>
    <row r="523" spans="1:40" x14ac:dyDescent="0.3">
      <c r="C523" s="42"/>
      <c r="F523" s="184"/>
      <c r="H523" s="184"/>
      <c r="I523" s="184"/>
      <c r="J523" s="238"/>
      <c r="K523" s="238"/>
      <c r="L523" s="123"/>
      <c r="M523" s="123"/>
      <c r="N523" s="160"/>
      <c r="O523" s="160"/>
      <c r="P523" s="123"/>
      <c r="Q523" s="123"/>
      <c r="R523" s="123"/>
      <c r="T523" s="42"/>
      <c r="V523" s="123"/>
      <c r="W523" s="123"/>
      <c r="X523" s="123"/>
      <c r="Y523" s="123"/>
      <c r="Z523" s="238"/>
      <c r="AA523" s="123"/>
      <c r="AB523" s="123"/>
      <c r="AC523" s="160"/>
      <c r="AD523" s="160"/>
      <c r="AE523" s="123"/>
      <c r="AF523" s="123"/>
      <c r="AH523" s="236"/>
      <c r="AI523" s="123"/>
      <c r="AJ523" s="123"/>
      <c r="AL523" s="123"/>
      <c r="AM523" s="160"/>
      <c r="AN523" s="160"/>
    </row>
    <row r="524" spans="1:40" x14ac:dyDescent="0.3">
      <c r="C524" s="42"/>
      <c r="F524" s="184"/>
      <c r="H524" s="184"/>
      <c r="I524" s="184"/>
      <c r="J524" s="238"/>
      <c r="K524" s="238"/>
      <c r="L524" s="123"/>
      <c r="M524" s="123"/>
      <c r="N524" s="160"/>
      <c r="O524" s="160"/>
      <c r="P524" s="123"/>
      <c r="Q524" s="123"/>
      <c r="R524" s="123"/>
      <c r="T524" s="42"/>
      <c r="V524" s="123"/>
      <c r="W524" s="123"/>
      <c r="X524" s="123"/>
      <c r="Y524" s="123"/>
      <c r="Z524" s="238"/>
      <c r="AA524" s="123"/>
      <c r="AB524" s="123"/>
      <c r="AC524" s="160"/>
      <c r="AD524" s="160"/>
      <c r="AE524" s="123"/>
      <c r="AF524" s="123"/>
      <c r="AH524" s="236"/>
      <c r="AI524" s="123"/>
      <c r="AJ524" s="123"/>
      <c r="AL524" s="123"/>
      <c r="AM524" s="160"/>
      <c r="AN524" s="160"/>
    </row>
    <row r="525" spans="1:40" x14ac:dyDescent="0.3">
      <c r="J525" s="188"/>
      <c r="K525" s="188"/>
      <c r="V525" s="123"/>
      <c r="W525" s="123"/>
      <c r="X525" s="123"/>
      <c r="Y525" s="123"/>
      <c r="Z525" s="238"/>
    </row>
    <row r="526" spans="1:40" x14ac:dyDescent="0.3">
      <c r="C526" s="42"/>
      <c r="F526" s="184"/>
      <c r="H526" s="184"/>
      <c r="I526" s="184"/>
      <c r="J526" s="238"/>
      <c r="K526" s="238"/>
      <c r="L526" s="123"/>
      <c r="M526" s="123"/>
      <c r="N526" s="160"/>
      <c r="O526" s="160"/>
      <c r="P526" s="123"/>
      <c r="Q526" s="123"/>
      <c r="R526" s="123"/>
      <c r="T526" s="42"/>
      <c r="V526" s="123"/>
      <c r="W526" s="123"/>
      <c r="X526" s="123"/>
      <c r="Y526" s="123"/>
      <c r="Z526" s="238"/>
      <c r="AA526" s="123"/>
      <c r="AB526" s="123"/>
      <c r="AC526" s="160"/>
      <c r="AD526" s="160"/>
      <c r="AE526" s="123"/>
      <c r="AF526" s="123"/>
      <c r="AH526" s="236"/>
      <c r="AI526" s="123"/>
      <c r="AJ526" s="123"/>
      <c r="AL526" s="123"/>
      <c r="AM526" s="236"/>
      <c r="AN526" s="236"/>
    </row>
    <row r="527" spans="1:40" x14ac:dyDescent="0.3">
      <c r="C527" s="42"/>
      <c r="J527" s="188"/>
      <c r="K527" s="188"/>
      <c r="T527" s="42"/>
      <c r="V527" s="123"/>
      <c r="W527" s="123"/>
      <c r="X527" s="123"/>
      <c r="Y527" s="123"/>
      <c r="Z527" s="238"/>
    </row>
    <row r="528" spans="1:40" x14ac:dyDescent="0.3">
      <c r="C528" s="42"/>
      <c r="F528" s="184"/>
      <c r="H528" s="184"/>
      <c r="I528" s="184"/>
      <c r="J528" s="238"/>
      <c r="K528" s="238"/>
      <c r="L528" s="123"/>
      <c r="M528" s="123"/>
      <c r="N528" s="160"/>
      <c r="O528" s="160"/>
      <c r="P528" s="123"/>
      <c r="Q528" s="123"/>
      <c r="R528" s="123"/>
      <c r="T528" s="42"/>
      <c r="V528" s="123"/>
      <c r="W528" s="123"/>
      <c r="X528" s="123"/>
      <c r="Y528" s="123"/>
      <c r="Z528" s="238"/>
      <c r="AA528" s="123"/>
      <c r="AB528" s="123"/>
      <c r="AC528" s="160"/>
      <c r="AD528" s="160"/>
      <c r="AE528" s="123"/>
      <c r="AF528" s="123"/>
      <c r="AH528" s="236"/>
      <c r="AI528" s="123"/>
      <c r="AJ528" s="123"/>
      <c r="AL528" s="123"/>
      <c r="AM528" s="236"/>
      <c r="AN528" s="236"/>
    </row>
    <row r="529" spans="1:40" x14ac:dyDescent="0.3">
      <c r="J529" s="188"/>
      <c r="K529" s="188"/>
      <c r="Z529" s="188"/>
    </row>
    <row r="530" spans="1:40" x14ac:dyDescent="0.3">
      <c r="C530" s="42"/>
      <c r="J530" s="188"/>
      <c r="K530" s="188"/>
      <c r="T530" s="42"/>
      <c r="V530" s="123"/>
      <c r="W530" s="123"/>
      <c r="X530" s="123"/>
      <c r="Y530" s="123"/>
      <c r="Z530" s="238"/>
    </row>
    <row r="531" spans="1:40" x14ac:dyDescent="0.3">
      <c r="C531" s="42"/>
      <c r="F531" s="184"/>
      <c r="H531" s="184"/>
      <c r="I531" s="184"/>
      <c r="J531" s="238"/>
      <c r="K531" s="238"/>
      <c r="L531" s="123"/>
      <c r="M531" s="123"/>
      <c r="N531" s="160"/>
      <c r="O531" s="160"/>
      <c r="P531" s="123"/>
      <c r="Q531" s="123"/>
      <c r="R531" s="123"/>
      <c r="T531" s="42"/>
      <c r="V531" s="123"/>
      <c r="W531" s="123"/>
      <c r="X531" s="123"/>
      <c r="Y531" s="123"/>
      <c r="Z531" s="238"/>
      <c r="AA531" s="123"/>
      <c r="AB531" s="123"/>
      <c r="AC531" s="160"/>
      <c r="AD531" s="160"/>
      <c r="AE531" s="123"/>
      <c r="AF531" s="123"/>
      <c r="AH531" s="236"/>
      <c r="AI531" s="123"/>
      <c r="AJ531" s="123"/>
      <c r="AL531" s="123"/>
      <c r="AM531" s="236"/>
      <c r="AN531" s="236"/>
    </row>
    <row r="532" spans="1:40" x14ac:dyDescent="0.3">
      <c r="C532" s="42"/>
      <c r="F532" s="184"/>
      <c r="H532" s="184"/>
      <c r="I532" s="184"/>
      <c r="J532" s="238"/>
      <c r="K532" s="238"/>
      <c r="L532" s="123"/>
      <c r="M532" s="123"/>
      <c r="N532" s="160"/>
      <c r="O532" s="160"/>
      <c r="P532" s="123"/>
      <c r="Q532" s="123"/>
      <c r="R532" s="123"/>
      <c r="T532" s="42"/>
      <c r="V532" s="123"/>
      <c r="W532" s="123"/>
      <c r="X532" s="123"/>
      <c r="Y532" s="123"/>
      <c r="Z532" s="238"/>
      <c r="AA532" s="123"/>
      <c r="AB532" s="123"/>
      <c r="AC532" s="160"/>
      <c r="AD532" s="160"/>
      <c r="AE532" s="123"/>
      <c r="AF532" s="123"/>
      <c r="AH532" s="236"/>
      <c r="AI532" s="123"/>
      <c r="AJ532" s="123"/>
      <c r="AL532" s="123"/>
      <c r="AM532" s="236"/>
      <c r="AN532" s="236"/>
    </row>
    <row r="533" spans="1:40" x14ac:dyDescent="0.3">
      <c r="F533" s="210"/>
      <c r="H533" s="210"/>
      <c r="I533" s="210"/>
      <c r="J533" s="238"/>
      <c r="K533" s="238"/>
      <c r="L533" s="210"/>
      <c r="M533" s="210"/>
      <c r="N533" s="210"/>
      <c r="O533" s="210"/>
      <c r="P533" s="210"/>
      <c r="Q533" s="210"/>
      <c r="R533" s="210"/>
      <c r="V533" s="210"/>
      <c r="Y533" s="210"/>
      <c r="Z533" s="213"/>
      <c r="AA533" s="210"/>
      <c r="AB533" s="210"/>
      <c r="AC533" s="210"/>
      <c r="AD533" s="210"/>
      <c r="AE533" s="210"/>
      <c r="AF533" s="210"/>
      <c r="AI533" s="210"/>
      <c r="AJ533" s="210"/>
      <c r="AK533" s="214"/>
      <c r="AL533" s="210"/>
    </row>
    <row r="534" spans="1:40" x14ac:dyDescent="0.3">
      <c r="C534" s="42"/>
      <c r="F534" s="123"/>
      <c r="H534" s="123"/>
      <c r="I534" s="123"/>
      <c r="L534" s="123"/>
      <c r="M534" s="123"/>
      <c r="N534" s="160"/>
      <c r="O534" s="160"/>
      <c r="P534" s="184"/>
      <c r="Q534" s="184"/>
      <c r="R534" s="123"/>
      <c r="T534" s="42"/>
      <c r="V534" s="123"/>
      <c r="W534" s="123"/>
      <c r="X534" s="123"/>
      <c r="Y534" s="123"/>
      <c r="Z534" s="237"/>
      <c r="AA534" s="123"/>
      <c r="AB534" s="123"/>
      <c r="AC534" s="160"/>
      <c r="AD534" s="160"/>
      <c r="AE534" s="123"/>
      <c r="AF534" s="123"/>
      <c r="AH534" s="236"/>
      <c r="AI534" s="184"/>
      <c r="AJ534" s="184"/>
      <c r="AL534" s="123"/>
      <c r="AM534" s="236"/>
      <c r="AN534" s="236"/>
    </row>
    <row r="535" spans="1:40" x14ac:dyDescent="0.3">
      <c r="F535" s="210"/>
      <c r="H535" s="210"/>
      <c r="I535" s="210"/>
      <c r="J535" s="213"/>
      <c r="K535" s="213"/>
      <c r="L535" s="210"/>
      <c r="M535" s="210"/>
      <c r="N535" s="210"/>
      <c r="O535" s="210"/>
      <c r="P535" s="210"/>
      <c r="Q535" s="210"/>
      <c r="R535" s="210"/>
      <c r="V535" s="210"/>
      <c r="Y535" s="210"/>
      <c r="Z535" s="213"/>
      <c r="AA535" s="210"/>
      <c r="AB535" s="210"/>
      <c r="AC535" s="210"/>
      <c r="AD535" s="210"/>
      <c r="AE535" s="210"/>
      <c r="AF535" s="210"/>
      <c r="AI535" s="210"/>
      <c r="AJ535" s="210"/>
      <c r="AK535" s="214"/>
      <c r="AL535" s="210"/>
    </row>
    <row r="538" spans="1:40" x14ac:dyDescent="0.3">
      <c r="A538" s="42"/>
    </row>
    <row r="540" spans="1:40" x14ac:dyDescent="0.3">
      <c r="H540" s="42"/>
      <c r="I540" s="42"/>
      <c r="Y540" s="42"/>
    </row>
    <row r="542" spans="1:40" x14ac:dyDescent="0.3">
      <c r="L542" s="42"/>
      <c r="M542" s="42"/>
      <c r="AA542" s="42"/>
      <c r="AB542" s="42"/>
    </row>
    <row r="543" spans="1:40" x14ac:dyDescent="0.3">
      <c r="R543" s="42"/>
      <c r="AK543" s="206"/>
      <c r="AL543" s="42"/>
    </row>
    <row r="544" spans="1:40" x14ac:dyDescent="0.3">
      <c r="R544" s="42"/>
      <c r="AK544" s="206"/>
      <c r="AL544" s="42"/>
    </row>
    <row r="545" spans="1:40" x14ac:dyDescent="0.3">
      <c r="A545" s="42"/>
      <c r="R545" s="42"/>
      <c r="AK545" s="206"/>
      <c r="AL545" s="42"/>
    </row>
    <row r="546" spans="1:40" x14ac:dyDescent="0.3">
      <c r="L546" s="42"/>
      <c r="M546" s="42"/>
      <c r="AA546" s="42"/>
      <c r="AB546" s="42"/>
    </row>
    <row r="547" spans="1:40" x14ac:dyDescent="0.3">
      <c r="A547" s="135"/>
      <c r="B547" s="135"/>
      <c r="C547" s="135"/>
      <c r="D547" s="135"/>
      <c r="E547" s="135"/>
      <c r="F547" s="135"/>
      <c r="G547" s="135"/>
      <c r="H547" s="135"/>
      <c r="I547" s="135"/>
      <c r="J547" s="135"/>
      <c r="K547" s="135"/>
      <c r="L547" s="135"/>
      <c r="M547" s="135"/>
      <c r="N547" s="135"/>
      <c r="O547" s="135"/>
      <c r="P547" s="135"/>
      <c r="Q547" s="135"/>
      <c r="R547" s="135"/>
      <c r="T547" s="135"/>
      <c r="U547" s="135"/>
      <c r="V547" s="135"/>
      <c r="W547" s="135"/>
      <c r="X547" s="135"/>
      <c r="Y547" s="135"/>
      <c r="Z547" s="135"/>
      <c r="AA547" s="135"/>
      <c r="AB547" s="135"/>
      <c r="AC547" s="135"/>
      <c r="AD547" s="135"/>
      <c r="AE547" s="135"/>
      <c r="AF547" s="135"/>
      <c r="AG547" s="207"/>
      <c r="AH547" s="135"/>
      <c r="AI547" s="135"/>
      <c r="AJ547" s="135"/>
      <c r="AK547" s="207"/>
      <c r="AL547" s="135"/>
      <c r="AM547" s="135"/>
      <c r="AN547" s="135"/>
    </row>
    <row r="548" spans="1:40" x14ac:dyDescent="0.3">
      <c r="L548" s="44"/>
      <c r="M548" s="44"/>
      <c r="N548" s="44"/>
      <c r="O548" s="44"/>
      <c r="R548" s="44"/>
      <c r="AA548" s="44"/>
      <c r="AB548" s="44"/>
      <c r="AC548" s="44"/>
      <c r="AD548" s="44"/>
      <c r="AE548" s="44"/>
      <c r="AF548" s="44"/>
      <c r="AG548" s="168"/>
      <c r="AH548" s="44"/>
      <c r="AK548" s="168"/>
      <c r="AL548" s="44"/>
      <c r="AM548" s="44"/>
      <c r="AN548" s="44"/>
    </row>
    <row r="549" spans="1:40" x14ac:dyDescent="0.3">
      <c r="L549" s="44"/>
      <c r="M549" s="44"/>
      <c r="N549" s="44"/>
      <c r="O549" s="44"/>
      <c r="R549" s="44"/>
      <c r="Z549" s="44"/>
      <c r="AA549" s="44"/>
      <c r="AB549" s="44"/>
      <c r="AC549" s="44"/>
      <c r="AD549" s="44"/>
      <c r="AE549" s="44"/>
      <c r="AF549" s="44"/>
      <c r="AG549" s="168"/>
      <c r="AH549" s="44"/>
      <c r="AK549" s="168"/>
      <c r="AL549" s="44"/>
      <c r="AM549" s="44"/>
      <c r="AN549" s="44"/>
    </row>
    <row r="550" spans="1:40" x14ac:dyDescent="0.3">
      <c r="A550" s="44"/>
      <c r="C550" s="44"/>
      <c r="D550" s="44"/>
      <c r="E550" s="44"/>
      <c r="F550" s="44"/>
      <c r="J550" s="44"/>
      <c r="K550" s="44"/>
      <c r="L550" s="44"/>
      <c r="M550" s="44"/>
      <c r="N550" s="44"/>
      <c r="O550" s="44"/>
      <c r="P550" s="44"/>
      <c r="Q550" s="44"/>
      <c r="R550" s="44"/>
      <c r="T550" s="44"/>
      <c r="U550" s="44"/>
      <c r="V550" s="44"/>
      <c r="Z550" s="44"/>
      <c r="AA550" s="44"/>
      <c r="AB550" s="44"/>
      <c r="AC550" s="44"/>
      <c r="AD550" s="44"/>
      <c r="AE550" s="44"/>
      <c r="AF550" s="44"/>
      <c r="AG550" s="168"/>
      <c r="AH550" s="44"/>
      <c r="AI550" s="44"/>
      <c r="AJ550" s="44"/>
      <c r="AK550" s="168"/>
      <c r="AL550" s="44"/>
      <c r="AM550" s="44"/>
      <c r="AN550" s="44"/>
    </row>
    <row r="551" spans="1:40" x14ac:dyDescent="0.3">
      <c r="A551" s="44"/>
      <c r="C551" s="44"/>
      <c r="D551" s="44"/>
      <c r="E551" s="44"/>
      <c r="F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T551" s="44"/>
      <c r="U551" s="44"/>
      <c r="V551" s="44"/>
      <c r="Y551" s="44"/>
      <c r="Z551" s="44"/>
      <c r="AA551" s="44"/>
      <c r="AB551" s="44"/>
      <c r="AC551" s="44"/>
      <c r="AD551" s="44"/>
      <c r="AE551" s="44"/>
      <c r="AF551" s="44"/>
      <c r="AG551" s="168"/>
      <c r="AH551" s="44"/>
      <c r="AI551" s="44"/>
      <c r="AJ551" s="44"/>
      <c r="AK551" s="168"/>
      <c r="AL551" s="44"/>
      <c r="AM551" s="44"/>
      <c r="AN551" s="44"/>
    </row>
    <row r="552" spans="1:40" x14ac:dyDescent="0.3">
      <c r="C552" s="44"/>
      <c r="D552" s="44"/>
      <c r="E552" s="44"/>
      <c r="F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T552" s="44"/>
      <c r="U552" s="44"/>
      <c r="V552" s="44"/>
      <c r="Y552" s="44"/>
      <c r="Z552" s="44"/>
      <c r="AA552" s="44"/>
      <c r="AB552" s="44"/>
      <c r="AC552" s="44"/>
      <c r="AD552" s="44"/>
      <c r="AE552" s="44"/>
      <c r="AF552" s="44"/>
      <c r="AG552" s="168"/>
      <c r="AH552" s="44"/>
      <c r="AI552" s="44"/>
      <c r="AJ552" s="44"/>
      <c r="AK552" s="168"/>
      <c r="AL552" s="44"/>
      <c r="AM552" s="44"/>
      <c r="AN552" s="44"/>
    </row>
    <row r="553" spans="1:40" x14ac:dyDescent="0.3">
      <c r="A553" s="135"/>
      <c r="B553" s="135"/>
      <c r="C553" s="135"/>
      <c r="D553" s="135"/>
      <c r="E553" s="135"/>
      <c r="F553" s="135"/>
      <c r="G553" s="135"/>
      <c r="H553" s="135"/>
      <c r="I553" s="135"/>
      <c r="J553" s="135"/>
      <c r="K553" s="135"/>
      <c r="L553" s="135"/>
      <c r="M553" s="135"/>
      <c r="N553" s="135"/>
      <c r="O553" s="135"/>
      <c r="P553" s="135"/>
      <c r="Q553" s="135"/>
      <c r="R553" s="135"/>
      <c r="T553" s="135"/>
      <c r="U553" s="135"/>
      <c r="V553" s="135"/>
      <c r="W553" s="135"/>
      <c r="X553" s="135"/>
      <c r="Y553" s="135"/>
      <c r="Z553" s="135"/>
      <c r="AA553" s="135"/>
      <c r="AB553" s="135"/>
      <c r="AC553" s="135"/>
      <c r="AD553" s="135"/>
      <c r="AE553" s="135"/>
      <c r="AF553" s="135"/>
      <c r="AG553" s="207"/>
      <c r="AH553" s="135"/>
      <c r="AI553" s="135"/>
      <c r="AJ553" s="135"/>
      <c r="AK553" s="207"/>
      <c r="AL553" s="135"/>
      <c r="AM553" s="135"/>
      <c r="AN553" s="135"/>
    </row>
    <row r="554" spans="1:40" x14ac:dyDescent="0.3"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Y554" s="44"/>
      <c r="Z554" s="44"/>
      <c r="AA554" s="44"/>
      <c r="AB554" s="44"/>
      <c r="AC554" s="44"/>
      <c r="AD554" s="44"/>
      <c r="AE554" s="44"/>
      <c r="AF554" s="44"/>
      <c r="AG554" s="168"/>
      <c r="AH554" s="44"/>
      <c r="AI554" s="44"/>
      <c r="AJ554" s="44"/>
      <c r="AK554" s="168"/>
      <c r="AL554" s="44"/>
      <c r="AM554" s="44"/>
      <c r="AN554" s="44"/>
    </row>
    <row r="555" spans="1:40" x14ac:dyDescent="0.3">
      <c r="C555" s="42"/>
      <c r="D555" s="42"/>
      <c r="E555" s="42"/>
      <c r="T555" s="42"/>
      <c r="U555" s="42"/>
    </row>
    <row r="557" spans="1:40" x14ac:dyDescent="0.3">
      <c r="C557" s="42"/>
      <c r="T557" s="42"/>
    </row>
    <row r="558" spans="1:40" x14ac:dyDescent="0.3">
      <c r="C558" s="42"/>
      <c r="T558" s="42"/>
    </row>
    <row r="559" spans="1:40" x14ac:dyDescent="0.3">
      <c r="C559" s="42"/>
      <c r="F559" s="184"/>
      <c r="H559" s="184"/>
      <c r="I559" s="184"/>
      <c r="J559" s="238"/>
      <c r="K559" s="238"/>
      <c r="L559" s="123"/>
      <c r="M559" s="123"/>
      <c r="N559" s="160"/>
      <c r="O559" s="160"/>
      <c r="P559" s="123"/>
      <c r="Q559" s="123"/>
      <c r="R559" s="123"/>
      <c r="T559" s="42"/>
      <c r="V559" s="123"/>
      <c r="W559" s="123"/>
      <c r="X559" s="123"/>
      <c r="Y559" s="123"/>
      <c r="Z559" s="238"/>
      <c r="AA559" s="123"/>
      <c r="AB559" s="123"/>
      <c r="AC559" s="160"/>
      <c r="AD559" s="160"/>
      <c r="AE559" s="123"/>
      <c r="AF559" s="123"/>
      <c r="AH559" s="236"/>
      <c r="AI559" s="123"/>
      <c r="AJ559" s="123"/>
      <c r="AL559" s="123"/>
      <c r="AM559" s="236"/>
      <c r="AN559" s="236"/>
    </row>
    <row r="560" spans="1:40" x14ac:dyDescent="0.3">
      <c r="C560" s="42"/>
      <c r="F560" s="123"/>
      <c r="H560" s="123"/>
      <c r="I560" s="123"/>
      <c r="J560" s="188"/>
      <c r="K560" s="188"/>
      <c r="L560" s="123"/>
      <c r="M560" s="123"/>
      <c r="N560" s="160"/>
      <c r="O560" s="160"/>
      <c r="P560" s="123"/>
      <c r="Q560" s="123"/>
      <c r="R560" s="123"/>
      <c r="T560" s="42"/>
      <c r="V560" s="123"/>
      <c r="W560" s="123"/>
      <c r="X560" s="123"/>
      <c r="Y560" s="123"/>
      <c r="Z560" s="188"/>
      <c r="AA560" s="123"/>
      <c r="AB560" s="123"/>
      <c r="AC560" s="160"/>
      <c r="AD560" s="160"/>
      <c r="AE560" s="123"/>
      <c r="AF560" s="123"/>
      <c r="AH560" s="236"/>
      <c r="AI560" s="123"/>
      <c r="AJ560" s="123"/>
      <c r="AL560" s="123"/>
      <c r="AM560" s="236"/>
      <c r="AN560" s="236"/>
    </row>
    <row r="561" spans="3:40" x14ac:dyDescent="0.3">
      <c r="C561" s="42"/>
      <c r="F561" s="123"/>
      <c r="H561" s="123"/>
      <c r="I561" s="123"/>
      <c r="J561" s="188"/>
      <c r="K561" s="188"/>
      <c r="L561" s="123"/>
      <c r="M561" s="123"/>
      <c r="N561" s="160"/>
      <c r="O561" s="160"/>
      <c r="P561" s="123"/>
      <c r="Q561" s="123"/>
      <c r="R561" s="123"/>
      <c r="T561" s="42"/>
      <c r="V561" s="123"/>
      <c r="W561" s="123"/>
      <c r="X561" s="123"/>
      <c r="Y561" s="123"/>
      <c r="Z561" s="188"/>
      <c r="AA561" s="123"/>
      <c r="AB561" s="123"/>
      <c r="AC561" s="160"/>
      <c r="AD561" s="160"/>
      <c r="AE561" s="123"/>
      <c r="AF561" s="123"/>
      <c r="AH561" s="236"/>
      <c r="AI561" s="123"/>
      <c r="AJ561" s="123"/>
      <c r="AL561" s="123"/>
      <c r="AM561" s="236"/>
      <c r="AN561" s="236"/>
    </row>
    <row r="562" spans="3:40" x14ac:dyDescent="0.3">
      <c r="C562" s="42"/>
      <c r="F562" s="123"/>
      <c r="H562" s="123"/>
      <c r="I562" s="123"/>
      <c r="J562" s="188"/>
      <c r="K562" s="188"/>
      <c r="T562" s="42"/>
      <c r="V562" s="123"/>
      <c r="Z562" s="188"/>
    </row>
    <row r="563" spans="3:40" x14ac:dyDescent="0.3">
      <c r="C563" s="42"/>
      <c r="F563" s="184"/>
      <c r="H563" s="184"/>
      <c r="I563" s="184"/>
      <c r="J563" s="238"/>
      <c r="K563" s="238"/>
      <c r="L563" s="123"/>
      <c r="M563" s="123"/>
      <c r="N563" s="160"/>
      <c r="O563" s="160"/>
      <c r="P563" s="123"/>
      <c r="Q563" s="123"/>
      <c r="R563" s="123"/>
      <c r="T563" s="42"/>
      <c r="V563" s="123"/>
      <c r="W563" s="123"/>
      <c r="X563" s="123"/>
      <c r="Y563" s="123"/>
      <c r="Z563" s="238"/>
      <c r="AA563" s="123"/>
      <c r="AB563" s="123"/>
      <c r="AC563" s="160"/>
      <c r="AD563" s="160"/>
      <c r="AE563" s="123"/>
      <c r="AF563" s="123"/>
      <c r="AH563" s="236"/>
      <c r="AI563" s="123"/>
      <c r="AJ563" s="123"/>
      <c r="AL563" s="123"/>
      <c r="AM563" s="236"/>
      <c r="AN563" s="236"/>
    </row>
    <row r="564" spans="3:40" x14ac:dyDescent="0.3">
      <c r="C564" s="42"/>
      <c r="F564" s="123"/>
      <c r="H564" s="123"/>
      <c r="I564" s="123"/>
      <c r="J564" s="188"/>
      <c r="K564" s="188"/>
      <c r="T564" s="42"/>
      <c r="V564" s="123"/>
      <c r="W564" s="123"/>
      <c r="X564" s="123"/>
      <c r="Y564" s="123"/>
      <c r="Z564" s="188"/>
      <c r="AC564" s="160"/>
      <c r="AD564" s="160"/>
      <c r="AE564" s="123"/>
      <c r="AF564" s="123"/>
      <c r="AH564" s="236"/>
      <c r="AI564" s="123"/>
      <c r="AJ564" s="123"/>
      <c r="AL564" s="123"/>
      <c r="AM564" s="236"/>
      <c r="AN564" s="236"/>
    </row>
    <row r="565" spans="3:40" x14ac:dyDescent="0.3">
      <c r="C565" s="42"/>
      <c r="F565" s="184"/>
      <c r="H565" s="184"/>
      <c r="I565" s="184"/>
      <c r="J565" s="238"/>
      <c r="K565" s="238"/>
      <c r="L565" s="123"/>
      <c r="M565" s="123"/>
      <c r="N565" s="160"/>
      <c r="O565" s="160"/>
      <c r="P565" s="123"/>
      <c r="Q565" s="123"/>
      <c r="R565" s="123"/>
      <c r="T565" s="42"/>
      <c r="V565" s="123"/>
      <c r="W565" s="123"/>
      <c r="X565" s="123"/>
      <c r="Y565" s="123"/>
      <c r="Z565" s="238"/>
      <c r="AA565" s="123"/>
      <c r="AB565" s="123"/>
      <c r="AC565" s="160"/>
      <c r="AD565" s="160"/>
      <c r="AE565" s="123"/>
      <c r="AF565" s="123"/>
      <c r="AH565" s="236"/>
      <c r="AI565" s="123"/>
      <c r="AJ565" s="123"/>
      <c r="AL565" s="123"/>
      <c r="AM565" s="236"/>
      <c r="AN565" s="236"/>
    </row>
    <row r="566" spans="3:40" x14ac:dyDescent="0.3">
      <c r="C566" s="42"/>
      <c r="F566" s="123"/>
      <c r="H566" s="123"/>
      <c r="I566" s="123"/>
      <c r="J566" s="188"/>
      <c r="K566" s="188"/>
      <c r="L566" s="123"/>
      <c r="M566" s="123"/>
      <c r="N566" s="160"/>
      <c r="O566" s="160"/>
      <c r="P566" s="123"/>
      <c r="Q566" s="123"/>
      <c r="R566" s="123"/>
      <c r="T566" s="42"/>
      <c r="V566" s="123"/>
      <c r="W566" s="123"/>
      <c r="X566" s="123"/>
      <c r="Y566" s="123"/>
      <c r="Z566" s="188"/>
      <c r="AA566" s="123"/>
      <c r="AB566" s="123"/>
      <c r="AC566" s="160"/>
      <c r="AD566" s="160"/>
      <c r="AE566" s="123"/>
      <c r="AF566" s="123"/>
      <c r="AH566" s="236"/>
      <c r="AI566" s="123"/>
      <c r="AJ566" s="123"/>
      <c r="AL566" s="123"/>
      <c r="AM566" s="236"/>
      <c r="AN566" s="236"/>
    </row>
    <row r="567" spans="3:40" x14ac:dyDescent="0.3">
      <c r="F567" s="123"/>
      <c r="H567" s="123"/>
      <c r="I567" s="123"/>
      <c r="J567" s="188"/>
      <c r="K567" s="188"/>
      <c r="Z567" s="188"/>
    </row>
    <row r="568" spans="3:40" x14ac:dyDescent="0.3">
      <c r="C568" s="42"/>
      <c r="F568" s="123"/>
      <c r="H568" s="184"/>
      <c r="I568" s="184"/>
      <c r="J568" s="238"/>
      <c r="K568" s="238"/>
      <c r="L568" s="123"/>
      <c r="M568" s="123"/>
      <c r="N568" s="160"/>
      <c r="O568" s="160"/>
      <c r="P568" s="123"/>
      <c r="Q568" s="123"/>
      <c r="R568" s="123"/>
      <c r="T568" s="42"/>
      <c r="V568" s="123"/>
      <c r="W568" s="123"/>
      <c r="X568" s="123"/>
      <c r="Y568" s="123"/>
      <c r="Z568" s="238"/>
      <c r="AA568" s="123"/>
      <c r="AB568" s="123"/>
      <c r="AC568" s="160"/>
      <c r="AD568" s="160"/>
      <c r="AE568" s="123"/>
      <c r="AF568" s="123"/>
      <c r="AH568" s="236"/>
      <c r="AI568" s="123"/>
      <c r="AJ568" s="123"/>
      <c r="AL568" s="123"/>
      <c r="AM568" s="236"/>
      <c r="AN568" s="236"/>
    </row>
    <row r="569" spans="3:40" x14ac:dyDescent="0.3">
      <c r="F569" s="210"/>
      <c r="H569" s="210"/>
      <c r="I569" s="210"/>
      <c r="J569" s="238"/>
      <c r="K569" s="238"/>
      <c r="L569" s="210"/>
      <c r="M569" s="210"/>
      <c r="N569" s="210"/>
      <c r="O569" s="210"/>
      <c r="P569" s="210"/>
      <c r="Q569" s="210"/>
      <c r="R569" s="210"/>
      <c r="V569" s="210"/>
      <c r="Y569" s="210"/>
      <c r="Z569" s="238"/>
      <c r="AA569" s="210"/>
      <c r="AB569" s="210"/>
      <c r="AC569" s="210"/>
      <c r="AD569" s="210"/>
      <c r="AE569" s="210"/>
      <c r="AF569" s="210"/>
      <c r="AI569" s="210"/>
      <c r="AJ569" s="210"/>
      <c r="AK569" s="214"/>
      <c r="AL569" s="210"/>
    </row>
    <row r="570" spans="3:40" x14ac:dyDescent="0.3">
      <c r="C570" s="42"/>
      <c r="F570" s="123"/>
      <c r="H570" s="123"/>
      <c r="I570" s="123"/>
      <c r="J570" s="188"/>
      <c r="K570" s="188"/>
      <c r="L570" s="123"/>
      <c r="M570" s="123"/>
      <c r="P570" s="123"/>
      <c r="Q570" s="123"/>
      <c r="R570" s="123"/>
      <c r="T570" s="42"/>
      <c r="V570" s="123"/>
      <c r="Y570" s="123"/>
      <c r="Z570" s="188"/>
      <c r="AA570" s="123"/>
      <c r="AB570" s="123"/>
      <c r="AC570" s="236"/>
      <c r="AD570" s="236"/>
      <c r="AE570" s="123"/>
      <c r="AF570" s="123"/>
      <c r="AH570" s="236"/>
      <c r="AI570" s="123"/>
      <c r="AJ570" s="123"/>
      <c r="AL570" s="123"/>
      <c r="AM570" s="236"/>
      <c r="AN570" s="236"/>
    </row>
    <row r="571" spans="3:40" x14ac:dyDescent="0.3">
      <c r="F571" s="210"/>
      <c r="H571" s="210"/>
      <c r="I571" s="210"/>
      <c r="J571" s="238"/>
      <c r="K571" s="238"/>
      <c r="L571" s="210"/>
      <c r="M571" s="210"/>
      <c r="N571" s="210"/>
      <c r="O571" s="210"/>
      <c r="P571" s="210"/>
      <c r="Q571" s="210"/>
      <c r="R571" s="210"/>
      <c r="V571" s="210"/>
      <c r="Y571" s="210"/>
      <c r="Z571" s="238"/>
      <c r="AA571" s="210"/>
      <c r="AB571" s="210"/>
      <c r="AC571" s="210"/>
      <c r="AD571" s="210"/>
      <c r="AE571" s="210"/>
      <c r="AF571" s="210"/>
      <c r="AI571" s="210"/>
      <c r="AJ571" s="210"/>
      <c r="AK571" s="214"/>
      <c r="AL571" s="210"/>
    </row>
    <row r="572" spans="3:40" x14ac:dyDescent="0.3">
      <c r="J572" s="188"/>
      <c r="K572" s="188"/>
      <c r="Z572" s="188"/>
    </row>
    <row r="573" spans="3:40" x14ac:dyDescent="0.3">
      <c r="C573" s="42"/>
      <c r="J573" s="188"/>
      <c r="K573" s="188"/>
      <c r="T573" s="42"/>
      <c r="Z573" s="188"/>
    </row>
    <row r="574" spans="3:40" x14ac:dyDescent="0.3">
      <c r="C574" s="42"/>
      <c r="J574" s="188"/>
      <c r="K574" s="188"/>
      <c r="T574" s="42"/>
      <c r="Z574" s="188"/>
    </row>
    <row r="575" spans="3:40" x14ac:dyDescent="0.3">
      <c r="C575" s="42"/>
      <c r="F575" s="184"/>
      <c r="H575" s="184"/>
      <c r="I575" s="184"/>
      <c r="J575" s="238"/>
      <c r="K575" s="238"/>
      <c r="L575" s="123"/>
      <c r="M575" s="123"/>
      <c r="N575" s="160"/>
      <c r="O575" s="160"/>
      <c r="P575" s="123"/>
      <c r="Q575" s="123"/>
      <c r="R575" s="123"/>
      <c r="T575" s="42"/>
      <c r="V575" s="123"/>
      <c r="W575" s="123"/>
      <c r="X575" s="123"/>
      <c r="Y575" s="123"/>
      <c r="Z575" s="238"/>
      <c r="AA575" s="123"/>
      <c r="AB575" s="123"/>
      <c r="AC575" s="160"/>
      <c r="AD575" s="160"/>
      <c r="AE575" s="123"/>
      <c r="AF575" s="123"/>
      <c r="AH575" s="236"/>
      <c r="AI575" s="123"/>
      <c r="AJ575" s="123"/>
      <c r="AL575" s="123"/>
      <c r="AM575" s="236"/>
      <c r="AN575" s="236"/>
    </row>
    <row r="576" spans="3:40" x14ac:dyDescent="0.3">
      <c r="C576" s="42"/>
      <c r="J576" s="188"/>
      <c r="K576" s="188"/>
      <c r="T576" s="42"/>
      <c r="Z576" s="188"/>
    </row>
    <row r="577" spans="1:40" x14ac:dyDescent="0.3">
      <c r="C577" s="42"/>
      <c r="F577" s="184"/>
      <c r="H577" s="184"/>
      <c r="I577" s="184"/>
      <c r="J577" s="238"/>
      <c r="K577" s="238"/>
      <c r="L577" s="123"/>
      <c r="M577" s="123"/>
      <c r="N577" s="160"/>
      <c r="O577" s="160"/>
      <c r="P577" s="123"/>
      <c r="Q577" s="123"/>
      <c r="R577" s="123"/>
      <c r="T577" s="42"/>
      <c r="V577" s="123"/>
      <c r="W577" s="123"/>
      <c r="X577" s="123"/>
      <c r="Y577" s="123"/>
      <c r="Z577" s="238"/>
      <c r="AA577" s="123"/>
      <c r="AB577" s="123"/>
      <c r="AC577" s="160"/>
      <c r="AD577" s="160"/>
      <c r="AE577" s="123"/>
      <c r="AF577" s="123"/>
      <c r="AH577" s="236"/>
      <c r="AI577" s="123"/>
      <c r="AJ577" s="123"/>
      <c r="AL577" s="123"/>
      <c r="AM577" s="236"/>
      <c r="AN577" s="236"/>
    </row>
    <row r="578" spans="1:40" x14ac:dyDescent="0.3">
      <c r="F578" s="210"/>
      <c r="H578" s="210"/>
      <c r="I578" s="210"/>
      <c r="J578" s="238"/>
      <c r="K578" s="238"/>
      <c r="L578" s="210"/>
      <c r="M578" s="210"/>
      <c r="N578" s="210"/>
      <c r="O578" s="210"/>
      <c r="P578" s="210"/>
      <c r="Q578" s="210"/>
      <c r="R578" s="210"/>
      <c r="V578" s="210"/>
      <c r="Y578" s="210"/>
      <c r="Z578" s="238"/>
      <c r="AA578" s="210"/>
      <c r="AB578" s="210"/>
      <c r="AC578" s="210"/>
      <c r="AD578" s="210"/>
      <c r="AE578" s="210"/>
      <c r="AF578" s="210"/>
      <c r="AI578" s="210"/>
      <c r="AJ578" s="210"/>
      <c r="AK578" s="214"/>
      <c r="AL578" s="210"/>
    </row>
    <row r="579" spans="1:40" x14ac:dyDescent="0.3">
      <c r="C579" s="42"/>
      <c r="F579" s="123"/>
      <c r="H579" s="123"/>
      <c r="I579" s="123"/>
      <c r="J579" s="188"/>
      <c r="K579" s="188"/>
      <c r="L579" s="123"/>
      <c r="M579" s="123"/>
      <c r="N579" s="236"/>
      <c r="O579" s="236"/>
      <c r="P579" s="123"/>
      <c r="Q579" s="123"/>
      <c r="R579" s="123"/>
      <c r="T579" s="42"/>
      <c r="V579" s="123"/>
      <c r="Y579" s="123"/>
      <c r="Z579" s="188"/>
      <c r="AA579" s="123"/>
      <c r="AB579" s="123"/>
      <c r="AC579" s="236"/>
      <c r="AD579" s="236"/>
      <c r="AE579" s="123"/>
      <c r="AF579" s="123"/>
      <c r="AH579" s="236"/>
      <c r="AI579" s="123"/>
      <c r="AJ579" s="123"/>
      <c r="AL579" s="123"/>
      <c r="AM579" s="236"/>
      <c r="AN579" s="236"/>
    </row>
    <row r="580" spans="1:40" x14ac:dyDescent="0.3">
      <c r="F580" s="210"/>
      <c r="H580" s="210"/>
      <c r="I580" s="210"/>
      <c r="J580" s="238"/>
      <c r="K580" s="238"/>
      <c r="L580" s="210"/>
      <c r="M580" s="210"/>
      <c r="N580" s="210"/>
      <c r="O580" s="210"/>
      <c r="P580" s="210"/>
      <c r="Q580" s="210"/>
      <c r="R580" s="210"/>
      <c r="V580" s="210"/>
      <c r="Y580" s="210"/>
      <c r="Z580" s="213"/>
      <c r="AA580" s="210"/>
      <c r="AB580" s="210"/>
      <c r="AC580" s="210"/>
      <c r="AD580" s="210"/>
      <c r="AE580" s="210"/>
      <c r="AF580" s="210"/>
      <c r="AI580" s="210"/>
      <c r="AJ580" s="210"/>
      <c r="AK580" s="214"/>
      <c r="AL580" s="210"/>
    </row>
    <row r="581" spans="1:40" x14ac:dyDescent="0.3">
      <c r="J581" s="188"/>
      <c r="K581" s="188"/>
    </row>
    <row r="582" spans="1:40" x14ac:dyDescent="0.3">
      <c r="C582" s="42"/>
      <c r="F582" s="123"/>
      <c r="H582" s="123"/>
      <c r="I582" s="123"/>
      <c r="J582" s="188"/>
      <c r="K582" s="188"/>
      <c r="L582" s="123"/>
      <c r="M582" s="123"/>
      <c r="N582" s="160"/>
      <c r="O582" s="160"/>
      <c r="P582" s="184"/>
      <c r="Q582" s="184"/>
      <c r="R582" s="123"/>
      <c r="T582" s="42"/>
      <c r="V582" s="123"/>
      <c r="Y582" s="123"/>
      <c r="AA582" s="123"/>
      <c r="AB582" s="123"/>
      <c r="AC582" s="236"/>
      <c r="AD582" s="236"/>
      <c r="AE582" s="123"/>
      <c r="AF582" s="123"/>
      <c r="AH582" s="236"/>
      <c r="AI582" s="184"/>
      <c r="AJ582" s="184"/>
      <c r="AL582" s="123"/>
      <c r="AM582" s="236"/>
      <c r="AN582" s="236"/>
    </row>
    <row r="583" spans="1:40" x14ac:dyDescent="0.3">
      <c r="F583" s="210"/>
      <c r="H583" s="210"/>
      <c r="I583" s="210"/>
      <c r="J583" s="238"/>
      <c r="K583" s="238"/>
      <c r="L583" s="210"/>
      <c r="M583" s="210"/>
      <c r="N583" s="210"/>
      <c r="O583" s="210"/>
      <c r="P583" s="210"/>
      <c r="Q583" s="210"/>
      <c r="R583" s="210"/>
      <c r="V583" s="210"/>
      <c r="Y583" s="210"/>
      <c r="Z583" s="213"/>
      <c r="AA583" s="210"/>
      <c r="AB583" s="210"/>
      <c r="AC583" s="210"/>
      <c r="AD583" s="210"/>
      <c r="AE583" s="210"/>
      <c r="AF583" s="210"/>
      <c r="AI583" s="210"/>
      <c r="AJ583" s="210"/>
      <c r="AK583" s="214"/>
      <c r="AL583" s="210"/>
    </row>
    <row r="586" spans="1:40" x14ac:dyDescent="0.3">
      <c r="A586" s="42"/>
    </row>
    <row r="588" spans="1:40" x14ac:dyDescent="0.3">
      <c r="H588" s="42"/>
      <c r="I588" s="42"/>
      <c r="Y588" s="42"/>
    </row>
    <row r="590" spans="1:40" x14ac:dyDescent="0.3">
      <c r="L590" s="42"/>
      <c r="M590" s="42"/>
      <c r="AA590" s="42"/>
      <c r="AB590" s="42"/>
    </row>
    <row r="591" spans="1:40" x14ac:dyDescent="0.3">
      <c r="R591" s="42"/>
      <c r="AK591" s="206"/>
      <c r="AL591" s="42"/>
    </row>
    <row r="592" spans="1:40" x14ac:dyDescent="0.3">
      <c r="R592" s="42"/>
      <c r="AK592" s="206"/>
      <c r="AL592" s="42"/>
    </row>
    <row r="593" spans="1:40" x14ac:dyDescent="0.3">
      <c r="A593" s="42"/>
      <c r="R593" s="42"/>
      <c r="AK593" s="206"/>
      <c r="AL593" s="42"/>
    </row>
    <row r="594" spans="1:40" x14ac:dyDescent="0.3">
      <c r="L594" s="42"/>
      <c r="M594" s="42"/>
      <c r="AA594" s="42"/>
      <c r="AB594" s="42"/>
    </row>
    <row r="595" spans="1:40" x14ac:dyDescent="0.3">
      <c r="A595" s="135"/>
      <c r="B595" s="135"/>
      <c r="C595" s="135"/>
      <c r="D595" s="135"/>
      <c r="E595" s="135"/>
      <c r="F595" s="135"/>
      <c r="G595" s="135"/>
      <c r="H595" s="135"/>
      <c r="I595" s="135"/>
      <c r="J595" s="135"/>
      <c r="K595" s="135"/>
      <c r="L595" s="135"/>
      <c r="M595" s="135"/>
      <c r="N595" s="135"/>
      <c r="O595" s="135"/>
      <c r="P595" s="135"/>
      <c r="Q595" s="135"/>
      <c r="R595" s="135"/>
      <c r="T595" s="135"/>
      <c r="U595" s="135"/>
      <c r="V595" s="135"/>
      <c r="W595" s="135"/>
      <c r="X595" s="135"/>
      <c r="Y595" s="135"/>
      <c r="Z595" s="135"/>
      <c r="AA595" s="135"/>
      <c r="AB595" s="135"/>
      <c r="AC595" s="135"/>
      <c r="AD595" s="135"/>
      <c r="AE595" s="135"/>
      <c r="AF595" s="135"/>
      <c r="AG595" s="207"/>
      <c r="AH595" s="135"/>
      <c r="AI595" s="135"/>
      <c r="AJ595" s="135"/>
      <c r="AK595" s="207"/>
      <c r="AL595" s="135"/>
      <c r="AM595" s="135"/>
      <c r="AN595" s="135"/>
    </row>
    <row r="596" spans="1:40" x14ac:dyDescent="0.3">
      <c r="L596" s="44"/>
      <c r="M596" s="44"/>
      <c r="N596" s="44"/>
      <c r="O596" s="44"/>
      <c r="R596" s="44"/>
      <c r="AA596" s="44"/>
      <c r="AB596" s="44"/>
      <c r="AC596" s="44"/>
      <c r="AD596" s="44"/>
      <c r="AE596" s="44"/>
      <c r="AF596" s="44"/>
      <c r="AG596" s="168"/>
      <c r="AH596" s="44"/>
      <c r="AK596" s="168"/>
      <c r="AL596" s="44"/>
      <c r="AM596" s="44"/>
      <c r="AN596" s="44"/>
    </row>
    <row r="597" spans="1:40" x14ac:dyDescent="0.3">
      <c r="L597" s="44"/>
      <c r="M597" s="44"/>
      <c r="N597" s="44"/>
      <c r="O597" s="44"/>
      <c r="R597" s="44"/>
      <c r="Z597" s="44"/>
      <c r="AA597" s="44"/>
      <c r="AB597" s="44"/>
      <c r="AC597" s="44"/>
      <c r="AD597" s="44"/>
      <c r="AE597" s="44"/>
      <c r="AF597" s="44"/>
      <c r="AG597" s="168"/>
      <c r="AH597" s="44"/>
      <c r="AK597" s="168"/>
      <c r="AL597" s="44"/>
      <c r="AM597" s="44"/>
      <c r="AN597" s="44"/>
    </row>
    <row r="598" spans="1:40" x14ac:dyDescent="0.3">
      <c r="A598" s="44"/>
      <c r="C598" s="44"/>
      <c r="D598" s="44"/>
      <c r="E598" s="44"/>
      <c r="F598" s="44"/>
      <c r="J598" s="44"/>
      <c r="K598" s="44"/>
      <c r="L598" s="44"/>
      <c r="M598" s="44"/>
      <c r="N598" s="44"/>
      <c r="O598" s="44"/>
      <c r="P598" s="44"/>
      <c r="Q598" s="44"/>
      <c r="R598" s="44"/>
      <c r="T598" s="44"/>
      <c r="U598" s="44"/>
      <c r="V598" s="44"/>
      <c r="Z598" s="44"/>
      <c r="AA598" s="44"/>
      <c r="AB598" s="44"/>
      <c r="AC598" s="44"/>
      <c r="AD598" s="44"/>
      <c r="AE598" s="44"/>
      <c r="AF598" s="44"/>
      <c r="AG598" s="168"/>
      <c r="AH598" s="44"/>
      <c r="AI598" s="44"/>
      <c r="AJ598" s="44"/>
      <c r="AK598" s="168"/>
      <c r="AL598" s="44"/>
      <c r="AM598" s="44"/>
      <c r="AN598" s="44"/>
    </row>
    <row r="599" spans="1:40" x14ac:dyDescent="0.3">
      <c r="A599" s="44"/>
      <c r="C599" s="44"/>
      <c r="D599" s="44"/>
      <c r="E599" s="44"/>
      <c r="F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T599" s="44"/>
      <c r="U599" s="44"/>
      <c r="V599" s="44"/>
      <c r="Y599" s="44"/>
      <c r="Z599" s="44"/>
      <c r="AA599" s="44"/>
      <c r="AB599" s="44"/>
      <c r="AC599" s="44"/>
      <c r="AD599" s="44"/>
      <c r="AE599" s="44"/>
      <c r="AF599" s="44"/>
      <c r="AG599" s="168"/>
      <c r="AH599" s="44"/>
      <c r="AI599" s="44"/>
      <c r="AJ599" s="44"/>
      <c r="AK599" s="168"/>
      <c r="AL599" s="44"/>
      <c r="AM599" s="44"/>
      <c r="AN599" s="44"/>
    </row>
    <row r="600" spans="1:40" x14ac:dyDescent="0.3">
      <c r="C600" s="44"/>
      <c r="D600" s="44"/>
      <c r="E600" s="44"/>
      <c r="F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T600" s="44"/>
      <c r="U600" s="44"/>
      <c r="V600" s="44"/>
      <c r="Y600" s="44"/>
      <c r="Z600" s="44"/>
      <c r="AA600" s="44"/>
      <c r="AB600" s="44"/>
      <c r="AC600" s="44"/>
      <c r="AD600" s="44"/>
      <c r="AE600" s="44"/>
      <c r="AF600" s="44"/>
      <c r="AG600" s="168"/>
      <c r="AH600" s="44"/>
      <c r="AI600" s="44"/>
      <c r="AJ600" s="44"/>
      <c r="AK600" s="168"/>
      <c r="AL600" s="44"/>
      <c r="AM600" s="44"/>
      <c r="AN600" s="44"/>
    </row>
    <row r="601" spans="1:40" x14ac:dyDescent="0.3">
      <c r="A601" s="135"/>
      <c r="B601" s="135"/>
      <c r="C601" s="135"/>
      <c r="D601" s="135"/>
      <c r="E601" s="135"/>
      <c r="F601" s="135"/>
      <c r="G601" s="135"/>
      <c r="H601" s="135"/>
      <c r="I601" s="135"/>
      <c r="J601" s="135"/>
      <c r="K601" s="135"/>
      <c r="L601" s="135"/>
      <c r="M601" s="135"/>
      <c r="N601" s="135"/>
      <c r="O601" s="135"/>
      <c r="P601" s="135"/>
      <c r="Q601" s="135"/>
      <c r="R601" s="135"/>
      <c r="T601" s="135"/>
      <c r="U601" s="135"/>
      <c r="V601" s="135"/>
      <c r="W601" s="135"/>
      <c r="X601" s="135"/>
      <c r="Y601" s="135"/>
      <c r="Z601" s="135"/>
      <c r="AA601" s="135"/>
      <c r="AB601" s="135"/>
      <c r="AC601" s="135"/>
      <c r="AD601" s="135"/>
      <c r="AE601" s="135"/>
      <c r="AF601" s="135"/>
      <c r="AG601" s="207"/>
      <c r="AH601" s="135"/>
      <c r="AI601" s="135"/>
      <c r="AJ601" s="135"/>
      <c r="AK601" s="207"/>
      <c r="AL601" s="135"/>
      <c r="AM601" s="135"/>
      <c r="AN601" s="135"/>
    </row>
    <row r="602" spans="1:40" x14ac:dyDescent="0.3"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Y602" s="44"/>
      <c r="Z602" s="44"/>
      <c r="AA602" s="44"/>
      <c r="AB602" s="44"/>
      <c r="AC602" s="44"/>
      <c r="AD602" s="44"/>
      <c r="AE602" s="44"/>
      <c r="AF602" s="44"/>
      <c r="AG602" s="168"/>
      <c r="AH602" s="44"/>
      <c r="AI602" s="44"/>
      <c r="AJ602" s="44"/>
      <c r="AK602" s="168"/>
      <c r="AL602" s="44"/>
      <c r="AM602" s="44"/>
      <c r="AN602" s="44"/>
    </row>
    <row r="603" spans="1:40" x14ac:dyDescent="0.3">
      <c r="C603" s="42"/>
      <c r="D603" s="42"/>
      <c r="E603" s="42"/>
      <c r="T603" s="42"/>
      <c r="U603" s="42"/>
    </row>
    <row r="605" spans="1:40" x14ac:dyDescent="0.3">
      <c r="C605" s="42"/>
      <c r="D605" s="42"/>
      <c r="E605" s="42"/>
      <c r="T605" s="42"/>
      <c r="U605" s="42"/>
    </row>
    <row r="606" spans="1:40" x14ac:dyDescent="0.3">
      <c r="C606" s="42"/>
      <c r="T606" s="42"/>
    </row>
    <row r="607" spans="1:40" x14ac:dyDescent="0.3">
      <c r="C607" s="42"/>
      <c r="T607" s="42"/>
    </row>
    <row r="608" spans="1:40" x14ac:dyDescent="0.3">
      <c r="C608" s="42"/>
      <c r="F608" s="184"/>
      <c r="H608" s="184"/>
      <c r="I608" s="184"/>
      <c r="J608" s="238"/>
      <c r="K608" s="238"/>
      <c r="L608" s="123"/>
      <c r="M608" s="123"/>
      <c r="N608" s="160"/>
      <c r="O608" s="160"/>
      <c r="P608" s="123"/>
      <c r="Q608" s="123"/>
      <c r="R608" s="123"/>
      <c r="T608" s="42"/>
      <c r="V608" s="123"/>
      <c r="W608" s="123"/>
      <c r="X608" s="123"/>
      <c r="Y608" s="123"/>
      <c r="Z608" s="238"/>
      <c r="AA608" s="123"/>
      <c r="AB608" s="123"/>
      <c r="AC608" s="160"/>
      <c r="AD608" s="160"/>
      <c r="AE608" s="123"/>
      <c r="AF608" s="123"/>
      <c r="AH608" s="236"/>
      <c r="AI608" s="123"/>
      <c r="AJ608" s="123"/>
      <c r="AL608" s="123"/>
      <c r="AM608" s="160"/>
      <c r="AN608" s="160"/>
    </row>
    <row r="609" spans="3:40" x14ac:dyDescent="0.3">
      <c r="C609" s="42"/>
      <c r="J609" s="188"/>
      <c r="K609" s="188"/>
      <c r="T609" s="42"/>
      <c r="V609" s="123"/>
      <c r="W609" s="123"/>
      <c r="X609" s="123"/>
      <c r="Y609" s="123"/>
      <c r="Z609" s="238"/>
    </row>
    <row r="610" spans="3:40" x14ac:dyDescent="0.3">
      <c r="C610" s="42"/>
      <c r="F610" s="184"/>
      <c r="H610" s="184"/>
      <c r="I610" s="184"/>
      <c r="J610" s="238"/>
      <c r="K610" s="238"/>
      <c r="L610" s="123"/>
      <c r="M610" s="123"/>
      <c r="N610" s="160"/>
      <c r="O610" s="160"/>
      <c r="P610" s="123"/>
      <c r="Q610" s="123"/>
      <c r="R610" s="123"/>
      <c r="T610" s="42"/>
      <c r="V610" s="123"/>
      <c r="W610" s="123"/>
      <c r="X610" s="123"/>
      <c r="Y610" s="123"/>
      <c r="Z610" s="238"/>
      <c r="AA610" s="123"/>
      <c r="AB610" s="123"/>
      <c r="AC610" s="160"/>
      <c r="AD610" s="160"/>
      <c r="AE610" s="123"/>
      <c r="AF610" s="123"/>
      <c r="AH610" s="236"/>
      <c r="AI610" s="123"/>
      <c r="AJ610" s="123"/>
      <c r="AL610" s="123"/>
      <c r="AM610" s="160"/>
      <c r="AN610" s="160"/>
    </row>
    <row r="611" spans="3:40" x14ac:dyDescent="0.3">
      <c r="C611" s="42"/>
      <c r="J611" s="188"/>
      <c r="K611" s="188"/>
      <c r="T611" s="42"/>
      <c r="V611" s="123"/>
      <c r="W611" s="123"/>
      <c r="X611" s="123"/>
      <c r="Y611" s="123"/>
      <c r="Z611" s="238"/>
    </row>
    <row r="612" spans="3:40" x14ac:dyDescent="0.3">
      <c r="C612" s="42"/>
      <c r="F612" s="184"/>
      <c r="H612" s="184"/>
      <c r="I612" s="184"/>
      <c r="J612" s="238"/>
      <c r="K612" s="238"/>
      <c r="L612" s="123"/>
      <c r="M612" s="123"/>
      <c r="N612" s="160"/>
      <c r="O612" s="160"/>
      <c r="P612" s="123"/>
      <c r="Q612" s="123"/>
      <c r="R612" s="123"/>
      <c r="T612" s="42"/>
      <c r="V612" s="123"/>
      <c r="W612" s="123"/>
      <c r="X612" s="123"/>
      <c r="Y612" s="123"/>
      <c r="Z612" s="238"/>
      <c r="AA612" s="123"/>
      <c r="AB612" s="123"/>
      <c r="AC612" s="160"/>
      <c r="AD612" s="160"/>
      <c r="AE612" s="123"/>
      <c r="AF612" s="123"/>
      <c r="AH612" s="236"/>
      <c r="AI612" s="123"/>
      <c r="AJ612" s="123"/>
      <c r="AL612" s="123"/>
      <c r="AM612" s="160"/>
      <c r="AN612" s="160"/>
    </row>
    <row r="613" spans="3:40" x14ac:dyDescent="0.3">
      <c r="C613" s="42"/>
      <c r="J613" s="188"/>
      <c r="K613" s="188"/>
      <c r="T613" s="42"/>
      <c r="V613" s="123"/>
      <c r="W613" s="123"/>
      <c r="X613" s="123"/>
      <c r="Y613" s="123"/>
      <c r="Z613" s="238"/>
    </row>
    <row r="614" spans="3:40" x14ac:dyDescent="0.3">
      <c r="C614" s="42"/>
      <c r="F614" s="184"/>
      <c r="H614" s="184"/>
      <c r="I614" s="184"/>
      <c r="J614" s="238"/>
      <c r="K614" s="238"/>
      <c r="L614" s="123"/>
      <c r="M614" s="123"/>
      <c r="N614" s="160"/>
      <c r="O614" s="160"/>
      <c r="P614" s="123"/>
      <c r="Q614" s="123"/>
      <c r="R614" s="123"/>
      <c r="T614" s="42"/>
      <c r="V614" s="123"/>
      <c r="W614" s="123"/>
      <c r="X614" s="123"/>
      <c r="Y614" s="123"/>
      <c r="Z614" s="238"/>
      <c r="AA614" s="123"/>
      <c r="AB614" s="123"/>
      <c r="AC614" s="160"/>
      <c r="AD614" s="160"/>
      <c r="AE614" s="123"/>
      <c r="AF614" s="123"/>
      <c r="AH614" s="236"/>
      <c r="AI614" s="123"/>
      <c r="AJ614" s="123"/>
      <c r="AL614" s="123"/>
      <c r="AM614" s="160"/>
      <c r="AN614" s="160"/>
    </row>
    <row r="615" spans="3:40" x14ac:dyDescent="0.3">
      <c r="C615" s="42"/>
      <c r="J615" s="188"/>
      <c r="K615" s="188"/>
      <c r="T615" s="42"/>
      <c r="V615" s="123"/>
      <c r="W615" s="123"/>
      <c r="X615" s="123"/>
      <c r="Y615" s="123"/>
      <c r="Z615" s="238"/>
    </row>
    <row r="616" spans="3:40" x14ac:dyDescent="0.3">
      <c r="C616" s="42"/>
      <c r="F616" s="184"/>
      <c r="H616" s="184"/>
      <c r="I616" s="184"/>
      <c r="J616" s="238"/>
      <c r="K616" s="238"/>
      <c r="L616" s="123"/>
      <c r="M616" s="123"/>
      <c r="N616" s="160"/>
      <c r="O616" s="160"/>
      <c r="P616" s="123"/>
      <c r="Q616" s="123"/>
      <c r="R616" s="123"/>
      <c r="T616" s="42"/>
      <c r="V616" s="123"/>
      <c r="W616" s="123"/>
      <c r="X616" s="123"/>
      <c r="Y616" s="123"/>
      <c r="Z616" s="238"/>
      <c r="AA616" s="123"/>
      <c r="AB616" s="123"/>
      <c r="AC616" s="160"/>
      <c r="AD616" s="160"/>
      <c r="AE616" s="123"/>
      <c r="AF616" s="123"/>
      <c r="AH616" s="236"/>
      <c r="AI616" s="123"/>
      <c r="AJ616" s="123"/>
      <c r="AL616" s="123"/>
      <c r="AM616" s="160"/>
      <c r="AN616" s="160"/>
    </row>
    <row r="617" spans="3:40" x14ac:dyDescent="0.3">
      <c r="C617" s="42"/>
      <c r="J617" s="188"/>
      <c r="K617" s="188"/>
      <c r="T617" s="42"/>
      <c r="V617" s="123"/>
      <c r="W617" s="123"/>
      <c r="X617" s="123"/>
      <c r="Y617" s="123"/>
      <c r="Z617" s="238"/>
    </row>
    <row r="618" spans="3:40" x14ac:dyDescent="0.3">
      <c r="C618" s="42"/>
      <c r="F618" s="184"/>
      <c r="H618" s="184"/>
      <c r="I618" s="184"/>
      <c r="J618" s="238"/>
      <c r="K618" s="238"/>
      <c r="L618" s="123"/>
      <c r="M618" s="123"/>
      <c r="N618" s="160"/>
      <c r="O618" s="160"/>
      <c r="P618" s="123"/>
      <c r="Q618" s="123"/>
      <c r="R618" s="123"/>
      <c r="T618" s="42"/>
      <c r="V618" s="123"/>
      <c r="W618" s="123"/>
      <c r="X618" s="123"/>
      <c r="Y618" s="123"/>
      <c r="Z618" s="238"/>
      <c r="AA618" s="123"/>
      <c r="AB618" s="123"/>
      <c r="AC618" s="160"/>
      <c r="AD618" s="160"/>
      <c r="AE618" s="123"/>
      <c r="AF618" s="123"/>
      <c r="AH618" s="236"/>
      <c r="AI618" s="123"/>
      <c r="AJ618" s="123"/>
      <c r="AL618" s="123"/>
      <c r="AM618" s="160"/>
      <c r="AN618" s="160"/>
    </row>
    <row r="619" spans="3:40" x14ac:dyDescent="0.3">
      <c r="F619" s="210"/>
      <c r="H619" s="210"/>
      <c r="I619" s="210"/>
      <c r="J619" s="238"/>
      <c r="K619" s="238"/>
      <c r="L619" s="210"/>
      <c r="M619" s="210"/>
      <c r="N619" s="210"/>
      <c r="O619" s="210"/>
      <c r="P619" s="210"/>
      <c r="Q619" s="210"/>
      <c r="R619" s="210"/>
      <c r="V619" s="210"/>
      <c r="Y619" s="210"/>
      <c r="Z619" s="238"/>
      <c r="AA619" s="210"/>
      <c r="AB619" s="210"/>
      <c r="AC619" s="210"/>
      <c r="AD619" s="210"/>
      <c r="AE619" s="210"/>
      <c r="AF619" s="210"/>
      <c r="AI619" s="210"/>
      <c r="AJ619" s="210"/>
      <c r="AK619" s="214"/>
      <c r="AL619" s="210"/>
      <c r="AM619" s="160"/>
      <c r="AN619" s="160"/>
    </row>
    <row r="620" spans="3:40" x14ac:dyDescent="0.3">
      <c r="C620" s="42"/>
      <c r="F620" s="123"/>
      <c r="H620" s="123"/>
      <c r="I620" s="123"/>
      <c r="J620" s="188"/>
      <c r="K620" s="188"/>
      <c r="L620" s="123"/>
      <c r="M620" s="123"/>
      <c r="N620" s="160"/>
      <c r="O620" s="160"/>
      <c r="P620" s="184"/>
      <c r="Q620" s="184"/>
      <c r="R620" s="123"/>
      <c r="T620" s="42"/>
      <c r="V620" s="123"/>
      <c r="W620" s="123"/>
      <c r="X620" s="123"/>
      <c r="Y620" s="123"/>
      <c r="Z620" s="238"/>
      <c r="AA620" s="123"/>
      <c r="AB620" s="123"/>
      <c r="AC620" s="160"/>
      <c r="AD620" s="160"/>
      <c r="AE620" s="123"/>
      <c r="AF620" s="123"/>
      <c r="AH620" s="236"/>
      <c r="AI620" s="184"/>
      <c r="AJ620" s="184"/>
      <c r="AL620" s="123"/>
      <c r="AM620" s="160"/>
      <c r="AN620" s="160"/>
    </row>
    <row r="621" spans="3:40" x14ac:dyDescent="0.3">
      <c r="F621" s="210"/>
      <c r="H621" s="210"/>
      <c r="I621" s="210"/>
      <c r="J621" s="238"/>
      <c r="K621" s="238"/>
      <c r="L621" s="210"/>
      <c r="M621" s="210"/>
      <c r="N621" s="210"/>
      <c r="O621" s="210"/>
      <c r="P621" s="210"/>
      <c r="Q621" s="210"/>
      <c r="R621" s="210"/>
      <c r="V621" s="210"/>
      <c r="Y621" s="210"/>
      <c r="Z621" s="238"/>
      <c r="AA621" s="210"/>
      <c r="AB621" s="210"/>
      <c r="AC621" s="210"/>
      <c r="AD621" s="210"/>
      <c r="AE621" s="210"/>
      <c r="AF621" s="210"/>
      <c r="AI621" s="210"/>
      <c r="AJ621" s="210"/>
      <c r="AK621" s="214"/>
      <c r="AL621" s="210"/>
    </row>
    <row r="622" spans="3:40" x14ac:dyDescent="0.3">
      <c r="C622" s="42"/>
      <c r="D622" s="42"/>
      <c r="E622" s="42"/>
      <c r="J622" s="188"/>
      <c r="K622" s="188"/>
      <c r="T622" s="42"/>
      <c r="U622" s="42"/>
      <c r="V622" s="123"/>
      <c r="W622" s="123"/>
      <c r="X622" s="123"/>
      <c r="Y622" s="123"/>
      <c r="Z622" s="238"/>
    </row>
    <row r="623" spans="3:40" x14ac:dyDescent="0.3">
      <c r="C623" s="42"/>
      <c r="J623" s="188"/>
      <c r="K623" s="188"/>
      <c r="T623" s="42"/>
      <c r="V623" s="123"/>
      <c r="W623" s="123"/>
      <c r="X623" s="123"/>
      <c r="Y623" s="123"/>
      <c r="Z623" s="238"/>
    </row>
    <row r="624" spans="3:40" x14ac:dyDescent="0.3">
      <c r="C624" s="42"/>
      <c r="J624" s="188"/>
      <c r="K624" s="188"/>
      <c r="T624" s="42"/>
      <c r="V624" s="123"/>
      <c r="W624" s="123"/>
      <c r="X624" s="123"/>
      <c r="Y624" s="123"/>
      <c r="Z624" s="238"/>
    </row>
    <row r="625" spans="3:40" x14ac:dyDescent="0.3">
      <c r="C625" s="42"/>
      <c r="F625" s="184"/>
      <c r="H625" s="184"/>
      <c r="I625" s="184"/>
      <c r="J625" s="238"/>
      <c r="K625" s="238"/>
      <c r="L625" s="123"/>
      <c r="M625" s="123"/>
      <c r="N625" s="160"/>
      <c r="O625" s="160"/>
      <c r="P625" s="123"/>
      <c r="Q625" s="123"/>
      <c r="R625" s="123"/>
      <c r="T625" s="42"/>
      <c r="V625" s="123"/>
      <c r="W625" s="123"/>
      <c r="X625" s="123"/>
      <c r="Y625" s="123"/>
      <c r="Z625" s="238"/>
      <c r="AA625" s="123"/>
      <c r="AB625" s="123"/>
      <c r="AC625" s="160"/>
      <c r="AD625" s="160"/>
      <c r="AE625" s="123"/>
      <c r="AF625" s="123"/>
      <c r="AH625" s="236"/>
      <c r="AI625" s="123"/>
      <c r="AJ625" s="123"/>
      <c r="AL625" s="123"/>
      <c r="AM625" s="160"/>
      <c r="AN625" s="160"/>
    </row>
    <row r="626" spans="3:40" x14ac:dyDescent="0.3">
      <c r="C626" s="42"/>
      <c r="J626" s="188"/>
      <c r="K626" s="188"/>
      <c r="T626" s="42"/>
      <c r="V626" s="123"/>
      <c r="W626" s="123"/>
      <c r="X626" s="123"/>
      <c r="Y626" s="123"/>
      <c r="Z626" s="238"/>
    </row>
    <row r="627" spans="3:40" x14ac:dyDescent="0.3">
      <c r="C627" s="42"/>
      <c r="F627" s="184"/>
      <c r="H627" s="184"/>
      <c r="I627" s="184"/>
      <c r="J627" s="238"/>
      <c r="K627" s="238"/>
      <c r="L627" s="123"/>
      <c r="M627" s="123"/>
      <c r="N627" s="160"/>
      <c r="O627" s="160"/>
      <c r="P627" s="123"/>
      <c r="Q627" s="123"/>
      <c r="R627" s="123"/>
      <c r="T627" s="42"/>
      <c r="V627" s="123"/>
      <c r="W627" s="123"/>
      <c r="X627" s="123"/>
      <c r="Y627" s="123"/>
      <c r="Z627" s="238"/>
      <c r="AA627" s="123"/>
      <c r="AB627" s="123"/>
      <c r="AC627" s="160"/>
      <c r="AD627" s="160"/>
      <c r="AE627" s="123"/>
      <c r="AF627" s="123"/>
      <c r="AH627" s="236"/>
      <c r="AI627" s="123"/>
      <c r="AJ627" s="123"/>
      <c r="AL627" s="123"/>
      <c r="AM627" s="160"/>
      <c r="AN627" s="160"/>
    </row>
    <row r="628" spans="3:40" x14ac:dyDescent="0.3">
      <c r="F628" s="210"/>
      <c r="H628" s="210"/>
      <c r="I628" s="210"/>
      <c r="J628" s="238"/>
      <c r="K628" s="238"/>
      <c r="L628" s="210"/>
      <c r="M628" s="210"/>
      <c r="N628" s="210"/>
      <c r="O628" s="210"/>
      <c r="P628" s="210"/>
      <c r="Q628" s="210"/>
      <c r="R628" s="210"/>
      <c r="V628" s="210"/>
      <c r="Y628" s="210"/>
      <c r="Z628" s="213"/>
      <c r="AA628" s="210"/>
      <c r="AB628" s="210"/>
      <c r="AC628" s="210"/>
      <c r="AD628" s="210"/>
      <c r="AE628" s="210"/>
      <c r="AF628" s="210"/>
      <c r="AI628" s="210"/>
      <c r="AJ628" s="210"/>
      <c r="AK628" s="214"/>
      <c r="AL628" s="210"/>
    </row>
    <row r="629" spans="3:40" x14ac:dyDescent="0.3">
      <c r="C629" s="42"/>
      <c r="F629" s="123"/>
      <c r="H629" s="123"/>
      <c r="I629" s="123"/>
      <c r="L629" s="123"/>
      <c r="M629" s="123"/>
      <c r="N629" s="160"/>
      <c r="O629" s="160"/>
      <c r="P629" s="184"/>
      <c r="Q629" s="184"/>
      <c r="R629" s="123"/>
      <c r="T629" s="42"/>
      <c r="V629" s="123"/>
      <c r="W629" s="123"/>
      <c r="X629" s="123"/>
      <c r="Y629" s="123"/>
      <c r="Z629" s="237"/>
      <c r="AA629" s="123"/>
      <c r="AB629" s="123"/>
      <c r="AC629" s="160"/>
      <c r="AD629" s="160"/>
      <c r="AE629" s="123"/>
      <c r="AF629" s="123"/>
      <c r="AH629" s="236"/>
      <c r="AI629" s="184"/>
      <c r="AJ629" s="184"/>
      <c r="AL629" s="123"/>
      <c r="AM629" s="160"/>
      <c r="AN629" s="160"/>
    </row>
    <row r="630" spans="3:40" x14ac:dyDescent="0.3">
      <c r="F630" s="210"/>
      <c r="H630" s="210"/>
      <c r="I630" s="210"/>
      <c r="J630" s="213"/>
      <c r="K630" s="213"/>
      <c r="L630" s="210"/>
      <c r="M630" s="210"/>
      <c r="N630" s="210"/>
      <c r="O630" s="210"/>
      <c r="P630" s="210"/>
      <c r="Q630" s="210"/>
      <c r="R630" s="210"/>
      <c r="V630" s="210"/>
      <c r="Y630" s="210"/>
      <c r="Z630" s="213"/>
      <c r="AA630" s="210"/>
      <c r="AB630" s="210"/>
      <c r="AC630" s="210"/>
      <c r="AD630" s="210"/>
      <c r="AE630" s="210"/>
      <c r="AF630" s="210"/>
      <c r="AI630" s="210"/>
      <c r="AJ630" s="210"/>
      <c r="AK630" s="214"/>
      <c r="AL630" s="210"/>
    </row>
    <row r="631" spans="3:40" x14ac:dyDescent="0.3">
      <c r="C631" s="42"/>
      <c r="D631" s="42"/>
      <c r="E631" s="42"/>
      <c r="T631" s="42"/>
      <c r="U631" s="42"/>
      <c r="V631" s="123"/>
      <c r="W631" s="123"/>
      <c r="X631" s="123"/>
      <c r="Y631" s="123"/>
      <c r="Z631" s="237"/>
    </row>
    <row r="632" spans="3:40" x14ac:dyDescent="0.3">
      <c r="C632" s="42"/>
      <c r="T632" s="42"/>
      <c r="V632" s="123"/>
      <c r="W632" s="123"/>
      <c r="X632" s="123"/>
      <c r="Y632" s="123"/>
      <c r="Z632" s="237"/>
    </row>
    <row r="633" spans="3:40" x14ac:dyDescent="0.3">
      <c r="C633" s="42"/>
      <c r="F633" s="184"/>
      <c r="H633" s="184"/>
      <c r="I633" s="184"/>
      <c r="J633" s="237"/>
      <c r="K633" s="237"/>
      <c r="L633" s="123"/>
      <c r="M633" s="123"/>
      <c r="N633" s="160"/>
      <c r="O633" s="160"/>
      <c r="P633" s="123"/>
      <c r="Q633" s="123"/>
      <c r="R633" s="123"/>
      <c r="T633" s="42"/>
      <c r="V633" s="123"/>
      <c r="W633" s="123"/>
      <c r="X633" s="123"/>
      <c r="Y633" s="123"/>
      <c r="Z633" s="237"/>
      <c r="AA633" s="123"/>
      <c r="AB633" s="123"/>
      <c r="AC633" s="160"/>
      <c r="AD633" s="160"/>
      <c r="AE633" s="123"/>
      <c r="AF633" s="123"/>
      <c r="AH633" s="236"/>
      <c r="AI633" s="123"/>
      <c r="AJ633" s="123"/>
      <c r="AL633" s="123"/>
      <c r="AM633" s="160"/>
      <c r="AN633" s="160"/>
    </row>
    <row r="634" spans="3:40" x14ac:dyDescent="0.3">
      <c r="C634" s="42"/>
      <c r="T634" s="42"/>
      <c r="V634" s="123"/>
      <c r="W634" s="123"/>
      <c r="X634" s="123"/>
      <c r="Y634" s="123"/>
      <c r="Z634" s="237"/>
    </row>
    <row r="635" spans="3:40" x14ac:dyDescent="0.3">
      <c r="C635" s="42"/>
      <c r="F635" s="184"/>
      <c r="H635" s="184"/>
      <c r="I635" s="184"/>
      <c r="J635" s="237"/>
      <c r="K635" s="237"/>
      <c r="L635" s="123"/>
      <c r="M635" s="123"/>
      <c r="N635" s="160"/>
      <c r="O635" s="160"/>
      <c r="P635" s="123"/>
      <c r="Q635" s="123"/>
      <c r="R635" s="123"/>
      <c r="T635" s="42"/>
      <c r="V635" s="123"/>
      <c r="W635" s="123"/>
      <c r="X635" s="123"/>
      <c r="Y635" s="123"/>
      <c r="Z635" s="237"/>
      <c r="AA635" s="123"/>
      <c r="AB635" s="123"/>
      <c r="AC635" s="160"/>
      <c r="AD635" s="160"/>
      <c r="AE635" s="123"/>
      <c r="AF635" s="123"/>
      <c r="AH635" s="236"/>
      <c r="AI635" s="123"/>
      <c r="AJ635" s="123"/>
      <c r="AL635" s="123"/>
      <c r="AM635" s="160"/>
      <c r="AN635" s="160"/>
    </row>
    <row r="636" spans="3:40" x14ac:dyDescent="0.3">
      <c r="C636" s="42"/>
      <c r="T636" s="42"/>
      <c r="V636" s="123"/>
      <c r="W636" s="123"/>
      <c r="X636" s="123"/>
      <c r="Y636" s="123"/>
      <c r="Z636" s="237"/>
    </row>
    <row r="637" spans="3:40" x14ac:dyDescent="0.3">
      <c r="C637" s="42"/>
      <c r="F637" s="184"/>
      <c r="H637" s="184"/>
      <c r="I637" s="184"/>
      <c r="J637" s="237"/>
      <c r="K637" s="237"/>
      <c r="L637" s="123"/>
      <c r="M637" s="123"/>
      <c r="N637" s="160"/>
      <c r="O637" s="160"/>
      <c r="P637" s="123"/>
      <c r="Q637" s="123"/>
      <c r="R637" s="123"/>
      <c r="T637" s="42"/>
      <c r="V637" s="123"/>
      <c r="W637" s="123"/>
      <c r="X637" s="123"/>
      <c r="Y637" s="123"/>
      <c r="Z637" s="237"/>
      <c r="AA637" s="123"/>
      <c r="AB637" s="123"/>
      <c r="AC637" s="160"/>
      <c r="AD637" s="160"/>
      <c r="AE637" s="123"/>
      <c r="AF637" s="123"/>
      <c r="AH637" s="236"/>
      <c r="AI637" s="123"/>
      <c r="AJ637" s="123"/>
      <c r="AL637" s="123"/>
      <c r="AM637" s="160"/>
      <c r="AN637" s="160"/>
    </row>
    <row r="638" spans="3:40" x14ac:dyDescent="0.3">
      <c r="C638" s="42"/>
      <c r="T638" s="42"/>
      <c r="V638" s="123"/>
      <c r="W638" s="123"/>
      <c r="X638" s="123"/>
      <c r="Y638" s="123"/>
      <c r="Z638" s="237"/>
    </row>
    <row r="639" spans="3:40" x14ac:dyDescent="0.3">
      <c r="C639" s="42"/>
      <c r="F639" s="184"/>
      <c r="H639" s="184"/>
      <c r="I639" s="184"/>
      <c r="J639" s="237"/>
      <c r="K639" s="237"/>
      <c r="L639" s="123"/>
      <c r="M639" s="123"/>
      <c r="N639" s="160"/>
      <c r="O639" s="160"/>
      <c r="P639" s="123"/>
      <c r="Q639" s="123"/>
      <c r="R639" s="123"/>
      <c r="T639" s="42"/>
      <c r="V639" s="123"/>
      <c r="W639" s="123"/>
      <c r="X639" s="123"/>
      <c r="Y639" s="123"/>
      <c r="Z639" s="237"/>
      <c r="AA639" s="123"/>
      <c r="AB639" s="123"/>
      <c r="AC639" s="160"/>
      <c r="AD639" s="160"/>
      <c r="AE639" s="123"/>
      <c r="AF639" s="123"/>
      <c r="AH639" s="236"/>
      <c r="AI639" s="123"/>
      <c r="AJ639" s="123"/>
      <c r="AL639" s="123"/>
      <c r="AM639" s="160"/>
      <c r="AN639" s="160"/>
    </row>
    <row r="640" spans="3:40" x14ac:dyDescent="0.3">
      <c r="F640" s="210"/>
      <c r="H640" s="210"/>
      <c r="I640" s="210"/>
      <c r="J640" s="213"/>
      <c r="K640" s="213"/>
      <c r="L640" s="210"/>
      <c r="M640" s="210"/>
      <c r="N640" s="210"/>
      <c r="O640" s="210"/>
      <c r="P640" s="210"/>
      <c r="Q640" s="210"/>
      <c r="R640" s="210"/>
      <c r="V640" s="210"/>
      <c r="Y640" s="210"/>
      <c r="Z640" s="213"/>
      <c r="AA640" s="210"/>
      <c r="AB640" s="210"/>
      <c r="AC640" s="210"/>
      <c r="AD640" s="210"/>
      <c r="AE640" s="210"/>
      <c r="AF640" s="210"/>
      <c r="AI640" s="210"/>
      <c r="AJ640" s="210"/>
      <c r="AK640" s="214"/>
      <c r="AL640" s="210"/>
    </row>
    <row r="641" spans="1:40" x14ac:dyDescent="0.3">
      <c r="C641" s="42"/>
      <c r="F641" s="123"/>
      <c r="H641" s="123"/>
      <c r="I641" s="123"/>
      <c r="L641" s="123"/>
      <c r="M641" s="123"/>
      <c r="N641" s="160"/>
      <c r="O641" s="160"/>
      <c r="P641" s="184"/>
      <c r="Q641" s="184"/>
      <c r="R641" s="123"/>
      <c r="T641" s="42"/>
      <c r="V641" s="123"/>
      <c r="W641" s="123"/>
      <c r="X641" s="123"/>
      <c r="Y641" s="123"/>
      <c r="Z641" s="237"/>
      <c r="AA641" s="123"/>
      <c r="AB641" s="123"/>
      <c r="AC641" s="160"/>
      <c r="AD641" s="160"/>
      <c r="AE641" s="123"/>
      <c r="AF641" s="123"/>
      <c r="AH641" s="236"/>
      <c r="AI641" s="184"/>
      <c r="AJ641" s="184"/>
      <c r="AL641" s="123"/>
      <c r="AM641" s="160"/>
      <c r="AN641" s="160"/>
    </row>
    <row r="642" spans="1:40" x14ac:dyDescent="0.3">
      <c r="F642" s="210"/>
      <c r="H642" s="210"/>
      <c r="I642" s="210"/>
      <c r="J642" s="213"/>
      <c r="K642" s="213"/>
      <c r="L642" s="210"/>
      <c r="M642" s="210"/>
      <c r="N642" s="210"/>
      <c r="O642" s="210"/>
      <c r="P642" s="210"/>
      <c r="Q642" s="210"/>
      <c r="R642" s="210"/>
      <c r="V642" s="210"/>
      <c r="Y642" s="210"/>
      <c r="Z642" s="213"/>
      <c r="AA642" s="210"/>
      <c r="AB642" s="210"/>
      <c r="AC642" s="210"/>
      <c r="AD642" s="210"/>
      <c r="AE642" s="210"/>
      <c r="AF642" s="210"/>
      <c r="AI642" s="210"/>
      <c r="AJ642" s="210"/>
      <c r="AK642" s="214"/>
      <c r="AL642" s="210"/>
    </row>
    <row r="643" spans="1:40" x14ac:dyDescent="0.3">
      <c r="C643" s="42"/>
      <c r="F643" s="123"/>
      <c r="H643" s="123"/>
      <c r="I643" s="123"/>
      <c r="L643" s="123"/>
      <c r="M643" s="123"/>
      <c r="N643" s="160"/>
      <c r="O643" s="160"/>
      <c r="P643" s="123"/>
      <c r="Q643" s="123"/>
      <c r="R643" s="123"/>
      <c r="T643" s="42"/>
      <c r="V643" s="123"/>
      <c r="W643" s="123"/>
      <c r="X643" s="123"/>
      <c r="Y643" s="123"/>
      <c r="AA643" s="123"/>
      <c r="AB643" s="123"/>
      <c r="AC643" s="160"/>
      <c r="AD643" s="160"/>
      <c r="AE643" s="123"/>
      <c r="AF643" s="123"/>
      <c r="AH643" s="236"/>
      <c r="AI643" s="123"/>
      <c r="AJ643" s="123"/>
      <c r="AL643" s="123"/>
      <c r="AM643" s="236"/>
      <c r="AN643" s="236"/>
    </row>
    <row r="644" spans="1:40" x14ac:dyDescent="0.3">
      <c r="F644" s="210"/>
      <c r="H644" s="210"/>
      <c r="I644" s="210"/>
      <c r="J644" s="213"/>
      <c r="K644" s="213"/>
      <c r="L644" s="210"/>
      <c r="M644" s="210"/>
      <c r="N644" s="210"/>
      <c r="O644" s="210"/>
      <c r="P644" s="210"/>
      <c r="Q644" s="210"/>
      <c r="R644" s="210"/>
      <c r="V644" s="210"/>
      <c r="Y644" s="210"/>
      <c r="Z644" s="213"/>
      <c r="AA644" s="210"/>
      <c r="AB644" s="210"/>
      <c r="AC644" s="210"/>
      <c r="AD644" s="210"/>
      <c r="AE644" s="210"/>
      <c r="AF644" s="210"/>
      <c r="AI644" s="210"/>
      <c r="AJ644" s="210"/>
      <c r="AK644" s="214"/>
      <c r="AL644" s="210"/>
    </row>
    <row r="647" spans="1:40" x14ac:dyDescent="0.3">
      <c r="A647" s="42"/>
    </row>
    <row r="649" spans="1:40" x14ac:dyDescent="0.3">
      <c r="H649" s="42"/>
      <c r="I649" s="42"/>
      <c r="Y649" s="42"/>
    </row>
    <row r="651" spans="1:40" x14ac:dyDescent="0.3">
      <c r="L651" s="42"/>
      <c r="M651" s="42"/>
      <c r="AA651" s="42"/>
      <c r="AB651" s="42"/>
    </row>
    <row r="652" spans="1:40" x14ac:dyDescent="0.3">
      <c r="R652" s="42"/>
      <c r="AK652" s="206"/>
      <c r="AL652" s="42"/>
    </row>
    <row r="653" spans="1:40" x14ac:dyDescent="0.3">
      <c r="R653" s="42"/>
      <c r="AK653" s="206"/>
      <c r="AL653" s="42"/>
    </row>
    <row r="654" spans="1:40" x14ac:dyDescent="0.3">
      <c r="A654" s="42"/>
      <c r="R654" s="42"/>
      <c r="AK654" s="206"/>
      <c r="AL654" s="42"/>
    </row>
    <row r="655" spans="1:40" x14ac:dyDescent="0.3">
      <c r="L655" s="42"/>
      <c r="M655" s="42"/>
      <c r="AA655" s="42"/>
      <c r="AB655" s="42"/>
    </row>
    <row r="656" spans="1:40" x14ac:dyDescent="0.3">
      <c r="A656" s="135"/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207"/>
      <c r="AH656" s="135"/>
      <c r="AI656" s="135"/>
      <c r="AJ656" s="135"/>
      <c r="AK656" s="207"/>
      <c r="AL656" s="135"/>
      <c r="AM656" s="135"/>
      <c r="AN656" s="135"/>
    </row>
    <row r="657" spans="1:40" x14ac:dyDescent="0.3">
      <c r="L657" s="44"/>
      <c r="M657" s="44"/>
      <c r="N657" s="44"/>
      <c r="O657" s="44"/>
      <c r="R657" s="44"/>
      <c r="AA657" s="44"/>
      <c r="AB657" s="44"/>
      <c r="AC657" s="44"/>
      <c r="AD657" s="44"/>
      <c r="AE657" s="44"/>
      <c r="AF657" s="44"/>
      <c r="AG657" s="168"/>
      <c r="AH657" s="44"/>
      <c r="AK657" s="168"/>
      <c r="AL657" s="44"/>
      <c r="AM657" s="44"/>
      <c r="AN657" s="44"/>
    </row>
    <row r="658" spans="1:40" x14ac:dyDescent="0.3">
      <c r="L658" s="44"/>
      <c r="M658" s="44"/>
      <c r="N658" s="44"/>
      <c r="O658" s="44"/>
      <c r="R658" s="44"/>
      <c r="Z658" s="44"/>
      <c r="AA658" s="44"/>
      <c r="AB658" s="44"/>
      <c r="AC658" s="44"/>
      <c r="AD658" s="44"/>
      <c r="AE658" s="44"/>
      <c r="AF658" s="44"/>
      <c r="AG658" s="168"/>
      <c r="AH658" s="44"/>
      <c r="AK658" s="168"/>
      <c r="AL658" s="44"/>
      <c r="AM658" s="44"/>
      <c r="AN658" s="44"/>
    </row>
    <row r="659" spans="1:40" x14ac:dyDescent="0.3">
      <c r="A659" s="44"/>
      <c r="C659" s="44"/>
      <c r="D659" s="44"/>
      <c r="E659" s="44"/>
      <c r="F659" s="44"/>
      <c r="J659" s="44"/>
      <c r="K659" s="44"/>
      <c r="L659" s="44"/>
      <c r="M659" s="44"/>
      <c r="N659" s="44"/>
      <c r="O659" s="44"/>
      <c r="P659" s="44"/>
      <c r="Q659" s="44"/>
      <c r="R659" s="44"/>
      <c r="T659" s="44"/>
      <c r="U659" s="44"/>
      <c r="V659" s="44"/>
      <c r="Z659" s="44"/>
      <c r="AA659" s="44"/>
      <c r="AB659" s="44"/>
      <c r="AC659" s="44"/>
      <c r="AD659" s="44"/>
      <c r="AE659" s="44"/>
      <c r="AF659" s="44"/>
      <c r="AG659" s="168"/>
      <c r="AH659" s="44"/>
      <c r="AI659" s="44"/>
      <c r="AJ659" s="44"/>
      <c r="AK659" s="168"/>
      <c r="AL659" s="44"/>
      <c r="AM659" s="44"/>
      <c r="AN659" s="44"/>
    </row>
    <row r="660" spans="1:40" x14ac:dyDescent="0.3">
      <c r="A660" s="44"/>
      <c r="C660" s="44"/>
      <c r="D660" s="44"/>
      <c r="E660" s="44"/>
      <c r="F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T660" s="44"/>
      <c r="U660" s="44"/>
      <c r="V660" s="44"/>
      <c r="Y660" s="44"/>
      <c r="Z660" s="44"/>
      <c r="AA660" s="44"/>
      <c r="AB660" s="44"/>
      <c r="AC660" s="44"/>
      <c r="AD660" s="44"/>
      <c r="AE660" s="44"/>
      <c r="AF660" s="44"/>
      <c r="AG660" s="168"/>
      <c r="AH660" s="44"/>
      <c r="AI660" s="44"/>
      <c r="AJ660" s="44"/>
      <c r="AK660" s="168"/>
      <c r="AL660" s="44"/>
      <c r="AM660" s="44"/>
      <c r="AN660" s="44"/>
    </row>
    <row r="661" spans="1:40" x14ac:dyDescent="0.3">
      <c r="C661" s="44"/>
      <c r="D661" s="44"/>
      <c r="E661" s="44"/>
      <c r="F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T661" s="44"/>
      <c r="U661" s="44"/>
      <c r="V661" s="44"/>
      <c r="Y661" s="44"/>
      <c r="Z661" s="44"/>
      <c r="AA661" s="44"/>
      <c r="AB661" s="44"/>
      <c r="AC661" s="44"/>
      <c r="AD661" s="44"/>
      <c r="AE661" s="44"/>
      <c r="AF661" s="44"/>
      <c r="AG661" s="168"/>
      <c r="AH661" s="44"/>
      <c r="AI661" s="44"/>
      <c r="AJ661" s="44"/>
      <c r="AK661" s="168"/>
      <c r="AL661" s="44"/>
      <c r="AM661" s="44"/>
      <c r="AN661" s="44"/>
    </row>
    <row r="662" spans="1:40" x14ac:dyDescent="0.3">
      <c r="A662" s="135"/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207"/>
      <c r="AH662" s="135"/>
      <c r="AI662" s="135"/>
      <c r="AJ662" s="135"/>
      <c r="AK662" s="207"/>
      <c r="AL662" s="135"/>
      <c r="AM662" s="135"/>
      <c r="AN662" s="135"/>
    </row>
    <row r="663" spans="1:40" x14ac:dyDescent="0.3"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Y663" s="44"/>
      <c r="Z663" s="44"/>
      <c r="AA663" s="44"/>
      <c r="AB663" s="44"/>
      <c r="AC663" s="44"/>
      <c r="AD663" s="44"/>
      <c r="AE663" s="44"/>
      <c r="AF663" s="44"/>
      <c r="AG663" s="168"/>
      <c r="AH663" s="44"/>
      <c r="AI663" s="44"/>
      <c r="AJ663" s="44"/>
      <c r="AK663" s="168"/>
      <c r="AL663" s="44"/>
      <c r="AM663" s="44"/>
      <c r="AN663" s="44"/>
    </row>
    <row r="664" spans="1:40" x14ac:dyDescent="0.3">
      <c r="C664" s="42"/>
      <c r="D664" s="42"/>
      <c r="E664" s="42"/>
      <c r="F664" s="123"/>
      <c r="H664" s="123"/>
      <c r="I664" s="123"/>
      <c r="J664" s="219"/>
      <c r="K664" s="219"/>
      <c r="L664" s="123"/>
      <c r="M664" s="123"/>
      <c r="N664" s="219"/>
      <c r="O664" s="219"/>
      <c r="P664" s="123"/>
      <c r="Q664" s="123"/>
      <c r="R664" s="123"/>
      <c r="T664" s="42"/>
      <c r="U664" s="42"/>
      <c r="V664" s="123"/>
      <c r="Y664" s="123"/>
      <c r="Z664" s="219"/>
      <c r="AA664" s="123"/>
      <c r="AB664" s="123"/>
      <c r="AC664" s="219"/>
      <c r="AD664" s="219"/>
      <c r="AE664" s="123"/>
      <c r="AF664" s="123"/>
      <c r="AH664" s="236"/>
      <c r="AI664" s="123"/>
      <c r="AJ664" s="123"/>
      <c r="AL664" s="123"/>
      <c r="AM664" s="160"/>
      <c r="AN664" s="160"/>
    </row>
    <row r="665" spans="1:40" x14ac:dyDescent="0.3">
      <c r="F665" s="210"/>
      <c r="H665" s="210"/>
      <c r="I665" s="210"/>
      <c r="J665" s="213"/>
      <c r="K665" s="213"/>
      <c r="L665" s="210"/>
      <c r="M665" s="210"/>
      <c r="N665" s="210"/>
      <c r="O665" s="210"/>
      <c r="P665" s="210"/>
      <c r="Q665" s="210"/>
      <c r="R665" s="210"/>
      <c r="V665" s="210"/>
      <c r="Y665" s="210"/>
      <c r="Z665" s="213"/>
      <c r="AA665" s="210"/>
      <c r="AB665" s="210"/>
      <c r="AC665" s="210"/>
      <c r="AD665" s="210"/>
      <c r="AE665" s="210"/>
      <c r="AF665" s="210"/>
      <c r="AI665" s="210"/>
      <c r="AJ665" s="210"/>
      <c r="AK665" s="214"/>
      <c r="AL665" s="210"/>
      <c r="AM665" s="160"/>
      <c r="AN665" s="160"/>
    </row>
    <row r="666" spans="1:40" x14ac:dyDescent="0.3">
      <c r="C666" s="42"/>
      <c r="F666" s="123"/>
      <c r="H666" s="123"/>
      <c r="I666" s="123"/>
      <c r="J666" s="219"/>
      <c r="K666" s="219"/>
      <c r="L666" s="123"/>
      <c r="M666" s="123"/>
      <c r="N666" s="219"/>
      <c r="O666" s="219"/>
      <c r="P666" s="123"/>
      <c r="Q666" s="123"/>
      <c r="R666" s="123"/>
      <c r="T666" s="42"/>
      <c r="V666" s="123"/>
      <c r="Y666" s="123"/>
      <c r="Z666" s="219"/>
      <c r="AA666" s="123"/>
      <c r="AB666" s="123"/>
      <c r="AC666" s="219"/>
      <c r="AD666" s="219"/>
      <c r="AE666" s="123"/>
      <c r="AF666" s="123"/>
      <c r="AH666" s="236"/>
      <c r="AI666" s="123"/>
      <c r="AJ666" s="123"/>
      <c r="AL666" s="123"/>
      <c r="AM666" s="160"/>
      <c r="AN666" s="160"/>
    </row>
    <row r="667" spans="1:40" x14ac:dyDescent="0.3">
      <c r="F667" s="123"/>
      <c r="H667" s="123"/>
      <c r="I667" s="123"/>
      <c r="J667" s="219"/>
      <c r="K667" s="219"/>
      <c r="L667" s="123"/>
      <c r="M667" s="123"/>
      <c r="N667" s="219"/>
      <c r="O667" s="219"/>
      <c r="P667" s="123"/>
      <c r="Q667" s="123"/>
      <c r="R667" s="123"/>
      <c r="V667" s="123"/>
      <c r="Y667" s="123"/>
      <c r="Z667" s="219"/>
      <c r="AA667" s="123"/>
      <c r="AB667" s="123"/>
      <c r="AC667" s="219"/>
      <c r="AD667" s="219"/>
      <c r="AH667" s="236"/>
      <c r="AI667" s="123"/>
      <c r="AJ667" s="123"/>
      <c r="AL667" s="123"/>
      <c r="AM667" s="160"/>
      <c r="AN667" s="160"/>
    </row>
    <row r="668" spans="1:40" x14ac:dyDescent="0.3">
      <c r="C668" s="42"/>
      <c r="D668" s="42"/>
      <c r="E668" s="42"/>
      <c r="F668" s="123"/>
      <c r="H668" s="123"/>
      <c r="I668" s="123"/>
      <c r="J668" s="219"/>
      <c r="K668" s="219"/>
      <c r="L668" s="123"/>
      <c r="M668" s="123"/>
      <c r="N668" s="219"/>
      <c r="O668" s="219"/>
      <c r="P668" s="123"/>
      <c r="Q668" s="123"/>
      <c r="R668" s="123"/>
      <c r="T668" s="42"/>
      <c r="U668" s="42"/>
      <c r="V668" s="123"/>
      <c r="Y668" s="123"/>
      <c r="Z668" s="219"/>
      <c r="AA668" s="123"/>
      <c r="AB668" s="123"/>
      <c r="AC668" s="219"/>
      <c r="AD668" s="219"/>
      <c r="AE668" s="123"/>
      <c r="AF668" s="123"/>
      <c r="AH668" s="236"/>
      <c r="AI668" s="123"/>
      <c r="AJ668" s="123"/>
      <c r="AL668" s="123"/>
      <c r="AM668" s="160"/>
      <c r="AN668" s="160"/>
    </row>
    <row r="669" spans="1:40" x14ac:dyDescent="0.3">
      <c r="C669" s="42"/>
      <c r="D669" s="42"/>
      <c r="E669" s="42"/>
      <c r="F669" s="123"/>
      <c r="H669" s="123"/>
      <c r="I669" s="123"/>
      <c r="J669" s="219"/>
      <c r="K669" s="219"/>
      <c r="L669" s="123"/>
      <c r="M669" s="123"/>
      <c r="N669" s="219"/>
      <c r="O669" s="219"/>
      <c r="P669" s="123"/>
      <c r="Q669" s="123"/>
      <c r="R669" s="123"/>
      <c r="T669" s="42"/>
      <c r="U669" s="42"/>
      <c r="V669" s="123"/>
      <c r="Y669" s="123"/>
      <c r="Z669" s="219"/>
      <c r="AA669" s="123"/>
      <c r="AB669" s="123"/>
      <c r="AC669" s="219"/>
      <c r="AD669" s="219"/>
      <c r="AE669" s="123"/>
      <c r="AF669" s="123"/>
      <c r="AH669" s="236"/>
      <c r="AI669" s="123"/>
      <c r="AJ669" s="123"/>
      <c r="AL669" s="123"/>
      <c r="AM669" s="160"/>
      <c r="AN669" s="160"/>
    </row>
    <row r="670" spans="1:40" x14ac:dyDescent="0.3">
      <c r="C670" s="42"/>
      <c r="D670" s="42"/>
      <c r="E670" s="42"/>
      <c r="F670" s="123"/>
      <c r="H670" s="123"/>
      <c r="I670" s="123"/>
      <c r="J670" s="219"/>
      <c r="K670" s="219"/>
      <c r="L670" s="123"/>
      <c r="M670" s="123"/>
      <c r="N670" s="219"/>
      <c r="O670" s="219"/>
      <c r="P670" s="123"/>
      <c r="Q670" s="123"/>
      <c r="R670" s="123"/>
      <c r="T670" s="42"/>
      <c r="U670" s="42"/>
      <c r="V670" s="123"/>
      <c r="Y670" s="123"/>
      <c r="Z670" s="219"/>
      <c r="AA670" s="123"/>
      <c r="AB670" s="123"/>
      <c r="AC670" s="219"/>
      <c r="AD670" s="219"/>
      <c r="AE670" s="123"/>
      <c r="AF670" s="123"/>
      <c r="AH670" s="236"/>
      <c r="AI670" s="123"/>
      <c r="AJ670" s="123"/>
      <c r="AL670" s="123"/>
      <c r="AM670" s="160"/>
      <c r="AN670" s="160"/>
    </row>
    <row r="671" spans="1:40" x14ac:dyDescent="0.3">
      <c r="C671" s="42"/>
      <c r="D671" s="42"/>
      <c r="E671" s="42"/>
      <c r="F671" s="123"/>
      <c r="H671" s="123"/>
      <c r="I671" s="123"/>
      <c r="J671" s="219"/>
      <c r="K671" s="219"/>
      <c r="L671" s="123"/>
      <c r="M671" s="123"/>
      <c r="N671" s="219"/>
      <c r="O671" s="219"/>
      <c r="P671" s="123"/>
      <c r="Q671" s="123"/>
      <c r="R671" s="123"/>
      <c r="T671" s="42"/>
      <c r="U671" s="42"/>
      <c r="V671" s="123"/>
      <c r="Y671" s="123"/>
      <c r="Z671" s="219"/>
      <c r="AA671" s="123"/>
      <c r="AB671" s="123"/>
      <c r="AC671" s="219"/>
      <c r="AD671" s="219"/>
      <c r="AE671" s="123"/>
      <c r="AF671" s="123"/>
      <c r="AH671" s="236"/>
      <c r="AI671" s="123"/>
      <c r="AJ671" s="123"/>
      <c r="AL671" s="123"/>
      <c r="AM671" s="160"/>
      <c r="AN671" s="160"/>
    </row>
    <row r="672" spans="1:40" x14ac:dyDescent="0.3">
      <c r="C672" s="42"/>
      <c r="D672" s="42"/>
      <c r="E672" s="42"/>
      <c r="F672" s="123"/>
      <c r="H672" s="123"/>
      <c r="I672" s="123"/>
      <c r="J672" s="219"/>
      <c r="K672" s="219"/>
      <c r="L672" s="123"/>
      <c r="M672" s="123"/>
      <c r="N672" s="219"/>
      <c r="O672" s="219"/>
      <c r="P672" s="123"/>
      <c r="Q672" s="123"/>
      <c r="R672" s="123"/>
      <c r="T672" s="42"/>
      <c r="U672" s="42"/>
      <c r="V672" s="123"/>
      <c r="Y672" s="123"/>
      <c r="Z672" s="219"/>
      <c r="AA672" s="123"/>
      <c r="AB672" s="123"/>
      <c r="AC672" s="219"/>
      <c r="AD672" s="219"/>
      <c r="AE672" s="123"/>
      <c r="AF672" s="123"/>
      <c r="AH672" s="236"/>
      <c r="AI672" s="123"/>
      <c r="AJ672" s="123"/>
      <c r="AL672" s="123"/>
      <c r="AM672" s="160"/>
      <c r="AN672" s="160"/>
    </row>
    <row r="673" spans="3:40" x14ac:dyDescent="0.3">
      <c r="C673" s="42"/>
      <c r="D673" s="42"/>
      <c r="E673" s="42"/>
      <c r="F673" s="123"/>
      <c r="H673" s="123"/>
      <c r="I673" s="123"/>
      <c r="J673" s="219"/>
      <c r="K673" s="219"/>
      <c r="L673" s="123"/>
      <c r="M673" s="123"/>
      <c r="N673" s="219"/>
      <c r="O673" s="219"/>
      <c r="P673" s="123"/>
      <c r="Q673" s="123"/>
      <c r="R673" s="123"/>
      <c r="T673" s="42"/>
      <c r="U673" s="42"/>
      <c r="V673" s="123"/>
      <c r="Y673" s="123"/>
      <c r="Z673" s="219"/>
      <c r="AA673" s="123"/>
      <c r="AB673" s="123"/>
      <c r="AC673" s="219"/>
      <c r="AD673" s="219"/>
      <c r="AE673" s="123"/>
      <c r="AF673" s="123"/>
      <c r="AH673" s="236"/>
      <c r="AI673" s="123"/>
      <c r="AJ673" s="123"/>
      <c r="AL673" s="123"/>
      <c r="AM673" s="160"/>
      <c r="AN673" s="160"/>
    </row>
    <row r="674" spans="3:40" x14ac:dyDescent="0.3">
      <c r="F674" s="210"/>
      <c r="H674" s="210"/>
      <c r="I674" s="210"/>
      <c r="J674" s="213"/>
      <c r="K674" s="213"/>
      <c r="L674" s="210"/>
      <c r="M674" s="210"/>
      <c r="N674" s="210"/>
      <c r="O674" s="210"/>
      <c r="P674" s="210"/>
      <c r="Q674" s="210"/>
      <c r="R674" s="210"/>
      <c r="V674" s="210"/>
      <c r="Y674" s="210"/>
      <c r="Z674" s="213"/>
      <c r="AA674" s="210"/>
      <c r="AB674" s="210"/>
      <c r="AC674" s="210"/>
      <c r="AD674" s="210"/>
      <c r="AE674" s="210"/>
      <c r="AF674" s="210"/>
      <c r="AI674" s="210"/>
      <c r="AJ674" s="210"/>
      <c r="AK674" s="214"/>
      <c r="AL674" s="210"/>
      <c r="AM674" s="160"/>
      <c r="AN674" s="160"/>
    </row>
    <row r="675" spans="3:40" x14ac:dyDescent="0.3">
      <c r="C675" s="42"/>
      <c r="F675" s="123"/>
      <c r="H675" s="123"/>
      <c r="I675" s="123"/>
      <c r="J675" s="219"/>
      <c r="K675" s="219"/>
      <c r="L675" s="123"/>
      <c r="M675" s="123"/>
      <c r="N675" s="219"/>
      <c r="O675" s="219"/>
      <c r="P675" s="123"/>
      <c r="Q675" s="123"/>
      <c r="R675" s="123"/>
      <c r="T675" s="42"/>
      <c r="V675" s="123"/>
      <c r="Y675" s="123"/>
      <c r="Z675" s="219"/>
      <c r="AA675" s="123"/>
      <c r="AB675" s="123"/>
      <c r="AC675" s="219"/>
      <c r="AD675" s="219"/>
      <c r="AE675" s="123"/>
      <c r="AF675" s="123"/>
      <c r="AH675" s="236"/>
      <c r="AI675" s="123"/>
      <c r="AJ675" s="123"/>
      <c r="AL675" s="123"/>
      <c r="AM675" s="160"/>
      <c r="AN675" s="160"/>
    </row>
    <row r="676" spans="3:40" x14ac:dyDescent="0.3">
      <c r="F676" s="123"/>
      <c r="H676" s="123"/>
      <c r="I676" s="123"/>
      <c r="J676" s="219"/>
      <c r="K676" s="219"/>
      <c r="L676" s="123"/>
      <c r="M676" s="123"/>
      <c r="N676" s="219"/>
      <c r="O676" s="219"/>
      <c r="P676" s="123"/>
      <c r="Q676" s="123"/>
      <c r="R676" s="123"/>
      <c r="V676" s="123"/>
      <c r="Y676" s="123"/>
      <c r="Z676" s="219"/>
      <c r="AA676" s="123"/>
      <c r="AB676" s="123"/>
      <c r="AC676" s="219"/>
      <c r="AD676" s="219"/>
      <c r="AH676" s="236"/>
      <c r="AI676" s="123"/>
      <c r="AJ676" s="123"/>
      <c r="AL676" s="123"/>
      <c r="AM676" s="160"/>
      <c r="AN676" s="160"/>
    </row>
    <row r="677" spans="3:40" x14ac:dyDescent="0.3">
      <c r="C677" s="42"/>
      <c r="D677" s="42"/>
      <c r="E677" s="42"/>
      <c r="F677" s="123"/>
      <c r="H677" s="123"/>
      <c r="I677" s="123"/>
      <c r="J677" s="219"/>
      <c r="K677" s="219"/>
      <c r="L677" s="123"/>
      <c r="M677" s="123"/>
      <c r="N677" s="219"/>
      <c r="O677" s="219"/>
      <c r="P677" s="123"/>
      <c r="Q677" s="123"/>
      <c r="R677" s="123"/>
      <c r="T677" s="42"/>
      <c r="U677" s="42"/>
      <c r="V677" s="123"/>
      <c r="Y677" s="123"/>
      <c r="Z677" s="219"/>
      <c r="AA677" s="123"/>
      <c r="AB677" s="123"/>
      <c r="AC677" s="219"/>
      <c r="AD677" s="219"/>
      <c r="AE677" s="123"/>
      <c r="AF677" s="123"/>
      <c r="AH677" s="236"/>
      <c r="AI677" s="123"/>
      <c r="AJ677" s="123"/>
      <c r="AL677" s="123"/>
      <c r="AM677" s="160"/>
      <c r="AN677" s="160"/>
    </row>
    <row r="678" spans="3:40" x14ac:dyDescent="0.3">
      <c r="F678" s="210"/>
      <c r="H678" s="210"/>
      <c r="I678" s="210"/>
      <c r="J678" s="213"/>
      <c r="K678" s="213"/>
      <c r="L678" s="210"/>
      <c r="M678" s="210"/>
      <c r="N678" s="210"/>
      <c r="O678" s="210"/>
      <c r="P678" s="210"/>
      <c r="Q678" s="210"/>
      <c r="R678" s="210"/>
      <c r="V678" s="210"/>
      <c r="Y678" s="210"/>
      <c r="Z678" s="213"/>
      <c r="AA678" s="210"/>
      <c r="AB678" s="210"/>
      <c r="AC678" s="210"/>
      <c r="AD678" s="210"/>
      <c r="AE678" s="210"/>
      <c r="AF678" s="210"/>
      <c r="AI678" s="210"/>
      <c r="AJ678" s="210"/>
      <c r="AK678" s="214"/>
      <c r="AL678" s="210"/>
      <c r="AM678" s="160"/>
      <c r="AN678" s="160"/>
    </row>
    <row r="679" spans="3:40" x14ac:dyDescent="0.3">
      <c r="C679" s="42"/>
      <c r="F679" s="123"/>
      <c r="H679" s="123"/>
      <c r="I679" s="123"/>
      <c r="J679" s="219"/>
      <c r="K679" s="219"/>
      <c r="L679" s="123"/>
      <c r="M679" s="123"/>
      <c r="N679" s="219"/>
      <c r="O679" s="219"/>
      <c r="P679" s="123"/>
      <c r="Q679" s="123"/>
      <c r="R679" s="123"/>
      <c r="T679" s="42"/>
      <c r="V679" s="123"/>
      <c r="Y679" s="123"/>
      <c r="Z679" s="219"/>
      <c r="AA679" s="123"/>
      <c r="AB679" s="123"/>
      <c r="AC679" s="219"/>
      <c r="AD679" s="219"/>
      <c r="AE679" s="123"/>
      <c r="AF679" s="123"/>
      <c r="AH679" s="236"/>
      <c r="AI679" s="123"/>
      <c r="AJ679" s="123"/>
      <c r="AL679" s="123"/>
      <c r="AM679" s="160"/>
      <c r="AN679" s="160"/>
    </row>
    <row r="680" spans="3:40" x14ac:dyDescent="0.3">
      <c r="F680" s="123"/>
      <c r="H680" s="123"/>
      <c r="I680" s="123"/>
      <c r="J680" s="219"/>
      <c r="K680" s="219"/>
      <c r="L680" s="123"/>
      <c r="M680" s="123"/>
      <c r="N680" s="219"/>
      <c r="O680" s="219"/>
      <c r="P680" s="123"/>
      <c r="Q680" s="123"/>
      <c r="R680" s="123"/>
      <c r="V680" s="123"/>
      <c r="Y680" s="123"/>
      <c r="Z680" s="219"/>
      <c r="AA680" s="123"/>
      <c r="AB680" s="123"/>
      <c r="AC680" s="219"/>
      <c r="AD680" s="219"/>
      <c r="AH680" s="236"/>
      <c r="AI680" s="123"/>
      <c r="AJ680" s="123"/>
      <c r="AL680" s="123"/>
      <c r="AM680" s="160"/>
      <c r="AN680" s="160"/>
    </row>
    <row r="681" spans="3:40" x14ac:dyDescent="0.3">
      <c r="C681" s="42"/>
      <c r="D681" s="42"/>
      <c r="E681" s="42"/>
      <c r="F681" s="123"/>
      <c r="H681" s="123"/>
      <c r="I681" s="123"/>
      <c r="J681" s="219"/>
      <c r="K681" s="219"/>
      <c r="L681" s="123"/>
      <c r="M681" s="123"/>
      <c r="N681" s="219"/>
      <c r="O681" s="219"/>
      <c r="P681" s="123"/>
      <c r="Q681" s="123"/>
      <c r="R681" s="123"/>
      <c r="T681" s="42"/>
      <c r="U681" s="42"/>
      <c r="V681" s="123"/>
      <c r="Y681" s="123"/>
      <c r="Z681" s="219"/>
      <c r="AA681" s="123"/>
      <c r="AB681" s="123"/>
      <c r="AC681" s="219"/>
      <c r="AD681" s="219"/>
      <c r="AE681" s="123"/>
      <c r="AF681" s="123"/>
      <c r="AH681" s="236"/>
      <c r="AI681" s="123"/>
      <c r="AJ681" s="123"/>
      <c r="AL681" s="123"/>
      <c r="AM681" s="160"/>
      <c r="AN681" s="160"/>
    </row>
    <row r="682" spans="3:40" x14ac:dyDescent="0.3">
      <c r="C682" s="42"/>
      <c r="D682" s="42"/>
      <c r="E682" s="42"/>
      <c r="F682" s="123"/>
      <c r="G682" s="123"/>
      <c r="H682" s="123"/>
      <c r="I682" s="123"/>
      <c r="J682" s="219"/>
      <c r="K682" s="219"/>
      <c r="L682" s="123"/>
      <c r="M682" s="123"/>
      <c r="N682" s="219"/>
      <c r="O682" s="219"/>
      <c r="P682" s="123"/>
      <c r="Q682" s="123"/>
      <c r="R682" s="123"/>
      <c r="T682" s="42"/>
      <c r="U682" s="42"/>
      <c r="V682" s="123"/>
      <c r="W682" s="123"/>
      <c r="X682" s="123"/>
      <c r="Y682" s="123"/>
      <c r="Z682" s="219"/>
      <c r="AA682" s="123"/>
      <c r="AB682" s="123"/>
      <c r="AC682" s="219"/>
      <c r="AD682" s="219"/>
      <c r="AE682" s="123"/>
      <c r="AF682" s="123"/>
      <c r="AH682" s="236"/>
      <c r="AI682" s="123"/>
      <c r="AJ682" s="123"/>
      <c r="AL682" s="123"/>
      <c r="AM682" s="160"/>
      <c r="AN682" s="160"/>
    </row>
    <row r="683" spans="3:40" x14ac:dyDescent="0.3">
      <c r="C683" s="42"/>
      <c r="D683" s="42"/>
      <c r="E683" s="42"/>
      <c r="F683" s="123"/>
      <c r="G683" s="123"/>
      <c r="H683" s="123"/>
      <c r="I683" s="123"/>
      <c r="J683" s="219"/>
      <c r="K683" s="219"/>
      <c r="L683" s="123"/>
      <c r="M683" s="123"/>
      <c r="N683" s="219"/>
      <c r="O683" s="219"/>
      <c r="P683" s="123"/>
      <c r="Q683" s="123"/>
      <c r="R683" s="123"/>
      <c r="T683" s="42"/>
      <c r="U683" s="42"/>
      <c r="V683" s="123"/>
      <c r="W683" s="123"/>
      <c r="X683" s="123"/>
      <c r="Y683" s="123"/>
      <c r="Z683" s="219"/>
      <c r="AA683" s="123"/>
      <c r="AB683" s="123"/>
      <c r="AC683" s="219"/>
      <c r="AD683" s="219"/>
      <c r="AE683" s="123"/>
      <c r="AF683" s="123"/>
      <c r="AH683" s="236"/>
      <c r="AI683" s="123"/>
      <c r="AJ683" s="123"/>
      <c r="AL683" s="123"/>
      <c r="AM683" s="160"/>
      <c r="AN683" s="160"/>
    </row>
    <row r="684" spans="3:40" x14ac:dyDescent="0.3">
      <c r="C684" s="42"/>
      <c r="D684" s="42"/>
      <c r="E684" s="42"/>
      <c r="F684" s="123"/>
      <c r="H684" s="123"/>
      <c r="I684" s="123"/>
      <c r="J684" s="219"/>
      <c r="K684" s="219"/>
      <c r="L684" s="123"/>
      <c r="M684" s="123"/>
      <c r="N684" s="219"/>
      <c r="O684" s="219"/>
      <c r="P684" s="123"/>
      <c r="Q684" s="123"/>
      <c r="R684" s="123"/>
      <c r="T684" s="42"/>
      <c r="U684" s="42"/>
      <c r="V684" s="123"/>
      <c r="Y684" s="123"/>
      <c r="Z684" s="219"/>
      <c r="AA684" s="123"/>
      <c r="AB684" s="123"/>
      <c r="AC684" s="219"/>
      <c r="AD684" s="219"/>
      <c r="AE684" s="123"/>
      <c r="AF684" s="123"/>
      <c r="AH684" s="236"/>
      <c r="AI684" s="123"/>
      <c r="AJ684" s="123"/>
      <c r="AL684" s="123"/>
      <c r="AM684" s="160"/>
      <c r="AN684" s="160"/>
    </row>
    <row r="685" spans="3:40" x14ac:dyDescent="0.3">
      <c r="C685" s="42"/>
      <c r="D685" s="42"/>
      <c r="E685" s="42"/>
      <c r="F685" s="123"/>
      <c r="H685" s="123"/>
      <c r="I685" s="123"/>
      <c r="J685" s="219"/>
      <c r="K685" s="219"/>
      <c r="L685" s="123"/>
      <c r="M685" s="123"/>
      <c r="N685" s="219"/>
      <c r="O685" s="219"/>
      <c r="P685" s="123"/>
      <c r="Q685" s="123"/>
      <c r="R685" s="123"/>
      <c r="T685" s="42"/>
      <c r="U685" s="42"/>
      <c r="V685" s="123"/>
      <c r="Y685" s="123"/>
      <c r="Z685" s="219"/>
      <c r="AA685" s="123"/>
      <c r="AB685" s="123"/>
      <c r="AC685" s="219"/>
      <c r="AD685" s="219"/>
      <c r="AE685" s="123"/>
      <c r="AF685" s="123"/>
      <c r="AH685" s="236"/>
      <c r="AI685" s="123"/>
      <c r="AJ685" s="123"/>
      <c r="AL685" s="123"/>
      <c r="AM685" s="160"/>
      <c r="AN685" s="160"/>
    </row>
    <row r="686" spans="3:40" x14ac:dyDescent="0.3">
      <c r="C686" s="42"/>
      <c r="D686" s="42"/>
      <c r="E686" s="42"/>
      <c r="F686" s="123"/>
      <c r="H686" s="123"/>
      <c r="I686" s="123"/>
      <c r="J686" s="219"/>
      <c r="K686" s="219"/>
      <c r="L686" s="123"/>
      <c r="M686" s="123"/>
      <c r="N686" s="219"/>
      <c r="O686" s="219"/>
      <c r="P686" s="123"/>
      <c r="Q686" s="123"/>
      <c r="R686" s="123"/>
      <c r="T686" s="42"/>
      <c r="U686" s="42"/>
      <c r="V686" s="123"/>
      <c r="Y686" s="123"/>
      <c r="Z686" s="219"/>
      <c r="AA686" s="123"/>
      <c r="AB686" s="123"/>
      <c r="AC686" s="219"/>
      <c r="AD686" s="219"/>
      <c r="AE686" s="123"/>
      <c r="AF686" s="123"/>
      <c r="AH686" s="236"/>
      <c r="AI686" s="123"/>
      <c r="AJ686" s="123"/>
      <c r="AL686" s="123"/>
      <c r="AM686" s="160"/>
      <c r="AN686" s="160"/>
    </row>
    <row r="687" spans="3:40" x14ac:dyDescent="0.3">
      <c r="C687" s="42"/>
      <c r="D687" s="42"/>
      <c r="E687" s="42"/>
      <c r="F687" s="123"/>
      <c r="H687" s="123"/>
      <c r="I687" s="123"/>
      <c r="J687" s="219"/>
      <c r="K687" s="219"/>
      <c r="L687" s="123"/>
      <c r="M687" s="123"/>
      <c r="N687" s="219"/>
      <c r="O687" s="219"/>
      <c r="P687" s="123"/>
      <c r="Q687" s="123"/>
      <c r="R687" s="123"/>
      <c r="T687" s="42"/>
      <c r="U687" s="42"/>
      <c r="V687" s="123"/>
      <c r="Y687" s="123"/>
      <c r="Z687" s="219"/>
      <c r="AA687" s="123"/>
      <c r="AB687" s="123"/>
      <c r="AC687" s="219"/>
      <c r="AD687" s="219"/>
      <c r="AE687" s="123"/>
      <c r="AF687" s="123"/>
      <c r="AH687" s="236"/>
      <c r="AI687" s="123"/>
      <c r="AJ687" s="123"/>
      <c r="AL687" s="123"/>
      <c r="AM687" s="160"/>
      <c r="AN687" s="160"/>
    </row>
    <row r="688" spans="3:40" x14ac:dyDescent="0.3">
      <c r="F688" s="210"/>
      <c r="H688" s="210"/>
      <c r="I688" s="210"/>
      <c r="J688" s="213"/>
      <c r="K688" s="213"/>
      <c r="L688" s="210"/>
      <c r="M688" s="210"/>
      <c r="N688" s="210"/>
      <c r="O688" s="210"/>
      <c r="P688" s="210"/>
      <c r="Q688" s="210"/>
      <c r="R688" s="210"/>
      <c r="V688" s="210"/>
      <c r="Y688" s="210"/>
      <c r="Z688" s="213"/>
      <c r="AA688" s="210"/>
      <c r="AB688" s="210"/>
      <c r="AC688" s="210"/>
      <c r="AD688" s="210"/>
      <c r="AE688" s="210"/>
      <c r="AF688" s="210"/>
      <c r="AI688" s="210"/>
      <c r="AJ688" s="210"/>
      <c r="AK688" s="214"/>
      <c r="AL688" s="210"/>
      <c r="AM688" s="160"/>
      <c r="AN688" s="160"/>
    </row>
    <row r="689" spans="3:40" x14ac:dyDescent="0.3">
      <c r="C689" s="42"/>
      <c r="F689" s="123"/>
      <c r="H689" s="123"/>
      <c r="I689" s="123"/>
      <c r="J689" s="219"/>
      <c r="K689" s="219"/>
      <c r="L689" s="123"/>
      <c r="M689" s="123"/>
      <c r="N689" s="219"/>
      <c r="O689" s="219"/>
      <c r="P689" s="123"/>
      <c r="Q689" s="123"/>
      <c r="R689" s="123"/>
      <c r="T689" s="42"/>
      <c r="V689" s="123"/>
      <c r="Y689" s="123"/>
      <c r="Z689" s="219"/>
      <c r="AA689" s="123"/>
      <c r="AB689" s="123"/>
      <c r="AC689" s="219"/>
      <c r="AD689" s="219"/>
      <c r="AE689" s="123"/>
      <c r="AF689" s="123"/>
      <c r="AH689" s="236"/>
      <c r="AI689" s="123"/>
      <c r="AJ689" s="123"/>
      <c r="AL689" s="123"/>
      <c r="AM689" s="160"/>
      <c r="AN689" s="160"/>
    </row>
    <row r="690" spans="3:40" x14ac:dyDescent="0.3">
      <c r="V690" s="123"/>
      <c r="Y690" s="123"/>
      <c r="Z690" s="213"/>
      <c r="AA690" s="123"/>
      <c r="AB690" s="123"/>
      <c r="AC690" s="123"/>
      <c r="AD690" s="123"/>
      <c r="AE690" s="123"/>
      <c r="AF690" s="123"/>
      <c r="AI690" s="123"/>
      <c r="AJ690" s="123"/>
      <c r="AL690" s="123"/>
      <c r="AM690" s="160"/>
      <c r="AN690" s="160"/>
    </row>
    <row r="691" spans="3:40" x14ac:dyDescent="0.3">
      <c r="C691" s="42"/>
      <c r="D691" s="42"/>
      <c r="E691" s="42"/>
      <c r="L691" s="123"/>
      <c r="M691" s="123"/>
      <c r="N691" s="219"/>
      <c r="O691" s="219"/>
      <c r="R691" s="123"/>
      <c r="T691" s="42"/>
      <c r="U691" s="42"/>
      <c r="AA691" s="123"/>
      <c r="AB691" s="123"/>
      <c r="AC691" s="219"/>
      <c r="AD691" s="219"/>
      <c r="AE691" s="123"/>
      <c r="AF691" s="123"/>
      <c r="AH691" s="236"/>
      <c r="AL691" s="123"/>
      <c r="AM691" s="160"/>
      <c r="AN691" s="160"/>
    </row>
    <row r="692" spans="3:40" x14ac:dyDescent="0.3">
      <c r="D692" s="42"/>
      <c r="E692" s="42"/>
      <c r="F692" s="184"/>
      <c r="H692" s="184"/>
      <c r="I692" s="184"/>
      <c r="J692" s="219"/>
      <c r="K692" s="219"/>
      <c r="L692" s="123"/>
      <c r="M692" s="123"/>
      <c r="N692" s="219"/>
      <c r="O692" s="219"/>
      <c r="P692" s="184"/>
      <c r="Q692" s="184"/>
      <c r="R692" s="123"/>
      <c r="U692" s="42"/>
      <c r="V692" s="123"/>
      <c r="Y692" s="123"/>
      <c r="Z692" s="219"/>
      <c r="AA692" s="123"/>
      <c r="AB692" s="123"/>
      <c r="AC692" s="219"/>
      <c r="AD692" s="219"/>
      <c r="AE692" s="123"/>
      <c r="AF692" s="123"/>
      <c r="AH692" s="236"/>
      <c r="AI692" s="123"/>
      <c r="AJ692" s="123"/>
      <c r="AL692" s="123"/>
      <c r="AM692" s="160"/>
      <c r="AN692" s="160"/>
    </row>
    <row r="693" spans="3:40" x14ac:dyDescent="0.3">
      <c r="F693" s="210"/>
      <c r="H693" s="210"/>
      <c r="I693" s="210"/>
      <c r="J693" s="213"/>
      <c r="K693" s="213"/>
      <c r="L693" s="210"/>
      <c r="M693" s="210"/>
      <c r="N693" s="210"/>
      <c r="O693" s="210"/>
      <c r="P693" s="210"/>
      <c r="Q693" s="210"/>
      <c r="R693" s="210"/>
      <c r="V693" s="210"/>
      <c r="Y693" s="210"/>
      <c r="Z693" s="213"/>
      <c r="AA693" s="210"/>
      <c r="AB693" s="210"/>
      <c r="AC693" s="210"/>
      <c r="AD693" s="210"/>
      <c r="AE693" s="210"/>
      <c r="AF693" s="210"/>
      <c r="AI693" s="210"/>
      <c r="AJ693" s="210"/>
      <c r="AK693" s="214"/>
      <c r="AL693" s="210"/>
      <c r="AM693" s="160"/>
      <c r="AN693" s="160"/>
    </row>
    <row r="694" spans="3:40" x14ac:dyDescent="0.3">
      <c r="C694" s="42"/>
      <c r="F694" s="123"/>
      <c r="H694" s="123"/>
      <c r="I694" s="123"/>
      <c r="J694" s="219"/>
      <c r="K694" s="219"/>
      <c r="L694" s="123"/>
      <c r="M694" s="123"/>
      <c r="N694" s="219"/>
      <c r="O694" s="219"/>
      <c r="P694" s="123"/>
      <c r="Q694" s="123"/>
      <c r="R694" s="123"/>
      <c r="T694" s="42"/>
      <c r="V694" s="123"/>
      <c r="Y694" s="123"/>
      <c r="Z694" s="219"/>
      <c r="AA694" s="123"/>
      <c r="AB694" s="123"/>
      <c r="AC694" s="219"/>
      <c r="AD694" s="219"/>
      <c r="AE694" s="123"/>
      <c r="AF694" s="123"/>
      <c r="AH694" s="236"/>
      <c r="AI694" s="123"/>
      <c r="AJ694" s="123"/>
      <c r="AL694" s="123"/>
      <c r="AM694" s="160"/>
      <c r="AN694" s="160"/>
    </row>
    <row r="695" spans="3:40" x14ac:dyDescent="0.3">
      <c r="F695" s="123"/>
      <c r="H695" s="123"/>
      <c r="I695" s="123"/>
      <c r="J695" s="219"/>
      <c r="K695" s="219"/>
      <c r="L695" s="123"/>
      <c r="M695" s="123"/>
      <c r="N695" s="219"/>
      <c r="O695" s="219"/>
      <c r="P695" s="123"/>
      <c r="Q695" s="123"/>
      <c r="R695" s="123"/>
      <c r="V695" s="123"/>
      <c r="Y695" s="123"/>
      <c r="Z695" s="219"/>
      <c r="AA695" s="123"/>
      <c r="AB695" s="123"/>
      <c r="AC695" s="219"/>
      <c r="AD695" s="219"/>
      <c r="AH695" s="236"/>
      <c r="AI695" s="123"/>
      <c r="AJ695" s="123"/>
      <c r="AL695" s="123"/>
      <c r="AM695" s="160"/>
      <c r="AN695" s="160"/>
    </row>
    <row r="696" spans="3:40" x14ac:dyDescent="0.3">
      <c r="D696" s="42"/>
      <c r="E696" s="42"/>
      <c r="F696" s="123"/>
      <c r="H696" s="123"/>
      <c r="I696" s="123"/>
      <c r="J696" s="219"/>
      <c r="K696" s="219"/>
      <c r="L696" s="184"/>
      <c r="M696" s="184"/>
      <c r="N696" s="219"/>
      <c r="O696" s="219"/>
      <c r="P696" s="123"/>
      <c r="Q696" s="123"/>
      <c r="R696" s="123"/>
      <c r="U696" s="42"/>
      <c r="V696" s="123"/>
      <c r="Y696" s="123"/>
      <c r="Z696" s="219"/>
      <c r="AA696" s="184"/>
      <c r="AB696" s="184"/>
      <c r="AC696" s="219"/>
      <c r="AD696" s="219"/>
      <c r="AE696" s="123"/>
      <c r="AF696" s="123"/>
      <c r="AH696" s="236"/>
      <c r="AI696" s="123"/>
      <c r="AJ696" s="123"/>
      <c r="AL696" s="123"/>
      <c r="AM696" s="160"/>
      <c r="AN696" s="160"/>
    </row>
    <row r="697" spans="3:40" x14ac:dyDescent="0.3">
      <c r="D697" s="42"/>
      <c r="E697" s="42"/>
      <c r="F697" s="123"/>
      <c r="H697" s="123"/>
      <c r="I697" s="123"/>
      <c r="J697" s="219"/>
      <c r="K697" s="219"/>
      <c r="L697" s="184"/>
      <c r="M697" s="184"/>
      <c r="N697" s="219"/>
      <c r="O697" s="219"/>
      <c r="P697" s="123"/>
      <c r="Q697" s="123"/>
      <c r="R697" s="123"/>
      <c r="U697" s="42"/>
      <c r="V697" s="123"/>
      <c r="Y697" s="123"/>
      <c r="Z697" s="219"/>
      <c r="AA697" s="184"/>
      <c r="AB697" s="184"/>
      <c r="AC697" s="219"/>
      <c r="AD697" s="219"/>
      <c r="AE697" s="123"/>
      <c r="AF697" s="123"/>
      <c r="AH697" s="236"/>
      <c r="AI697" s="123"/>
      <c r="AJ697" s="123"/>
      <c r="AL697" s="123"/>
      <c r="AM697" s="160"/>
      <c r="AN697" s="160"/>
    </row>
    <row r="698" spans="3:40" x14ac:dyDescent="0.3">
      <c r="D698" s="42"/>
      <c r="E698" s="42"/>
      <c r="F698" s="123"/>
      <c r="H698" s="123"/>
      <c r="I698" s="123"/>
      <c r="J698" s="219"/>
      <c r="K698" s="219"/>
      <c r="L698" s="184"/>
      <c r="M698" s="184"/>
      <c r="N698" s="219"/>
      <c r="O698" s="219"/>
      <c r="P698" s="123"/>
      <c r="Q698" s="123"/>
      <c r="R698" s="123"/>
      <c r="U698" s="42"/>
      <c r="V698" s="123"/>
      <c r="Y698" s="123"/>
      <c r="Z698" s="219"/>
      <c r="AA698" s="184"/>
      <c r="AB698" s="184"/>
      <c r="AC698" s="219"/>
      <c r="AD698" s="219"/>
      <c r="AE698" s="123"/>
      <c r="AF698" s="123"/>
      <c r="AH698" s="236"/>
      <c r="AI698" s="123"/>
      <c r="AJ698" s="123"/>
      <c r="AL698" s="123"/>
      <c r="AM698" s="160"/>
      <c r="AN698" s="160"/>
    </row>
    <row r="699" spans="3:40" x14ac:dyDescent="0.3">
      <c r="F699" s="210"/>
      <c r="H699" s="210"/>
      <c r="I699" s="210"/>
      <c r="J699" s="213"/>
      <c r="K699" s="213"/>
      <c r="L699" s="210"/>
      <c r="M699" s="210"/>
      <c r="N699" s="210"/>
      <c r="O699" s="210"/>
      <c r="P699" s="210"/>
      <c r="Q699" s="210"/>
      <c r="R699" s="210"/>
      <c r="V699" s="210"/>
      <c r="Y699" s="210"/>
      <c r="Z699" s="213"/>
      <c r="AA699" s="210"/>
      <c r="AB699" s="210"/>
      <c r="AC699" s="210"/>
      <c r="AD699" s="210"/>
      <c r="AE699" s="210"/>
      <c r="AF699" s="210"/>
      <c r="AI699" s="210"/>
      <c r="AJ699" s="210"/>
      <c r="AK699" s="214"/>
      <c r="AL699" s="210"/>
      <c r="AM699" s="160"/>
      <c r="AN699" s="160"/>
    </row>
    <row r="700" spans="3:40" x14ac:dyDescent="0.3">
      <c r="C700" s="42"/>
      <c r="F700" s="123"/>
      <c r="H700" s="123"/>
      <c r="I700" s="123"/>
      <c r="J700" s="219"/>
      <c r="K700" s="219"/>
      <c r="L700" s="123"/>
      <c r="M700" s="123"/>
      <c r="N700" s="219"/>
      <c r="O700" s="219"/>
      <c r="P700" s="123"/>
      <c r="Q700" s="123"/>
      <c r="R700" s="123"/>
      <c r="T700" s="42"/>
      <c r="V700" s="123"/>
      <c r="Y700" s="123"/>
      <c r="Z700" s="219"/>
      <c r="AA700" s="123"/>
      <c r="AB700" s="123"/>
      <c r="AC700" s="219"/>
      <c r="AD700" s="219"/>
      <c r="AE700" s="123"/>
      <c r="AF700" s="123"/>
      <c r="AH700" s="236"/>
      <c r="AI700" s="123"/>
      <c r="AJ700" s="123"/>
      <c r="AL700" s="123"/>
      <c r="AM700" s="160"/>
      <c r="AN700" s="160"/>
    </row>
    <row r="701" spans="3:40" x14ac:dyDescent="0.3">
      <c r="F701" s="123"/>
      <c r="H701" s="123"/>
      <c r="I701" s="123"/>
      <c r="J701" s="219"/>
      <c r="K701" s="219"/>
      <c r="L701" s="123"/>
      <c r="M701" s="123"/>
      <c r="N701" s="219"/>
      <c r="O701" s="219"/>
      <c r="P701" s="123"/>
      <c r="Q701" s="123"/>
      <c r="R701" s="123"/>
      <c r="V701" s="123"/>
      <c r="Y701" s="123"/>
      <c r="Z701" s="219"/>
      <c r="AA701" s="123"/>
      <c r="AB701" s="123"/>
      <c r="AC701" s="219"/>
      <c r="AD701" s="219"/>
      <c r="AH701" s="236"/>
      <c r="AI701" s="123"/>
      <c r="AJ701" s="123"/>
      <c r="AL701" s="123"/>
      <c r="AM701" s="160"/>
      <c r="AN701" s="160"/>
    </row>
    <row r="702" spans="3:40" x14ac:dyDescent="0.3">
      <c r="C702" s="42"/>
      <c r="F702" s="123"/>
      <c r="H702" s="123"/>
      <c r="I702" s="123"/>
      <c r="J702" s="219"/>
      <c r="K702" s="219"/>
      <c r="L702" s="123"/>
      <c r="M702" s="123"/>
      <c r="N702" s="219"/>
      <c r="O702" s="219"/>
      <c r="P702" s="123"/>
      <c r="Q702" s="123"/>
      <c r="R702" s="123"/>
      <c r="T702" s="42"/>
      <c r="V702" s="123"/>
      <c r="Y702" s="123"/>
      <c r="Z702" s="219"/>
      <c r="AA702" s="123"/>
      <c r="AB702" s="123"/>
      <c r="AC702" s="219"/>
      <c r="AD702" s="219"/>
      <c r="AE702" s="123"/>
      <c r="AF702" s="123"/>
      <c r="AH702" s="236"/>
      <c r="AI702" s="123"/>
      <c r="AJ702" s="123"/>
      <c r="AL702" s="123"/>
      <c r="AM702" s="160"/>
      <c r="AN702" s="160"/>
    </row>
    <row r="703" spans="3:40" x14ac:dyDescent="0.3">
      <c r="F703" s="210"/>
      <c r="H703" s="210"/>
      <c r="I703" s="210"/>
      <c r="J703" s="213"/>
      <c r="K703" s="213"/>
      <c r="L703" s="210"/>
      <c r="M703" s="210"/>
      <c r="N703" s="210"/>
      <c r="O703" s="210"/>
      <c r="P703" s="210"/>
      <c r="Q703" s="210"/>
      <c r="R703" s="210"/>
      <c r="V703" s="210"/>
      <c r="Y703" s="210"/>
      <c r="Z703" s="213"/>
      <c r="AA703" s="210"/>
      <c r="AB703" s="210"/>
      <c r="AC703" s="210"/>
      <c r="AD703" s="210"/>
      <c r="AE703" s="210"/>
      <c r="AF703" s="210"/>
      <c r="AI703" s="210"/>
      <c r="AJ703" s="210"/>
      <c r="AK703" s="214"/>
      <c r="AL703" s="210"/>
    </row>
    <row r="705" spans="1:20" x14ac:dyDescent="0.3">
      <c r="C705" s="42"/>
      <c r="L705" s="123"/>
      <c r="M705" s="123"/>
      <c r="P705" s="123"/>
      <c r="Q705" s="123"/>
      <c r="R705" s="123"/>
      <c r="T705" s="42"/>
    </row>
    <row r="706" spans="1:20" x14ac:dyDescent="0.3">
      <c r="A706" s="42"/>
      <c r="L706" s="123"/>
      <c r="M706" s="123"/>
      <c r="P706" s="123"/>
      <c r="Q706" s="123"/>
      <c r="R706" s="123"/>
    </row>
    <row r="707" spans="1:20" x14ac:dyDescent="0.3">
      <c r="L707" s="123"/>
      <c r="M707" s="123"/>
      <c r="P707" s="123"/>
      <c r="Q707" s="123"/>
      <c r="R707" s="123"/>
    </row>
    <row r="708" spans="1:20" x14ac:dyDescent="0.3">
      <c r="L708" s="123"/>
      <c r="M708" s="123"/>
      <c r="P708" s="123"/>
      <c r="Q708" s="123"/>
      <c r="R708" s="123"/>
    </row>
    <row r="709" spans="1:20" x14ac:dyDescent="0.3">
      <c r="L709" s="123"/>
      <c r="M709" s="123"/>
      <c r="P709" s="123"/>
      <c r="Q709" s="123"/>
      <c r="R709" s="123"/>
    </row>
    <row r="710" spans="1:20" x14ac:dyDescent="0.3">
      <c r="L710" s="123"/>
      <c r="M710" s="123"/>
      <c r="P710" s="123"/>
      <c r="Q710" s="123"/>
      <c r="R710" s="123"/>
    </row>
    <row r="711" spans="1:20" x14ac:dyDescent="0.3">
      <c r="L711" s="123"/>
      <c r="M711" s="123"/>
      <c r="P711" s="123"/>
      <c r="Q711" s="123"/>
      <c r="R711" s="123"/>
    </row>
    <row r="744" spans="49:49" x14ac:dyDescent="0.3">
      <c r="AW744" s="123"/>
    </row>
    <row r="745" spans="49:49" x14ac:dyDescent="0.3">
      <c r="AW745" s="123"/>
    </row>
    <row r="746" spans="49:49" x14ac:dyDescent="0.3">
      <c r="AW746" s="123"/>
    </row>
    <row r="747" spans="49:49" x14ac:dyDescent="0.3">
      <c r="AW747" s="123"/>
    </row>
    <row r="748" spans="49:49" x14ac:dyDescent="0.3">
      <c r="AW748" s="123"/>
    </row>
    <row r="749" spans="49:49" x14ac:dyDescent="0.3">
      <c r="AW749" s="123"/>
    </row>
    <row r="752" spans="49:49" x14ac:dyDescent="0.3">
      <c r="AW752" s="123"/>
    </row>
    <row r="753" spans="49:49" x14ac:dyDescent="0.3">
      <c r="AW753" s="123"/>
    </row>
    <row r="754" spans="49:49" x14ac:dyDescent="0.3">
      <c r="AW754" s="123"/>
    </row>
    <row r="755" spans="49:49" x14ac:dyDescent="0.3">
      <c r="AW755" s="123"/>
    </row>
    <row r="756" spans="49:49" x14ac:dyDescent="0.3">
      <c r="AW756" s="123"/>
    </row>
    <row r="757" spans="49:49" x14ac:dyDescent="0.3">
      <c r="AW757" s="123"/>
    </row>
    <row r="758" spans="49:49" x14ac:dyDescent="0.3">
      <c r="AW758" s="123"/>
    </row>
    <row r="759" spans="49:49" x14ac:dyDescent="0.3">
      <c r="AW759" s="123"/>
    </row>
    <row r="762" spans="49:49" x14ac:dyDescent="0.3">
      <c r="AW762" s="123"/>
    </row>
    <row r="763" spans="49:49" x14ac:dyDescent="0.3">
      <c r="AW763" s="123"/>
    </row>
    <row r="766" spans="49:49" x14ac:dyDescent="0.3">
      <c r="AW766" s="123"/>
    </row>
    <row r="767" spans="49:49" x14ac:dyDescent="0.3">
      <c r="AW767" s="123"/>
    </row>
    <row r="768" spans="49:49" x14ac:dyDescent="0.3">
      <c r="AW768" s="123"/>
    </row>
    <row r="769" spans="45:57" x14ac:dyDescent="0.3">
      <c r="AW769" s="123"/>
    </row>
    <row r="777" spans="45:57" x14ac:dyDescent="0.3">
      <c r="AY777" s="42"/>
    </row>
    <row r="778" spans="45:57" x14ac:dyDescent="0.3">
      <c r="AY778" s="42"/>
    </row>
    <row r="779" spans="45:57" x14ac:dyDescent="0.3">
      <c r="BD779" s="42"/>
    </row>
    <row r="780" spans="45:57" x14ac:dyDescent="0.3">
      <c r="BD780" s="42"/>
    </row>
    <row r="781" spans="45:57" x14ac:dyDescent="0.3">
      <c r="AS781" s="42"/>
      <c r="BD781" s="42"/>
    </row>
    <row r="783" spans="45:57" x14ac:dyDescent="0.3">
      <c r="AS783" s="135"/>
      <c r="AT783" s="135"/>
      <c r="AU783" s="135"/>
      <c r="AV783" s="135"/>
      <c r="AW783" s="135"/>
      <c r="AX783" s="135"/>
      <c r="AY783" s="135"/>
      <c r="AZ783" s="135"/>
      <c r="BA783" s="135"/>
      <c r="BB783" s="135"/>
      <c r="BC783" s="135"/>
      <c r="BD783" s="135"/>
      <c r="BE783" s="135"/>
    </row>
    <row r="784" spans="45:57" x14ac:dyDescent="0.3">
      <c r="AX784" s="42"/>
    </row>
    <row r="785" spans="45:69" x14ac:dyDescent="0.3">
      <c r="AX785" s="135"/>
      <c r="AY785" s="135"/>
      <c r="AZ785" s="135"/>
      <c r="BA785" s="135"/>
      <c r="BC785" s="44"/>
      <c r="BD785" s="44"/>
    </row>
    <row r="786" spans="45:69" x14ac:dyDescent="0.3">
      <c r="AV786" s="44"/>
      <c r="AW786" s="44"/>
      <c r="AZ786" s="44"/>
      <c r="BA786" s="44"/>
      <c r="BC786" s="44"/>
      <c r="BD786" s="44"/>
      <c r="BE786" s="44"/>
      <c r="BG786" s="135"/>
      <c r="BH786" s="42"/>
      <c r="BK786" s="135"/>
      <c r="BM786" s="135"/>
      <c r="BN786" s="42"/>
      <c r="BQ786" s="135"/>
    </row>
    <row r="787" spans="45:69" x14ac:dyDescent="0.3"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H787" s="44"/>
      <c r="BI787" s="44"/>
      <c r="BJ787" s="44"/>
      <c r="BN787" s="44"/>
      <c r="BO787" s="44"/>
      <c r="BP787" s="44"/>
    </row>
    <row r="788" spans="45:69" x14ac:dyDescent="0.3">
      <c r="AS788" s="44"/>
      <c r="AU788" s="42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G788" s="44"/>
      <c r="BH788" s="44"/>
      <c r="BI788" s="44"/>
      <c r="BJ788" s="44"/>
      <c r="BK788" s="44"/>
      <c r="BM788" s="44"/>
      <c r="BN788" s="44"/>
      <c r="BO788" s="44"/>
      <c r="BP788" s="44"/>
      <c r="BQ788" s="44"/>
    </row>
    <row r="789" spans="45:69" x14ac:dyDescent="0.3">
      <c r="AS789" s="44"/>
      <c r="AU789" s="42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G789" s="44"/>
      <c r="BH789" s="44"/>
      <c r="BI789" s="44"/>
      <c r="BJ789" s="44"/>
      <c r="BK789" s="44"/>
      <c r="BM789" s="44"/>
      <c r="BN789" s="44"/>
      <c r="BO789" s="44"/>
      <c r="BP789" s="44"/>
      <c r="BQ789" s="44"/>
    </row>
    <row r="790" spans="45:69" x14ac:dyDescent="0.3">
      <c r="AS790" s="135"/>
      <c r="AT790" s="135"/>
      <c r="AU790" s="135"/>
      <c r="AV790" s="135"/>
      <c r="AW790" s="135"/>
      <c r="AX790" s="135"/>
      <c r="AY790" s="135"/>
      <c r="AZ790" s="135"/>
      <c r="BA790" s="135"/>
      <c r="BB790" s="135"/>
      <c r="BC790" s="135"/>
      <c r="BD790" s="135"/>
      <c r="BE790" s="135"/>
      <c r="BG790" s="135"/>
      <c r="BH790" s="135"/>
      <c r="BI790" s="135"/>
      <c r="BJ790" s="135"/>
      <c r="BK790" s="135"/>
      <c r="BM790" s="135"/>
      <c r="BN790" s="135"/>
      <c r="BO790" s="135"/>
      <c r="BP790" s="135"/>
      <c r="BQ790" s="135"/>
    </row>
    <row r="791" spans="45:69" x14ac:dyDescent="0.3"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</row>
    <row r="792" spans="45:69" x14ac:dyDescent="0.3">
      <c r="AU792" s="42"/>
      <c r="AV792" s="44"/>
      <c r="AY792" s="219"/>
    </row>
    <row r="793" spans="45:69" x14ac:dyDescent="0.3">
      <c r="AV793" s="44"/>
      <c r="AW793" s="123"/>
      <c r="AX793" s="188"/>
      <c r="AY793" s="188"/>
      <c r="AZ793" s="188"/>
      <c r="BA793" s="160"/>
      <c r="BB793" s="188"/>
      <c r="BC793" s="219"/>
      <c r="BD793" s="219"/>
      <c r="BE793" s="160"/>
      <c r="BG793" s="188"/>
      <c r="BH793" s="188"/>
      <c r="BI793" s="188"/>
      <c r="BJ793" s="188"/>
      <c r="BK793" s="188"/>
      <c r="BM793" s="188"/>
      <c r="BN793" s="188"/>
      <c r="BO793" s="188"/>
      <c r="BP793" s="188"/>
      <c r="BQ793" s="188"/>
    </row>
    <row r="794" spans="45:69" x14ac:dyDescent="0.3">
      <c r="AV794" s="44"/>
      <c r="AW794" s="123"/>
      <c r="AX794" s="188"/>
      <c r="AY794" s="188"/>
      <c r="AZ794" s="188"/>
      <c r="BA794" s="160"/>
      <c r="BB794" s="188"/>
      <c r="BC794" s="219"/>
      <c r="BD794" s="219"/>
      <c r="BE794" s="160"/>
      <c r="BG794" s="188"/>
      <c r="BH794" s="188"/>
      <c r="BI794" s="188"/>
      <c r="BJ794" s="188"/>
      <c r="BK794" s="188"/>
      <c r="BM794" s="188"/>
      <c r="BN794" s="188"/>
      <c r="BO794" s="188"/>
      <c r="BP794" s="188"/>
      <c r="BQ794" s="188"/>
    </row>
    <row r="795" spans="45:69" x14ac:dyDescent="0.3">
      <c r="AV795" s="44"/>
      <c r="AW795" s="123"/>
      <c r="AX795" s="188"/>
      <c r="AY795" s="188"/>
      <c r="AZ795" s="188"/>
      <c r="BA795" s="160"/>
      <c r="BB795" s="188"/>
      <c r="BC795" s="219"/>
      <c r="BD795" s="219"/>
      <c r="BE795" s="160"/>
      <c r="BG795" s="188"/>
      <c r="BH795" s="188"/>
      <c r="BI795" s="188"/>
      <c r="BJ795" s="188"/>
      <c r="BK795" s="188"/>
      <c r="BM795" s="188"/>
      <c r="BN795" s="188"/>
      <c r="BO795" s="188"/>
      <c r="BP795" s="188"/>
      <c r="BQ795" s="188"/>
    </row>
    <row r="796" spans="45:69" x14ac:dyDescent="0.3">
      <c r="AV796" s="44"/>
      <c r="AW796" s="123"/>
      <c r="AX796" s="188"/>
      <c r="AY796" s="188"/>
      <c r="AZ796" s="188"/>
      <c r="BA796" s="160"/>
      <c r="BB796" s="188"/>
      <c r="BC796" s="219"/>
      <c r="BD796" s="219"/>
      <c r="BE796" s="160"/>
      <c r="BG796" s="188"/>
      <c r="BH796" s="188"/>
      <c r="BI796" s="188"/>
      <c r="BJ796" s="188"/>
      <c r="BK796" s="188"/>
      <c r="BM796" s="188"/>
      <c r="BN796" s="188"/>
      <c r="BO796" s="188"/>
      <c r="BP796" s="188"/>
      <c r="BQ796" s="188"/>
    </row>
    <row r="797" spans="45:69" x14ac:dyDescent="0.3">
      <c r="AV797" s="44"/>
      <c r="AW797" s="123"/>
      <c r="AX797" s="188"/>
      <c r="AY797" s="188"/>
      <c r="AZ797" s="188"/>
      <c r="BA797" s="160"/>
      <c r="BB797" s="188"/>
      <c r="BC797" s="219"/>
      <c r="BD797" s="219"/>
      <c r="BE797" s="160"/>
      <c r="BG797" s="188"/>
      <c r="BH797" s="188"/>
      <c r="BI797" s="188"/>
      <c r="BJ797" s="188"/>
      <c r="BK797" s="188"/>
      <c r="BM797" s="188"/>
      <c r="BN797" s="188"/>
      <c r="BO797" s="188"/>
      <c r="BP797" s="188"/>
      <c r="BQ797" s="188"/>
    </row>
    <row r="798" spans="45:69" x14ac:dyDescent="0.3">
      <c r="AV798" s="44"/>
      <c r="AW798" s="123"/>
      <c r="AX798" s="188"/>
      <c r="AY798" s="188"/>
      <c r="AZ798" s="188"/>
      <c r="BA798" s="160"/>
      <c r="BB798" s="188"/>
      <c r="BC798" s="219"/>
      <c r="BD798" s="219"/>
      <c r="BE798" s="160"/>
      <c r="BG798" s="188"/>
      <c r="BH798" s="188"/>
      <c r="BI798" s="188"/>
      <c r="BJ798" s="188"/>
      <c r="BK798" s="188"/>
      <c r="BM798" s="188"/>
      <c r="BN798" s="188"/>
      <c r="BO798" s="188"/>
      <c r="BP798" s="188"/>
      <c r="BQ798" s="188"/>
    </row>
    <row r="799" spans="45:69" x14ac:dyDescent="0.3">
      <c r="AV799" s="44"/>
      <c r="AW799" s="123"/>
      <c r="AX799" s="188"/>
      <c r="AY799" s="188"/>
      <c r="AZ799" s="188"/>
      <c r="BA799" s="160"/>
      <c r="BB799" s="188"/>
      <c r="BC799" s="219"/>
      <c r="BD799" s="219"/>
      <c r="BE799" s="160"/>
      <c r="BG799" s="188"/>
      <c r="BH799" s="188"/>
      <c r="BI799" s="188"/>
      <c r="BJ799" s="188"/>
      <c r="BK799" s="188"/>
      <c r="BM799" s="188"/>
      <c r="BN799" s="188"/>
      <c r="BO799" s="188"/>
      <c r="BP799" s="188"/>
      <c r="BQ799" s="188"/>
    </row>
    <row r="800" spans="45:69" x14ac:dyDescent="0.3">
      <c r="AY800" s="219"/>
      <c r="AZ800" s="188"/>
      <c r="BA800" s="160"/>
      <c r="BB800" s="188"/>
      <c r="BC800" s="219"/>
      <c r="BD800" s="219"/>
      <c r="BE800" s="160"/>
      <c r="BK800" s="188"/>
      <c r="BQ800" s="188"/>
    </row>
    <row r="801" spans="45:69" x14ac:dyDescent="0.3">
      <c r="AV801" s="44"/>
      <c r="AY801" s="219"/>
      <c r="AZ801" s="188"/>
      <c r="BA801" s="160"/>
      <c r="BB801" s="188"/>
      <c r="BC801" s="219"/>
      <c r="BD801" s="219"/>
      <c r="BE801" s="160"/>
      <c r="BK801" s="188"/>
      <c r="BQ801" s="188"/>
    </row>
    <row r="802" spans="45:69" x14ac:dyDescent="0.3">
      <c r="AV802" s="44"/>
      <c r="AW802" s="123"/>
      <c r="AX802" s="188"/>
      <c r="AY802" s="188"/>
      <c r="AZ802" s="188"/>
      <c r="BA802" s="160"/>
      <c r="BB802" s="188"/>
      <c r="BC802" s="219"/>
      <c r="BD802" s="219"/>
      <c r="BE802" s="160"/>
      <c r="BG802" s="188"/>
      <c r="BH802" s="188"/>
      <c r="BI802" s="188"/>
      <c r="BJ802" s="188"/>
      <c r="BK802" s="188"/>
      <c r="BM802" s="188"/>
      <c r="BN802" s="188"/>
      <c r="BO802" s="188"/>
      <c r="BP802" s="188"/>
      <c r="BQ802" s="188"/>
    </row>
    <row r="803" spans="45:69" x14ac:dyDescent="0.3">
      <c r="AV803" s="44"/>
      <c r="AW803" s="123"/>
      <c r="AX803" s="188"/>
      <c r="AY803" s="188"/>
      <c r="AZ803" s="188"/>
      <c r="BA803" s="160"/>
      <c r="BB803" s="188"/>
      <c r="BC803" s="219"/>
      <c r="BD803" s="219"/>
      <c r="BE803" s="160"/>
      <c r="BG803" s="188"/>
      <c r="BH803" s="188"/>
      <c r="BI803" s="188"/>
      <c r="BJ803" s="188"/>
      <c r="BK803" s="188"/>
      <c r="BM803" s="188"/>
      <c r="BN803" s="188"/>
      <c r="BO803" s="188"/>
      <c r="BP803" s="188"/>
      <c r="BQ803" s="188"/>
    </row>
    <row r="804" spans="45:69" x14ac:dyDescent="0.3">
      <c r="AV804" s="44"/>
      <c r="AW804" s="123"/>
      <c r="AX804" s="188"/>
      <c r="AY804" s="188"/>
      <c r="AZ804" s="188"/>
      <c r="BA804" s="160"/>
      <c r="BB804" s="188"/>
      <c r="BC804" s="219"/>
      <c r="BD804" s="219"/>
      <c r="BE804" s="160"/>
      <c r="BG804" s="188"/>
      <c r="BH804" s="188"/>
      <c r="BI804" s="188"/>
      <c r="BJ804" s="188"/>
      <c r="BK804" s="188"/>
      <c r="BM804" s="188"/>
      <c r="BN804" s="188"/>
      <c r="BO804" s="188"/>
      <c r="BP804" s="188"/>
      <c r="BQ804" s="188"/>
    </row>
    <row r="805" spans="45:69" x14ac:dyDescent="0.3">
      <c r="AV805" s="44"/>
      <c r="AW805" s="123"/>
      <c r="AX805" s="188"/>
      <c r="AY805" s="188"/>
      <c r="AZ805" s="188"/>
      <c r="BA805" s="160"/>
      <c r="BB805" s="188"/>
      <c r="BC805" s="219"/>
      <c r="BD805" s="219"/>
      <c r="BE805" s="160"/>
      <c r="BG805" s="188"/>
      <c r="BH805" s="188"/>
      <c r="BI805" s="188"/>
      <c r="BJ805" s="188"/>
      <c r="BK805" s="188"/>
      <c r="BM805" s="188"/>
      <c r="BN805" s="188"/>
      <c r="BO805" s="188"/>
      <c r="BP805" s="188"/>
      <c r="BQ805" s="188"/>
    </row>
    <row r="806" spans="45:69" x14ac:dyDescent="0.3">
      <c r="AV806" s="44"/>
      <c r="AW806" s="123"/>
      <c r="AX806" s="188"/>
      <c r="AY806" s="188"/>
      <c r="AZ806" s="188"/>
      <c r="BA806" s="160"/>
      <c r="BB806" s="188"/>
      <c r="BC806" s="219"/>
      <c r="BD806" s="219"/>
      <c r="BE806" s="160"/>
      <c r="BG806" s="188"/>
      <c r="BH806" s="188"/>
      <c r="BI806" s="188"/>
      <c r="BJ806" s="188"/>
      <c r="BK806" s="188"/>
      <c r="BM806" s="188"/>
      <c r="BN806" s="188"/>
      <c r="BO806" s="188"/>
      <c r="BP806" s="188"/>
      <c r="BQ806" s="188"/>
    </row>
    <row r="807" spans="45:69" x14ac:dyDescent="0.3">
      <c r="AV807" s="44"/>
      <c r="AW807" s="123"/>
      <c r="AX807" s="188"/>
      <c r="AY807" s="188"/>
      <c r="AZ807" s="188"/>
      <c r="BA807" s="160"/>
      <c r="BB807" s="188"/>
      <c r="BC807" s="219"/>
      <c r="BD807" s="219"/>
      <c r="BE807" s="160"/>
      <c r="BG807" s="188"/>
      <c r="BH807" s="188"/>
      <c r="BI807" s="188"/>
      <c r="BJ807" s="188"/>
      <c r="BK807" s="188"/>
      <c r="BM807" s="188"/>
      <c r="BN807" s="188"/>
      <c r="BO807" s="188"/>
      <c r="BP807" s="188"/>
      <c r="BQ807" s="188"/>
    </row>
    <row r="808" spans="45:69" x14ac:dyDescent="0.3">
      <c r="AV808" s="44"/>
      <c r="AW808" s="123"/>
      <c r="AX808" s="188"/>
      <c r="AY808" s="188"/>
      <c r="AZ808" s="188"/>
      <c r="BA808" s="160"/>
      <c r="BB808" s="188"/>
      <c r="BC808" s="219"/>
      <c r="BD808" s="219"/>
      <c r="BE808" s="160"/>
      <c r="BG808" s="188"/>
      <c r="BH808" s="188"/>
      <c r="BI808" s="188"/>
      <c r="BJ808" s="188"/>
      <c r="BK808" s="188"/>
      <c r="BM808" s="188"/>
      <c r="BN808" s="188"/>
      <c r="BO808" s="188"/>
      <c r="BP808" s="188"/>
      <c r="BQ808" s="188"/>
    </row>
    <row r="809" spans="45:69" x14ac:dyDescent="0.3">
      <c r="AV809" s="44"/>
      <c r="AW809" s="123"/>
      <c r="AX809" s="188"/>
      <c r="AY809" s="188"/>
      <c r="AZ809" s="188"/>
      <c r="BA809" s="160"/>
      <c r="BB809" s="188"/>
      <c r="BC809" s="219"/>
      <c r="BD809" s="219"/>
      <c r="BE809" s="160"/>
      <c r="BG809" s="188"/>
      <c r="BH809" s="188"/>
      <c r="BI809" s="188"/>
      <c r="BJ809" s="188"/>
      <c r="BK809" s="188"/>
      <c r="BM809" s="188"/>
      <c r="BN809" s="188"/>
      <c r="BO809" s="188"/>
      <c r="BP809" s="188"/>
      <c r="BQ809" s="188"/>
    </row>
    <row r="810" spans="45:69" x14ac:dyDescent="0.3">
      <c r="AY810" s="219"/>
      <c r="AZ810" s="188"/>
      <c r="BA810" s="160"/>
      <c r="BB810" s="188"/>
      <c r="BC810" s="219"/>
      <c r="BD810" s="219"/>
      <c r="BE810" s="160"/>
      <c r="BK810" s="188"/>
      <c r="BQ810" s="188"/>
    </row>
    <row r="811" spans="45:69" x14ac:dyDescent="0.3">
      <c r="AU811" s="42"/>
      <c r="AZ811" s="188"/>
      <c r="BB811" s="188"/>
      <c r="BG811" s="188"/>
      <c r="BH811" s="188"/>
      <c r="BJ811" s="188"/>
      <c r="BK811" s="188"/>
    </row>
    <row r="812" spans="45:69" x14ac:dyDescent="0.3">
      <c r="AZ812" s="188"/>
      <c r="BB812" s="188"/>
    </row>
    <row r="813" spans="45:69" x14ac:dyDescent="0.3">
      <c r="AS813" s="42"/>
      <c r="AZ813" s="188"/>
      <c r="BB813" s="188"/>
      <c r="BI813" s="188"/>
    </row>
    <row r="814" spans="45:69" x14ac:dyDescent="0.3">
      <c r="AZ814" s="188"/>
      <c r="BB814" s="188"/>
    </row>
    <row r="815" spans="45:69" x14ac:dyDescent="0.3">
      <c r="AY815" s="188"/>
      <c r="BB815" s="188"/>
    </row>
    <row r="816" spans="45:69" x14ac:dyDescent="0.3">
      <c r="AY816" s="42"/>
      <c r="AZ816" s="188"/>
      <c r="BB816" s="188"/>
    </row>
    <row r="817" spans="45:75" x14ac:dyDescent="0.3">
      <c r="AY817" s="42"/>
      <c r="AZ817" s="188"/>
      <c r="BB817" s="188"/>
    </row>
    <row r="818" spans="45:75" x14ac:dyDescent="0.3">
      <c r="AZ818" s="188"/>
      <c r="BB818" s="188"/>
      <c r="BD818" s="42"/>
    </row>
    <row r="819" spans="45:75" x14ac:dyDescent="0.3">
      <c r="AZ819" s="188"/>
      <c r="BB819" s="188"/>
      <c r="BD819" s="42"/>
    </row>
    <row r="820" spans="45:75" x14ac:dyDescent="0.3">
      <c r="AS820" s="42"/>
      <c r="AZ820" s="188"/>
      <c r="BB820" s="188"/>
      <c r="BD820" s="42"/>
    </row>
    <row r="821" spans="45:75" x14ac:dyDescent="0.3">
      <c r="AZ821" s="188"/>
      <c r="BB821" s="188"/>
    </row>
    <row r="822" spans="45:75" x14ac:dyDescent="0.3">
      <c r="AS822" s="135"/>
      <c r="AT822" s="135"/>
      <c r="AU822" s="135"/>
      <c r="AV822" s="135"/>
      <c r="AW822" s="135"/>
      <c r="AX822" s="135"/>
      <c r="AY822" s="135"/>
      <c r="AZ822" s="244"/>
      <c r="BA822" s="135"/>
      <c r="BB822" s="244"/>
      <c r="BC822" s="135"/>
      <c r="BD822" s="135"/>
      <c r="BE822" s="135"/>
    </row>
    <row r="823" spans="45:75" x14ac:dyDescent="0.3">
      <c r="AX823" s="42"/>
      <c r="AZ823" s="188"/>
      <c r="BB823" s="188"/>
    </row>
    <row r="824" spans="45:75" x14ac:dyDescent="0.3">
      <c r="AX824" s="135"/>
      <c r="AY824" s="135"/>
      <c r="AZ824" s="244"/>
      <c r="BA824" s="135"/>
      <c r="BB824" s="188"/>
      <c r="BC824" s="44"/>
      <c r="BD824" s="44"/>
    </row>
    <row r="825" spans="45:75" x14ac:dyDescent="0.3">
      <c r="AV825" s="44"/>
      <c r="AW825" s="44"/>
      <c r="AZ825" s="245"/>
      <c r="BA825" s="44"/>
      <c r="BB825" s="188"/>
      <c r="BC825" s="44"/>
      <c r="BD825" s="44"/>
      <c r="BE825" s="44"/>
      <c r="BG825" s="135"/>
      <c r="BH825" s="135"/>
      <c r="BI825" s="42"/>
      <c r="BM825" s="135"/>
      <c r="BN825" s="135"/>
      <c r="BP825" s="135"/>
      <c r="BQ825" s="135"/>
      <c r="BR825" s="42"/>
      <c r="BV825" s="135"/>
      <c r="BW825" s="135"/>
    </row>
    <row r="826" spans="45:75" x14ac:dyDescent="0.3">
      <c r="AV826" s="44"/>
      <c r="AW826" s="44"/>
      <c r="AX826" s="44"/>
      <c r="AY826" s="44"/>
      <c r="AZ826" s="245"/>
      <c r="BA826" s="44"/>
      <c r="BB826" s="245"/>
      <c r="BC826" s="44"/>
      <c r="BD826" s="44"/>
      <c r="BE826" s="44"/>
      <c r="BH826" s="44"/>
      <c r="BI826" s="44"/>
      <c r="BJ826" s="44"/>
      <c r="BK826" s="44"/>
      <c r="BL826" s="44"/>
      <c r="BM826" s="44"/>
      <c r="BQ826" s="44"/>
      <c r="BR826" s="44"/>
      <c r="BS826" s="44"/>
      <c r="BT826" s="44"/>
      <c r="BU826" s="44"/>
      <c r="BV826" s="44"/>
    </row>
    <row r="827" spans="45:75" x14ac:dyDescent="0.3">
      <c r="AS827" s="44"/>
      <c r="AU827" s="42"/>
      <c r="AV827" s="44"/>
      <c r="AW827" s="44"/>
      <c r="AX827" s="44"/>
      <c r="AY827" s="44"/>
      <c r="AZ827" s="245"/>
      <c r="BA827" s="44"/>
      <c r="BB827" s="245"/>
      <c r="BC827" s="44"/>
      <c r="BD827" s="44"/>
      <c r="BE827" s="44"/>
      <c r="BG827" s="44"/>
      <c r="BH827" s="44"/>
      <c r="BI827" s="44"/>
      <c r="BJ827" s="44"/>
      <c r="BK827" s="44"/>
      <c r="BL827" s="44"/>
      <c r="BM827" s="44"/>
      <c r="BN827" s="44"/>
      <c r="BP827" s="44"/>
      <c r="BQ827" s="44"/>
      <c r="BR827" s="44"/>
      <c r="BS827" s="44"/>
      <c r="BT827" s="44"/>
      <c r="BU827" s="44"/>
      <c r="BV827" s="44"/>
      <c r="BW827" s="44"/>
    </row>
    <row r="828" spans="45:75" x14ac:dyDescent="0.3">
      <c r="AS828" s="44"/>
      <c r="AU828" s="42"/>
      <c r="AV828" s="44"/>
      <c r="AW828" s="44"/>
      <c r="AX828" s="44"/>
      <c r="AY828" s="44"/>
      <c r="AZ828" s="245"/>
      <c r="BA828" s="44"/>
      <c r="BB828" s="245"/>
      <c r="BC828" s="44"/>
      <c r="BD828" s="44"/>
      <c r="BE828" s="44"/>
      <c r="BG828" s="44"/>
      <c r="BH828" s="44"/>
      <c r="BI828" s="44"/>
      <c r="BJ828" s="44"/>
      <c r="BK828" s="44"/>
      <c r="BL828" s="44"/>
      <c r="BM828" s="44"/>
      <c r="BN828" s="44"/>
      <c r="BP828" s="44"/>
      <c r="BQ828" s="44"/>
      <c r="BR828" s="44"/>
      <c r="BS828" s="44"/>
      <c r="BT828" s="44"/>
      <c r="BU828" s="44"/>
      <c r="BV828" s="44"/>
      <c r="BW828" s="44"/>
    </row>
    <row r="829" spans="45:75" x14ac:dyDescent="0.3">
      <c r="AS829" s="135"/>
      <c r="AT829" s="135"/>
      <c r="AU829" s="135"/>
      <c r="AV829" s="135"/>
      <c r="AW829" s="135"/>
      <c r="AX829" s="135"/>
      <c r="AY829" s="135"/>
      <c r="AZ829" s="244"/>
      <c r="BA829" s="135"/>
      <c r="BB829" s="244"/>
      <c r="BC829" s="135"/>
      <c r="BD829" s="135"/>
      <c r="BE829" s="135"/>
      <c r="BG829" s="135"/>
      <c r="BH829" s="135"/>
      <c r="BI829" s="135"/>
      <c r="BJ829" s="135"/>
      <c r="BK829" s="135"/>
      <c r="BL829" s="135"/>
      <c r="BM829" s="135"/>
      <c r="BN829" s="135"/>
      <c r="BP829" s="135"/>
      <c r="BQ829" s="135"/>
      <c r="BR829" s="135"/>
      <c r="BS829" s="135"/>
      <c r="BT829" s="135"/>
      <c r="BU829" s="135"/>
      <c r="BV829" s="135"/>
      <c r="BW829" s="135"/>
    </row>
    <row r="830" spans="45:75" x14ac:dyDescent="0.3">
      <c r="AV830" s="44"/>
      <c r="AW830" s="44"/>
      <c r="AX830" s="44"/>
      <c r="AY830" s="44"/>
      <c r="AZ830" s="245"/>
      <c r="BA830" s="44"/>
      <c r="BB830" s="245"/>
      <c r="BC830" s="44"/>
      <c r="BD830" s="44"/>
      <c r="BE830" s="44"/>
      <c r="BG830" s="188"/>
      <c r="BH830" s="188"/>
      <c r="BI830" s="188"/>
      <c r="BJ830" s="188"/>
      <c r="BK830" s="188"/>
      <c r="BL830" s="188"/>
      <c r="BM830" s="188"/>
      <c r="BN830" s="188"/>
      <c r="BO830" s="188"/>
      <c r="BP830" s="188"/>
      <c r="BQ830" s="188"/>
      <c r="BR830" s="188"/>
      <c r="BS830" s="188"/>
      <c r="BT830" s="188"/>
      <c r="BU830" s="188"/>
      <c r="BV830" s="188"/>
      <c r="BW830" s="188"/>
    </row>
    <row r="831" spans="45:75" x14ac:dyDescent="0.3">
      <c r="AU831" s="42"/>
      <c r="AW831" s="123"/>
      <c r="AX831" s="188"/>
      <c r="AY831" s="188"/>
      <c r="AZ831" s="188"/>
      <c r="BA831" s="236"/>
      <c r="BB831" s="188"/>
      <c r="BC831" s="188"/>
      <c r="BD831" s="188"/>
      <c r="BE831" s="236"/>
      <c r="BG831" s="188"/>
      <c r="BH831" s="188"/>
      <c r="BI831" s="188"/>
      <c r="BJ831" s="188"/>
      <c r="BK831" s="188"/>
      <c r="BL831" s="188"/>
      <c r="BM831" s="188"/>
      <c r="BN831" s="188"/>
      <c r="BO831" s="188"/>
      <c r="BP831" s="188"/>
      <c r="BQ831" s="188"/>
      <c r="BR831" s="188"/>
      <c r="BS831" s="188"/>
      <c r="BT831" s="188"/>
      <c r="BU831" s="188"/>
      <c r="BV831" s="188"/>
      <c r="BW831" s="188"/>
    </row>
    <row r="832" spans="45:75" x14ac:dyDescent="0.3">
      <c r="AW832" s="123"/>
      <c r="AX832" s="188"/>
      <c r="AY832" s="188"/>
      <c r="AZ832" s="188"/>
      <c r="BA832" s="236"/>
      <c r="BB832" s="188"/>
      <c r="BC832" s="188"/>
      <c r="BD832" s="188"/>
      <c r="BE832" s="236"/>
      <c r="BG832" s="188"/>
      <c r="BH832" s="188"/>
      <c r="BI832" s="188"/>
      <c r="BJ832" s="188"/>
      <c r="BK832" s="188"/>
      <c r="BL832" s="188"/>
      <c r="BM832" s="188"/>
      <c r="BN832" s="188"/>
      <c r="BO832" s="188"/>
      <c r="BP832" s="188"/>
      <c r="BQ832" s="188"/>
      <c r="BR832" s="188"/>
      <c r="BS832" s="188"/>
      <c r="BT832" s="188"/>
      <c r="BU832" s="188"/>
      <c r="BV832" s="188"/>
      <c r="BW832" s="188"/>
    </row>
    <row r="833" spans="49:75" x14ac:dyDescent="0.3">
      <c r="AW833" s="123"/>
      <c r="AX833" s="188"/>
      <c r="AY833" s="188"/>
      <c r="AZ833" s="188"/>
      <c r="BA833" s="236"/>
      <c r="BB833" s="188"/>
      <c r="BC833" s="188"/>
      <c r="BD833" s="188"/>
      <c r="BE833" s="236"/>
      <c r="BG833" s="188"/>
      <c r="BH833" s="188"/>
      <c r="BI833" s="188"/>
      <c r="BJ833" s="188"/>
      <c r="BK833" s="188"/>
      <c r="BL833" s="188"/>
      <c r="BM833" s="188"/>
      <c r="BN833" s="188"/>
      <c r="BO833" s="188"/>
      <c r="BP833" s="188"/>
      <c r="BQ833" s="188"/>
      <c r="BR833" s="188"/>
      <c r="BS833" s="188"/>
      <c r="BT833" s="188"/>
      <c r="BU833" s="188"/>
      <c r="BV833" s="188"/>
      <c r="BW833" s="188"/>
    </row>
    <row r="834" spans="49:75" x14ac:dyDescent="0.3">
      <c r="AW834" s="123"/>
      <c r="AX834" s="188"/>
      <c r="AY834" s="188"/>
      <c r="AZ834" s="188"/>
      <c r="BA834" s="236"/>
      <c r="BB834" s="188"/>
      <c r="BC834" s="188"/>
      <c r="BD834" s="188"/>
      <c r="BE834" s="236"/>
      <c r="BG834" s="188"/>
      <c r="BH834" s="188"/>
      <c r="BI834" s="188"/>
      <c r="BJ834" s="188"/>
      <c r="BK834" s="188"/>
      <c r="BL834" s="188"/>
      <c r="BM834" s="188"/>
      <c r="BN834" s="188"/>
      <c r="BO834" s="188"/>
      <c r="BP834" s="188"/>
      <c r="BQ834" s="188"/>
      <c r="BR834" s="188"/>
      <c r="BS834" s="188"/>
      <c r="BT834" s="188"/>
      <c r="BU834" s="188"/>
      <c r="BV834" s="188"/>
      <c r="BW834" s="188"/>
    </row>
    <row r="835" spans="49:75" x14ac:dyDescent="0.3">
      <c r="AW835" s="123"/>
      <c r="AX835" s="188"/>
      <c r="AY835" s="188"/>
      <c r="AZ835" s="188"/>
      <c r="BA835" s="236"/>
      <c r="BB835" s="188"/>
      <c r="BC835" s="188"/>
      <c r="BD835" s="188"/>
      <c r="BE835" s="236"/>
      <c r="BG835" s="188"/>
      <c r="BH835" s="188"/>
      <c r="BI835" s="188"/>
      <c r="BJ835" s="188"/>
      <c r="BK835" s="188"/>
      <c r="BL835" s="188"/>
      <c r="BM835" s="188"/>
      <c r="BN835" s="188"/>
      <c r="BO835" s="188"/>
      <c r="BP835" s="188"/>
      <c r="BQ835" s="188"/>
      <c r="BR835" s="188"/>
      <c r="BS835" s="188"/>
      <c r="BT835" s="188"/>
      <c r="BU835" s="188"/>
      <c r="BV835" s="188"/>
      <c r="BW835" s="188"/>
    </row>
    <row r="836" spans="49:75" x14ac:dyDescent="0.3">
      <c r="AW836" s="123"/>
      <c r="AX836" s="188"/>
      <c r="AY836" s="188"/>
      <c r="AZ836" s="188"/>
      <c r="BA836" s="236"/>
      <c r="BB836" s="188"/>
      <c r="BC836" s="188"/>
      <c r="BD836" s="188"/>
      <c r="BE836" s="236"/>
      <c r="BG836" s="188"/>
      <c r="BH836" s="188"/>
      <c r="BI836" s="188"/>
      <c r="BJ836" s="188"/>
      <c r="BK836" s="188"/>
      <c r="BL836" s="188"/>
      <c r="BM836" s="188"/>
      <c r="BN836" s="188"/>
      <c r="BO836" s="188"/>
      <c r="BP836" s="188"/>
      <c r="BQ836" s="188"/>
      <c r="BR836" s="188"/>
      <c r="BS836" s="188"/>
      <c r="BT836" s="188"/>
      <c r="BU836" s="188"/>
      <c r="BV836" s="188"/>
      <c r="BW836" s="188"/>
    </row>
    <row r="837" spans="49:75" x14ac:dyDescent="0.3">
      <c r="AW837" s="123"/>
      <c r="AX837" s="188"/>
      <c r="AY837" s="188"/>
      <c r="AZ837" s="188"/>
      <c r="BA837" s="236"/>
      <c r="BB837" s="188"/>
      <c r="BC837" s="188"/>
      <c r="BD837" s="188"/>
      <c r="BE837" s="236"/>
      <c r="BG837" s="188"/>
      <c r="BH837" s="188"/>
      <c r="BI837" s="188"/>
      <c r="BJ837" s="188"/>
      <c r="BK837" s="188"/>
      <c r="BL837" s="188"/>
      <c r="BM837" s="188"/>
      <c r="BN837" s="188"/>
      <c r="BO837" s="188"/>
      <c r="BP837" s="188"/>
      <c r="BQ837" s="188"/>
      <c r="BR837" s="188"/>
      <c r="BS837" s="188"/>
      <c r="BT837" s="188"/>
      <c r="BU837" s="188"/>
      <c r="BV837" s="188"/>
      <c r="BW837" s="188"/>
    </row>
    <row r="838" spans="49:75" x14ac:dyDescent="0.3">
      <c r="AW838" s="123"/>
      <c r="AX838" s="188"/>
      <c r="AY838" s="188"/>
      <c r="AZ838" s="188"/>
      <c r="BA838" s="236"/>
      <c r="BB838" s="188"/>
      <c r="BC838" s="188"/>
      <c r="BD838" s="188"/>
      <c r="BE838" s="236"/>
      <c r="BG838" s="188"/>
      <c r="BH838" s="188"/>
      <c r="BI838" s="188"/>
      <c r="BJ838" s="188"/>
      <c r="BK838" s="188"/>
      <c r="BL838" s="188"/>
      <c r="BM838" s="188"/>
      <c r="BN838" s="188"/>
      <c r="BO838" s="188"/>
      <c r="BP838" s="188"/>
      <c r="BQ838" s="188"/>
      <c r="BR838" s="188"/>
      <c r="BS838" s="188"/>
      <c r="BT838" s="188"/>
      <c r="BU838" s="188"/>
      <c r="BV838" s="188"/>
      <c r="BW838" s="188"/>
    </row>
    <row r="839" spans="49:75" x14ac:dyDescent="0.3">
      <c r="AW839" s="123"/>
      <c r="AX839" s="188"/>
      <c r="AY839" s="188"/>
      <c r="AZ839" s="188"/>
      <c r="BA839" s="236"/>
      <c r="BB839" s="188"/>
      <c r="BC839" s="188"/>
      <c r="BD839" s="188"/>
      <c r="BE839" s="236"/>
      <c r="BG839" s="188"/>
      <c r="BH839" s="188"/>
      <c r="BI839" s="188"/>
      <c r="BJ839" s="188"/>
      <c r="BK839" s="188"/>
      <c r="BL839" s="188"/>
      <c r="BM839" s="188"/>
      <c r="BN839" s="188"/>
      <c r="BO839" s="188"/>
      <c r="BP839" s="188"/>
      <c r="BQ839" s="188"/>
      <c r="BR839" s="188"/>
      <c r="BS839" s="188"/>
      <c r="BT839" s="188"/>
      <c r="BU839" s="188"/>
      <c r="BV839" s="188"/>
      <c r="BW839" s="188"/>
    </row>
    <row r="840" spans="49:75" x14ac:dyDescent="0.3">
      <c r="AW840" s="123"/>
      <c r="AX840" s="188"/>
      <c r="AY840" s="188"/>
      <c r="AZ840" s="188"/>
      <c r="BA840" s="236"/>
      <c r="BB840" s="188"/>
      <c r="BC840" s="188"/>
      <c r="BD840" s="188"/>
      <c r="BE840" s="236"/>
      <c r="BG840" s="188"/>
      <c r="BH840" s="188"/>
      <c r="BI840" s="188"/>
      <c r="BJ840" s="188"/>
      <c r="BK840" s="188"/>
      <c r="BL840" s="188"/>
      <c r="BM840" s="188"/>
      <c r="BN840" s="188"/>
      <c r="BO840" s="188"/>
      <c r="BP840" s="188"/>
      <c r="BQ840" s="188"/>
      <c r="BR840" s="188"/>
      <c r="BS840" s="188"/>
      <c r="BT840" s="188"/>
      <c r="BU840" s="188"/>
      <c r="BV840" s="188"/>
      <c r="BW840" s="188"/>
    </row>
    <row r="841" spans="49:75" x14ac:dyDescent="0.3">
      <c r="AW841" s="123"/>
      <c r="AX841" s="188"/>
      <c r="AY841" s="188"/>
      <c r="AZ841" s="188"/>
      <c r="BA841" s="236"/>
      <c r="BB841" s="188"/>
      <c r="BC841" s="188"/>
      <c r="BD841" s="188"/>
      <c r="BE841" s="236"/>
      <c r="BG841" s="188"/>
      <c r="BH841" s="188"/>
      <c r="BI841" s="188"/>
      <c r="BJ841" s="188"/>
      <c r="BK841" s="188"/>
      <c r="BL841" s="188"/>
      <c r="BM841" s="188"/>
      <c r="BN841" s="188"/>
      <c r="BO841" s="188"/>
      <c r="BP841" s="188"/>
      <c r="BQ841" s="188"/>
      <c r="BR841" s="188"/>
      <c r="BS841" s="188"/>
      <c r="BT841" s="188"/>
      <c r="BU841" s="188"/>
      <c r="BV841" s="188"/>
      <c r="BW841" s="188"/>
    </row>
    <row r="842" spans="49:75" x14ac:dyDescent="0.3">
      <c r="AW842" s="123"/>
      <c r="AX842" s="188"/>
      <c r="AY842" s="188"/>
      <c r="AZ842" s="188"/>
      <c r="BA842" s="236"/>
      <c r="BB842" s="188"/>
      <c r="BC842" s="188"/>
      <c r="BD842" s="188"/>
      <c r="BE842" s="236"/>
      <c r="BG842" s="188"/>
      <c r="BH842" s="188"/>
      <c r="BI842" s="188"/>
      <c r="BJ842" s="188"/>
      <c r="BK842" s="188"/>
      <c r="BL842" s="188"/>
      <c r="BM842" s="188"/>
      <c r="BN842" s="188"/>
      <c r="BO842" s="188"/>
      <c r="BP842" s="188"/>
      <c r="BQ842" s="188"/>
      <c r="BR842" s="188"/>
      <c r="BS842" s="188"/>
      <c r="BT842" s="188"/>
      <c r="BU842" s="188"/>
      <c r="BV842" s="188"/>
      <c r="BW842" s="188"/>
    </row>
    <row r="843" spans="49:75" x14ac:dyDescent="0.3">
      <c r="AW843" s="123"/>
      <c r="AX843" s="188"/>
      <c r="AY843" s="188"/>
      <c r="AZ843" s="188"/>
      <c r="BA843" s="236"/>
      <c r="BB843" s="188"/>
      <c r="BC843" s="188"/>
      <c r="BD843" s="188"/>
      <c r="BE843" s="236"/>
      <c r="BG843" s="188"/>
      <c r="BH843" s="188"/>
      <c r="BI843" s="188"/>
      <c r="BJ843" s="188"/>
      <c r="BK843" s="188"/>
      <c r="BL843" s="188"/>
      <c r="BM843" s="188"/>
      <c r="BN843" s="188"/>
      <c r="BO843" s="188"/>
      <c r="BP843" s="188"/>
      <c r="BQ843" s="188"/>
      <c r="BR843" s="188"/>
      <c r="BS843" s="188"/>
      <c r="BT843" s="188"/>
      <c r="BU843" s="188"/>
      <c r="BV843" s="188"/>
      <c r="BW843" s="188"/>
    </row>
    <row r="844" spans="49:75" x14ac:dyDescent="0.3">
      <c r="AW844" s="123"/>
      <c r="AX844" s="188"/>
      <c r="AY844" s="188"/>
      <c r="AZ844" s="188"/>
      <c r="BA844" s="236"/>
      <c r="BB844" s="188"/>
      <c r="BC844" s="188"/>
      <c r="BD844" s="188"/>
      <c r="BE844" s="236"/>
      <c r="BG844" s="188"/>
      <c r="BH844" s="188"/>
      <c r="BI844" s="188"/>
      <c r="BJ844" s="188"/>
      <c r="BK844" s="188"/>
      <c r="BL844" s="188"/>
      <c r="BM844" s="188"/>
      <c r="BN844" s="188"/>
      <c r="BO844" s="188"/>
      <c r="BP844" s="188"/>
      <c r="BQ844" s="188"/>
      <c r="BR844" s="188"/>
      <c r="BS844" s="188"/>
      <c r="BT844" s="188"/>
      <c r="BU844" s="188"/>
      <c r="BV844" s="188"/>
      <c r="BW844" s="188"/>
    </row>
    <row r="845" spans="49:75" x14ac:dyDescent="0.3">
      <c r="AW845" s="123"/>
      <c r="AX845" s="188"/>
      <c r="AY845" s="188"/>
      <c r="AZ845" s="188"/>
      <c r="BA845" s="236"/>
      <c r="BB845" s="188"/>
      <c r="BC845" s="188"/>
      <c r="BD845" s="188"/>
      <c r="BE845" s="236"/>
      <c r="BG845" s="188"/>
      <c r="BH845" s="188"/>
      <c r="BI845" s="188"/>
      <c r="BJ845" s="188"/>
      <c r="BK845" s="188"/>
      <c r="BL845" s="188"/>
      <c r="BM845" s="188"/>
      <c r="BN845" s="188"/>
      <c r="BO845" s="188"/>
      <c r="BP845" s="188"/>
      <c r="BQ845" s="188"/>
      <c r="BR845" s="188"/>
      <c r="BS845" s="188"/>
      <c r="BT845" s="188"/>
      <c r="BU845" s="188"/>
      <c r="BV845" s="188"/>
      <c r="BW845" s="188"/>
    </row>
    <row r="846" spans="49:75" x14ac:dyDescent="0.3">
      <c r="AW846" s="123"/>
      <c r="AX846" s="188"/>
      <c r="AY846" s="188"/>
      <c r="AZ846" s="188"/>
      <c r="BA846" s="236"/>
      <c r="BB846" s="188"/>
      <c r="BC846" s="188"/>
      <c r="BD846" s="188"/>
      <c r="BE846" s="236"/>
      <c r="BG846" s="188"/>
      <c r="BH846" s="188"/>
      <c r="BI846" s="188"/>
      <c r="BJ846" s="188"/>
      <c r="BK846" s="188"/>
      <c r="BL846" s="188"/>
      <c r="BM846" s="188"/>
      <c r="BN846" s="188"/>
      <c r="BO846" s="188"/>
      <c r="BP846" s="188"/>
      <c r="BQ846" s="188"/>
      <c r="BR846" s="188"/>
      <c r="BS846" s="188"/>
      <c r="BT846" s="188"/>
      <c r="BU846" s="188"/>
      <c r="BV846" s="188"/>
      <c r="BW846" s="188"/>
    </row>
    <row r="847" spans="49:75" x14ac:dyDescent="0.3">
      <c r="AW847" s="123"/>
      <c r="AX847" s="188"/>
      <c r="AY847" s="188"/>
      <c r="AZ847" s="188"/>
      <c r="BA847" s="236"/>
      <c r="BB847" s="188"/>
      <c r="BC847" s="188"/>
      <c r="BD847" s="188"/>
      <c r="BE847" s="236"/>
      <c r="BG847" s="188"/>
      <c r="BH847" s="188"/>
      <c r="BI847" s="188"/>
      <c r="BJ847" s="188"/>
      <c r="BK847" s="188"/>
      <c r="BL847" s="188"/>
      <c r="BM847" s="188"/>
      <c r="BN847" s="188"/>
      <c r="BO847" s="188"/>
      <c r="BP847" s="188"/>
      <c r="BQ847" s="188"/>
      <c r="BR847" s="188"/>
      <c r="BS847" s="188"/>
      <c r="BT847" s="188"/>
      <c r="BU847" s="188"/>
      <c r="BV847" s="188"/>
      <c r="BW847" s="188"/>
    </row>
    <row r="848" spans="49:75" x14ac:dyDescent="0.3">
      <c r="AW848" s="123"/>
      <c r="AX848" s="188"/>
      <c r="AY848" s="188"/>
      <c r="AZ848" s="188"/>
      <c r="BA848" s="236"/>
      <c r="BB848" s="188"/>
      <c r="BC848" s="188"/>
      <c r="BD848" s="188"/>
      <c r="BE848" s="236"/>
      <c r="BG848" s="188"/>
      <c r="BH848" s="188"/>
      <c r="BI848" s="188"/>
      <c r="BJ848" s="188"/>
      <c r="BK848" s="188"/>
      <c r="BL848" s="188"/>
      <c r="BM848" s="188"/>
      <c r="BN848" s="188"/>
      <c r="BO848" s="188"/>
      <c r="BP848" s="188"/>
      <c r="BQ848" s="188"/>
      <c r="BR848" s="188"/>
      <c r="BS848" s="188"/>
      <c r="BT848" s="188"/>
      <c r="BU848" s="188"/>
      <c r="BV848" s="188"/>
      <c r="BW848" s="188"/>
    </row>
    <row r="849" spans="45:75" x14ac:dyDescent="0.3">
      <c r="AW849" s="123"/>
      <c r="AX849" s="188"/>
      <c r="AY849" s="188"/>
      <c r="AZ849" s="188"/>
      <c r="BA849" s="236"/>
      <c r="BB849" s="188"/>
      <c r="BC849" s="188"/>
      <c r="BD849" s="188"/>
      <c r="BE849" s="236"/>
      <c r="BG849" s="188"/>
      <c r="BH849" s="188"/>
      <c r="BI849" s="188"/>
      <c r="BJ849" s="188"/>
      <c r="BK849" s="188"/>
      <c r="BL849" s="188"/>
      <c r="BM849" s="188"/>
      <c r="BN849" s="188"/>
      <c r="BO849" s="188"/>
      <c r="BP849" s="188"/>
      <c r="BQ849" s="188"/>
      <c r="BR849" s="188"/>
      <c r="BS849" s="188"/>
      <c r="BT849" s="188"/>
      <c r="BU849" s="188"/>
      <c r="BV849" s="188"/>
      <c r="BW849" s="188"/>
    </row>
    <row r="850" spans="45:75" x14ac:dyDescent="0.3">
      <c r="AW850" s="123"/>
      <c r="AX850" s="188"/>
      <c r="AY850" s="188"/>
      <c r="AZ850" s="188"/>
      <c r="BA850" s="236"/>
      <c r="BB850" s="188"/>
      <c r="BC850" s="188"/>
      <c r="BD850" s="188"/>
      <c r="BE850" s="236"/>
      <c r="BG850" s="188"/>
      <c r="BH850" s="188"/>
      <c r="BI850" s="188"/>
      <c r="BJ850" s="188"/>
      <c r="BK850" s="188"/>
      <c r="BL850" s="188"/>
      <c r="BM850" s="188"/>
      <c r="BN850" s="188"/>
      <c r="BO850" s="188"/>
      <c r="BP850" s="188"/>
      <c r="BQ850" s="188"/>
      <c r="BR850" s="188"/>
      <c r="BS850" s="188"/>
      <c r="BT850" s="188"/>
      <c r="BU850" s="188"/>
      <c r="BV850" s="188"/>
      <c r="BW850" s="188"/>
    </row>
    <row r="851" spans="45:75" x14ac:dyDescent="0.3">
      <c r="AW851" s="123"/>
      <c r="AX851" s="188"/>
      <c r="AY851" s="188"/>
      <c r="AZ851" s="188"/>
      <c r="BA851" s="236"/>
      <c r="BB851" s="188"/>
      <c r="BC851" s="188"/>
      <c r="BD851" s="188"/>
      <c r="BE851" s="236"/>
      <c r="BG851" s="188"/>
      <c r="BH851" s="188"/>
      <c r="BI851" s="188"/>
      <c r="BJ851" s="188"/>
      <c r="BK851" s="188"/>
      <c r="BL851" s="188"/>
      <c r="BM851" s="188"/>
      <c r="BN851" s="188"/>
      <c r="BO851" s="188"/>
      <c r="BP851" s="188"/>
      <c r="BQ851" s="188"/>
      <c r="BR851" s="188"/>
      <c r="BS851" s="188"/>
      <c r="BT851" s="188"/>
      <c r="BU851" s="188"/>
      <c r="BV851" s="188"/>
      <c r="BW851" s="188"/>
    </row>
    <row r="852" spans="45:75" x14ac:dyDescent="0.3">
      <c r="AW852" s="123"/>
      <c r="AX852" s="188"/>
      <c r="AY852" s="188"/>
      <c r="AZ852" s="188"/>
      <c r="BA852" s="236"/>
      <c r="BB852" s="188"/>
      <c r="BC852" s="188"/>
      <c r="BD852" s="188"/>
      <c r="BE852" s="236"/>
      <c r="BG852" s="135"/>
      <c r="BH852" s="135"/>
      <c r="BI852" s="42"/>
      <c r="BM852" s="135"/>
      <c r="BN852" s="135"/>
      <c r="BO852" s="188"/>
      <c r="BP852" s="135"/>
      <c r="BQ852" s="135"/>
      <c r="BR852" s="42"/>
      <c r="BV852" s="135"/>
      <c r="BW852" s="135"/>
    </row>
    <row r="853" spans="45:75" x14ac:dyDescent="0.3">
      <c r="AU853" s="42"/>
      <c r="AV853" s="44"/>
      <c r="AW853" s="123"/>
      <c r="AX853" s="188"/>
      <c r="AY853" s="188"/>
      <c r="AZ853" s="188"/>
      <c r="BA853" s="236"/>
      <c r="BB853" s="188"/>
      <c r="BC853" s="188"/>
      <c r="BD853" s="188"/>
      <c r="BE853" s="236"/>
      <c r="BG853" s="245"/>
      <c r="BH853" s="188"/>
      <c r="BI853" s="188"/>
      <c r="BJ853" s="188"/>
      <c r="BK853" s="245"/>
      <c r="BL853" s="246"/>
      <c r="BM853" s="188"/>
      <c r="BN853" s="245"/>
      <c r="BO853" s="188"/>
      <c r="BP853" s="245"/>
      <c r="BQ853" s="188"/>
      <c r="BR853" s="188"/>
      <c r="BS853" s="188"/>
      <c r="BT853" s="245"/>
      <c r="BU853" s="246"/>
      <c r="BV853" s="188"/>
      <c r="BW853" s="245"/>
    </row>
    <row r="854" spans="45:75" x14ac:dyDescent="0.3">
      <c r="AV854" s="44"/>
      <c r="AW854" s="123"/>
      <c r="AX854" s="188"/>
      <c r="AY854" s="188"/>
      <c r="AZ854" s="188"/>
      <c r="BA854" s="236"/>
      <c r="BB854" s="188"/>
      <c r="BC854" s="188"/>
      <c r="BD854" s="188"/>
      <c r="BE854" s="236"/>
      <c r="BG854" s="188"/>
      <c r="BH854" s="188"/>
      <c r="BI854" s="188"/>
      <c r="BJ854" s="188"/>
      <c r="BK854" s="188"/>
      <c r="BL854" s="246"/>
      <c r="BM854" s="188"/>
      <c r="BN854" s="188"/>
      <c r="BO854" s="188"/>
      <c r="BP854" s="188"/>
      <c r="BQ854" s="188"/>
      <c r="BR854" s="188"/>
      <c r="BS854" s="188"/>
      <c r="BT854" s="188"/>
      <c r="BU854" s="246"/>
      <c r="BV854" s="188"/>
      <c r="BW854" s="188"/>
    </row>
    <row r="855" spans="45:75" x14ac:dyDescent="0.3">
      <c r="AV855" s="44"/>
      <c r="AW855" s="123"/>
      <c r="AX855" s="188"/>
      <c r="AY855" s="188"/>
      <c r="AZ855" s="188"/>
      <c r="BA855" s="236"/>
      <c r="BB855" s="188"/>
      <c r="BC855" s="188"/>
      <c r="BD855" s="188"/>
      <c r="BE855" s="236"/>
      <c r="BG855" s="188"/>
      <c r="BH855" s="188"/>
      <c r="BI855" s="188"/>
      <c r="BJ855" s="188"/>
      <c r="BK855" s="188"/>
      <c r="BL855" s="246"/>
      <c r="BM855" s="188"/>
      <c r="BN855" s="188"/>
      <c r="BO855" s="188"/>
      <c r="BP855" s="188"/>
      <c r="BQ855" s="188"/>
      <c r="BR855" s="188"/>
      <c r="BS855" s="188"/>
      <c r="BT855" s="188"/>
      <c r="BU855" s="246"/>
      <c r="BV855" s="188"/>
      <c r="BW855" s="188"/>
    </row>
    <row r="856" spans="45:75" x14ac:dyDescent="0.3">
      <c r="AV856" s="44"/>
      <c r="AW856" s="123"/>
      <c r="AX856" s="188"/>
      <c r="AY856" s="188"/>
      <c r="AZ856" s="188"/>
      <c r="BA856" s="236"/>
      <c r="BB856" s="188"/>
      <c r="BC856" s="188"/>
      <c r="BD856" s="188"/>
      <c r="BE856" s="236"/>
      <c r="BG856" s="188"/>
      <c r="BH856" s="188"/>
      <c r="BI856" s="188"/>
      <c r="BJ856" s="188"/>
      <c r="BK856" s="188"/>
      <c r="BL856" s="246"/>
      <c r="BM856" s="188"/>
      <c r="BN856" s="188"/>
      <c r="BO856" s="188"/>
      <c r="BP856" s="188"/>
      <c r="BQ856" s="188"/>
      <c r="BR856" s="188"/>
      <c r="BS856" s="188"/>
      <c r="BT856" s="188"/>
      <c r="BU856" s="246"/>
      <c r="BV856" s="188"/>
      <c r="BW856" s="188"/>
    </row>
    <row r="857" spans="45:75" x14ac:dyDescent="0.3">
      <c r="AX857" s="188"/>
      <c r="AY857" s="188"/>
      <c r="AZ857" s="188"/>
      <c r="BA857" s="236"/>
      <c r="BB857" s="188"/>
      <c r="BC857" s="188"/>
      <c r="BD857" s="188"/>
      <c r="BE857" s="236"/>
      <c r="BG857" s="188"/>
      <c r="BH857" s="188"/>
      <c r="BI857" s="188"/>
      <c r="BJ857" s="188"/>
      <c r="BK857" s="188"/>
      <c r="BL857" s="188"/>
      <c r="BM857" s="188"/>
      <c r="BN857" s="188"/>
      <c r="BO857" s="188"/>
      <c r="BP857" s="188"/>
      <c r="BQ857" s="188"/>
      <c r="BR857" s="188"/>
      <c r="BS857" s="188"/>
      <c r="BT857" s="188"/>
      <c r="BU857" s="188"/>
      <c r="BV857" s="188"/>
    </row>
    <row r="858" spans="45:75" x14ac:dyDescent="0.3">
      <c r="AU858" s="42"/>
    </row>
    <row r="859" spans="45:75" x14ac:dyDescent="0.3">
      <c r="AU859" s="42"/>
      <c r="AZ859" s="188"/>
      <c r="BA859" s="236"/>
      <c r="BB859" s="188"/>
      <c r="BC859" s="188"/>
      <c r="BD859" s="188"/>
      <c r="BE859" s="236"/>
      <c r="BG859" s="188"/>
      <c r="BH859" s="188"/>
      <c r="BI859" s="188"/>
      <c r="BJ859" s="188"/>
      <c r="BK859" s="188"/>
      <c r="BL859" s="188"/>
      <c r="BM859" s="188"/>
      <c r="BN859" s="188"/>
      <c r="BO859" s="188"/>
      <c r="BP859" s="188"/>
      <c r="BQ859" s="188"/>
      <c r="BR859" s="188"/>
      <c r="BS859" s="188"/>
      <c r="BT859" s="188"/>
      <c r="BU859" s="188"/>
      <c r="BV859" s="188"/>
    </row>
    <row r="860" spans="45:75" x14ac:dyDescent="0.3">
      <c r="AS860" s="42"/>
      <c r="AZ860" s="188"/>
      <c r="BB860" s="188"/>
    </row>
    <row r="861" spans="45:75" x14ac:dyDescent="0.3">
      <c r="AZ861" s="188"/>
      <c r="BB861" s="188"/>
      <c r="BO861" s="188"/>
      <c r="BP861" s="188"/>
      <c r="BQ861" s="188"/>
      <c r="BR861" s="188"/>
      <c r="BS861" s="188"/>
      <c r="BT861" s="188"/>
      <c r="BU861" s="188"/>
      <c r="BV861" s="188"/>
    </row>
    <row r="862" spans="45:75" x14ac:dyDescent="0.3">
      <c r="AY862" s="188"/>
      <c r="AZ862" s="188"/>
      <c r="BB862" s="188"/>
      <c r="BO862" s="188"/>
      <c r="BP862" s="188"/>
      <c r="BQ862" s="188"/>
      <c r="BR862" s="188"/>
      <c r="BS862" s="188"/>
      <c r="BT862" s="188"/>
      <c r="BU862" s="188"/>
      <c r="BV862" s="188"/>
    </row>
    <row r="863" spans="45:75" x14ac:dyDescent="0.3">
      <c r="AY863" s="42"/>
      <c r="AZ863" s="188"/>
      <c r="BB863" s="188"/>
      <c r="BO863" s="188"/>
      <c r="BP863" s="188"/>
      <c r="BQ863" s="188"/>
      <c r="BR863" s="188"/>
      <c r="BS863" s="188"/>
      <c r="BT863" s="188"/>
      <c r="BU863" s="188"/>
      <c r="BV863" s="188"/>
    </row>
    <row r="864" spans="45:75" x14ac:dyDescent="0.3">
      <c r="AY864" s="42"/>
      <c r="AZ864" s="188"/>
      <c r="BB864" s="188"/>
      <c r="BO864" s="188"/>
      <c r="BP864" s="188"/>
      <c r="BQ864" s="188"/>
      <c r="BR864" s="188"/>
      <c r="BS864" s="188"/>
      <c r="BT864" s="188"/>
      <c r="BU864" s="188"/>
      <c r="BV864" s="188"/>
    </row>
    <row r="865" spans="45:74" x14ac:dyDescent="0.3">
      <c r="AZ865" s="188"/>
      <c r="BB865" s="188"/>
      <c r="BD865" s="42"/>
      <c r="BO865" s="188"/>
      <c r="BP865" s="188"/>
      <c r="BQ865" s="188"/>
      <c r="BR865" s="188"/>
      <c r="BS865" s="188"/>
      <c r="BT865" s="188"/>
      <c r="BU865" s="188"/>
      <c r="BV865" s="188"/>
    </row>
    <row r="866" spans="45:74" x14ac:dyDescent="0.3">
      <c r="AZ866" s="188"/>
      <c r="BB866" s="188"/>
      <c r="BD866" s="42"/>
      <c r="BO866" s="188"/>
      <c r="BP866" s="188"/>
      <c r="BQ866" s="188"/>
      <c r="BR866" s="188"/>
      <c r="BS866" s="188"/>
      <c r="BT866" s="188"/>
      <c r="BU866" s="188"/>
      <c r="BV866" s="188"/>
    </row>
    <row r="867" spans="45:74" x14ac:dyDescent="0.3">
      <c r="AS867" s="42"/>
      <c r="AZ867" s="188"/>
      <c r="BB867" s="188"/>
      <c r="BD867" s="42"/>
      <c r="BO867" s="188"/>
      <c r="BP867" s="188"/>
      <c r="BQ867" s="188"/>
      <c r="BR867" s="188"/>
      <c r="BS867" s="188"/>
      <c r="BT867" s="188"/>
      <c r="BU867" s="188"/>
      <c r="BV867" s="188"/>
    </row>
    <row r="868" spans="45:74" x14ac:dyDescent="0.3">
      <c r="AZ868" s="188"/>
      <c r="BB868" s="188"/>
      <c r="BO868" s="188"/>
      <c r="BP868" s="188"/>
      <c r="BQ868" s="188"/>
      <c r="BR868" s="188"/>
      <c r="BS868" s="188"/>
      <c r="BT868" s="188"/>
      <c r="BU868" s="188"/>
      <c r="BV868" s="188"/>
    </row>
    <row r="869" spans="45:74" x14ac:dyDescent="0.3">
      <c r="AS869" s="135"/>
      <c r="AT869" s="135"/>
      <c r="AU869" s="135"/>
      <c r="AV869" s="135"/>
      <c r="AW869" s="135"/>
      <c r="AX869" s="135"/>
      <c r="AY869" s="135"/>
      <c r="AZ869" s="244"/>
      <c r="BA869" s="135"/>
      <c r="BB869" s="244"/>
      <c r="BC869" s="135"/>
      <c r="BD869" s="135"/>
      <c r="BE869" s="135"/>
      <c r="BO869" s="188"/>
      <c r="BP869" s="188"/>
      <c r="BQ869" s="188"/>
      <c r="BR869" s="188"/>
      <c r="BS869" s="188"/>
      <c r="BT869" s="188"/>
      <c r="BU869" s="188"/>
      <c r="BV869" s="188"/>
    </row>
    <row r="870" spans="45:74" x14ac:dyDescent="0.3">
      <c r="AX870" s="42"/>
      <c r="AZ870" s="188"/>
      <c r="BB870" s="188"/>
      <c r="BO870" s="188"/>
      <c r="BP870" s="188"/>
      <c r="BQ870" s="188"/>
      <c r="BR870" s="188"/>
      <c r="BS870" s="188"/>
      <c r="BT870" s="188"/>
      <c r="BU870" s="188"/>
      <c r="BV870" s="188"/>
    </row>
    <row r="871" spans="45:74" x14ac:dyDescent="0.3">
      <c r="AX871" s="135"/>
      <c r="AY871" s="135"/>
      <c r="AZ871" s="244"/>
      <c r="BA871" s="135"/>
      <c r="BB871" s="188"/>
      <c r="BC871" s="44"/>
      <c r="BD871" s="44"/>
      <c r="BO871" s="188"/>
      <c r="BP871" s="188"/>
      <c r="BQ871" s="188"/>
      <c r="BR871" s="188"/>
      <c r="BS871" s="188"/>
      <c r="BT871" s="188"/>
      <c r="BU871" s="188"/>
      <c r="BV871" s="188"/>
    </row>
    <row r="872" spans="45:74" x14ac:dyDescent="0.3">
      <c r="AV872" s="44"/>
      <c r="AW872" s="44"/>
      <c r="AZ872" s="245"/>
      <c r="BA872" s="44"/>
      <c r="BB872" s="188"/>
      <c r="BC872" s="44"/>
      <c r="BD872" s="44"/>
      <c r="BE872" s="44"/>
      <c r="BG872" s="135"/>
      <c r="BH872" s="42"/>
      <c r="BK872" s="135"/>
      <c r="BM872" s="135"/>
      <c r="BN872" s="42"/>
      <c r="BQ872" s="135"/>
    </row>
    <row r="873" spans="45:74" x14ac:dyDescent="0.3">
      <c r="AV873" s="44"/>
      <c r="AW873" s="44"/>
      <c r="AX873" s="44"/>
      <c r="AY873" s="44"/>
      <c r="AZ873" s="245"/>
      <c r="BA873" s="44"/>
      <c r="BB873" s="245"/>
      <c r="BC873" s="44"/>
      <c r="BD873" s="44"/>
      <c r="BE873" s="44"/>
      <c r="BH873" s="44"/>
      <c r="BI873" s="44"/>
      <c r="BN873" s="44"/>
      <c r="BO873" s="44"/>
    </row>
    <row r="874" spans="45:74" x14ac:dyDescent="0.3">
      <c r="AS874" s="44"/>
      <c r="AU874" s="42"/>
      <c r="AV874" s="44"/>
      <c r="AW874" s="44"/>
      <c r="AX874" s="44"/>
      <c r="AY874" s="44"/>
      <c r="AZ874" s="245"/>
      <c r="BA874" s="44"/>
      <c r="BB874" s="245"/>
      <c r="BC874" s="44"/>
      <c r="BD874" s="44"/>
      <c r="BE874" s="44"/>
      <c r="BG874" s="44"/>
      <c r="BH874" s="44"/>
      <c r="BI874" s="44"/>
      <c r="BJ874" s="44"/>
      <c r="BK874" s="44"/>
      <c r="BM874" s="44"/>
      <c r="BN874" s="44"/>
      <c r="BO874" s="44"/>
      <c r="BP874" s="44"/>
      <c r="BQ874" s="44"/>
    </row>
    <row r="875" spans="45:74" x14ac:dyDescent="0.3">
      <c r="AS875" s="44"/>
      <c r="AU875" s="42"/>
      <c r="AV875" s="44"/>
      <c r="AW875" s="44"/>
      <c r="AX875" s="44"/>
      <c r="AY875" s="44"/>
      <c r="AZ875" s="245"/>
      <c r="BA875" s="44"/>
      <c r="BB875" s="245"/>
      <c r="BC875" s="44"/>
      <c r="BD875" s="44"/>
      <c r="BE875" s="44"/>
      <c r="BG875" s="44"/>
      <c r="BH875" s="44"/>
      <c r="BI875" s="44"/>
      <c r="BJ875" s="44"/>
      <c r="BK875" s="44"/>
      <c r="BM875" s="44"/>
      <c r="BN875" s="44"/>
      <c r="BO875" s="44"/>
      <c r="BP875" s="44"/>
      <c r="BQ875" s="44"/>
    </row>
    <row r="876" spans="45:74" x14ac:dyDescent="0.3">
      <c r="AS876" s="135"/>
      <c r="AT876" s="135"/>
      <c r="AU876" s="135"/>
      <c r="AV876" s="135"/>
      <c r="AW876" s="135"/>
      <c r="AX876" s="135"/>
      <c r="AY876" s="135"/>
      <c r="AZ876" s="244"/>
      <c r="BA876" s="135"/>
      <c r="BB876" s="244"/>
      <c r="BC876" s="135"/>
      <c r="BD876" s="135"/>
      <c r="BE876" s="135"/>
      <c r="BG876" s="135"/>
      <c r="BH876" s="135"/>
      <c r="BI876" s="135"/>
      <c r="BJ876" s="135"/>
      <c r="BK876" s="135"/>
      <c r="BM876" s="135"/>
      <c r="BN876" s="135"/>
      <c r="BO876" s="135"/>
      <c r="BP876" s="135"/>
      <c r="BQ876" s="135"/>
    </row>
    <row r="877" spans="45:74" x14ac:dyDescent="0.3">
      <c r="AV877" s="44"/>
      <c r="AW877" s="44"/>
      <c r="AX877" s="44"/>
      <c r="AY877" s="44"/>
      <c r="AZ877" s="245"/>
      <c r="BA877" s="44"/>
      <c r="BB877" s="245"/>
      <c r="BC877" s="44"/>
      <c r="BD877" s="44"/>
      <c r="BE877" s="44"/>
      <c r="BG877" s="188"/>
      <c r="BH877" s="188"/>
      <c r="BI877" s="188"/>
      <c r="BJ877" s="188"/>
      <c r="BK877" s="188"/>
      <c r="BL877" s="188"/>
      <c r="BM877" s="188"/>
      <c r="BN877" s="188"/>
      <c r="BO877" s="188"/>
      <c r="BP877" s="188"/>
      <c r="BQ877" s="188"/>
    </row>
    <row r="878" spans="45:74" x14ac:dyDescent="0.3">
      <c r="AT878" s="42"/>
      <c r="AV878" s="123"/>
      <c r="AW878" s="123"/>
      <c r="AX878" s="188"/>
      <c r="AY878" s="188"/>
      <c r="AZ878" s="188"/>
      <c r="BA878" s="236"/>
      <c r="BB878" s="188"/>
      <c r="BC878" s="188"/>
      <c r="BD878" s="188"/>
      <c r="BE878" s="236"/>
      <c r="BG878" s="188"/>
      <c r="BH878" s="188"/>
      <c r="BI878" s="188"/>
      <c r="BJ878" s="188"/>
      <c r="BK878" s="188"/>
      <c r="BL878" s="188"/>
      <c r="BM878" s="188"/>
      <c r="BN878" s="188"/>
      <c r="BO878" s="188"/>
      <c r="BP878" s="188"/>
      <c r="BQ878" s="188"/>
      <c r="BR878" s="188"/>
      <c r="BS878" s="188"/>
    </row>
    <row r="879" spans="45:74" x14ac:dyDescent="0.3">
      <c r="AV879" s="123"/>
      <c r="AW879" s="123"/>
      <c r="AX879" s="188"/>
      <c r="AY879" s="188"/>
      <c r="AZ879" s="188"/>
      <c r="BA879" s="236"/>
      <c r="BB879" s="188"/>
      <c r="BC879" s="188"/>
      <c r="BD879" s="188"/>
      <c r="BE879" s="236"/>
      <c r="BG879" s="188"/>
      <c r="BH879" s="188"/>
      <c r="BI879" s="188"/>
      <c r="BJ879" s="188"/>
      <c r="BK879" s="188"/>
      <c r="BL879" s="188"/>
      <c r="BM879" s="188"/>
      <c r="BN879" s="188"/>
      <c r="BO879" s="188"/>
      <c r="BP879" s="188"/>
      <c r="BQ879" s="188"/>
      <c r="BR879" s="188"/>
      <c r="BS879" s="188"/>
    </row>
    <row r="880" spans="45:74" x14ac:dyDescent="0.3">
      <c r="AV880" s="123"/>
      <c r="AW880" s="123"/>
      <c r="AX880" s="188"/>
      <c r="AY880" s="188"/>
      <c r="AZ880" s="188"/>
      <c r="BA880" s="236"/>
      <c r="BB880" s="188"/>
      <c r="BC880" s="188"/>
      <c r="BD880" s="188"/>
      <c r="BE880" s="236"/>
      <c r="BG880" s="188"/>
      <c r="BH880" s="188"/>
      <c r="BI880" s="188"/>
      <c r="BJ880" s="188"/>
      <c r="BK880" s="188"/>
      <c r="BL880" s="188"/>
      <c r="BM880" s="188"/>
      <c r="BN880" s="188"/>
      <c r="BO880" s="188"/>
      <c r="BP880" s="188"/>
      <c r="BQ880" s="188"/>
      <c r="BR880" s="188"/>
      <c r="BS880" s="188"/>
    </row>
    <row r="881" spans="48:71" x14ac:dyDescent="0.3">
      <c r="AV881" s="123"/>
      <c r="AW881" s="123"/>
      <c r="AX881" s="188"/>
      <c r="AY881" s="188"/>
      <c r="AZ881" s="188"/>
      <c r="BA881" s="236"/>
      <c r="BB881" s="188"/>
      <c r="BC881" s="188"/>
      <c r="BD881" s="188"/>
      <c r="BE881" s="236"/>
      <c r="BG881" s="188"/>
      <c r="BH881" s="188"/>
      <c r="BI881" s="188"/>
      <c r="BJ881" s="188"/>
      <c r="BK881" s="188"/>
      <c r="BL881" s="188"/>
      <c r="BM881" s="188"/>
      <c r="BN881" s="188"/>
      <c r="BO881" s="188"/>
      <c r="BP881" s="188"/>
      <c r="BQ881" s="188"/>
      <c r="BR881" s="188"/>
      <c r="BS881" s="188"/>
    </row>
    <row r="882" spans="48:71" x14ac:dyDescent="0.3">
      <c r="AV882" s="123"/>
      <c r="AW882" s="123"/>
      <c r="AX882" s="188"/>
      <c r="AY882" s="188"/>
      <c r="AZ882" s="188"/>
      <c r="BA882" s="236"/>
      <c r="BB882" s="188"/>
      <c r="BC882" s="188"/>
      <c r="BD882" s="188"/>
      <c r="BE882" s="236"/>
      <c r="BG882" s="188"/>
      <c r="BH882" s="188"/>
      <c r="BI882" s="188"/>
      <c r="BJ882" s="188"/>
      <c r="BK882" s="188"/>
      <c r="BL882" s="188"/>
      <c r="BM882" s="188"/>
      <c r="BN882" s="188"/>
      <c r="BO882" s="188"/>
      <c r="BP882" s="188"/>
      <c r="BQ882" s="188"/>
      <c r="BR882" s="188"/>
      <c r="BS882" s="188"/>
    </row>
    <row r="883" spans="48:71" x14ac:dyDescent="0.3">
      <c r="AV883" s="123"/>
      <c r="AW883" s="123"/>
      <c r="AX883" s="188"/>
      <c r="AY883" s="188"/>
      <c r="AZ883" s="188"/>
      <c r="BA883" s="236"/>
      <c r="BB883" s="188"/>
      <c r="BC883" s="188"/>
      <c r="BD883" s="188"/>
      <c r="BE883" s="236"/>
      <c r="BG883" s="188"/>
      <c r="BH883" s="188"/>
      <c r="BI883" s="188"/>
      <c r="BJ883" s="188"/>
      <c r="BK883" s="188"/>
      <c r="BL883" s="188"/>
      <c r="BM883" s="188"/>
      <c r="BN883" s="188"/>
      <c r="BO883" s="188"/>
      <c r="BP883" s="188"/>
      <c r="BQ883" s="188"/>
      <c r="BR883" s="188"/>
      <c r="BS883" s="188"/>
    </row>
    <row r="884" spans="48:71" x14ac:dyDescent="0.3">
      <c r="AV884" s="123"/>
      <c r="AW884" s="123"/>
      <c r="AX884" s="188"/>
      <c r="AY884" s="188"/>
      <c r="AZ884" s="188"/>
      <c r="BA884" s="236"/>
      <c r="BB884" s="188"/>
      <c r="BC884" s="188"/>
      <c r="BD884" s="188"/>
      <c r="BE884" s="236"/>
      <c r="BG884" s="188"/>
      <c r="BH884" s="188"/>
      <c r="BI884" s="188"/>
      <c r="BJ884" s="188"/>
      <c r="BK884" s="188"/>
      <c r="BL884" s="188"/>
      <c r="BM884" s="188"/>
      <c r="BN884" s="188"/>
      <c r="BO884" s="188"/>
      <c r="BP884" s="188"/>
      <c r="BQ884" s="188"/>
      <c r="BR884" s="188"/>
      <c r="BS884" s="188"/>
    </row>
    <row r="885" spans="48:71" x14ac:dyDescent="0.3">
      <c r="AV885" s="123"/>
      <c r="AW885" s="123"/>
      <c r="AX885" s="188"/>
      <c r="AY885" s="188"/>
      <c r="AZ885" s="188"/>
      <c r="BA885" s="236"/>
      <c r="BB885" s="188"/>
      <c r="BC885" s="188"/>
      <c r="BD885" s="188"/>
      <c r="BE885" s="236"/>
      <c r="BG885" s="188"/>
      <c r="BH885" s="188"/>
      <c r="BI885" s="188"/>
      <c r="BJ885" s="188"/>
      <c r="BK885" s="188"/>
      <c r="BL885" s="188"/>
      <c r="BM885" s="188"/>
      <c r="BN885" s="188"/>
      <c r="BO885" s="188"/>
      <c r="BP885" s="188"/>
      <c r="BQ885" s="188"/>
      <c r="BR885" s="188"/>
      <c r="BS885" s="188"/>
    </row>
    <row r="886" spans="48:71" x14ac:dyDescent="0.3">
      <c r="AV886" s="123"/>
      <c r="AW886" s="123"/>
      <c r="AX886" s="188"/>
      <c r="AY886" s="188"/>
      <c r="AZ886" s="188"/>
      <c r="BA886" s="236"/>
      <c r="BB886" s="188"/>
      <c r="BC886" s="188"/>
      <c r="BD886" s="188"/>
      <c r="BE886" s="236"/>
      <c r="BG886" s="188"/>
      <c r="BH886" s="188"/>
      <c r="BI886" s="188"/>
      <c r="BJ886" s="188"/>
      <c r="BK886" s="188"/>
      <c r="BL886" s="188"/>
      <c r="BM886" s="188"/>
      <c r="BN886" s="188"/>
      <c r="BO886" s="188"/>
      <c r="BP886" s="188"/>
      <c r="BQ886" s="188"/>
      <c r="BR886" s="188"/>
      <c r="BS886" s="188"/>
    </row>
    <row r="887" spans="48:71" x14ac:dyDescent="0.3">
      <c r="AV887" s="123"/>
      <c r="AW887" s="123"/>
      <c r="AX887" s="188"/>
      <c r="AY887" s="188"/>
      <c r="AZ887" s="188"/>
      <c r="BA887" s="236"/>
      <c r="BB887" s="188"/>
      <c r="BC887" s="188"/>
      <c r="BD887" s="188"/>
      <c r="BE887" s="236"/>
      <c r="BG887" s="188"/>
      <c r="BH887" s="188"/>
      <c r="BI887" s="188"/>
      <c r="BJ887" s="188"/>
      <c r="BK887" s="188"/>
      <c r="BL887" s="188"/>
      <c r="BM887" s="188"/>
      <c r="BN887" s="188"/>
      <c r="BO887" s="188"/>
      <c r="BP887" s="188"/>
      <c r="BQ887" s="188"/>
      <c r="BR887" s="188"/>
      <c r="BS887" s="188"/>
    </row>
    <row r="888" spans="48:71" x14ac:dyDescent="0.3">
      <c r="AV888" s="123"/>
      <c r="AW888" s="123"/>
      <c r="AX888" s="188"/>
      <c r="AY888" s="188"/>
      <c r="AZ888" s="188"/>
      <c r="BA888" s="236"/>
      <c r="BB888" s="188"/>
      <c r="BC888" s="188"/>
      <c r="BD888" s="188"/>
      <c r="BE888" s="236"/>
      <c r="BG888" s="188"/>
      <c r="BH888" s="188"/>
      <c r="BI888" s="188"/>
      <c r="BJ888" s="188"/>
      <c r="BK888" s="188"/>
      <c r="BL888" s="188"/>
      <c r="BM888" s="188"/>
      <c r="BN888" s="188"/>
      <c r="BO888" s="188"/>
      <c r="BP888" s="188"/>
      <c r="BQ888" s="188"/>
      <c r="BR888" s="188"/>
      <c r="BS888" s="188"/>
    </row>
    <row r="889" spans="48:71" x14ac:dyDescent="0.3">
      <c r="AV889" s="123"/>
      <c r="AW889" s="123"/>
      <c r="AX889" s="188"/>
      <c r="AY889" s="188"/>
      <c r="AZ889" s="188"/>
      <c r="BA889" s="236"/>
      <c r="BB889" s="188"/>
      <c r="BC889" s="188"/>
      <c r="BD889" s="188"/>
      <c r="BE889" s="236"/>
      <c r="BG889" s="188"/>
      <c r="BH889" s="188"/>
      <c r="BI889" s="188"/>
      <c r="BJ889" s="188"/>
      <c r="BK889" s="188"/>
      <c r="BL889" s="188"/>
      <c r="BM889" s="188"/>
      <c r="BN889" s="188"/>
      <c r="BO889" s="188"/>
      <c r="BP889" s="188"/>
      <c r="BQ889" s="188"/>
      <c r="BR889" s="188"/>
      <c r="BS889" s="188"/>
    </row>
    <row r="890" spans="48:71" x14ac:dyDescent="0.3">
      <c r="AV890" s="123"/>
      <c r="AW890" s="123"/>
      <c r="AX890" s="188"/>
      <c r="AY890" s="188"/>
      <c r="AZ890" s="188"/>
      <c r="BA890" s="236"/>
      <c r="BB890" s="188"/>
      <c r="BC890" s="188"/>
      <c r="BD890" s="188"/>
      <c r="BE890" s="236"/>
      <c r="BG890" s="188"/>
      <c r="BH890" s="188"/>
      <c r="BI890" s="188"/>
      <c r="BJ890" s="188"/>
      <c r="BK890" s="188"/>
      <c r="BL890" s="188"/>
      <c r="BM890" s="188"/>
      <c r="BN890" s="188"/>
      <c r="BO890" s="188"/>
      <c r="BP890" s="188"/>
      <c r="BQ890" s="188"/>
      <c r="BR890" s="188"/>
      <c r="BS890" s="188"/>
    </row>
    <row r="891" spans="48:71" x14ac:dyDescent="0.3">
      <c r="AV891" s="123"/>
      <c r="AW891" s="123"/>
      <c r="AX891" s="188"/>
      <c r="AY891" s="188"/>
      <c r="AZ891" s="188"/>
      <c r="BA891" s="236"/>
      <c r="BB891" s="188"/>
      <c r="BC891" s="188"/>
      <c r="BD891" s="188"/>
      <c r="BE891" s="236"/>
      <c r="BG891" s="188"/>
      <c r="BH891" s="188"/>
      <c r="BI891" s="188"/>
      <c r="BJ891" s="188"/>
      <c r="BK891" s="188"/>
      <c r="BL891" s="188"/>
      <c r="BM891" s="188"/>
      <c r="BN891" s="188"/>
      <c r="BO891" s="188"/>
      <c r="BP891" s="188"/>
      <c r="BQ891" s="188"/>
      <c r="BR891" s="188"/>
      <c r="BS891" s="188"/>
    </row>
    <row r="892" spans="48:71" x14ac:dyDescent="0.3">
      <c r="AV892" s="123"/>
      <c r="AW892" s="123"/>
      <c r="AX892" s="188"/>
      <c r="AY892" s="188"/>
      <c r="AZ892" s="188"/>
      <c r="BA892" s="236"/>
      <c r="BB892" s="188"/>
      <c r="BC892" s="188"/>
      <c r="BD892" s="188"/>
      <c r="BE892" s="236"/>
      <c r="BG892" s="188"/>
      <c r="BH892" s="188"/>
      <c r="BI892" s="188"/>
      <c r="BJ892" s="188"/>
      <c r="BK892" s="188"/>
      <c r="BL892" s="188"/>
      <c r="BM892" s="188"/>
      <c r="BN892" s="188"/>
      <c r="BO892" s="188"/>
      <c r="BP892" s="188"/>
      <c r="BQ892" s="188"/>
      <c r="BR892" s="188"/>
      <c r="BS892" s="188"/>
    </row>
    <row r="893" spans="48:71" x14ac:dyDescent="0.3">
      <c r="AV893" s="123"/>
      <c r="AW893" s="123"/>
      <c r="AX893" s="188"/>
      <c r="AY893" s="188"/>
      <c r="AZ893" s="188"/>
      <c r="BA893" s="236"/>
      <c r="BB893" s="188"/>
      <c r="BC893" s="188"/>
      <c r="BD893" s="188"/>
      <c r="BE893" s="236"/>
      <c r="BG893" s="188"/>
      <c r="BH893" s="188"/>
      <c r="BI893" s="188"/>
      <c r="BJ893" s="188"/>
      <c r="BK893" s="188"/>
      <c r="BL893" s="188"/>
      <c r="BM893" s="188"/>
      <c r="BN893" s="188"/>
      <c r="BO893" s="188"/>
      <c r="BP893" s="188"/>
      <c r="BQ893" s="188"/>
      <c r="BR893" s="188"/>
      <c r="BS893" s="188"/>
    </row>
    <row r="894" spans="48:71" x14ac:dyDescent="0.3">
      <c r="AV894" s="123"/>
      <c r="AW894" s="123"/>
      <c r="AX894" s="188"/>
      <c r="AY894" s="188"/>
      <c r="AZ894" s="188"/>
      <c r="BA894" s="236"/>
      <c r="BB894" s="188"/>
      <c r="BC894" s="188"/>
      <c r="BD894" s="188"/>
      <c r="BE894" s="236"/>
      <c r="BG894" s="188"/>
      <c r="BH894" s="188"/>
      <c r="BI894" s="188"/>
      <c r="BJ894" s="188"/>
      <c r="BK894" s="188"/>
      <c r="BL894" s="188"/>
      <c r="BM894" s="188"/>
      <c r="BN894" s="188"/>
      <c r="BO894" s="188"/>
      <c r="BP894" s="188"/>
      <c r="BQ894" s="188"/>
      <c r="BR894" s="188"/>
      <c r="BS894" s="188"/>
    </row>
    <row r="895" spans="48:71" x14ac:dyDescent="0.3">
      <c r="AV895" s="123"/>
      <c r="AW895" s="123"/>
      <c r="AX895" s="188"/>
      <c r="AY895" s="188"/>
      <c r="AZ895" s="188"/>
      <c r="BA895" s="236"/>
      <c r="BB895" s="188"/>
      <c r="BC895" s="188"/>
      <c r="BD895" s="188"/>
      <c r="BE895" s="236"/>
      <c r="BG895" s="188"/>
      <c r="BH895" s="188"/>
      <c r="BI895" s="188"/>
      <c r="BJ895" s="188"/>
      <c r="BK895" s="188"/>
      <c r="BL895" s="188"/>
      <c r="BM895" s="188"/>
      <c r="BN895" s="188"/>
      <c r="BO895" s="188"/>
      <c r="BP895" s="188"/>
      <c r="BQ895" s="188"/>
      <c r="BR895" s="188"/>
      <c r="BS895" s="188"/>
    </row>
    <row r="896" spans="48:71" x14ac:dyDescent="0.3">
      <c r="AZ896" s="188"/>
      <c r="BB896" s="188"/>
      <c r="BC896" s="188"/>
      <c r="BD896" s="188"/>
      <c r="BG896" s="188"/>
      <c r="BH896" s="188"/>
      <c r="BI896" s="188"/>
      <c r="BJ896" s="188"/>
      <c r="BK896" s="188"/>
      <c r="BL896" s="188"/>
      <c r="BM896" s="188"/>
      <c r="BN896" s="188"/>
      <c r="BO896" s="188"/>
      <c r="BP896" s="188"/>
      <c r="BQ896" s="188"/>
      <c r="BR896" s="188"/>
      <c r="BS896" s="188"/>
    </row>
    <row r="897" spans="46:57" x14ac:dyDescent="0.3">
      <c r="AT897" s="42"/>
      <c r="AV897" s="123"/>
      <c r="AW897" s="123"/>
      <c r="AX897" s="188"/>
      <c r="AY897" s="188"/>
      <c r="AZ897" s="188"/>
      <c r="BA897" s="236"/>
      <c r="BB897" s="188"/>
      <c r="BC897" s="188"/>
      <c r="BD897" s="188"/>
      <c r="BE897" s="236"/>
    </row>
    <row r="898" spans="46:57" x14ac:dyDescent="0.3">
      <c r="AV898" s="123"/>
      <c r="AW898" s="123"/>
      <c r="AX898" s="188"/>
      <c r="AY898" s="188"/>
      <c r="AZ898" s="188"/>
      <c r="BA898" s="236"/>
      <c r="BB898" s="188"/>
      <c r="BC898" s="188"/>
      <c r="BD898" s="188"/>
      <c r="BE898" s="236"/>
    </row>
    <row r="899" spans="46:57" x14ac:dyDescent="0.3">
      <c r="AV899" s="123"/>
      <c r="AW899" s="123"/>
      <c r="AX899" s="188"/>
      <c r="AY899" s="188"/>
      <c r="AZ899" s="188"/>
      <c r="BA899" s="236"/>
      <c r="BB899" s="188"/>
      <c r="BC899" s="188"/>
      <c r="BD899" s="188"/>
      <c r="BE899" s="236"/>
    </row>
    <row r="900" spans="46:57" x14ac:dyDescent="0.3">
      <c r="AV900" s="123"/>
      <c r="AW900" s="123"/>
      <c r="AX900" s="188"/>
      <c r="AY900" s="188"/>
      <c r="AZ900" s="188"/>
      <c r="BA900" s="236"/>
      <c r="BB900" s="188"/>
      <c r="BC900" s="188"/>
      <c r="BD900" s="188"/>
      <c r="BE900" s="236"/>
    </row>
    <row r="901" spans="46:57" x14ac:dyDescent="0.3">
      <c r="AV901" s="123"/>
      <c r="AW901" s="123"/>
      <c r="AX901" s="188"/>
      <c r="AY901" s="188"/>
      <c r="AZ901" s="188"/>
      <c r="BA901" s="236"/>
      <c r="BB901" s="188"/>
      <c r="BC901" s="188"/>
      <c r="BD901" s="188"/>
      <c r="BE901" s="236"/>
    </row>
    <row r="902" spans="46:57" x14ac:dyDescent="0.3">
      <c r="AV902" s="123"/>
      <c r="AW902" s="123"/>
      <c r="AX902" s="188"/>
      <c r="AY902" s="188"/>
      <c r="AZ902" s="188"/>
      <c r="BA902" s="236"/>
      <c r="BB902" s="188"/>
      <c r="BC902" s="188"/>
      <c r="BD902" s="188"/>
      <c r="BE902" s="236"/>
    </row>
    <row r="903" spans="46:57" x14ac:dyDescent="0.3">
      <c r="AV903" s="123"/>
      <c r="AW903" s="123"/>
      <c r="AX903" s="188"/>
      <c r="AY903" s="188"/>
      <c r="AZ903" s="188"/>
      <c r="BA903" s="236"/>
      <c r="BB903" s="188"/>
      <c r="BC903" s="188"/>
      <c r="BD903" s="188"/>
      <c r="BE903" s="236"/>
    </row>
    <row r="904" spans="46:57" x14ac:dyDescent="0.3">
      <c r="AV904" s="123"/>
      <c r="AW904" s="123"/>
      <c r="AX904" s="188"/>
      <c r="AY904" s="188"/>
      <c r="AZ904" s="188"/>
      <c r="BA904" s="236"/>
      <c r="BB904" s="188"/>
      <c r="BC904" s="188"/>
      <c r="BD904" s="188"/>
      <c r="BE904" s="236"/>
    </row>
    <row r="905" spans="46:57" x14ac:dyDescent="0.3">
      <c r="AV905" s="123"/>
      <c r="AW905" s="123"/>
      <c r="AX905" s="188"/>
      <c r="AY905" s="188"/>
      <c r="AZ905" s="188"/>
      <c r="BA905" s="236"/>
      <c r="BB905" s="188"/>
      <c r="BC905" s="188"/>
      <c r="BD905" s="188"/>
      <c r="BE905" s="236"/>
    </row>
    <row r="906" spans="46:57" x14ac:dyDescent="0.3">
      <c r="AV906" s="123"/>
      <c r="AW906" s="123"/>
      <c r="AX906" s="188"/>
      <c r="AY906" s="188"/>
      <c r="AZ906" s="188"/>
      <c r="BA906" s="236"/>
      <c r="BB906" s="188"/>
      <c r="BC906" s="188"/>
      <c r="BD906" s="188"/>
      <c r="BE906" s="236"/>
    </row>
    <row r="907" spans="46:57" x14ac:dyDescent="0.3">
      <c r="AV907" s="123"/>
      <c r="AW907" s="123"/>
      <c r="AX907" s="188"/>
      <c r="AY907" s="188"/>
      <c r="AZ907" s="188"/>
      <c r="BA907" s="236"/>
      <c r="BB907" s="188"/>
      <c r="BC907" s="188"/>
      <c r="BD907" s="188"/>
      <c r="BE907" s="236"/>
    </row>
    <row r="908" spans="46:57" x14ac:dyDescent="0.3">
      <c r="AV908" s="123"/>
      <c r="AW908" s="123"/>
      <c r="AX908" s="188"/>
      <c r="AY908" s="188"/>
      <c r="AZ908" s="188"/>
      <c r="BA908" s="236"/>
      <c r="BB908" s="188"/>
      <c r="BC908" s="188"/>
      <c r="BD908" s="188"/>
      <c r="BE908" s="236"/>
    </row>
    <row r="909" spans="46:57" x14ac:dyDescent="0.3">
      <c r="AV909" s="123"/>
      <c r="AW909" s="123"/>
      <c r="AX909" s="188"/>
      <c r="AY909" s="188"/>
      <c r="AZ909" s="188"/>
      <c r="BA909" s="236"/>
      <c r="BB909" s="188"/>
      <c r="BC909" s="188"/>
      <c r="BD909" s="188"/>
      <c r="BE909" s="236"/>
    </row>
    <row r="910" spans="46:57" x14ac:dyDescent="0.3">
      <c r="AV910" s="123"/>
      <c r="AW910" s="123"/>
      <c r="AX910" s="188"/>
      <c r="AY910" s="188"/>
      <c r="AZ910" s="188"/>
      <c r="BA910" s="236"/>
      <c r="BB910" s="188"/>
      <c r="BC910" s="188"/>
      <c r="BD910" s="188"/>
      <c r="BE910" s="236"/>
    </row>
    <row r="911" spans="46:57" x14ac:dyDescent="0.3">
      <c r="AV911" s="123"/>
      <c r="AW911" s="123"/>
      <c r="AX911" s="188"/>
      <c r="AY911" s="188"/>
      <c r="AZ911" s="188"/>
      <c r="BA911" s="236"/>
      <c r="BB911" s="188"/>
      <c r="BC911" s="188"/>
      <c r="BD911" s="188"/>
      <c r="BE911" s="236"/>
    </row>
    <row r="912" spans="46:57" x14ac:dyDescent="0.3">
      <c r="AV912" s="123"/>
      <c r="AW912" s="123"/>
      <c r="AX912" s="188"/>
      <c r="AY912" s="188"/>
      <c r="AZ912" s="188"/>
      <c r="BA912" s="236"/>
      <c r="BB912" s="188"/>
      <c r="BC912" s="188"/>
      <c r="BD912" s="188"/>
      <c r="BE912" s="236"/>
    </row>
    <row r="913" spans="45:57" x14ac:dyDescent="0.3">
      <c r="AV913" s="123"/>
      <c r="AW913" s="123"/>
      <c r="AX913" s="188"/>
      <c r="AY913" s="188"/>
      <c r="AZ913" s="188"/>
      <c r="BA913" s="236"/>
      <c r="BB913" s="188"/>
      <c r="BC913" s="188"/>
      <c r="BD913" s="188"/>
      <c r="BE913" s="236"/>
    </row>
    <row r="914" spans="45:57" x14ac:dyDescent="0.3">
      <c r="AV914" s="123"/>
      <c r="AW914" s="123"/>
      <c r="AX914" s="188"/>
      <c r="AY914" s="188"/>
      <c r="AZ914" s="188"/>
      <c r="BA914" s="236"/>
      <c r="BB914" s="188"/>
      <c r="BC914" s="188"/>
      <c r="BD914" s="188"/>
      <c r="BE914" s="236"/>
    </row>
    <row r="915" spans="45:57" x14ac:dyDescent="0.3">
      <c r="BB915" s="188"/>
    </row>
    <row r="916" spans="45:57" x14ac:dyDescent="0.3">
      <c r="AU916" s="42"/>
      <c r="BB916" s="188"/>
    </row>
    <row r="917" spans="45:57" x14ac:dyDescent="0.3">
      <c r="AU917" s="42"/>
    </row>
    <row r="918" spans="45:57" x14ac:dyDescent="0.3">
      <c r="AU918" s="42"/>
      <c r="BB918" s="188"/>
    </row>
    <row r="919" spans="45:57" x14ac:dyDescent="0.3">
      <c r="AS919" s="42"/>
      <c r="AZ919" s="188"/>
      <c r="BB919" s="188"/>
    </row>
    <row r="920" spans="45:57" x14ac:dyDescent="0.3">
      <c r="AZ920" s="188"/>
      <c r="BB920" s="188"/>
    </row>
    <row r="921" spans="45:57" x14ac:dyDescent="0.3">
      <c r="AY921" s="188"/>
      <c r="AZ921" s="188"/>
      <c r="BB921" s="188"/>
    </row>
    <row r="922" spans="45:57" x14ac:dyDescent="0.3">
      <c r="AY922" s="42"/>
      <c r="AZ922" s="188"/>
      <c r="BB922" s="188"/>
    </row>
    <row r="923" spans="45:57" x14ac:dyDescent="0.3">
      <c r="AY923" s="42"/>
      <c r="AZ923" s="188"/>
      <c r="BB923" s="188"/>
    </row>
    <row r="924" spans="45:57" x14ac:dyDescent="0.3">
      <c r="AZ924" s="188"/>
      <c r="BB924" s="188"/>
      <c r="BD924" s="42"/>
    </row>
    <row r="925" spans="45:57" x14ac:dyDescent="0.3">
      <c r="AZ925" s="188"/>
      <c r="BB925" s="188"/>
      <c r="BD925" s="42"/>
    </row>
    <row r="926" spans="45:57" x14ac:dyDescent="0.3">
      <c r="AS926" s="42"/>
      <c r="AZ926" s="188"/>
      <c r="BB926" s="188"/>
      <c r="BD926" s="42"/>
    </row>
    <row r="927" spans="45:57" x14ac:dyDescent="0.3">
      <c r="AZ927" s="188"/>
      <c r="BB927" s="188"/>
    </row>
    <row r="928" spans="45:57" x14ac:dyDescent="0.3">
      <c r="AS928" s="135"/>
      <c r="AT928" s="135"/>
      <c r="AU928" s="135"/>
      <c r="AV928" s="135"/>
      <c r="AW928" s="135"/>
      <c r="AX928" s="135"/>
      <c r="AY928" s="135"/>
      <c r="AZ928" s="244"/>
      <c r="BA928" s="135"/>
      <c r="BB928" s="244"/>
      <c r="BC928" s="135"/>
      <c r="BD928" s="135"/>
      <c r="BE928" s="135"/>
    </row>
    <row r="929" spans="45:57" x14ac:dyDescent="0.3">
      <c r="AX929" s="42"/>
      <c r="AZ929" s="188"/>
      <c r="BB929" s="188"/>
    </row>
    <row r="930" spans="45:57" x14ac:dyDescent="0.3">
      <c r="AX930" s="135"/>
      <c r="AY930" s="135"/>
      <c r="AZ930" s="244"/>
      <c r="BA930" s="135"/>
      <c r="BB930" s="188"/>
      <c r="BC930" s="44"/>
      <c r="BD930" s="44"/>
    </row>
    <row r="931" spans="45:57" x14ac:dyDescent="0.3">
      <c r="AV931" s="44"/>
      <c r="AW931" s="44"/>
      <c r="AZ931" s="245"/>
      <c r="BA931" s="44"/>
      <c r="BB931" s="188"/>
      <c r="BC931" s="44"/>
      <c r="BD931" s="44"/>
      <c r="BE931" s="44"/>
    </row>
    <row r="932" spans="45:57" x14ac:dyDescent="0.3">
      <c r="AV932" s="44"/>
      <c r="AW932" s="44"/>
      <c r="AX932" s="44"/>
      <c r="AY932" s="44"/>
      <c r="AZ932" s="245"/>
      <c r="BA932" s="44"/>
      <c r="BB932" s="245"/>
      <c r="BC932" s="44"/>
      <c r="BD932" s="44"/>
      <c r="BE932" s="44"/>
    </row>
    <row r="933" spans="45:57" x14ac:dyDescent="0.3">
      <c r="AS933" s="44"/>
      <c r="AU933" s="42"/>
      <c r="AV933" s="44"/>
      <c r="AW933" s="44"/>
      <c r="AX933" s="44"/>
      <c r="AY933" s="44"/>
      <c r="AZ933" s="245"/>
      <c r="BA933" s="44"/>
      <c r="BB933" s="245"/>
      <c r="BC933" s="44"/>
      <c r="BD933" s="44"/>
      <c r="BE933" s="44"/>
    </row>
    <row r="934" spans="45:57" x14ac:dyDescent="0.3">
      <c r="AS934" s="44"/>
      <c r="AU934" s="42"/>
      <c r="AV934" s="44"/>
      <c r="AW934" s="44"/>
      <c r="AX934" s="44"/>
      <c r="AY934" s="44"/>
      <c r="AZ934" s="245"/>
      <c r="BA934" s="44"/>
      <c r="BB934" s="245"/>
      <c r="BC934" s="44"/>
      <c r="BD934" s="44"/>
      <c r="BE934" s="44"/>
    </row>
    <row r="935" spans="45:57" x14ac:dyDescent="0.3">
      <c r="AS935" s="135"/>
      <c r="AT935" s="135"/>
      <c r="AU935" s="135"/>
      <c r="AV935" s="135"/>
      <c r="AW935" s="135"/>
      <c r="AX935" s="135"/>
      <c r="AY935" s="135"/>
      <c r="AZ935" s="244"/>
      <c r="BA935" s="135"/>
      <c r="BB935" s="244"/>
      <c r="BC935" s="135"/>
      <c r="BD935" s="135"/>
      <c r="BE935" s="135"/>
    </row>
    <row r="936" spans="45:57" x14ac:dyDescent="0.3">
      <c r="AV936" s="44"/>
      <c r="AW936" s="44"/>
      <c r="AX936" s="44"/>
      <c r="AY936" s="44"/>
      <c r="AZ936" s="245"/>
      <c r="BA936" s="44"/>
      <c r="BB936" s="245"/>
      <c r="BC936" s="44"/>
      <c r="BD936" s="44"/>
      <c r="BE936" s="44"/>
    </row>
    <row r="937" spans="45:57" x14ac:dyDescent="0.3">
      <c r="AT937" s="42"/>
      <c r="AV937" s="123"/>
      <c r="AW937" s="123"/>
      <c r="AX937" s="188"/>
      <c r="AY937" s="188"/>
      <c r="AZ937" s="188"/>
      <c r="BA937" s="236"/>
      <c r="BB937" s="188"/>
      <c r="BC937" s="188"/>
      <c r="BD937" s="188"/>
      <c r="BE937" s="236"/>
    </row>
    <row r="938" spans="45:57" x14ac:dyDescent="0.3">
      <c r="AV938" s="123"/>
      <c r="AW938" s="123"/>
      <c r="AX938" s="188"/>
      <c r="AY938" s="188"/>
      <c r="AZ938" s="188"/>
      <c r="BA938" s="236"/>
      <c r="BB938" s="188"/>
      <c r="BC938" s="188"/>
      <c r="BD938" s="188"/>
      <c r="BE938" s="236"/>
    </row>
    <row r="939" spans="45:57" x14ac:dyDescent="0.3">
      <c r="AV939" s="123"/>
      <c r="AW939" s="123"/>
      <c r="AX939" s="188"/>
      <c r="AY939" s="188"/>
      <c r="AZ939" s="188"/>
      <c r="BA939" s="236"/>
      <c r="BB939" s="188"/>
      <c r="BC939" s="188"/>
      <c r="BD939" s="188"/>
      <c r="BE939" s="236"/>
    </row>
    <row r="940" spans="45:57" x14ac:dyDescent="0.3">
      <c r="AV940" s="123"/>
      <c r="AW940" s="123"/>
      <c r="AX940" s="188"/>
      <c r="AY940" s="188"/>
      <c r="AZ940" s="188"/>
      <c r="BA940" s="236"/>
      <c r="BB940" s="188"/>
      <c r="BC940" s="188"/>
      <c r="BD940" s="188"/>
      <c r="BE940" s="236"/>
    </row>
    <row r="941" spans="45:57" x14ac:dyDescent="0.3">
      <c r="AV941" s="123"/>
      <c r="AW941" s="123"/>
      <c r="AX941" s="188"/>
      <c r="AY941" s="188"/>
      <c r="AZ941" s="188"/>
      <c r="BA941" s="236"/>
      <c r="BB941" s="188"/>
      <c r="BC941" s="188"/>
      <c r="BD941" s="188"/>
      <c r="BE941" s="236"/>
    </row>
    <row r="942" spans="45:57" x14ac:dyDescent="0.3">
      <c r="AV942" s="123"/>
      <c r="AW942" s="123"/>
      <c r="AX942" s="188"/>
      <c r="AY942" s="188"/>
      <c r="AZ942" s="188"/>
      <c r="BA942" s="236"/>
      <c r="BB942" s="188"/>
      <c r="BC942" s="188"/>
      <c r="BD942" s="188"/>
      <c r="BE942" s="236"/>
    </row>
    <row r="943" spans="45:57" x14ac:dyDescent="0.3">
      <c r="AV943" s="123"/>
      <c r="AW943" s="123"/>
      <c r="AX943" s="188"/>
      <c r="AY943" s="188"/>
      <c r="AZ943" s="188"/>
      <c r="BA943" s="236"/>
      <c r="BB943" s="188"/>
      <c r="BC943" s="188"/>
      <c r="BD943" s="188"/>
      <c r="BE943" s="236"/>
    </row>
    <row r="944" spans="45:57" x14ac:dyDescent="0.3">
      <c r="AV944" s="123"/>
      <c r="AW944" s="123"/>
      <c r="AX944" s="188"/>
      <c r="AY944" s="188"/>
      <c r="AZ944" s="188"/>
      <c r="BA944" s="236"/>
      <c r="BB944" s="188"/>
      <c r="BC944" s="188"/>
      <c r="BD944" s="188"/>
      <c r="BE944" s="236"/>
    </row>
    <row r="945" spans="46:57" x14ac:dyDescent="0.3">
      <c r="AV945" s="123"/>
      <c r="AW945" s="123"/>
      <c r="AX945" s="188"/>
      <c r="AY945" s="188"/>
      <c r="AZ945" s="188"/>
      <c r="BA945" s="236"/>
      <c r="BB945" s="188"/>
      <c r="BC945" s="188"/>
      <c r="BD945" s="188"/>
      <c r="BE945" s="236"/>
    </row>
    <row r="946" spans="46:57" x14ac:dyDescent="0.3">
      <c r="AV946" s="123"/>
      <c r="AW946" s="123"/>
      <c r="AX946" s="188"/>
      <c r="AY946" s="188"/>
      <c r="AZ946" s="188"/>
      <c r="BA946" s="236"/>
      <c r="BB946" s="188"/>
      <c r="BC946" s="188"/>
      <c r="BD946" s="188"/>
      <c r="BE946" s="236"/>
    </row>
    <row r="947" spans="46:57" x14ac:dyDescent="0.3">
      <c r="AV947" s="123"/>
      <c r="AW947" s="123"/>
      <c r="BB947" s="188"/>
    </row>
    <row r="948" spans="46:57" x14ac:dyDescent="0.3">
      <c r="AT948" s="42"/>
      <c r="AV948" s="123"/>
      <c r="AW948" s="123"/>
      <c r="AX948" s="188"/>
      <c r="AY948" s="188"/>
      <c r="AZ948" s="188"/>
      <c r="BA948" s="236"/>
      <c r="BB948" s="188"/>
      <c r="BC948" s="188"/>
      <c r="BD948" s="188"/>
      <c r="BE948" s="236"/>
    </row>
    <row r="949" spans="46:57" x14ac:dyDescent="0.3">
      <c r="AV949" s="123"/>
      <c r="AW949" s="123"/>
      <c r="AX949" s="188"/>
      <c r="AY949" s="188"/>
      <c r="AZ949" s="188"/>
      <c r="BA949" s="236"/>
      <c r="BB949" s="188"/>
      <c r="BC949" s="188"/>
      <c r="BD949" s="188"/>
      <c r="BE949" s="236"/>
    </row>
    <row r="950" spans="46:57" x14ac:dyDescent="0.3">
      <c r="AV950" s="123"/>
      <c r="AW950" s="123"/>
      <c r="AX950" s="188"/>
      <c r="AY950" s="188"/>
      <c r="AZ950" s="188"/>
      <c r="BA950" s="236"/>
      <c r="BB950" s="188"/>
      <c r="BC950" s="188"/>
      <c r="BD950" s="188"/>
      <c r="BE950" s="236"/>
    </row>
    <row r="951" spans="46:57" x14ac:dyDescent="0.3">
      <c r="AV951" s="123"/>
      <c r="AW951" s="123"/>
      <c r="AX951" s="188"/>
      <c r="AY951" s="188"/>
      <c r="AZ951" s="188"/>
      <c r="BA951" s="236"/>
      <c r="BB951" s="188"/>
      <c r="BC951" s="188"/>
      <c r="BD951" s="188"/>
      <c r="BE951" s="236"/>
    </row>
    <row r="952" spans="46:57" x14ac:dyDescent="0.3">
      <c r="AV952" s="123"/>
      <c r="AW952" s="123"/>
      <c r="AX952" s="188"/>
      <c r="AY952" s="188"/>
      <c r="AZ952" s="188"/>
      <c r="BA952" s="236"/>
      <c r="BB952" s="188"/>
      <c r="BC952" s="188"/>
      <c r="BD952" s="188"/>
      <c r="BE952" s="236"/>
    </row>
    <row r="953" spans="46:57" x14ac:dyDescent="0.3">
      <c r="AV953" s="123"/>
      <c r="AW953" s="123"/>
      <c r="AX953" s="188"/>
      <c r="AY953" s="188"/>
      <c r="AZ953" s="188"/>
      <c r="BA953" s="236"/>
      <c r="BB953" s="188"/>
      <c r="BC953" s="188"/>
      <c r="BD953" s="188"/>
      <c r="BE953" s="236"/>
    </row>
    <row r="954" spans="46:57" x14ac:dyDescent="0.3">
      <c r="AV954" s="123"/>
      <c r="AW954" s="123"/>
      <c r="AX954" s="188"/>
      <c r="AY954" s="188"/>
      <c r="AZ954" s="188"/>
      <c r="BA954" s="236"/>
      <c r="BB954" s="188"/>
      <c r="BC954" s="188"/>
      <c r="BD954" s="188"/>
      <c r="BE954" s="236"/>
    </row>
    <row r="955" spans="46:57" x14ac:dyDescent="0.3">
      <c r="AV955" s="123"/>
      <c r="AW955" s="123"/>
      <c r="AX955" s="188"/>
      <c r="AY955" s="188"/>
      <c r="AZ955" s="188"/>
      <c r="BA955" s="236"/>
      <c r="BB955" s="188"/>
      <c r="BC955" s="188"/>
      <c r="BD955" s="188"/>
      <c r="BE955" s="236"/>
    </row>
    <row r="956" spans="46:57" x14ac:dyDescent="0.3">
      <c r="AV956" s="123"/>
      <c r="AW956" s="123"/>
      <c r="AX956" s="188"/>
      <c r="AY956" s="188"/>
      <c r="AZ956" s="188"/>
      <c r="BA956" s="236"/>
      <c r="BB956" s="188"/>
      <c r="BC956" s="188"/>
      <c r="BD956" s="188"/>
      <c r="BE956" s="236"/>
    </row>
    <row r="957" spans="46:57" x14ac:dyDescent="0.3">
      <c r="AV957" s="123"/>
      <c r="AW957" s="123"/>
      <c r="AX957" s="188"/>
      <c r="AY957" s="188"/>
      <c r="AZ957" s="188"/>
      <c r="BA957" s="236"/>
      <c r="BB957" s="188"/>
      <c r="BC957" s="188"/>
      <c r="BD957" s="188"/>
      <c r="BE957" s="236"/>
    </row>
    <row r="959" spans="46:57" x14ac:dyDescent="0.3">
      <c r="AU959" s="42"/>
    </row>
    <row r="960" spans="46:57" x14ac:dyDescent="0.3">
      <c r="AU960" s="42"/>
    </row>
    <row r="961" spans="45:47" x14ac:dyDescent="0.3">
      <c r="AU961" s="42"/>
    </row>
    <row r="962" spans="45:47" x14ac:dyDescent="0.3">
      <c r="AS962" s="42"/>
    </row>
    <row r="983" spans="52:71" x14ac:dyDescent="0.3">
      <c r="AZ983" s="188"/>
      <c r="BB983" s="188"/>
      <c r="BC983" s="188"/>
      <c r="BD983" s="188"/>
      <c r="BG983" s="188"/>
      <c r="BH983" s="188"/>
      <c r="BI983" s="188"/>
      <c r="BJ983" s="188"/>
      <c r="BK983" s="188"/>
      <c r="BL983" s="188"/>
      <c r="BM983" s="188"/>
      <c r="BN983" s="188"/>
      <c r="BO983" s="188"/>
      <c r="BP983" s="188"/>
      <c r="BQ983" s="188"/>
      <c r="BR983" s="188"/>
      <c r="BS983" s="188"/>
    </row>
    <row r="984" spans="52:71" x14ac:dyDescent="0.3">
      <c r="AZ984" s="188"/>
      <c r="BB984" s="188"/>
      <c r="BC984" s="188"/>
      <c r="BD984" s="188"/>
      <c r="BG984" s="188"/>
      <c r="BH984" s="188"/>
      <c r="BI984" s="188"/>
      <c r="BJ984" s="188"/>
      <c r="BK984" s="188"/>
      <c r="BL984" s="188"/>
      <c r="BM984" s="188"/>
      <c r="BN984" s="188"/>
      <c r="BO984" s="188"/>
      <c r="BP984" s="188"/>
      <c r="BQ984" s="188"/>
      <c r="BR984" s="188"/>
      <c r="BS984" s="188"/>
    </row>
    <row r="985" spans="52:71" x14ac:dyDescent="0.3">
      <c r="AZ985" s="188"/>
      <c r="BB985" s="188"/>
      <c r="BC985" s="188"/>
      <c r="BD985" s="188"/>
      <c r="BG985" s="188"/>
      <c r="BH985" s="188"/>
      <c r="BI985" s="188"/>
      <c r="BJ985" s="188"/>
      <c r="BK985" s="188"/>
      <c r="BL985" s="188"/>
      <c r="BM985" s="188"/>
      <c r="BN985" s="188"/>
      <c r="BO985" s="188"/>
      <c r="BP985" s="188"/>
      <c r="BQ985" s="188"/>
      <c r="BR985" s="188"/>
      <c r="BS985" s="188"/>
    </row>
    <row r="986" spans="52:71" x14ac:dyDescent="0.3">
      <c r="AZ986" s="188"/>
      <c r="BB986" s="188"/>
      <c r="BC986" s="188"/>
      <c r="BD986" s="188"/>
      <c r="BG986" s="188"/>
      <c r="BH986" s="188"/>
      <c r="BI986" s="188"/>
      <c r="BJ986" s="188"/>
      <c r="BK986" s="188"/>
      <c r="BL986" s="188"/>
      <c r="BM986" s="188"/>
      <c r="BN986" s="188"/>
      <c r="BO986" s="188"/>
      <c r="BP986" s="188"/>
      <c r="BQ986" s="188"/>
      <c r="BR986" s="188"/>
      <c r="BS986" s="188"/>
    </row>
    <row r="987" spans="52:71" x14ac:dyDescent="0.3">
      <c r="AZ987" s="188"/>
      <c r="BB987" s="188"/>
      <c r="BC987" s="188"/>
      <c r="BD987" s="188"/>
      <c r="BG987" s="188"/>
      <c r="BH987" s="188"/>
      <c r="BI987" s="188"/>
      <c r="BJ987" s="188"/>
      <c r="BK987" s="188"/>
      <c r="BL987" s="188"/>
      <c r="BM987" s="188"/>
      <c r="BN987" s="188"/>
      <c r="BO987" s="188"/>
      <c r="BP987" s="188"/>
      <c r="BQ987" s="188"/>
      <c r="BR987" s="188"/>
      <c r="BS987" s="188"/>
    </row>
    <row r="988" spans="52:71" x14ac:dyDescent="0.3">
      <c r="AZ988" s="188"/>
      <c r="BB988" s="188"/>
      <c r="BC988" s="188"/>
      <c r="BD988" s="188"/>
      <c r="BG988" s="188"/>
      <c r="BH988" s="188"/>
      <c r="BI988" s="188"/>
      <c r="BJ988" s="188"/>
      <c r="BK988" s="188"/>
      <c r="BL988" s="188"/>
      <c r="BM988" s="188"/>
      <c r="BN988" s="188"/>
      <c r="BO988" s="188"/>
      <c r="BP988" s="188"/>
      <c r="BQ988" s="188"/>
      <c r="BR988" s="188"/>
      <c r="BS988" s="188"/>
    </row>
    <row r="989" spans="52:71" x14ac:dyDescent="0.3">
      <c r="AZ989" s="188"/>
      <c r="BB989" s="188"/>
      <c r="BC989" s="188"/>
      <c r="BD989" s="188"/>
      <c r="BG989" s="188"/>
      <c r="BH989" s="188"/>
      <c r="BI989" s="188"/>
      <c r="BJ989" s="188"/>
      <c r="BK989" s="188"/>
      <c r="BL989" s="188"/>
      <c r="BM989" s="188"/>
      <c r="BN989" s="188"/>
      <c r="BO989" s="188"/>
      <c r="BP989" s="188"/>
      <c r="BQ989" s="188"/>
      <c r="BR989" s="188"/>
      <c r="BS989" s="188"/>
    </row>
    <row r="990" spans="52:71" x14ac:dyDescent="0.3">
      <c r="AZ990" s="188"/>
      <c r="BB990" s="188"/>
      <c r="BC990" s="188"/>
      <c r="BD990" s="188"/>
      <c r="BG990" s="188"/>
      <c r="BH990" s="188"/>
      <c r="BI990" s="188"/>
      <c r="BJ990" s="188"/>
      <c r="BK990" s="188"/>
      <c r="BL990" s="188"/>
      <c r="BM990" s="188"/>
      <c r="BN990" s="188"/>
      <c r="BO990" s="188"/>
      <c r="BP990" s="188"/>
      <c r="BQ990" s="188"/>
      <c r="BR990" s="188"/>
      <c r="BS990" s="188"/>
    </row>
    <row r="991" spans="52:71" x14ac:dyDescent="0.3">
      <c r="AZ991" s="188"/>
      <c r="BB991" s="188"/>
      <c r="BC991" s="188"/>
      <c r="BD991" s="188"/>
      <c r="BG991" s="188"/>
      <c r="BH991" s="188"/>
      <c r="BI991" s="188"/>
      <c r="BJ991" s="188"/>
      <c r="BK991" s="188"/>
      <c r="BL991" s="188"/>
      <c r="BM991" s="188"/>
      <c r="BN991" s="188"/>
      <c r="BO991" s="188"/>
      <c r="BP991" s="188"/>
      <c r="BQ991" s="188"/>
      <c r="BR991" s="188"/>
      <c r="BS991" s="188"/>
    </row>
    <row r="992" spans="52:71" x14ac:dyDescent="0.3">
      <c r="AZ992" s="188"/>
      <c r="BB992" s="188"/>
      <c r="BC992" s="188"/>
      <c r="BD992" s="188"/>
      <c r="BG992" s="188"/>
      <c r="BH992" s="188"/>
      <c r="BI992" s="188"/>
      <c r="BJ992" s="188"/>
      <c r="BK992" s="188"/>
      <c r="BL992" s="188"/>
      <c r="BM992" s="188"/>
      <c r="BN992" s="188"/>
      <c r="BO992" s="188"/>
      <c r="BP992" s="188"/>
      <c r="BQ992" s="188"/>
      <c r="BR992" s="188"/>
      <c r="BS992" s="188"/>
    </row>
    <row r="993" spans="52:71" x14ac:dyDescent="0.3">
      <c r="AZ993" s="188"/>
      <c r="BB993" s="188"/>
      <c r="BC993" s="188"/>
      <c r="BD993" s="188"/>
      <c r="BG993" s="188"/>
      <c r="BH993" s="188"/>
      <c r="BI993" s="188"/>
      <c r="BJ993" s="188"/>
      <c r="BK993" s="188"/>
      <c r="BL993" s="188"/>
      <c r="BM993" s="188"/>
      <c r="BN993" s="188"/>
      <c r="BO993" s="188"/>
      <c r="BP993" s="188"/>
      <c r="BQ993" s="188"/>
      <c r="BR993" s="188"/>
      <c r="BS993" s="188"/>
    </row>
    <row r="994" spans="52:71" x14ac:dyDescent="0.3">
      <c r="AZ994" s="188"/>
      <c r="BB994" s="188"/>
      <c r="BC994" s="188"/>
      <c r="BD994" s="188"/>
      <c r="BG994" s="188"/>
      <c r="BH994" s="188"/>
      <c r="BI994" s="188"/>
      <c r="BJ994" s="188"/>
      <c r="BK994" s="188"/>
      <c r="BL994" s="188"/>
      <c r="BM994" s="188"/>
      <c r="BN994" s="188"/>
      <c r="BO994" s="188"/>
      <c r="BP994" s="188"/>
      <c r="BQ994" s="188"/>
      <c r="BR994" s="188"/>
      <c r="BS994" s="188"/>
    </row>
    <row r="995" spans="52:71" x14ac:dyDescent="0.3">
      <c r="AZ995" s="188"/>
      <c r="BG995" s="188"/>
      <c r="BH995" s="188"/>
      <c r="BI995" s="188"/>
      <c r="BJ995" s="188"/>
      <c r="BK995" s="188"/>
      <c r="BL995" s="188"/>
      <c r="BM995" s="188"/>
      <c r="BN995" s="188"/>
      <c r="BO995" s="188"/>
      <c r="BP995" s="188"/>
      <c r="BQ995" s="188"/>
      <c r="BR995" s="188"/>
      <c r="BS995" s="188"/>
    </row>
    <row r="996" spans="52:71" x14ac:dyDescent="0.3">
      <c r="AZ996" s="188"/>
      <c r="BG996" s="188"/>
      <c r="BH996" s="188"/>
      <c r="BI996" s="188"/>
      <c r="BJ996" s="188"/>
      <c r="BK996" s="188"/>
      <c r="BL996" s="188"/>
      <c r="BM996" s="188"/>
      <c r="BN996" s="188"/>
      <c r="BO996" s="188"/>
      <c r="BP996" s="188"/>
      <c r="BQ996" s="188"/>
      <c r="BR996" s="188"/>
      <c r="BS996" s="188"/>
    </row>
    <row r="997" spans="52:71" x14ac:dyDescent="0.3">
      <c r="AZ997" s="188"/>
      <c r="BG997" s="188"/>
      <c r="BH997" s="188"/>
      <c r="BI997" s="188"/>
      <c r="BJ997" s="188"/>
      <c r="BK997" s="188"/>
      <c r="BL997" s="188"/>
      <c r="BM997" s="188"/>
      <c r="BN997" s="188"/>
      <c r="BO997" s="188"/>
      <c r="BP997" s="188"/>
      <c r="BQ997" s="188"/>
      <c r="BR997" s="188"/>
      <c r="BS997" s="188"/>
    </row>
    <row r="998" spans="52:71" x14ac:dyDescent="0.3">
      <c r="AZ998" s="188"/>
      <c r="BG998" s="188"/>
      <c r="BH998" s="188"/>
      <c r="BI998" s="188"/>
      <c r="BJ998" s="188"/>
      <c r="BK998" s="188"/>
      <c r="BL998" s="188"/>
      <c r="BM998" s="188"/>
      <c r="BN998" s="188"/>
      <c r="BO998" s="188"/>
      <c r="BP998" s="188"/>
      <c r="BQ998" s="188"/>
      <c r="BR998" s="188"/>
      <c r="BS998" s="188"/>
    </row>
    <row r="999" spans="52:71" x14ac:dyDescent="0.3">
      <c r="AZ999" s="188"/>
      <c r="BG999" s="188"/>
      <c r="BH999" s="188"/>
      <c r="BI999" s="188"/>
      <c r="BJ999" s="188"/>
      <c r="BK999" s="188"/>
      <c r="BL999" s="188"/>
      <c r="BM999" s="188"/>
      <c r="BN999" s="188"/>
      <c r="BO999" s="188"/>
      <c r="BP999" s="188"/>
      <c r="BQ999" s="188"/>
      <c r="BR999" s="188"/>
      <c r="BS999" s="188"/>
    </row>
    <row r="1000" spans="52:71" x14ac:dyDescent="0.3">
      <c r="AZ1000" s="188"/>
      <c r="BG1000" s="188"/>
      <c r="BH1000" s="188"/>
      <c r="BI1000" s="188"/>
      <c r="BJ1000" s="188"/>
      <c r="BK1000" s="188"/>
      <c r="BL1000" s="188"/>
      <c r="BM1000" s="188"/>
      <c r="BN1000" s="188"/>
      <c r="BO1000" s="188"/>
      <c r="BP1000" s="188"/>
      <c r="BQ1000" s="188"/>
      <c r="BR1000" s="188"/>
      <c r="BS1000" s="188"/>
    </row>
    <row r="1001" spans="52:71" x14ac:dyDescent="0.3">
      <c r="AZ1001" s="188"/>
      <c r="BG1001" s="188"/>
      <c r="BH1001" s="188"/>
      <c r="BI1001" s="188"/>
      <c r="BJ1001" s="188"/>
      <c r="BK1001" s="188"/>
      <c r="BL1001" s="188"/>
      <c r="BM1001" s="188"/>
      <c r="BN1001" s="188"/>
      <c r="BO1001" s="188"/>
      <c r="BP1001" s="188"/>
      <c r="BQ1001" s="188"/>
      <c r="BR1001" s="188"/>
      <c r="BS1001" s="188"/>
    </row>
    <row r="1002" spans="52:71" x14ac:dyDescent="0.3">
      <c r="AZ1002" s="188"/>
    </row>
    <row r="1003" spans="52:71" x14ac:dyDescent="0.3">
      <c r="AZ1003" s="188"/>
    </row>
    <row r="1017" spans="1:28" x14ac:dyDescent="0.3">
      <c r="A1017" s="42"/>
    </row>
    <row r="1020" spans="1:28" x14ac:dyDescent="0.3">
      <c r="Y1020" s="42"/>
    </row>
    <row r="1021" spans="1:28" x14ac:dyDescent="0.3">
      <c r="A1021" s="42"/>
      <c r="H1021" s="42"/>
      <c r="I1021" s="42"/>
    </row>
    <row r="1022" spans="1:28" x14ac:dyDescent="0.3">
      <c r="A1022" s="42"/>
      <c r="V1022" s="44"/>
      <c r="AA1022" s="44"/>
      <c r="AB1022" s="44"/>
    </row>
    <row r="1023" spans="1:28" x14ac:dyDescent="0.3">
      <c r="A1023" s="42"/>
      <c r="V1023" s="135"/>
      <c r="AA1023" s="135"/>
      <c r="AB1023" s="135"/>
    </row>
    <row r="1024" spans="1:28" x14ac:dyDescent="0.3">
      <c r="A1024" s="42"/>
      <c r="U1024" s="42"/>
      <c r="AA1024" s="44"/>
      <c r="AB1024" s="44"/>
    </row>
    <row r="1025" spans="1:28" x14ac:dyDescent="0.3">
      <c r="A1025" s="42"/>
    </row>
    <row r="1026" spans="1:28" x14ac:dyDescent="0.3">
      <c r="A1026" s="42"/>
      <c r="U1026" s="42"/>
      <c r="AA1026" s="44"/>
      <c r="AB1026" s="44"/>
    </row>
    <row r="1027" spans="1:28" x14ac:dyDescent="0.3">
      <c r="A1027" s="42"/>
    </row>
    <row r="1028" spans="1:28" x14ac:dyDescent="0.3">
      <c r="A1028" s="42"/>
      <c r="U1028" s="42"/>
      <c r="V1028" s="247"/>
      <c r="AA1028" s="44"/>
      <c r="AB1028" s="44"/>
    </row>
    <row r="1029" spans="1:28" x14ac:dyDescent="0.3">
      <c r="A1029" s="42"/>
    </row>
    <row r="1030" spans="1:28" x14ac:dyDescent="0.3">
      <c r="A1030" s="42"/>
      <c r="U1030" s="42"/>
      <c r="AA1030" s="44"/>
      <c r="AB1030" s="44"/>
    </row>
    <row r="1031" spans="1:28" x14ac:dyDescent="0.3">
      <c r="A1031" s="42"/>
    </row>
    <row r="1032" spans="1:28" x14ac:dyDescent="0.3">
      <c r="A1032" s="42"/>
      <c r="U1032" s="42"/>
      <c r="AA1032" s="44"/>
      <c r="AB1032" s="44"/>
    </row>
    <row r="1033" spans="1:28" x14ac:dyDescent="0.3">
      <c r="A1033" s="42"/>
    </row>
    <row r="1034" spans="1:28" x14ac:dyDescent="0.3">
      <c r="A1034" s="42"/>
    </row>
    <row r="1035" spans="1:28" x14ac:dyDescent="0.3">
      <c r="A1035" s="42"/>
    </row>
    <row r="1036" spans="1:28" x14ac:dyDescent="0.3">
      <c r="A1036" s="42"/>
    </row>
    <row r="1037" spans="1:28" x14ac:dyDescent="0.3">
      <c r="A1037" s="42"/>
    </row>
    <row r="1038" spans="1:28" x14ac:dyDescent="0.3">
      <c r="A1038" s="42"/>
    </row>
    <row r="1039" spans="1:28" x14ac:dyDescent="0.3">
      <c r="A1039" s="42"/>
    </row>
    <row r="1040" spans="1:28" x14ac:dyDescent="0.3">
      <c r="A1040" s="42"/>
    </row>
    <row r="1041" spans="1:9" x14ac:dyDescent="0.3">
      <c r="A1041" s="42"/>
    </row>
    <row r="1042" spans="1:9" x14ac:dyDescent="0.3">
      <c r="A1042" s="42"/>
    </row>
    <row r="1043" spans="1:9" x14ac:dyDescent="0.3">
      <c r="A1043" s="42"/>
      <c r="H1043" s="42"/>
      <c r="I1043" s="42"/>
    </row>
    <row r="1046" spans="1:9" x14ac:dyDescent="0.3">
      <c r="A1046" s="42"/>
    </row>
    <row r="1049" spans="1:9" x14ac:dyDescent="0.3">
      <c r="A1049" s="42"/>
    </row>
    <row r="1052" spans="1:9" x14ac:dyDescent="0.3">
      <c r="A1052" s="42"/>
    </row>
    <row r="1053" spans="1:9" x14ac:dyDescent="0.3">
      <c r="A1053" s="42"/>
    </row>
    <row r="1054" spans="1:9" x14ac:dyDescent="0.3">
      <c r="A1054" s="42"/>
    </row>
    <row r="1055" spans="1:9" x14ac:dyDescent="0.3">
      <c r="A1055" s="42"/>
    </row>
    <row r="1056" spans="1:9" x14ac:dyDescent="0.3">
      <c r="A1056" s="42"/>
    </row>
    <row r="1057" spans="1:1" x14ac:dyDescent="0.3">
      <c r="A1057" s="42"/>
    </row>
    <row r="1058" spans="1:1" x14ac:dyDescent="0.3">
      <c r="A1058" s="42"/>
    </row>
    <row r="1059" spans="1:1" x14ac:dyDescent="0.3">
      <c r="A1059" s="42"/>
    </row>
    <row r="1060" spans="1:1" x14ac:dyDescent="0.3">
      <c r="A1060" s="42"/>
    </row>
    <row r="1061" spans="1:1" x14ac:dyDescent="0.3">
      <c r="A1061" s="42"/>
    </row>
    <row r="1062" spans="1:1" x14ac:dyDescent="0.3">
      <c r="A1062" s="42"/>
    </row>
    <row r="1063" spans="1:1" x14ac:dyDescent="0.3">
      <c r="A1063" s="42"/>
    </row>
    <row r="1064" spans="1:1" x14ac:dyDescent="0.3">
      <c r="A1064" s="42"/>
    </row>
    <row r="1065" spans="1:1" x14ac:dyDescent="0.3">
      <c r="A1065" s="42"/>
    </row>
    <row r="1066" spans="1:1" x14ac:dyDescent="0.3">
      <c r="A1066" s="42"/>
    </row>
    <row r="1067" spans="1:1" x14ac:dyDescent="0.3">
      <c r="A1067" s="42"/>
    </row>
    <row r="1068" spans="1:1" x14ac:dyDescent="0.3">
      <c r="A1068" s="42"/>
    </row>
    <row r="1069" spans="1:1" x14ac:dyDescent="0.3">
      <c r="A1069" s="42"/>
    </row>
    <row r="1070" spans="1:1" x14ac:dyDescent="0.3">
      <c r="A1070" s="42"/>
    </row>
    <row r="1071" spans="1:1" x14ac:dyDescent="0.3">
      <c r="A1071" s="42"/>
    </row>
    <row r="1072" spans="1:1" x14ac:dyDescent="0.3">
      <c r="A1072" s="42"/>
    </row>
    <row r="1073" spans="1:1" x14ac:dyDescent="0.3">
      <c r="A1073" s="42"/>
    </row>
    <row r="1074" spans="1:1" x14ac:dyDescent="0.3">
      <c r="A1074" s="42"/>
    </row>
    <row r="1075" spans="1:1" x14ac:dyDescent="0.3">
      <c r="A1075" s="42"/>
    </row>
    <row r="1076" spans="1:1" x14ac:dyDescent="0.3">
      <c r="A1076" s="42"/>
    </row>
    <row r="1077" spans="1:1" x14ac:dyDescent="0.3">
      <c r="A1077" s="42"/>
    </row>
    <row r="1078" spans="1:1" x14ac:dyDescent="0.3">
      <c r="A1078" s="42"/>
    </row>
    <row r="1079" spans="1:1" x14ac:dyDescent="0.3">
      <c r="A1079" s="42"/>
    </row>
    <row r="1080" spans="1:1" x14ac:dyDescent="0.3">
      <c r="A1080" s="42"/>
    </row>
    <row r="1081" spans="1:1" x14ac:dyDescent="0.3">
      <c r="A1081" s="42"/>
    </row>
    <row r="1082" spans="1:1" x14ac:dyDescent="0.3">
      <c r="A1082" s="42"/>
    </row>
    <row r="1083" spans="1:1" x14ac:dyDescent="0.3">
      <c r="A1083" s="42"/>
    </row>
    <row r="1084" spans="1:1" x14ac:dyDescent="0.3">
      <c r="A1084" s="42"/>
    </row>
    <row r="1085" spans="1:1" x14ac:dyDescent="0.3">
      <c r="A1085" s="42"/>
    </row>
    <row r="1086" spans="1:1" x14ac:dyDescent="0.3">
      <c r="A1086" s="42"/>
    </row>
    <row r="1091" spans="1:1" x14ac:dyDescent="0.3">
      <c r="A1091" s="42"/>
    </row>
    <row r="1092" spans="1:1" x14ac:dyDescent="0.3">
      <c r="A1092" s="42"/>
    </row>
    <row r="1095" spans="1:1" x14ac:dyDescent="0.3">
      <c r="A1095" s="42"/>
    </row>
    <row r="1097" spans="1:1" x14ac:dyDescent="0.3">
      <c r="A1097" s="42"/>
    </row>
    <row r="1099" spans="1:1" x14ac:dyDescent="0.3">
      <c r="A1099" s="42"/>
    </row>
    <row r="1101" spans="1:1" x14ac:dyDescent="0.3">
      <c r="A1101" s="42"/>
    </row>
    <row r="1104" spans="1:1" x14ac:dyDescent="0.3">
      <c r="A1104" s="42"/>
    </row>
    <row r="1105" spans="1:1" x14ac:dyDescent="0.3">
      <c r="A1105" s="42"/>
    </row>
    <row r="1106" spans="1:1" x14ac:dyDescent="0.3">
      <c r="A1106" s="42"/>
    </row>
    <row r="1107" spans="1:1" x14ac:dyDescent="0.3">
      <c r="A1107" s="42"/>
    </row>
    <row r="1108" spans="1:1" x14ac:dyDescent="0.3">
      <c r="A1108" s="42"/>
    </row>
    <row r="1109" spans="1:1" x14ac:dyDescent="0.3">
      <c r="A1109" s="42"/>
    </row>
    <row r="1110" spans="1:1" x14ac:dyDescent="0.3">
      <c r="A1110" s="42"/>
    </row>
    <row r="1111" spans="1:1" x14ac:dyDescent="0.3">
      <c r="A1111" s="42"/>
    </row>
  </sheetData>
  <pageMargins left="0.5" right="0.5" top="1" bottom="0" header="0" footer="0"/>
  <pageSetup scale="52" orientation="landscape" r:id="rId1"/>
  <headerFooter alignWithMargins="0"/>
  <rowBreaks count="16" manualBreakCount="16">
    <brk id="144" max="65535" man="1"/>
    <brk id="187" max="65535" man="1"/>
    <brk id="229" max="65535" man="1"/>
    <brk id="268" max="65535" man="1"/>
    <brk id="324" max="65535" man="1"/>
    <brk id="370" max="65535" man="1"/>
    <brk id="452" max="65535" man="1"/>
    <brk id="490" max="65535" man="1"/>
    <brk id="527" max="65535" man="1"/>
    <brk id="575" max="65535" man="1"/>
    <brk id="636" max="65535" man="1"/>
    <brk id="695" max="65535" man="1"/>
    <brk id="802" max="65535" man="1"/>
    <brk id="849" max="65535" man="1"/>
    <brk id="908" max="65535" man="1"/>
    <brk id="951" max="65535" man="1"/>
  </rowBreaks>
  <colBreaks count="1" manualBreakCount="1">
    <brk id="4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syncVertical="1" syncRef="A1" transitionEvaluation="1" transitionEntry="1" codeName="Sheet72">
    <pageSetUpPr fitToPage="1"/>
  </sheetPr>
  <dimension ref="A1:BW1117"/>
  <sheetViews>
    <sheetView zoomScale="75" workbookViewId="0"/>
  </sheetViews>
  <sheetFormatPr defaultColWidth="9.75" defaultRowHeight="15.6" x14ac:dyDescent="0.3"/>
  <cols>
    <col min="1" max="1" width="4" style="41" customWidth="1"/>
    <col min="2" max="2" width="0.6640625" style="41" customWidth="1"/>
    <col min="3" max="3" width="8.58203125" style="41" customWidth="1"/>
    <col min="4" max="4" width="39.25" style="41" customWidth="1"/>
    <col min="5" max="5" width="0.41406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4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8.4140625" style="41" customWidth="1"/>
    <col min="19" max="19" width="8.75" style="41" customWidth="1"/>
    <col min="20" max="20" width="5.4140625" style="41" customWidth="1"/>
    <col min="21" max="21" width="0.58203125" style="41" customWidth="1"/>
    <col min="22" max="22" width="8" style="41" customWidth="1"/>
    <col min="23" max="23" width="38.08203125" style="41" customWidth="1"/>
    <col min="24" max="24" width="0.4140625" style="41" customWidth="1"/>
    <col min="25" max="25" width="11.7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2.9140625" style="41" customWidth="1"/>
    <col min="30" max="30" width="0.58203125" style="41" customWidth="1"/>
    <col min="31" max="31" width="12.9140625" style="41" customWidth="1"/>
    <col min="32" max="32" width="0.75" style="41" customWidth="1"/>
    <col min="33" max="33" width="13.6640625" style="165" customWidth="1"/>
    <col min="34" max="34" width="0.6640625" style="41" customWidth="1"/>
    <col min="35" max="35" width="14.33203125" style="41" customWidth="1"/>
    <col min="36" max="36" width="0.9140625" style="41" customWidth="1"/>
    <col min="37" max="37" width="14.58203125" style="165" customWidth="1"/>
    <col min="38" max="38" width="0.66406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165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REHEARING ORDER CALCULATED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157</v>
      </c>
      <c r="AK6" s="206"/>
      <c r="AL6" s="42"/>
    </row>
    <row r="7" spans="1:40" x14ac:dyDescent="0.3">
      <c r="A7" s="41" t="str">
        <f>TYPE</f>
        <v>TYPE OF FILING: _X_ ORIGINAL   ___UPDATED  ___ REVISED</v>
      </c>
      <c r="R7" s="45" t="str">
        <f>"PAGE 11 OF "&amp;TEXT(Page_Num_2.3,"00")</f>
        <v>PAGE 11 OF 24</v>
      </c>
      <c r="AK7" s="206"/>
      <c r="AL7" s="42"/>
    </row>
    <row r="8" spans="1:40" x14ac:dyDescent="0.3">
      <c r="A8" s="42" t="s">
        <v>171</v>
      </c>
      <c r="R8" s="42" t="s">
        <v>3</v>
      </c>
      <c r="AK8" s="206"/>
      <c r="AL8" s="42"/>
    </row>
    <row r="9" spans="1:40" x14ac:dyDescent="0.3">
      <c r="A9" s="132" t="str">
        <f>TIME</f>
        <v>12 Months Projected with Riders</v>
      </c>
      <c r="R9" s="41" t="str">
        <f>WIT</f>
        <v>B. L. Sailers</v>
      </c>
      <c r="AK9" s="206"/>
      <c r="AL9" s="42"/>
    </row>
    <row r="10" spans="1:40" x14ac:dyDescent="0.3">
      <c r="A10" s="132" t="str">
        <f>INPUT!B5</f>
        <v xml:space="preserve"> </v>
      </c>
      <c r="AK10" s="206"/>
      <c r="AL10" s="42"/>
    </row>
    <row r="11" spans="1:40" x14ac:dyDescent="0.3">
      <c r="A11" s="40" t="s">
        <v>130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207"/>
      <c r="AH12" s="135"/>
      <c r="AI12" s="135"/>
      <c r="AJ12" s="135"/>
      <c r="AK12" s="207"/>
      <c r="AL12" s="135"/>
      <c r="AM12" s="135"/>
      <c r="AN12" s="135"/>
    </row>
    <row r="13" spans="1:40" ht="18" customHeight="1" x14ac:dyDescent="0.3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68"/>
      <c r="AH13" s="44"/>
      <c r="AK13" s="168"/>
      <c r="AL13" s="44"/>
      <c r="AM13" s="44"/>
      <c r="AN13" s="44"/>
    </row>
    <row r="14" spans="1:40" x14ac:dyDescent="0.3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68"/>
      <c r="AH14" s="44"/>
      <c r="AK14" s="168"/>
      <c r="AL14" s="44"/>
      <c r="AM14" s="44"/>
      <c r="AN14" s="44"/>
    </row>
    <row r="15" spans="1:4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842</v>
      </c>
      <c r="M15" s="44"/>
      <c r="N15" s="44" t="s">
        <v>842</v>
      </c>
      <c r="O15" s="44"/>
      <c r="P15" s="44" t="s">
        <v>842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68"/>
      <c r="AH15" s="44"/>
      <c r="AI15" s="44"/>
      <c r="AJ15" s="44"/>
      <c r="AK15" s="168"/>
      <c r="AL15" s="44"/>
      <c r="AM15" s="44"/>
      <c r="AN15" s="44"/>
    </row>
    <row r="16" spans="1:40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324</v>
      </c>
      <c r="Q16" s="44"/>
      <c r="R16" s="141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68"/>
      <c r="AH16" s="44"/>
      <c r="AI16" s="44"/>
      <c r="AJ16" s="44"/>
      <c r="AK16" s="168"/>
      <c r="AL16" s="44"/>
      <c r="AM16" s="44"/>
      <c r="AN16" s="44"/>
    </row>
    <row r="17" spans="1:40" x14ac:dyDescent="0.3">
      <c r="C17" s="141" t="s">
        <v>33</v>
      </c>
      <c r="D17" s="141" t="s">
        <v>34</v>
      </c>
      <c r="E17" s="141"/>
      <c r="F17" s="141" t="s">
        <v>35</v>
      </c>
      <c r="G17" s="153"/>
      <c r="H17" s="141" t="s">
        <v>36</v>
      </c>
      <c r="I17" s="141"/>
      <c r="J17" s="141" t="s">
        <v>37</v>
      </c>
      <c r="K17" s="141"/>
      <c r="L17" s="141" t="s">
        <v>38</v>
      </c>
      <c r="M17" s="141"/>
      <c r="N17" s="141" t="s">
        <v>39</v>
      </c>
      <c r="O17" s="141"/>
      <c r="P17" s="141" t="s">
        <v>40</v>
      </c>
      <c r="Q17" s="141"/>
      <c r="R17" s="141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68"/>
      <c r="AH17" s="44"/>
      <c r="AI17" s="44"/>
      <c r="AJ17" s="44"/>
      <c r="AK17" s="168"/>
      <c r="AL17" s="44"/>
      <c r="AM17" s="44"/>
      <c r="AN17" s="44"/>
    </row>
    <row r="18" spans="1:40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207"/>
      <c r="AH18" s="135"/>
      <c r="AI18" s="135"/>
      <c r="AJ18" s="135"/>
      <c r="AK18" s="207"/>
      <c r="AL18" s="135"/>
      <c r="AM18" s="135"/>
      <c r="AN18" s="135"/>
    </row>
    <row r="19" spans="1:40" ht="17.100000000000001" customHeight="1" x14ac:dyDescent="0.3">
      <c r="H19" s="172" t="s">
        <v>49</v>
      </c>
      <c r="I19" s="171"/>
      <c r="J19" s="172" t="s">
        <v>313</v>
      </c>
      <c r="K19" s="171"/>
      <c r="L19" s="171" t="s">
        <v>50</v>
      </c>
      <c r="M19" s="171"/>
      <c r="N19" s="171" t="s">
        <v>51</v>
      </c>
      <c r="O19" s="171"/>
      <c r="P19" s="171" t="s">
        <v>50</v>
      </c>
      <c r="Q19" s="171"/>
      <c r="R19" s="171" t="s">
        <v>50</v>
      </c>
      <c r="Y19" s="44"/>
      <c r="Z19" s="44"/>
      <c r="AA19" s="44"/>
      <c r="AB19" s="44"/>
      <c r="AC19" s="44"/>
      <c r="AD19" s="44"/>
      <c r="AE19" s="44"/>
      <c r="AF19" s="44"/>
      <c r="AG19" s="168"/>
      <c r="AH19" s="44"/>
      <c r="AI19" s="44"/>
      <c r="AJ19" s="44"/>
      <c r="AK19" s="168"/>
      <c r="AL19" s="44"/>
      <c r="AM19" s="44"/>
      <c r="AN19" s="44"/>
    </row>
    <row r="20" spans="1:40" x14ac:dyDescent="0.3">
      <c r="A20" s="41">
        <v>1</v>
      </c>
      <c r="C20" s="132" t="s">
        <v>308</v>
      </c>
      <c r="D20" s="132" t="s">
        <v>132</v>
      </c>
      <c r="E20" s="4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42"/>
      <c r="U20" s="42"/>
    </row>
    <row r="21" spans="1:40" x14ac:dyDescent="0.3">
      <c r="A21" s="41">
        <v>2</v>
      </c>
      <c r="C21" s="153"/>
      <c r="D21" s="132" t="s">
        <v>133</v>
      </c>
      <c r="E21" s="4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 ht="21" customHeight="1" x14ac:dyDescent="0.3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 x14ac:dyDescent="0.3">
      <c r="A23" s="41">
        <v>3</v>
      </c>
      <c r="C23" s="132" t="s">
        <v>134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23"/>
      <c r="T23" s="42"/>
      <c r="V23" s="123"/>
      <c r="Y23" s="123"/>
      <c r="Z23" s="193"/>
      <c r="AA23" s="123"/>
      <c r="AB23" s="123"/>
      <c r="AC23" s="160"/>
      <c r="AD23" s="160"/>
      <c r="AE23" s="123"/>
      <c r="AF23" s="123"/>
      <c r="AH23" s="160"/>
      <c r="AI23" s="123"/>
      <c r="AJ23" s="123"/>
      <c r="AL23" s="123"/>
      <c r="AM23" s="160"/>
      <c r="AN23" s="160"/>
    </row>
    <row r="24" spans="1:40" x14ac:dyDescent="0.3">
      <c r="A24" s="41">
        <v>4</v>
      </c>
      <c r="C24" s="42" t="s">
        <v>312</v>
      </c>
      <c r="F24" s="184">
        <v>12</v>
      </c>
      <c r="G24" s="1"/>
      <c r="H24" s="159"/>
      <c r="I24" s="159"/>
      <c r="J24" s="193">
        <f>INPUT!D154</f>
        <v>183</v>
      </c>
      <c r="K24" s="194"/>
      <c r="L24" s="3">
        <f>ROUND(F24*J24,0)</f>
        <v>2196</v>
      </c>
      <c r="M24" s="3"/>
      <c r="N24" s="4">
        <f>ROUND((L24/L$39)*100,1)</f>
        <v>110.4</v>
      </c>
      <c r="O24" s="4"/>
      <c r="P24" s="3"/>
      <c r="Q24" s="1"/>
      <c r="R24" s="3">
        <f>L24+P24</f>
        <v>2196</v>
      </c>
      <c r="S24" s="123"/>
      <c r="V24" s="123"/>
      <c r="Y24" s="123"/>
      <c r="Z24" s="184"/>
      <c r="AA24" s="123"/>
      <c r="AB24" s="123"/>
      <c r="AC24" s="160"/>
      <c r="AD24" s="160"/>
      <c r="AE24" s="123"/>
      <c r="AF24" s="123"/>
      <c r="AI24" s="123"/>
      <c r="AJ24" s="123"/>
      <c r="AL24" s="123"/>
    </row>
    <row r="25" spans="1:40" ht="20.100000000000001" customHeight="1" x14ac:dyDescent="0.3">
      <c r="A25" s="41">
        <v>5</v>
      </c>
      <c r="C25" s="132" t="s">
        <v>137</v>
      </c>
      <c r="F25" s="3"/>
      <c r="G25" s="1"/>
      <c r="H25" s="3"/>
      <c r="I25" s="3"/>
      <c r="J25" s="213"/>
      <c r="K25" s="183"/>
      <c r="L25" s="145">
        <f>SUM(L24:L24)</f>
        <v>2196</v>
      </c>
      <c r="M25" s="3"/>
      <c r="N25" s="211">
        <f>ROUND((L25/L$39)*100,1)</f>
        <v>110.4</v>
      </c>
      <c r="O25" s="4"/>
      <c r="P25" s="145"/>
      <c r="Q25" s="3"/>
      <c r="R25" s="145">
        <f>SUM(R24:R24)</f>
        <v>2196</v>
      </c>
      <c r="S25" s="123"/>
      <c r="T25" s="42"/>
      <c r="V25" s="123"/>
      <c r="Y25" s="123"/>
      <c r="Z25" s="212"/>
      <c r="AA25" s="123"/>
      <c r="AB25" s="123"/>
      <c r="AC25" s="160"/>
      <c r="AD25" s="160"/>
      <c r="AE25" s="123"/>
      <c r="AF25" s="123"/>
      <c r="AH25" s="160"/>
      <c r="AI25" s="123"/>
      <c r="AJ25" s="123"/>
      <c r="AL25" s="123"/>
      <c r="AM25" s="160"/>
      <c r="AN25" s="160"/>
    </row>
    <row r="26" spans="1:40" ht="24" customHeight="1" x14ac:dyDescent="0.3">
      <c r="C26" s="42"/>
      <c r="F26" s="3"/>
      <c r="G26" s="1"/>
      <c r="H26" s="3"/>
      <c r="I26" s="3"/>
      <c r="J26" s="213"/>
      <c r="K26" s="183"/>
      <c r="L26" s="3"/>
      <c r="M26" s="3"/>
      <c r="N26" s="4"/>
      <c r="O26" s="4"/>
      <c r="P26" s="3"/>
      <c r="Q26" s="3"/>
      <c r="R26" s="3"/>
      <c r="S26" s="123"/>
      <c r="V26" s="210"/>
      <c r="Y26" s="184"/>
      <c r="Z26" s="213"/>
      <c r="AA26" s="123"/>
      <c r="AB26" s="123"/>
      <c r="AC26" s="160"/>
      <c r="AD26" s="160"/>
      <c r="AE26" s="123"/>
      <c r="AF26" s="123"/>
      <c r="AH26" s="160"/>
      <c r="AI26" s="123"/>
      <c r="AJ26" s="123"/>
      <c r="AL26" s="123"/>
      <c r="AM26" s="160"/>
      <c r="AN26" s="160"/>
    </row>
    <row r="27" spans="1:40" x14ac:dyDescent="0.3">
      <c r="A27" s="41">
        <v>6</v>
      </c>
      <c r="C27" s="132" t="s">
        <v>67</v>
      </c>
      <c r="F27" s="3"/>
      <c r="G27" s="1"/>
      <c r="H27" s="3"/>
      <c r="I27" s="3"/>
      <c r="J27" s="219"/>
      <c r="K27" s="7"/>
      <c r="L27" s="3"/>
      <c r="M27" s="3"/>
      <c r="N27" s="4"/>
      <c r="O27" s="4"/>
      <c r="P27" s="3"/>
      <c r="Q27" s="3"/>
      <c r="R27" s="3"/>
      <c r="S27" s="123"/>
      <c r="T27" s="42"/>
      <c r="V27" s="184"/>
      <c r="Y27" s="123"/>
      <c r="Z27" s="212"/>
      <c r="AA27" s="123"/>
      <c r="AB27" s="123"/>
      <c r="AC27" s="160"/>
      <c r="AD27" s="160"/>
      <c r="AE27" s="123"/>
      <c r="AF27" s="123"/>
      <c r="AH27" s="160"/>
      <c r="AI27" s="123"/>
      <c r="AJ27" s="123"/>
      <c r="AL27" s="123"/>
      <c r="AM27" s="160"/>
      <c r="AN27" s="160"/>
    </row>
    <row r="28" spans="1:40" x14ac:dyDescent="0.3">
      <c r="A28" s="41">
        <v>7</v>
      </c>
      <c r="C28" s="42" t="s">
        <v>384</v>
      </c>
      <c r="F28" s="159"/>
      <c r="G28" s="1"/>
      <c r="H28" s="184">
        <v>-2961</v>
      </c>
      <c r="I28" s="159"/>
      <c r="J28" s="205">
        <f>INPUT!D156</f>
        <v>3.0051000000000001E-2</v>
      </c>
      <c r="K28" s="199"/>
      <c r="L28" s="3">
        <f>ROUND((H28*J28),0)</f>
        <v>-89</v>
      </c>
      <c r="M28" s="3"/>
      <c r="N28" s="4">
        <f>ROUND((L28/L$39)*100,1)</f>
        <v>-4.5</v>
      </c>
      <c r="O28" s="4"/>
      <c r="P28" s="159"/>
      <c r="Q28" s="159"/>
      <c r="R28" s="3">
        <f>L28+P28</f>
        <v>-89</v>
      </c>
      <c r="S28" s="123"/>
      <c r="T28" s="42"/>
      <c r="V28" s="184"/>
      <c r="Y28" s="123"/>
      <c r="Z28" s="212"/>
      <c r="AA28" s="123"/>
      <c r="AB28" s="123"/>
      <c r="AC28" s="160"/>
      <c r="AD28" s="160"/>
      <c r="AE28" s="123"/>
      <c r="AF28" s="123"/>
      <c r="AH28" s="160"/>
      <c r="AI28" s="123"/>
      <c r="AJ28" s="123"/>
      <c r="AL28" s="123"/>
      <c r="AM28" s="160"/>
      <c r="AN28" s="160"/>
    </row>
    <row r="29" spans="1:40" x14ac:dyDescent="0.3">
      <c r="A29" s="41">
        <v>8</v>
      </c>
      <c r="C29" s="42" t="s">
        <v>373</v>
      </c>
      <c r="F29" s="159"/>
      <c r="G29" s="1"/>
      <c r="H29" s="159">
        <f>H28</f>
        <v>-2961</v>
      </c>
      <c r="I29" s="159"/>
      <c r="J29" s="205">
        <f>INPUT!D160</f>
        <v>3.8117999999999999E-2</v>
      </c>
      <c r="K29" s="199"/>
      <c r="L29" s="3">
        <f>ROUND((H29*J29),0)</f>
        <v>-113</v>
      </c>
      <c r="M29" s="3"/>
      <c r="N29" s="4">
        <f>ROUND((L29/L$39)*100,1)</f>
        <v>-5.7</v>
      </c>
      <c r="O29" s="4"/>
      <c r="P29" s="123">
        <v>0</v>
      </c>
      <c r="Q29" s="159"/>
      <c r="R29" s="3">
        <f>L29+P29</f>
        <v>-113</v>
      </c>
      <c r="S29" s="123"/>
      <c r="V29" s="210"/>
      <c r="Y29" s="210"/>
      <c r="Z29" s="213"/>
      <c r="AA29" s="210"/>
      <c r="AB29" s="210"/>
      <c r="AC29" s="210"/>
      <c r="AD29" s="210"/>
      <c r="AE29" s="210"/>
      <c r="AF29" s="210"/>
      <c r="AI29" s="210"/>
      <c r="AJ29" s="210"/>
      <c r="AK29" s="214"/>
      <c r="AL29" s="210"/>
      <c r="AM29" s="160"/>
      <c r="AN29" s="160"/>
    </row>
    <row r="30" spans="1:40" ht="20.100000000000001" customHeight="1" x14ac:dyDescent="0.3">
      <c r="A30" s="41">
        <v>9</v>
      </c>
      <c r="C30" s="132" t="s">
        <v>143</v>
      </c>
      <c r="F30" s="49"/>
      <c r="G30" s="1"/>
      <c r="H30" s="145">
        <f>H28</f>
        <v>-2961</v>
      </c>
      <c r="I30" s="3"/>
      <c r="J30" s="216"/>
      <c r="K30" s="7"/>
      <c r="L30" s="145">
        <f>SUM(L28:L29)</f>
        <v>-202</v>
      </c>
      <c r="M30" s="3"/>
      <c r="N30" s="211">
        <f>ROUND((L30/L$39)*100,1)</f>
        <v>-10.199999999999999</v>
      </c>
      <c r="O30" s="4"/>
      <c r="P30" s="262">
        <f>P29</f>
        <v>0</v>
      </c>
      <c r="Q30" s="3"/>
      <c r="R30" s="145">
        <f>SUM(R28:R29)</f>
        <v>-202</v>
      </c>
      <c r="S30" s="123"/>
      <c r="V30" s="210"/>
      <c r="Y30" s="210"/>
      <c r="Z30" s="213"/>
      <c r="AA30" s="210"/>
      <c r="AB30" s="210"/>
      <c r="AC30" s="210"/>
      <c r="AD30" s="210"/>
      <c r="AE30" s="210"/>
      <c r="AF30" s="210"/>
      <c r="AI30" s="210"/>
      <c r="AJ30" s="210"/>
      <c r="AK30" s="214"/>
      <c r="AL30" s="210"/>
    </row>
    <row r="31" spans="1:40" ht="20.100000000000001" customHeight="1" x14ac:dyDescent="0.3">
      <c r="A31" s="41">
        <v>10</v>
      </c>
      <c r="C31" s="178" t="s">
        <v>462</v>
      </c>
      <c r="F31" s="145">
        <f>F24</f>
        <v>12</v>
      </c>
      <c r="G31" s="1"/>
      <c r="H31" s="145">
        <f>H30</f>
        <v>-2961</v>
      </c>
      <c r="I31" s="3"/>
      <c r="J31" s="216"/>
      <c r="K31" s="7"/>
      <c r="L31" s="145">
        <f>L30+L25</f>
        <v>1994</v>
      </c>
      <c r="M31" s="3"/>
      <c r="N31" s="211">
        <f>ROUND((L31/L$39)*100,1)-0.1</f>
        <v>100.2</v>
      </c>
      <c r="O31" s="4"/>
      <c r="P31" s="262">
        <f>P30+P25</f>
        <v>0</v>
      </c>
      <c r="Q31" s="3"/>
      <c r="R31" s="145">
        <f>R30+R25</f>
        <v>1994</v>
      </c>
      <c r="S31" s="123"/>
      <c r="V31" s="210"/>
      <c r="Y31" s="210"/>
      <c r="Z31" s="213"/>
      <c r="AA31" s="210"/>
      <c r="AB31" s="210"/>
      <c r="AC31" s="210"/>
      <c r="AD31" s="210"/>
      <c r="AE31" s="210"/>
      <c r="AF31" s="210"/>
      <c r="AI31" s="210"/>
      <c r="AJ31" s="210"/>
      <c r="AK31" s="214"/>
      <c r="AL31" s="210"/>
    </row>
    <row r="32" spans="1:40" ht="15.75" customHeight="1" x14ac:dyDescent="0.3">
      <c r="C32" s="42"/>
      <c r="F32" s="3"/>
      <c r="G32" s="1"/>
      <c r="H32" s="3"/>
      <c r="I32" s="3"/>
      <c r="J32" s="216"/>
      <c r="K32" s="7"/>
      <c r="L32" s="3"/>
      <c r="M32" s="3"/>
      <c r="N32" s="4"/>
      <c r="O32" s="4"/>
      <c r="P32" s="159"/>
      <c r="Q32" s="3"/>
      <c r="R32" s="3"/>
      <c r="S32" s="123"/>
      <c r="V32" s="210"/>
      <c r="Y32" s="210"/>
      <c r="Z32" s="213"/>
      <c r="AA32" s="210"/>
      <c r="AB32" s="210"/>
      <c r="AC32" s="210"/>
      <c r="AD32" s="210"/>
      <c r="AE32" s="210"/>
      <c r="AF32" s="210"/>
      <c r="AI32" s="210"/>
      <c r="AJ32" s="210"/>
      <c r="AK32" s="214"/>
      <c r="AL32" s="210"/>
    </row>
    <row r="33" spans="1:43" ht="15.75" customHeight="1" x14ac:dyDescent="0.3">
      <c r="A33" s="41">
        <v>11</v>
      </c>
      <c r="C33" s="132" t="s">
        <v>432</v>
      </c>
      <c r="F33" s="3"/>
      <c r="G33" s="1"/>
      <c r="H33" s="3"/>
      <c r="I33" s="3"/>
      <c r="J33" s="216"/>
      <c r="K33" s="7"/>
      <c r="L33" s="3"/>
      <c r="M33" s="3"/>
      <c r="N33" s="4"/>
      <c r="O33" s="4"/>
      <c r="P33" s="159"/>
      <c r="Q33" s="3"/>
      <c r="R33" s="3"/>
      <c r="S33" s="123"/>
      <c r="V33" s="210"/>
      <c r="Y33" s="210"/>
      <c r="Z33" s="213"/>
      <c r="AA33" s="210"/>
      <c r="AB33" s="210"/>
      <c r="AC33" s="210"/>
      <c r="AD33" s="210"/>
      <c r="AE33" s="210"/>
      <c r="AF33" s="210"/>
      <c r="AI33" s="210"/>
      <c r="AJ33" s="210"/>
      <c r="AK33" s="214"/>
      <c r="AL33" s="210"/>
    </row>
    <row r="34" spans="1:43" ht="15.75" customHeight="1" x14ac:dyDescent="0.3">
      <c r="A34" s="41">
        <v>12</v>
      </c>
      <c r="C34" s="192" t="str">
        <f>DSMR_Name</f>
        <v>DEMAND SIDE MANAGEMENT RIDER (DSMR)</v>
      </c>
      <c r="F34" s="3"/>
      <c r="G34" s="1"/>
      <c r="H34" s="3"/>
      <c r="I34" s="3"/>
      <c r="J34" s="205">
        <f>PRO_DSM_DIST</f>
        <v>3.503E-3</v>
      </c>
      <c r="K34" s="7"/>
      <c r="L34" s="3">
        <f>ROUND($H$31*J34,0)</f>
        <v>-10</v>
      </c>
      <c r="M34" s="3"/>
      <c r="N34" s="175">
        <f>ROUND((L34/L$39)*100,1)</f>
        <v>-0.5</v>
      </c>
      <c r="O34" s="4"/>
      <c r="P34" s="159"/>
      <c r="Q34" s="3"/>
      <c r="R34" s="3">
        <f>L34+P34</f>
        <v>-10</v>
      </c>
      <c r="S34" s="123"/>
      <c r="V34" s="210"/>
      <c r="Y34" s="210"/>
      <c r="Z34" s="213"/>
      <c r="AA34" s="210"/>
      <c r="AB34" s="210"/>
      <c r="AC34" s="210"/>
      <c r="AD34" s="210"/>
      <c r="AE34" s="210"/>
      <c r="AF34" s="210"/>
      <c r="AI34" s="210"/>
      <c r="AJ34" s="210"/>
      <c r="AK34" s="214"/>
      <c r="AL34" s="210"/>
    </row>
    <row r="35" spans="1:43" ht="15.75" customHeight="1" x14ac:dyDescent="0.3">
      <c r="A35" s="41">
        <v>13</v>
      </c>
      <c r="C35" s="192" t="str">
        <f>ESM_Name</f>
        <v>ENVIRONMENTAL SURCHARGE MECHANISM RIDER (ESM)</v>
      </c>
      <c r="F35" s="3"/>
      <c r="G35" s="1"/>
      <c r="H35" s="3"/>
      <c r="I35" s="3"/>
      <c r="J35" s="198">
        <f>PRO_ESM_NONRES</f>
        <v>5.7995821086186533E-3</v>
      </c>
      <c r="K35" s="7"/>
      <c r="L35" s="3">
        <f>ROUND((R31-(PRO_BASE_FUEL*H31)+R34+R36)*J35,0)</f>
        <v>12</v>
      </c>
      <c r="M35" s="3"/>
      <c r="N35" s="175">
        <f>ROUND((L35/L$39)*100,1)</f>
        <v>0.6</v>
      </c>
      <c r="O35" s="4"/>
      <c r="P35" s="159"/>
      <c r="Q35" s="3"/>
      <c r="R35" s="3">
        <f>L35+P35</f>
        <v>12</v>
      </c>
      <c r="S35" s="123"/>
      <c r="V35" s="210"/>
      <c r="Y35" s="210"/>
      <c r="Z35" s="213"/>
      <c r="AA35" s="210"/>
      <c r="AB35" s="210"/>
      <c r="AC35" s="210"/>
      <c r="AD35" s="210"/>
      <c r="AE35" s="210"/>
      <c r="AF35" s="210"/>
      <c r="AI35" s="210"/>
      <c r="AJ35" s="210"/>
      <c r="AK35" s="214"/>
      <c r="AL35" s="210"/>
    </row>
    <row r="36" spans="1:43" ht="15.75" customHeight="1" x14ac:dyDescent="0.3">
      <c r="A36" s="41">
        <v>14</v>
      </c>
      <c r="C36" s="192" t="str">
        <f>PSM_Name</f>
        <v>PROFIT SHARING MECHANISM (PSM)</v>
      </c>
      <c r="F36" s="3"/>
      <c r="G36" s="1"/>
      <c r="H36" s="3"/>
      <c r="I36" s="3"/>
      <c r="J36" s="205">
        <f>PRO_PSM</f>
        <v>2.4750000000000002E-3</v>
      </c>
      <c r="K36" s="7"/>
      <c r="L36" s="3">
        <f>ROUND(H31*PRO_PSM,0)</f>
        <v>-7</v>
      </c>
      <c r="M36" s="3"/>
      <c r="N36" s="177">
        <f>ROUND((L36/L$39)*100,1)</f>
        <v>-0.4</v>
      </c>
      <c r="O36" s="4"/>
      <c r="P36" s="159"/>
      <c r="Q36" s="3"/>
      <c r="R36" s="49">
        <f>L36+P36</f>
        <v>-7</v>
      </c>
      <c r="S36" s="123"/>
      <c r="V36" s="210"/>
      <c r="Y36" s="210"/>
      <c r="Z36" s="213"/>
      <c r="AA36" s="210"/>
      <c r="AB36" s="210"/>
      <c r="AC36" s="210"/>
      <c r="AD36" s="210"/>
      <c r="AE36" s="210"/>
      <c r="AF36" s="210"/>
      <c r="AI36" s="210"/>
      <c r="AJ36" s="210"/>
      <c r="AK36" s="214"/>
      <c r="AL36" s="210"/>
    </row>
    <row r="37" spans="1:43" ht="20.100000000000001" customHeight="1" x14ac:dyDescent="0.3">
      <c r="A37" s="41">
        <v>15</v>
      </c>
      <c r="C37" s="132" t="s">
        <v>437</v>
      </c>
      <c r="F37" s="49"/>
      <c r="G37" s="1"/>
      <c r="H37" s="49"/>
      <c r="I37" s="3"/>
      <c r="J37" s="7"/>
      <c r="K37" s="7"/>
      <c r="L37" s="145">
        <f>SUM(L34:L36)</f>
        <v>-5</v>
      </c>
      <c r="M37" s="3"/>
      <c r="N37" s="180">
        <f>ROUND((L37/L$39)*100,1)+0.1</f>
        <v>-0.19999999999999998</v>
      </c>
      <c r="O37" s="4"/>
      <c r="P37" s="145">
        <f>SUM(P34:P36)</f>
        <v>0</v>
      </c>
      <c r="Q37" s="3"/>
      <c r="R37" s="145">
        <f>SUM(R34:R36)</f>
        <v>-5</v>
      </c>
      <c r="S37" s="123"/>
      <c r="V37" s="210"/>
      <c r="Y37" s="210"/>
      <c r="Z37" s="213"/>
      <c r="AA37" s="210"/>
      <c r="AB37" s="210"/>
      <c r="AC37" s="210"/>
      <c r="AD37" s="210"/>
      <c r="AE37" s="210"/>
      <c r="AF37" s="210"/>
      <c r="AI37" s="210"/>
      <c r="AJ37" s="210"/>
      <c r="AK37" s="214"/>
      <c r="AL37" s="210"/>
    </row>
    <row r="38" spans="1:43" ht="15.75" customHeight="1" x14ac:dyDescent="0.3">
      <c r="C38" s="132"/>
      <c r="F38" s="3"/>
      <c r="G38" s="1"/>
      <c r="H38" s="3"/>
      <c r="I38" s="3"/>
      <c r="J38" s="7"/>
      <c r="K38" s="7"/>
      <c r="L38" s="3"/>
      <c r="M38" s="3"/>
      <c r="N38" s="4"/>
      <c r="O38" s="4"/>
      <c r="P38" s="159"/>
      <c r="Q38" s="3"/>
      <c r="R38" s="3"/>
      <c r="S38" s="123"/>
      <c r="V38" s="210"/>
      <c r="Y38" s="210"/>
      <c r="Z38" s="213"/>
      <c r="AA38" s="210"/>
      <c r="AB38" s="210"/>
      <c r="AC38" s="210"/>
      <c r="AD38" s="210"/>
      <c r="AE38" s="210"/>
      <c r="AF38" s="210"/>
      <c r="AI38" s="210"/>
      <c r="AJ38" s="210"/>
      <c r="AK38" s="214"/>
      <c r="AL38" s="210"/>
    </row>
    <row r="39" spans="1:43" ht="20.100000000000001" customHeight="1" thickBot="1" x14ac:dyDescent="0.35">
      <c r="A39" s="41">
        <v>16</v>
      </c>
      <c r="C39" s="178" t="s">
        <v>461</v>
      </c>
      <c r="F39" s="151">
        <f>F31</f>
        <v>12</v>
      </c>
      <c r="G39" s="1"/>
      <c r="H39" s="151">
        <f>H31</f>
        <v>-2961</v>
      </c>
      <c r="I39" s="3"/>
      <c r="J39" s="7"/>
      <c r="K39" s="7"/>
      <c r="L39" s="151">
        <f>L37+L31</f>
        <v>1989</v>
      </c>
      <c r="M39" s="3"/>
      <c r="N39" s="218">
        <v>100</v>
      </c>
      <c r="O39" s="4"/>
      <c r="P39" s="151">
        <f>P37+P31</f>
        <v>0</v>
      </c>
      <c r="Q39" s="3"/>
      <c r="R39" s="151">
        <f>R37+R31</f>
        <v>1989</v>
      </c>
      <c r="S39" s="123"/>
      <c r="AA39" s="123"/>
      <c r="AB39" s="123"/>
      <c r="AC39" s="123"/>
      <c r="AD39" s="123"/>
      <c r="AI39" s="123"/>
      <c r="AJ39" s="123"/>
      <c r="AL39" s="123"/>
    </row>
    <row r="40" spans="1:43" ht="18.75" customHeight="1" thickTop="1" x14ac:dyDescent="0.3">
      <c r="F40" s="3"/>
      <c r="G40" s="1"/>
      <c r="H40" s="3"/>
      <c r="I40" s="3"/>
      <c r="J40" s="7"/>
      <c r="K40" s="7"/>
      <c r="L40" s="3"/>
      <c r="M40" s="3"/>
      <c r="N40" s="3"/>
      <c r="O40" s="3"/>
      <c r="P40" s="3"/>
      <c r="Q40" s="3"/>
      <c r="R40" s="3"/>
    </row>
    <row r="41" spans="1:43" x14ac:dyDescent="0.3">
      <c r="C41" s="202" t="s">
        <v>59</v>
      </c>
      <c r="F41" s="123"/>
      <c r="H41" s="123"/>
      <c r="I41" s="123"/>
      <c r="J41" s="219"/>
      <c r="K41" s="219"/>
      <c r="L41" s="123"/>
      <c r="M41" s="123"/>
      <c r="N41" s="123"/>
      <c r="O41" s="123"/>
      <c r="P41" s="123"/>
      <c r="Q41" s="123"/>
      <c r="R41" s="123"/>
      <c r="Y41" s="42"/>
    </row>
    <row r="42" spans="1:43" x14ac:dyDescent="0.3">
      <c r="A42" s="42"/>
      <c r="C42" s="42"/>
      <c r="F42" s="123"/>
      <c r="H42" s="123"/>
      <c r="I42" s="123"/>
      <c r="J42" s="219"/>
      <c r="K42" s="219"/>
      <c r="L42" s="123"/>
      <c r="M42" s="123"/>
      <c r="N42" s="123"/>
      <c r="O42" s="123"/>
      <c r="P42" s="123"/>
      <c r="Q42" s="123"/>
      <c r="R42" s="123"/>
    </row>
    <row r="43" spans="1:43" x14ac:dyDescent="0.3">
      <c r="H43" s="123"/>
      <c r="L43" s="42"/>
      <c r="M43" s="42"/>
      <c r="AA43" s="42"/>
      <c r="AB43" s="42"/>
    </row>
    <row r="44" spans="1:43" x14ac:dyDescent="0.3">
      <c r="R44" s="42"/>
      <c r="AK44" s="206"/>
      <c r="AL44" s="42"/>
    </row>
    <row r="45" spans="1:43" x14ac:dyDescent="0.3">
      <c r="R45" s="42"/>
      <c r="T45" s="40" t="str">
        <f>NAME</f>
        <v>DUKE ENERGY KENTUCKY, INC.</v>
      </c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166"/>
      <c r="AH45" s="40"/>
      <c r="AI45" s="40"/>
      <c r="AJ45" s="40"/>
      <c r="AK45" s="166"/>
      <c r="AL45" s="40"/>
      <c r="AM45" s="40"/>
      <c r="AN45" s="40"/>
      <c r="AO45" s="40"/>
      <c r="AP45" s="40"/>
      <c r="AQ45" s="166"/>
    </row>
    <row r="46" spans="1:43" x14ac:dyDescent="0.3">
      <c r="R46" s="42"/>
      <c r="T46" s="40" t="str">
        <f>CASE_NO</f>
        <v>CASE NO.   2024-00354</v>
      </c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166"/>
      <c r="AH46" s="40"/>
      <c r="AI46" s="40"/>
      <c r="AJ46" s="40"/>
      <c r="AK46" s="166"/>
      <c r="AL46" s="40"/>
      <c r="AM46" s="40"/>
      <c r="AN46" s="40"/>
      <c r="AO46" s="40"/>
      <c r="AP46" s="40"/>
      <c r="AQ46" s="166"/>
    </row>
    <row r="47" spans="1:43" x14ac:dyDescent="0.3">
      <c r="A47" s="42"/>
      <c r="R47" s="42"/>
      <c r="T47" s="40" t="str">
        <f>TITLE</f>
        <v>ANNUALIZED TEST YEAR REVENUES AT REHEARING ORDER CALCULATED VS. MOST CURRENT RATES</v>
      </c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166"/>
      <c r="AH47" s="40"/>
      <c r="AI47" s="40"/>
      <c r="AJ47" s="40"/>
      <c r="AK47" s="166"/>
      <c r="AL47" s="40"/>
      <c r="AM47" s="40"/>
      <c r="AN47" s="40"/>
      <c r="AO47" s="40"/>
      <c r="AP47" s="40"/>
      <c r="AQ47" s="166"/>
    </row>
    <row r="48" spans="1:43" x14ac:dyDescent="0.3">
      <c r="L48" s="42"/>
      <c r="M48" s="42"/>
      <c r="T48" s="40" t="str">
        <f>DATE</f>
        <v>FOR THE TWELVE MONTHS ENDED June 30, 2026</v>
      </c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166"/>
      <c r="AH48" s="40"/>
      <c r="AI48" s="40"/>
      <c r="AJ48" s="40"/>
      <c r="AK48" s="166"/>
      <c r="AL48" s="40"/>
      <c r="AM48" s="40"/>
      <c r="AN48" s="40"/>
      <c r="AO48" s="40"/>
      <c r="AP48" s="40"/>
      <c r="AQ48" s="166"/>
    </row>
    <row r="49" spans="1:43" x14ac:dyDescent="0.3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T49" s="40" t="str">
        <f>SERVICE</f>
        <v>(ELECTRIC SERVICE)</v>
      </c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166"/>
      <c r="AH49" s="40"/>
      <c r="AI49" s="40"/>
      <c r="AJ49" s="40"/>
      <c r="AK49" s="166"/>
      <c r="AL49" s="40"/>
      <c r="AM49" s="40"/>
      <c r="AN49" s="40"/>
      <c r="AO49" s="40"/>
      <c r="AP49" s="40"/>
      <c r="AQ49" s="166"/>
    </row>
    <row r="50" spans="1:43" x14ac:dyDescent="0.3">
      <c r="L50" s="44"/>
      <c r="M50" s="44"/>
      <c r="N50" s="44"/>
      <c r="O50" s="44"/>
      <c r="R50" s="44"/>
      <c r="T50" s="41" t="str">
        <f>DATA_PERIOD</f>
        <v>DATA: ____ BASE PERIOD   __X__FORECASTED PERIOD</v>
      </c>
      <c r="AO50" s="42" t="s">
        <v>158</v>
      </c>
      <c r="AP50" s="42"/>
    </row>
    <row r="51" spans="1:43" x14ac:dyDescent="0.3">
      <c r="L51" s="44"/>
      <c r="M51" s="44"/>
      <c r="N51" s="44"/>
      <c r="O51" s="44"/>
      <c r="R51" s="44"/>
      <c r="T51" s="41" t="str">
        <f>TYPE</f>
        <v>TYPE OF FILING: _X_ ORIGINAL   ___UPDATED  ___ REVISED</v>
      </c>
      <c r="AO51" s="45" t="str">
        <f>"PAGE 11 OF "&amp;TEXT(Page_Num_2.2,"00")</f>
        <v>PAGE 11 OF 24</v>
      </c>
      <c r="AP51" s="42"/>
    </row>
    <row r="52" spans="1:43" x14ac:dyDescent="0.3">
      <c r="A52" s="44"/>
      <c r="C52" s="44"/>
      <c r="D52" s="44"/>
      <c r="E52" s="44"/>
      <c r="F52" s="44"/>
      <c r="J52" s="44"/>
      <c r="K52" s="44"/>
      <c r="L52" s="44"/>
      <c r="M52" s="44"/>
      <c r="N52" s="44"/>
      <c r="O52" s="44"/>
      <c r="P52" s="44"/>
      <c r="Q52" s="44"/>
      <c r="R52" s="44"/>
      <c r="T52" s="42" t="s">
        <v>171</v>
      </c>
      <c r="AO52" s="42" t="s">
        <v>3</v>
      </c>
      <c r="AP52" s="42"/>
    </row>
    <row r="53" spans="1:43" x14ac:dyDescent="0.3">
      <c r="A53" s="44"/>
      <c r="C53" s="44"/>
      <c r="D53" s="44"/>
      <c r="E53" s="44"/>
      <c r="F53" s="44"/>
      <c r="J53" s="44"/>
      <c r="K53" s="44"/>
      <c r="L53" s="44"/>
      <c r="M53" s="44"/>
      <c r="N53" s="44"/>
      <c r="O53" s="44"/>
      <c r="P53" s="44"/>
      <c r="Q53" s="44"/>
      <c r="R53" s="44"/>
      <c r="T53" s="132" t="str">
        <f>TIME</f>
        <v>12 Months Projected with Riders</v>
      </c>
      <c r="AO53" s="41" t="str">
        <f>WIT</f>
        <v>B. L. Sailers</v>
      </c>
    </row>
    <row r="54" spans="1:43" x14ac:dyDescent="0.3">
      <c r="A54" s="44"/>
      <c r="C54" s="44"/>
      <c r="D54" s="44"/>
      <c r="E54" s="44"/>
      <c r="F54" s="44"/>
      <c r="J54" s="44"/>
      <c r="K54" s="44"/>
      <c r="L54" s="44"/>
      <c r="M54" s="44"/>
      <c r="N54" s="44"/>
      <c r="O54" s="44"/>
      <c r="P54" s="44"/>
      <c r="Q54" s="44"/>
      <c r="R54" s="44"/>
      <c r="T54" s="132" t="str">
        <f>INPUT!B5</f>
        <v xml:space="preserve"> </v>
      </c>
    </row>
    <row r="55" spans="1:43" x14ac:dyDescent="0.3">
      <c r="A55" s="44"/>
      <c r="C55" s="44"/>
      <c r="D55" s="44"/>
      <c r="E55" s="44"/>
      <c r="F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T55" s="40" t="s">
        <v>131</v>
      </c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166"/>
      <c r="AH55" s="40"/>
      <c r="AI55" s="40"/>
      <c r="AJ55" s="40"/>
      <c r="AK55" s="166"/>
      <c r="AL55" s="40"/>
      <c r="AM55" s="40"/>
      <c r="AN55" s="40"/>
      <c r="AO55" s="40"/>
      <c r="AP55" s="40"/>
      <c r="AQ55" s="166"/>
    </row>
    <row r="56" spans="1:43" x14ac:dyDescent="0.3">
      <c r="C56" s="44"/>
      <c r="D56" s="44"/>
      <c r="E56" s="44"/>
      <c r="F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167"/>
      <c r="AH56" s="43"/>
      <c r="AI56" s="43"/>
      <c r="AJ56" s="43"/>
      <c r="AK56" s="167"/>
      <c r="AL56" s="43"/>
      <c r="AM56" s="43"/>
      <c r="AN56" s="43"/>
      <c r="AO56" s="43"/>
      <c r="AP56" s="43"/>
      <c r="AQ56" s="167"/>
    </row>
    <row r="57" spans="1:43" ht="18" customHeight="1" x14ac:dyDescent="0.3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AE57" s="44" t="s">
        <v>8</v>
      </c>
      <c r="AF57" s="44"/>
      <c r="AG57" s="168" t="s">
        <v>7</v>
      </c>
      <c r="AH57" s="44"/>
      <c r="AI57" s="44" t="s">
        <v>9</v>
      </c>
      <c r="AJ57" s="44"/>
      <c r="AK57" s="168" t="s">
        <v>10</v>
      </c>
      <c r="AL57" s="44"/>
      <c r="AO57" s="44" t="s">
        <v>8</v>
      </c>
      <c r="AP57" s="44"/>
      <c r="AQ57" s="168" t="s">
        <v>11</v>
      </c>
    </row>
    <row r="58" spans="1:43" x14ac:dyDescent="0.3"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AC58" s="44" t="s">
        <v>14</v>
      </c>
      <c r="AD58" s="44"/>
      <c r="AE58" s="44" t="s">
        <v>12</v>
      </c>
      <c r="AF58" s="44"/>
      <c r="AG58" s="168" t="s">
        <v>13</v>
      </c>
      <c r="AH58" s="44"/>
      <c r="AI58" s="44" t="s">
        <v>15</v>
      </c>
      <c r="AJ58" s="44"/>
      <c r="AK58" s="168" t="s">
        <v>16</v>
      </c>
      <c r="AL58" s="44"/>
      <c r="AO58" s="44" t="s">
        <v>11</v>
      </c>
      <c r="AP58" s="44"/>
      <c r="AQ58" s="168" t="s">
        <v>9</v>
      </c>
    </row>
    <row r="59" spans="1:43" x14ac:dyDescent="0.3">
      <c r="C59" s="42"/>
      <c r="D59" s="42"/>
      <c r="E59" s="42"/>
      <c r="T59" s="44" t="s">
        <v>17</v>
      </c>
      <c r="V59" s="44" t="s">
        <v>18</v>
      </c>
      <c r="W59" s="44" t="s">
        <v>19</v>
      </c>
      <c r="X59" s="44"/>
      <c r="Y59" s="44" t="s">
        <v>20</v>
      </c>
      <c r="AC59" s="44" t="s">
        <v>8</v>
      </c>
      <c r="AD59" s="44"/>
      <c r="AE59" s="44" t="s">
        <v>842</v>
      </c>
      <c r="AF59" s="44"/>
      <c r="AG59" s="168" t="s">
        <v>842</v>
      </c>
      <c r="AH59" s="44"/>
      <c r="AI59" s="46" t="s">
        <v>965</v>
      </c>
      <c r="AJ59" s="44"/>
      <c r="AK59" s="169" t="s">
        <v>965</v>
      </c>
      <c r="AL59" s="44"/>
      <c r="AM59" s="44" t="s">
        <v>842</v>
      </c>
      <c r="AN59" s="44"/>
      <c r="AO59" s="44" t="s">
        <v>9</v>
      </c>
      <c r="AP59" s="44"/>
      <c r="AQ59" s="168" t="s">
        <v>21</v>
      </c>
    </row>
    <row r="60" spans="1:43" x14ac:dyDescent="0.3">
      <c r="D60" s="42"/>
      <c r="E60" s="42"/>
      <c r="T60" s="44" t="s">
        <v>22</v>
      </c>
      <c r="V60" s="44" t="s">
        <v>23</v>
      </c>
      <c r="W60" s="44" t="s">
        <v>24</v>
      </c>
      <c r="X60" s="44"/>
      <c r="Y60" s="44" t="s">
        <v>25</v>
      </c>
      <c r="AA60" s="44" t="s">
        <v>26</v>
      </c>
      <c r="AB60" s="44"/>
      <c r="AC60" s="44" t="s">
        <v>27</v>
      </c>
      <c r="AD60" s="44"/>
      <c r="AE60" s="44" t="s">
        <v>9</v>
      </c>
      <c r="AF60" s="44"/>
      <c r="AG60" s="168" t="s">
        <v>9</v>
      </c>
      <c r="AH60" s="44"/>
      <c r="AI60" s="141" t="s">
        <v>29</v>
      </c>
      <c r="AJ60" s="141"/>
      <c r="AK60" s="170" t="s">
        <v>30</v>
      </c>
      <c r="AL60" s="44"/>
      <c r="AM60" s="44" t="s">
        <v>368</v>
      </c>
      <c r="AN60" s="44"/>
      <c r="AO60" s="141" t="s">
        <v>31</v>
      </c>
      <c r="AP60" s="44"/>
      <c r="AQ60" s="170" t="s">
        <v>32</v>
      </c>
    </row>
    <row r="61" spans="1:43" x14ac:dyDescent="0.3">
      <c r="V61" s="141" t="s">
        <v>33</v>
      </c>
      <c r="W61" s="141" t="s">
        <v>34</v>
      </c>
      <c r="X61" s="141"/>
      <c r="Y61" s="141" t="s">
        <v>35</v>
      </c>
      <c r="Z61" s="153"/>
      <c r="AA61" s="141" t="s">
        <v>36</v>
      </c>
      <c r="AB61" s="141"/>
      <c r="AC61" s="141" t="s">
        <v>42</v>
      </c>
      <c r="AD61" s="141"/>
      <c r="AE61" s="141" t="s">
        <v>43</v>
      </c>
      <c r="AF61" s="141"/>
      <c r="AG61" s="170" t="s">
        <v>44</v>
      </c>
      <c r="AH61" s="141"/>
      <c r="AI61" s="141" t="s">
        <v>45</v>
      </c>
      <c r="AJ61" s="141"/>
      <c r="AK61" s="170" t="s">
        <v>46</v>
      </c>
      <c r="AL61" s="141"/>
      <c r="AM61" s="141" t="s">
        <v>40</v>
      </c>
      <c r="AN61" s="44"/>
      <c r="AO61" s="141" t="s">
        <v>47</v>
      </c>
      <c r="AP61" s="44"/>
      <c r="AQ61" s="170" t="s">
        <v>48</v>
      </c>
    </row>
    <row r="62" spans="1:43" x14ac:dyDescent="0.3">
      <c r="C62" s="42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167"/>
      <c r="AH62" s="43"/>
      <c r="AI62" s="43"/>
      <c r="AJ62" s="43"/>
      <c r="AK62" s="167"/>
      <c r="AL62" s="43"/>
      <c r="AM62" s="43"/>
      <c r="AN62" s="43"/>
      <c r="AO62" s="43"/>
      <c r="AP62" s="43"/>
      <c r="AQ62" s="167"/>
    </row>
    <row r="63" spans="1:43" ht="17.100000000000001" customHeight="1" x14ac:dyDescent="0.3">
      <c r="C63" s="42"/>
      <c r="F63" s="184"/>
      <c r="H63" s="184"/>
      <c r="I63" s="184"/>
      <c r="J63" s="193"/>
      <c r="K63" s="193"/>
      <c r="L63" s="123"/>
      <c r="M63" s="123"/>
      <c r="N63" s="160"/>
      <c r="O63" s="160"/>
      <c r="R63" s="123"/>
      <c r="AA63" s="172" t="s">
        <v>49</v>
      </c>
      <c r="AB63" s="171"/>
      <c r="AC63" s="172" t="s">
        <v>313</v>
      </c>
      <c r="AD63" s="171"/>
      <c r="AE63" s="171" t="s">
        <v>50</v>
      </c>
      <c r="AF63" s="171"/>
      <c r="AG63" s="173" t="s">
        <v>51</v>
      </c>
      <c r="AH63" s="171"/>
      <c r="AI63" s="171" t="s">
        <v>50</v>
      </c>
      <c r="AJ63" s="171"/>
      <c r="AK63" s="173" t="s">
        <v>51</v>
      </c>
      <c r="AL63" s="171"/>
      <c r="AM63" s="171" t="s">
        <v>50</v>
      </c>
      <c r="AN63" s="171"/>
      <c r="AO63" s="171" t="s">
        <v>50</v>
      </c>
      <c r="AP63" s="171"/>
      <c r="AQ63" s="173" t="s">
        <v>51</v>
      </c>
    </row>
    <row r="64" spans="1:43" x14ac:dyDescent="0.3">
      <c r="C64" s="42"/>
      <c r="F64" s="184"/>
      <c r="H64" s="184"/>
      <c r="I64" s="184"/>
      <c r="J64" s="193"/>
      <c r="K64" s="193"/>
      <c r="L64" s="123"/>
      <c r="M64" s="123"/>
      <c r="N64" s="160"/>
      <c r="O64" s="160"/>
      <c r="R64" s="123"/>
      <c r="T64" s="41">
        <f t="shared" ref="T64:T75" si="0">A20</f>
        <v>1</v>
      </c>
      <c r="V64" s="132" t="s">
        <v>309</v>
      </c>
      <c r="W64" s="132" t="s">
        <v>132</v>
      </c>
      <c r="X64" s="42"/>
      <c r="Y64" s="1"/>
      <c r="Z64" s="1"/>
      <c r="AA64" s="1"/>
      <c r="AB64" s="1"/>
      <c r="AC64" s="1"/>
      <c r="AD64" s="1"/>
      <c r="AE64" s="1"/>
      <c r="AF64" s="1"/>
      <c r="AG64" s="175"/>
      <c r="AH64" s="1"/>
      <c r="AI64" s="1"/>
      <c r="AJ64" s="1"/>
      <c r="AK64" s="175"/>
      <c r="AL64" s="1"/>
      <c r="AM64" s="1"/>
      <c r="AN64" s="1"/>
      <c r="AO64" s="1"/>
      <c r="AP64" s="1"/>
      <c r="AQ64" s="175"/>
    </row>
    <row r="65" spans="3:43" x14ac:dyDescent="0.3">
      <c r="F65" s="210"/>
      <c r="H65" s="123"/>
      <c r="I65" s="123"/>
      <c r="J65" s="213"/>
      <c r="K65" s="213"/>
      <c r="L65" s="210"/>
      <c r="M65" s="210"/>
      <c r="N65" s="210"/>
      <c r="O65" s="210"/>
      <c r="P65" s="210"/>
      <c r="Q65" s="210"/>
      <c r="R65" s="210"/>
      <c r="T65" s="41">
        <f t="shared" si="0"/>
        <v>2</v>
      </c>
      <c r="V65" s="153"/>
      <c r="W65" s="132" t="s">
        <v>133</v>
      </c>
      <c r="X65" s="42"/>
      <c r="Y65" s="1"/>
      <c r="Z65" s="1"/>
      <c r="AA65" s="1"/>
      <c r="AB65" s="1"/>
      <c r="AC65" s="1"/>
      <c r="AD65" s="1"/>
      <c r="AE65" s="1"/>
      <c r="AF65" s="1"/>
      <c r="AG65" s="175"/>
      <c r="AH65" s="1"/>
      <c r="AI65" s="1"/>
      <c r="AJ65" s="1"/>
      <c r="AK65" s="175"/>
      <c r="AL65" s="1"/>
      <c r="AM65" s="1"/>
      <c r="AN65" s="1"/>
      <c r="AO65" s="1"/>
      <c r="AP65" s="1"/>
      <c r="AQ65" s="175"/>
    </row>
    <row r="66" spans="3:43" ht="24.75" customHeight="1" x14ac:dyDescent="0.3">
      <c r="C66" s="42"/>
      <c r="F66" s="123"/>
      <c r="H66" s="123"/>
      <c r="I66" s="123"/>
      <c r="J66" s="213"/>
      <c r="K66" s="213"/>
      <c r="L66" s="123"/>
      <c r="M66" s="123"/>
      <c r="N66" s="160"/>
      <c r="O66" s="160"/>
      <c r="P66" s="123"/>
      <c r="Q66" s="123"/>
      <c r="R66" s="123"/>
      <c r="Y66" s="1"/>
      <c r="Z66" s="1"/>
      <c r="AA66" s="1"/>
      <c r="AB66" s="1"/>
      <c r="AC66" s="1"/>
      <c r="AD66" s="1"/>
      <c r="AE66" s="1"/>
      <c r="AF66" s="1"/>
      <c r="AG66" s="175"/>
      <c r="AH66" s="1"/>
      <c r="AI66" s="1"/>
      <c r="AJ66" s="1"/>
      <c r="AK66" s="175"/>
      <c r="AL66" s="1"/>
      <c r="AM66" s="1"/>
      <c r="AN66" s="1"/>
      <c r="AO66" s="1"/>
      <c r="AP66" s="1"/>
      <c r="AQ66" s="175"/>
    </row>
    <row r="67" spans="3:43" x14ac:dyDescent="0.3">
      <c r="F67" s="210"/>
      <c r="H67" s="123"/>
      <c r="I67" s="123"/>
      <c r="J67" s="213"/>
      <c r="K67" s="213"/>
      <c r="L67" s="210"/>
      <c r="M67" s="210"/>
      <c r="N67" s="210"/>
      <c r="O67" s="210"/>
      <c r="P67" s="210"/>
      <c r="Q67" s="210"/>
      <c r="R67" s="210"/>
      <c r="T67" s="41">
        <f t="shared" si="0"/>
        <v>3</v>
      </c>
      <c r="V67" s="132" t="s">
        <v>134</v>
      </c>
      <c r="Y67" s="1"/>
      <c r="Z67" s="1"/>
      <c r="AA67" s="1"/>
      <c r="AB67" s="1"/>
      <c r="AC67" s="1"/>
      <c r="AD67" s="1"/>
      <c r="AE67" s="1"/>
      <c r="AF67" s="1"/>
      <c r="AG67" s="175"/>
      <c r="AH67" s="1"/>
      <c r="AI67" s="1"/>
      <c r="AJ67" s="1"/>
      <c r="AK67" s="175"/>
      <c r="AL67" s="1"/>
      <c r="AM67" s="1"/>
      <c r="AN67" s="1"/>
      <c r="AO67" s="1"/>
      <c r="AP67" s="1"/>
      <c r="AQ67" s="175"/>
    </row>
    <row r="68" spans="3:43" x14ac:dyDescent="0.3">
      <c r="C68" s="42"/>
      <c r="F68" s="123"/>
      <c r="H68" s="123"/>
      <c r="I68" s="123"/>
      <c r="J68" s="213"/>
      <c r="K68" s="213"/>
      <c r="L68" s="123"/>
      <c r="M68" s="123"/>
      <c r="N68" s="160"/>
      <c r="O68" s="160"/>
      <c r="P68" s="123"/>
      <c r="Q68" s="123"/>
      <c r="R68" s="123"/>
      <c r="T68" s="41">
        <f t="shared" si="0"/>
        <v>4</v>
      </c>
      <c r="V68" s="42" t="s">
        <v>312</v>
      </c>
      <c r="Y68" s="3">
        <f>F24</f>
        <v>12</v>
      </c>
      <c r="Z68" s="1"/>
      <c r="AA68" s="159"/>
      <c r="AB68" s="159"/>
      <c r="AC68" s="193">
        <f>INPUT!C154</f>
        <v>183</v>
      </c>
      <c r="AD68" s="194"/>
      <c r="AE68" s="3">
        <f>ROUND(Y68*AC68,0)</f>
        <v>2196</v>
      </c>
      <c r="AF68" s="3"/>
      <c r="AG68" s="175">
        <f>ROUND((AE68/AE$83)*100,1)</f>
        <v>108.7</v>
      </c>
      <c r="AH68" s="4"/>
      <c r="AI68" s="3">
        <f>L24-AE68</f>
        <v>0</v>
      </c>
      <c r="AJ68" s="3"/>
      <c r="AK68" s="177">
        <f>ROUND((AI68/AE68)*100,1)</f>
        <v>0</v>
      </c>
      <c r="AL68" s="6"/>
      <c r="AM68" s="3"/>
      <c r="AN68" s="1"/>
      <c r="AO68" s="3">
        <f>AE68+AM68</f>
        <v>2196</v>
      </c>
      <c r="AP68" s="3"/>
      <c r="AQ68" s="181">
        <f>IF(AO68=0,"0.0 ",ROUND((AI68/AO68)*100,1))</f>
        <v>0</v>
      </c>
    </row>
    <row r="69" spans="3:43" ht="20.100000000000001" customHeight="1" x14ac:dyDescent="0.3">
      <c r="C69" s="42"/>
      <c r="F69" s="184"/>
      <c r="H69" s="184"/>
      <c r="I69" s="184"/>
      <c r="J69" s="193"/>
      <c r="K69" s="193"/>
      <c r="L69" s="123"/>
      <c r="M69" s="123"/>
      <c r="N69" s="160"/>
      <c r="O69" s="160"/>
      <c r="P69" s="123"/>
      <c r="Q69" s="123"/>
      <c r="R69" s="123"/>
      <c r="T69" s="41">
        <f t="shared" si="0"/>
        <v>5</v>
      </c>
      <c r="V69" s="132" t="s">
        <v>137</v>
      </c>
      <c r="Y69" s="3"/>
      <c r="Z69" s="1"/>
      <c r="AA69" s="3"/>
      <c r="AB69" s="3"/>
      <c r="AC69" s="7"/>
      <c r="AD69" s="7"/>
      <c r="AE69" s="145">
        <f>SUM(AE68:AE68)</f>
        <v>2196</v>
      </c>
      <c r="AF69" s="3"/>
      <c r="AG69" s="180">
        <f>ROUND((AE69/AE$83)*100,1)</f>
        <v>108.7</v>
      </c>
      <c r="AH69" s="4"/>
      <c r="AI69" s="145">
        <f>SUM(AI68:AI68)</f>
        <v>0</v>
      </c>
      <c r="AJ69" s="3"/>
      <c r="AK69" s="180">
        <f>ROUND((AI69/AE69)*100,1)</f>
        <v>0</v>
      </c>
      <c r="AL69" s="6"/>
      <c r="AM69" s="145"/>
      <c r="AN69" s="3"/>
      <c r="AO69" s="145">
        <f>SUM(AO68:AO68)</f>
        <v>2196</v>
      </c>
      <c r="AP69" s="3"/>
      <c r="AQ69" s="181">
        <f>IF(AO69=0,"0.0 ",ROUND((AI69/AO69)*100,1))</f>
        <v>0</v>
      </c>
    </row>
    <row r="70" spans="3:43" ht="24.75" customHeight="1" x14ac:dyDescent="0.3">
      <c r="C70" s="42"/>
      <c r="F70" s="184"/>
      <c r="H70" s="184"/>
      <c r="I70" s="184"/>
      <c r="J70" s="227"/>
      <c r="K70" s="227"/>
      <c r="L70" s="123"/>
      <c r="M70" s="123"/>
      <c r="N70" s="160"/>
      <c r="O70" s="160"/>
      <c r="P70" s="184"/>
      <c r="Q70" s="184"/>
      <c r="R70" s="123"/>
      <c r="V70" s="42"/>
      <c r="Y70" s="3"/>
      <c r="Z70" s="1"/>
      <c r="AA70" s="3"/>
      <c r="AB70" s="3"/>
      <c r="AC70" s="183"/>
      <c r="AD70" s="183"/>
      <c r="AE70" s="3"/>
      <c r="AF70" s="3"/>
      <c r="AG70" s="175"/>
      <c r="AH70" s="4"/>
      <c r="AI70" s="3"/>
      <c r="AJ70" s="3"/>
      <c r="AK70" s="175"/>
      <c r="AL70" s="6"/>
      <c r="AM70" s="3"/>
      <c r="AN70" s="3"/>
      <c r="AO70" s="3"/>
      <c r="AP70" s="3"/>
      <c r="AQ70" s="175"/>
    </row>
    <row r="71" spans="3:43" x14ac:dyDescent="0.3">
      <c r="C71" s="42"/>
      <c r="H71" s="184"/>
      <c r="I71" s="184"/>
      <c r="J71" s="227"/>
      <c r="K71" s="227"/>
      <c r="L71" s="123"/>
      <c r="M71" s="123"/>
      <c r="N71" s="160"/>
      <c r="O71" s="160"/>
      <c r="P71" s="184"/>
      <c r="Q71" s="184"/>
      <c r="R71" s="123"/>
      <c r="T71" s="41">
        <f t="shared" si="0"/>
        <v>6</v>
      </c>
      <c r="V71" s="132" t="s">
        <v>67</v>
      </c>
      <c r="Y71" s="3"/>
      <c r="Z71" s="1"/>
      <c r="AA71" s="3"/>
      <c r="AB71" s="3"/>
      <c r="AC71" s="7"/>
      <c r="AD71" s="7"/>
      <c r="AE71" s="3"/>
      <c r="AF71" s="3"/>
      <c r="AG71" s="175"/>
      <c r="AH71" s="4"/>
      <c r="AI71" s="3"/>
      <c r="AJ71" s="3"/>
      <c r="AK71" s="175"/>
      <c r="AL71" s="6"/>
      <c r="AM71" s="3"/>
      <c r="AN71" s="3"/>
      <c r="AO71" s="3"/>
      <c r="AP71" s="3"/>
      <c r="AQ71" s="175"/>
    </row>
    <row r="72" spans="3:43" x14ac:dyDescent="0.3">
      <c r="F72" s="210"/>
      <c r="H72" s="210"/>
      <c r="I72" s="210"/>
      <c r="J72" s="213"/>
      <c r="K72" s="213"/>
      <c r="L72" s="210"/>
      <c r="M72" s="210"/>
      <c r="N72" s="210"/>
      <c r="O72" s="210"/>
      <c r="P72" s="210"/>
      <c r="Q72" s="210"/>
      <c r="R72" s="210"/>
      <c r="T72" s="41">
        <f t="shared" si="0"/>
        <v>7</v>
      </c>
      <c r="V72" s="42" t="s">
        <v>384</v>
      </c>
      <c r="Y72" s="159"/>
      <c r="Z72" s="1"/>
      <c r="AA72" s="3">
        <f>H28</f>
        <v>-2961</v>
      </c>
      <c r="AB72" s="3"/>
      <c r="AC72" s="205">
        <f>INPUT!C156</f>
        <v>2.0034E-2</v>
      </c>
      <c r="AD72" s="204"/>
      <c r="AE72" s="3">
        <f>ROUND((AA72*AC72),0)</f>
        <v>-59</v>
      </c>
      <c r="AF72" s="3"/>
      <c r="AG72" s="175">
        <f>ROUND((AE72/AE$83)*100,1)</f>
        <v>-2.9</v>
      </c>
      <c r="AH72" s="4"/>
      <c r="AI72" s="3">
        <f>L28-AE72</f>
        <v>-30</v>
      </c>
      <c r="AJ72" s="3"/>
      <c r="AK72" s="175">
        <f>ROUND((AI72/AE72)*100,1)</f>
        <v>50.8</v>
      </c>
      <c r="AL72" s="6"/>
      <c r="AM72" s="159"/>
      <c r="AN72" s="159"/>
      <c r="AO72" s="3">
        <f>AE72+AM72</f>
        <v>-59</v>
      </c>
      <c r="AP72" s="3"/>
      <c r="AQ72" s="181">
        <f>IF(AO72=0,"0.0 ",ROUND((AI72/AO72)*100,1))</f>
        <v>50.8</v>
      </c>
    </row>
    <row r="73" spans="3:43" x14ac:dyDescent="0.3">
      <c r="C73" s="42"/>
      <c r="F73" s="123"/>
      <c r="H73" s="123"/>
      <c r="I73" s="123"/>
      <c r="J73" s="219"/>
      <c r="K73" s="219"/>
      <c r="L73" s="123"/>
      <c r="M73" s="123"/>
      <c r="N73" s="160"/>
      <c r="O73" s="160"/>
      <c r="P73" s="123"/>
      <c r="Q73" s="123"/>
      <c r="R73" s="123"/>
      <c r="T73" s="41">
        <f t="shared" si="0"/>
        <v>8</v>
      </c>
      <c r="V73" s="42" t="s">
        <v>373</v>
      </c>
      <c r="Y73" s="159"/>
      <c r="Z73" s="1"/>
      <c r="AA73" s="3">
        <f>H29</f>
        <v>-2961</v>
      </c>
      <c r="AB73" s="3"/>
      <c r="AC73" s="205">
        <f>INPUT!C160</f>
        <v>3.8117999999999999E-2</v>
      </c>
      <c r="AD73" s="204"/>
      <c r="AE73" s="3">
        <f>ROUND((AA73*AC73),0)</f>
        <v>-113</v>
      </c>
      <c r="AF73" s="3"/>
      <c r="AG73" s="175">
        <f>ROUND((AE73/AE$83)*100,1)</f>
        <v>-5.6</v>
      </c>
      <c r="AH73" s="4"/>
      <c r="AI73" s="3">
        <f>L29-AE73</f>
        <v>0</v>
      </c>
      <c r="AJ73" s="3"/>
      <c r="AK73" s="175">
        <f>ROUND((AI73/AE73)*100,1)</f>
        <v>0</v>
      </c>
      <c r="AL73" s="6"/>
      <c r="AM73" s="123">
        <v>0</v>
      </c>
      <c r="AN73" s="159"/>
      <c r="AO73" s="3">
        <f>AE73+AM73</f>
        <v>-113</v>
      </c>
      <c r="AP73" s="3"/>
      <c r="AQ73" s="181">
        <f>IF(AO73=0,"0.0 ",ROUND((AI73/AO73)*100,1))</f>
        <v>0</v>
      </c>
    </row>
    <row r="74" spans="3:43" ht="20.100000000000001" customHeight="1" x14ac:dyDescent="0.3">
      <c r="F74" s="123"/>
      <c r="H74" s="123"/>
      <c r="I74" s="123"/>
      <c r="J74" s="219"/>
      <c r="K74" s="219"/>
      <c r="L74" s="123"/>
      <c r="M74" s="123"/>
      <c r="N74" s="123"/>
      <c r="O74" s="123"/>
      <c r="P74" s="123"/>
      <c r="Q74" s="123"/>
      <c r="R74" s="123"/>
      <c r="T74" s="41">
        <f t="shared" si="0"/>
        <v>9</v>
      </c>
      <c r="V74" s="132" t="s">
        <v>143</v>
      </c>
      <c r="Y74" s="49"/>
      <c r="Z74" s="1"/>
      <c r="AA74" s="145">
        <f>H30</f>
        <v>-2961</v>
      </c>
      <c r="AB74" s="3"/>
      <c r="AC74" s="216"/>
      <c r="AD74" s="7"/>
      <c r="AE74" s="145">
        <f>SUM(AE72:AE73)</f>
        <v>-172</v>
      </c>
      <c r="AF74" s="3"/>
      <c r="AG74" s="180">
        <f>ROUND((AE74/AE$83)*100,1)</f>
        <v>-8.5</v>
      </c>
      <c r="AH74" s="4"/>
      <c r="AI74" s="145">
        <f>SUM(AI72:AI73)</f>
        <v>-30</v>
      </c>
      <c r="AJ74" s="3"/>
      <c r="AK74" s="180">
        <f>ROUND((AI74/AE74)*100,1)</f>
        <v>17.399999999999999</v>
      </c>
      <c r="AL74" s="6"/>
      <c r="AM74" s="145">
        <f>AM73</f>
        <v>0</v>
      </c>
      <c r="AN74" s="3"/>
      <c r="AO74" s="145">
        <f>SUM(AO72:AO73)</f>
        <v>-172</v>
      </c>
      <c r="AP74" s="3"/>
      <c r="AQ74" s="181">
        <f>IF(AO74=0,"0.0 ",ROUND((AI74/AO74)*100,1))</f>
        <v>17.399999999999999</v>
      </c>
    </row>
    <row r="75" spans="3:43" ht="20.100000000000001" customHeight="1" x14ac:dyDescent="0.3">
      <c r="F75" s="123"/>
      <c r="H75" s="123"/>
      <c r="I75" s="123"/>
      <c r="J75" s="219"/>
      <c r="K75" s="219"/>
      <c r="L75" s="123"/>
      <c r="M75" s="123"/>
      <c r="N75" s="123"/>
      <c r="O75" s="123"/>
      <c r="P75" s="123"/>
      <c r="Q75" s="123"/>
      <c r="R75" s="123"/>
      <c r="T75" s="41">
        <f t="shared" si="0"/>
        <v>10</v>
      </c>
      <c r="V75" s="178" t="s">
        <v>462</v>
      </c>
      <c r="Y75" s="145">
        <f>Y68</f>
        <v>12</v>
      </c>
      <c r="Z75" s="1"/>
      <c r="AA75" s="145">
        <f>AA74</f>
        <v>-2961</v>
      </c>
      <c r="AB75" s="3"/>
      <c r="AC75" s="216"/>
      <c r="AD75" s="7"/>
      <c r="AE75" s="145">
        <f>AE74+AE69</f>
        <v>2024</v>
      </c>
      <c r="AF75" s="3"/>
      <c r="AG75" s="180">
        <f>ROUND((AE75/AE$83)*100,1)</f>
        <v>100.1</v>
      </c>
      <c r="AH75" s="4"/>
      <c r="AI75" s="145">
        <f>AI74+AI69</f>
        <v>-30</v>
      </c>
      <c r="AJ75" s="3"/>
      <c r="AK75" s="180">
        <f>ROUND((AI75/AE75)*100,1)</f>
        <v>-1.5</v>
      </c>
      <c r="AL75" s="6"/>
      <c r="AM75" s="145">
        <f>AM74+AM69</f>
        <v>0</v>
      </c>
      <c r="AN75" s="3"/>
      <c r="AO75" s="145">
        <f>AO74+AO69</f>
        <v>2024</v>
      </c>
      <c r="AP75" s="3"/>
      <c r="AQ75" s="181">
        <f>IF(AO75=0,"0.0 ",ROUND((AI75/AO75)*100,1))</f>
        <v>-1.5</v>
      </c>
    </row>
    <row r="76" spans="3:43" ht="15.75" customHeight="1" x14ac:dyDescent="0.3">
      <c r="F76" s="123"/>
      <c r="H76" s="123"/>
      <c r="I76" s="123"/>
      <c r="J76" s="219"/>
      <c r="K76" s="219"/>
      <c r="L76" s="123"/>
      <c r="M76" s="123"/>
      <c r="N76" s="123"/>
      <c r="O76" s="123"/>
      <c r="P76" s="123"/>
      <c r="Q76" s="123"/>
      <c r="R76" s="123"/>
      <c r="V76" s="42"/>
      <c r="Y76" s="3"/>
      <c r="Z76" s="1"/>
      <c r="AA76" s="3"/>
      <c r="AB76" s="3"/>
      <c r="AC76" s="216"/>
      <c r="AD76" s="7"/>
      <c r="AE76" s="3"/>
      <c r="AF76" s="3"/>
      <c r="AG76" s="175"/>
      <c r="AH76" s="4"/>
      <c r="AI76" s="3"/>
      <c r="AJ76" s="3"/>
      <c r="AK76" s="175"/>
      <c r="AL76" s="6"/>
      <c r="AM76" s="3"/>
      <c r="AN76" s="3"/>
      <c r="AO76" s="3"/>
      <c r="AP76" s="3"/>
      <c r="AQ76" s="181"/>
    </row>
    <row r="77" spans="3:43" ht="15.75" customHeight="1" x14ac:dyDescent="0.3">
      <c r="F77" s="123"/>
      <c r="H77" s="123"/>
      <c r="I77" s="123"/>
      <c r="J77" s="219"/>
      <c r="K77" s="219"/>
      <c r="L77" s="123"/>
      <c r="M77" s="123"/>
      <c r="N77" s="123"/>
      <c r="O77" s="123"/>
      <c r="P77" s="123"/>
      <c r="Q77" s="123"/>
      <c r="R77" s="123"/>
      <c r="T77" s="41">
        <f>A33</f>
        <v>11</v>
      </c>
      <c r="V77" s="132" t="s">
        <v>432</v>
      </c>
      <c r="Y77" s="3"/>
      <c r="Z77" s="1"/>
      <c r="AA77" s="3"/>
      <c r="AB77" s="3"/>
      <c r="AC77" s="216"/>
      <c r="AD77" s="7"/>
      <c r="AE77" s="3"/>
      <c r="AF77" s="3"/>
      <c r="AG77" s="175"/>
      <c r="AH77" s="4"/>
      <c r="AI77" s="3"/>
      <c r="AJ77" s="3"/>
      <c r="AK77" s="175"/>
      <c r="AL77" s="6"/>
      <c r="AM77" s="3"/>
      <c r="AN77" s="3"/>
      <c r="AO77" s="3"/>
      <c r="AP77" s="3"/>
      <c r="AQ77" s="181"/>
    </row>
    <row r="78" spans="3:43" ht="15.75" customHeight="1" x14ac:dyDescent="0.3">
      <c r="F78" s="123"/>
      <c r="H78" s="123"/>
      <c r="I78" s="123"/>
      <c r="J78" s="219"/>
      <c r="K78" s="219"/>
      <c r="L78" s="123"/>
      <c r="M78" s="123"/>
      <c r="N78" s="123"/>
      <c r="O78" s="123"/>
      <c r="P78" s="123"/>
      <c r="Q78" s="123"/>
      <c r="R78" s="123"/>
      <c r="T78" s="41">
        <f>A34</f>
        <v>12</v>
      </c>
      <c r="V78" s="192" t="str">
        <f>C34</f>
        <v>DEMAND SIDE MANAGEMENT RIDER (DSMR)</v>
      </c>
      <c r="Y78" s="3"/>
      <c r="Z78" s="1"/>
      <c r="AA78" s="3"/>
      <c r="AB78" s="3"/>
      <c r="AC78" s="217">
        <f>DSM_DIST</f>
        <v>3.503E-3</v>
      </c>
      <c r="AD78" s="183"/>
      <c r="AE78" s="3">
        <f>ROUND($AA$75*AC78,0)</f>
        <v>-10</v>
      </c>
      <c r="AF78" s="3"/>
      <c r="AG78" s="175">
        <f>ROUND((AE78/AE$83)*100,1)</f>
        <v>-0.5</v>
      </c>
      <c r="AH78" s="4"/>
      <c r="AI78" s="3">
        <f>L34-AE78</f>
        <v>0</v>
      </c>
      <c r="AJ78" s="3"/>
      <c r="AK78" s="175">
        <f>IF(AE78=0,0,ROUND((AI78/AE78)*100,1))</f>
        <v>0</v>
      </c>
      <c r="AL78" s="6"/>
      <c r="AM78" s="3"/>
      <c r="AN78" s="3"/>
      <c r="AO78" s="3">
        <f>AE78+AM78</f>
        <v>-10</v>
      </c>
      <c r="AP78" s="3"/>
      <c r="AQ78" s="181">
        <f>IF(AO78=0,"0.0 ",ROUND((AI78/AO78)*100,1))</f>
        <v>0</v>
      </c>
    </row>
    <row r="79" spans="3:43" ht="15.75" customHeight="1" x14ac:dyDescent="0.3">
      <c r="F79" s="123"/>
      <c r="H79" s="123"/>
      <c r="I79" s="123"/>
      <c r="J79" s="219"/>
      <c r="K79" s="219"/>
      <c r="L79" s="123"/>
      <c r="M79" s="123"/>
      <c r="N79" s="123"/>
      <c r="O79" s="123"/>
      <c r="P79" s="123"/>
      <c r="Q79" s="123"/>
      <c r="R79" s="123"/>
      <c r="T79" s="41">
        <f>A35</f>
        <v>13</v>
      </c>
      <c r="V79" s="192" t="str">
        <f>C35</f>
        <v>ENVIRONMENTAL SURCHARGE MECHANISM RIDER (ESM)</v>
      </c>
      <c r="Y79" s="3"/>
      <c r="Z79" s="1"/>
      <c r="AA79" s="3"/>
      <c r="AB79" s="3"/>
      <c r="AC79" s="231">
        <f>CUR_ESM_NonRes</f>
        <v>6.4941608437496566E-3</v>
      </c>
      <c r="AD79" s="183"/>
      <c r="AE79" s="3">
        <f>ROUND(AO69*AC79,0)</f>
        <v>14</v>
      </c>
      <c r="AF79" s="3"/>
      <c r="AG79" s="175">
        <f>ROUND((AE79/AE$83)*100,1)</f>
        <v>0.7</v>
      </c>
      <c r="AH79" s="4"/>
      <c r="AI79" s="3">
        <f>L35-AE79</f>
        <v>-2</v>
      </c>
      <c r="AJ79" s="3"/>
      <c r="AK79" s="175">
        <f>IF(AE79=0,0,ROUND((AI79/AE79)*100,1))</f>
        <v>-14.3</v>
      </c>
      <c r="AL79" s="6"/>
      <c r="AM79" s="3"/>
      <c r="AN79" s="3"/>
      <c r="AO79" s="3">
        <f>AE79+AM79</f>
        <v>14</v>
      </c>
      <c r="AP79" s="3"/>
      <c r="AQ79" s="181">
        <f>IF(AO79=0,"0.0 ",ROUND((AI79/AO79)*100,1))</f>
        <v>-14.3</v>
      </c>
    </row>
    <row r="80" spans="3:43" ht="15.75" customHeight="1" x14ac:dyDescent="0.3">
      <c r="F80" s="123"/>
      <c r="H80" s="123"/>
      <c r="I80" s="123"/>
      <c r="J80" s="219"/>
      <c r="K80" s="219"/>
      <c r="L80" s="123"/>
      <c r="M80" s="123"/>
      <c r="N80" s="123"/>
      <c r="O80" s="123"/>
      <c r="P80" s="123"/>
      <c r="Q80" s="123"/>
      <c r="R80" s="123"/>
      <c r="T80" s="41">
        <f>A36</f>
        <v>14</v>
      </c>
      <c r="V80" s="192" t="str">
        <f>C36</f>
        <v>PROFIT SHARING MECHANISM (PSM)</v>
      </c>
      <c r="Y80" s="3"/>
      <c r="Z80" s="1"/>
      <c r="AA80" s="3"/>
      <c r="AB80" s="3"/>
      <c r="AC80" s="217">
        <f>RS_PSM</f>
        <v>2.4750000000000002E-3</v>
      </c>
      <c r="AD80" s="183"/>
      <c r="AE80" s="49">
        <f>ROUND(AA75*RS_PSM,0)</f>
        <v>-7</v>
      </c>
      <c r="AF80" s="3"/>
      <c r="AG80" s="177">
        <f>ROUND((AE80/AE$83)*100,1)</f>
        <v>-0.3</v>
      </c>
      <c r="AH80" s="4"/>
      <c r="AI80" s="3">
        <f>L36-AE80</f>
        <v>0</v>
      </c>
      <c r="AJ80" s="3"/>
      <c r="AK80" s="177">
        <f>IF(AE80=0,0,ROUND((AI80/AE80)*100,1))</f>
        <v>0</v>
      </c>
      <c r="AL80" s="6"/>
      <c r="AM80" s="3"/>
      <c r="AN80" s="3"/>
      <c r="AO80" s="49">
        <f>AE80+AM80</f>
        <v>-7</v>
      </c>
      <c r="AP80" s="3"/>
      <c r="AQ80" s="181">
        <f>IF(AO80=0,"0.0 ",ROUND((AI80/AO80)*100,1))</f>
        <v>0</v>
      </c>
    </row>
    <row r="81" spans="1:43" ht="20.100000000000001" customHeight="1" x14ac:dyDescent="0.3">
      <c r="F81" s="123"/>
      <c r="H81" s="123"/>
      <c r="I81" s="123"/>
      <c r="J81" s="219"/>
      <c r="K81" s="219"/>
      <c r="L81" s="123"/>
      <c r="M81" s="123"/>
      <c r="N81" s="123"/>
      <c r="O81" s="123"/>
      <c r="P81" s="123"/>
      <c r="Q81" s="123"/>
      <c r="R81" s="123"/>
      <c r="T81" s="41">
        <f>A37</f>
        <v>15</v>
      </c>
      <c r="V81" s="132" t="s">
        <v>437</v>
      </c>
      <c r="Y81" s="49"/>
      <c r="Z81" s="1"/>
      <c r="AA81" s="49"/>
      <c r="AB81" s="3"/>
      <c r="AC81" s="7"/>
      <c r="AD81" s="7"/>
      <c r="AE81" s="145">
        <f>SUM(AE78:AE80)</f>
        <v>-3</v>
      </c>
      <c r="AF81" s="3"/>
      <c r="AG81" s="180">
        <f>ROUND((AE81/AE$83)*100,1)</f>
        <v>-0.1</v>
      </c>
      <c r="AH81" s="4"/>
      <c r="AI81" s="145">
        <f>SUM(AI78:AI80)</f>
        <v>-2</v>
      </c>
      <c r="AJ81" s="3"/>
      <c r="AK81" s="180">
        <f>ROUND((AI81/AE81)*100,1)</f>
        <v>66.7</v>
      </c>
      <c r="AL81" s="6"/>
      <c r="AM81" s="145">
        <f>SUM(AM78:AM80)</f>
        <v>0</v>
      </c>
      <c r="AN81" s="3"/>
      <c r="AO81" s="145">
        <f>SUM(AO78:AO80)</f>
        <v>-3</v>
      </c>
      <c r="AP81" s="3"/>
      <c r="AQ81" s="181">
        <f>IF(AO81=0,"0.0 ",ROUND((AI81/AO81)*100,1))</f>
        <v>66.7</v>
      </c>
    </row>
    <row r="82" spans="1:43" ht="15.75" customHeight="1" x14ac:dyDescent="0.3">
      <c r="F82" s="123"/>
      <c r="H82" s="123"/>
      <c r="I82" s="123"/>
      <c r="J82" s="219"/>
      <c r="K82" s="219"/>
      <c r="L82" s="123"/>
      <c r="M82" s="123"/>
      <c r="N82" s="123"/>
      <c r="O82" s="123"/>
      <c r="P82" s="123"/>
      <c r="Q82" s="123"/>
      <c r="R82" s="123"/>
      <c r="V82" s="132"/>
      <c r="Y82" s="3"/>
      <c r="Z82" s="1"/>
      <c r="AA82" s="3"/>
      <c r="AB82" s="3"/>
      <c r="AC82" s="7"/>
      <c r="AD82" s="7"/>
      <c r="AE82" s="3"/>
      <c r="AF82" s="3"/>
      <c r="AG82" s="175"/>
      <c r="AH82" s="4"/>
      <c r="AI82" s="3"/>
      <c r="AJ82" s="3"/>
      <c r="AK82" s="175"/>
      <c r="AL82" s="6"/>
      <c r="AM82" s="3"/>
      <c r="AN82" s="3"/>
      <c r="AO82" s="3"/>
      <c r="AP82" s="3"/>
      <c r="AQ82" s="181"/>
    </row>
    <row r="83" spans="1:43" ht="20.100000000000001" customHeight="1" thickBot="1" x14ac:dyDescent="0.35">
      <c r="T83" s="41">
        <f>A39</f>
        <v>16</v>
      </c>
      <c r="V83" s="178" t="s">
        <v>461</v>
      </c>
      <c r="Y83" s="151">
        <f>Y75</f>
        <v>12</v>
      </c>
      <c r="Z83" s="1"/>
      <c r="AA83" s="151">
        <f>AA75</f>
        <v>-2961</v>
      </c>
      <c r="AB83" s="3"/>
      <c r="AC83" s="7"/>
      <c r="AD83" s="7"/>
      <c r="AE83" s="151">
        <f>AE81+AE75</f>
        <v>2021</v>
      </c>
      <c r="AF83" s="3"/>
      <c r="AG83" s="187">
        <v>100</v>
      </c>
      <c r="AH83" s="4"/>
      <c r="AI83" s="151">
        <f>AI81+AI75</f>
        <v>-32</v>
      </c>
      <c r="AJ83" s="3"/>
      <c r="AK83" s="187">
        <f>ROUND((AI83/AE83)*100,1)</f>
        <v>-1.6</v>
      </c>
      <c r="AL83" s="6"/>
      <c r="AM83" s="151">
        <f>AM81+AM75</f>
        <v>0</v>
      </c>
      <c r="AN83" s="3"/>
      <c r="AO83" s="151">
        <f>AO81+AO75</f>
        <v>2021</v>
      </c>
      <c r="AP83" s="3"/>
      <c r="AQ83" s="181">
        <f>IF(AO83=0,"0.0 ",ROUND((AI83/AO83)*100,1))</f>
        <v>-1.6</v>
      </c>
    </row>
    <row r="84" spans="1:43" ht="16.2" thickTop="1" x14ac:dyDescent="0.3">
      <c r="Y84" s="3"/>
      <c r="Z84" s="1"/>
      <c r="AA84" s="3"/>
      <c r="AB84" s="3"/>
      <c r="AC84" s="7"/>
      <c r="AD84" s="7"/>
      <c r="AE84" s="3"/>
      <c r="AF84" s="3"/>
      <c r="AG84" s="175"/>
      <c r="AH84" s="3"/>
      <c r="AI84" s="1"/>
      <c r="AJ84" s="1"/>
      <c r="AK84" s="175"/>
      <c r="AL84" s="1"/>
      <c r="AM84" s="1"/>
      <c r="AN84" s="1"/>
      <c r="AO84" s="1"/>
      <c r="AP84" s="1"/>
      <c r="AQ84" s="175"/>
    </row>
    <row r="85" spans="1:43" x14ac:dyDescent="0.3">
      <c r="L85" s="123"/>
      <c r="M85" s="123"/>
      <c r="N85" s="123"/>
      <c r="O85" s="123"/>
      <c r="P85" s="123"/>
      <c r="Q85" s="123"/>
      <c r="R85" s="123"/>
      <c r="V85" s="202" t="s">
        <v>59</v>
      </c>
      <c r="Y85" s="123"/>
      <c r="AA85" s="123"/>
      <c r="AB85" s="123"/>
      <c r="AC85" s="219"/>
      <c r="AD85" s="219"/>
      <c r="AE85" s="123"/>
      <c r="AF85" s="123"/>
      <c r="AH85" s="123"/>
    </row>
    <row r="86" spans="1:43" x14ac:dyDescent="0.3">
      <c r="T86" s="42"/>
      <c r="V86" s="42"/>
      <c r="Y86" s="123"/>
      <c r="AA86" s="123"/>
      <c r="AB86" s="123"/>
      <c r="AC86" s="219"/>
      <c r="AD86" s="219"/>
      <c r="AE86" s="123"/>
      <c r="AF86" s="123"/>
      <c r="AH86" s="123"/>
    </row>
    <row r="88" spans="1:43" x14ac:dyDescent="0.3">
      <c r="H88" s="42"/>
      <c r="I88" s="42"/>
      <c r="Y88" s="42"/>
    </row>
    <row r="90" spans="1:43" x14ac:dyDescent="0.3">
      <c r="L90" s="42"/>
      <c r="M90" s="42"/>
      <c r="AA90" s="42"/>
      <c r="AB90" s="42"/>
    </row>
    <row r="91" spans="1:43" x14ac:dyDescent="0.3">
      <c r="R91" s="42"/>
      <c r="AK91" s="206"/>
      <c r="AL91" s="42"/>
    </row>
    <row r="92" spans="1:43" x14ac:dyDescent="0.3">
      <c r="R92" s="42"/>
      <c r="AK92" s="206"/>
      <c r="AL92" s="42"/>
    </row>
    <row r="93" spans="1:43" x14ac:dyDescent="0.3">
      <c r="A93" s="42"/>
      <c r="R93" s="42"/>
      <c r="AK93" s="206"/>
      <c r="AL93" s="42"/>
    </row>
    <row r="94" spans="1:43" x14ac:dyDescent="0.3">
      <c r="L94" s="42"/>
      <c r="M94" s="42"/>
      <c r="AA94" s="42"/>
      <c r="AB94" s="42"/>
    </row>
    <row r="95" spans="1:43" x14ac:dyDescent="0.3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207"/>
      <c r="AH95" s="135"/>
      <c r="AI95" s="135"/>
      <c r="AJ95" s="135"/>
      <c r="AK95" s="207"/>
      <c r="AL95" s="135"/>
      <c r="AM95" s="135"/>
      <c r="AN95" s="135"/>
    </row>
    <row r="96" spans="1:43" x14ac:dyDescent="0.3">
      <c r="L96" s="44"/>
      <c r="M96" s="44"/>
      <c r="N96" s="44"/>
      <c r="O96" s="44"/>
      <c r="R96" s="44"/>
      <c r="AA96" s="44"/>
      <c r="AB96" s="44"/>
      <c r="AC96" s="44"/>
      <c r="AD96" s="44"/>
      <c r="AE96" s="44"/>
      <c r="AF96" s="44"/>
      <c r="AG96" s="168"/>
      <c r="AH96" s="44"/>
      <c r="AK96" s="168"/>
      <c r="AL96" s="44"/>
      <c r="AM96" s="44"/>
      <c r="AN96" s="44"/>
    </row>
    <row r="97" spans="1:40" x14ac:dyDescent="0.3">
      <c r="L97" s="44"/>
      <c r="M97" s="44"/>
      <c r="N97" s="44"/>
      <c r="O97" s="44"/>
      <c r="R97" s="44"/>
      <c r="Z97" s="44"/>
      <c r="AA97" s="44"/>
      <c r="AB97" s="44"/>
      <c r="AC97" s="44"/>
      <c r="AD97" s="44"/>
      <c r="AE97" s="44"/>
      <c r="AF97" s="44"/>
      <c r="AG97" s="168"/>
      <c r="AH97" s="44"/>
      <c r="AK97" s="168"/>
      <c r="AL97" s="44"/>
      <c r="AM97" s="44"/>
      <c r="AN97" s="44"/>
    </row>
    <row r="98" spans="1:40" x14ac:dyDescent="0.3">
      <c r="A98" s="44"/>
      <c r="C98" s="44"/>
      <c r="D98" s="44"/>
      <c r="E98" s="44"/>
      <c r="F98" s="44"/>
      <c r="J98" s="44"/>
      <c r="K98" s="44"/>
      <c r="L98" s="44"/>
      <c r="M98" s="44"/>
      <c r="N98" s="44"/>
      <c r="O98" s="44"/>
      <c r="P98" s="44"/>
      <c r="Q98" s="44"/>
      <c r="R98" s="44"/>
      <c r="T98" s="44"/>
      <c r="U98" s="44"/>
      <c r="V98" s="44"/>
      <c r="Z98" s="44"/>
      <c r="AA98" s="44"/>
      <c r="AB98" s="44"/>
      <c r="AC98" s="44"/>
      <c r="AD98" s="44"/>
      <c r="AE98" s="44"/>
      <c r="AF98" s="44"/>
      <c r="AG98" s="168"/>
      <c r="AH98" s="44"/>
      <c r="AI98" s="44"/>
      <c r="AJ98" s="44"/>
      <c r="AK98" s="168"/>
      <c r="AL98" s="44"/>
      <c r="AM98" s="44"/>
      <c r="AN98" s="44"/>
    </row>
    <row r="99" spans="1:40" x14ac:dyDescent="0.3">
      <c r="A99" s="44"/>
      <c r="C99" s="44"/>
      <c r="D99" s="44"/>
      <c r="E99" s="44"/>
      <c r="F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T99" s="44"/>
      <c r="U99" s="44"/>
      <c r="V99" s="44"/>
      <c r="Y99" s="44"/>
      <c r="Z99" s="44"/>
      <c r="AA99" s="44"/>
      <c r="AB99" s="44"/>
      <c r="AC99" s="44"/>
      <c r="AD99" s="44"/>
      <c r="AE99" s="44"/>
      <c r="AF99" s="44"/>
      <c r="AG99" s="168"/>
      <c r="AH99" s="44"/>
      <c r="AI99" s="44"/>
      <c r="AJ99" s="44"/>
      <c r="AK99" s="168"/>
      <c r="AL99" s="44"/>
      <c r="AM99" s="44"/>
      <c r="AN99" s="44"/>
    </row>
    <row r="100" spans="1:40" x14ac:dyDescent="0.3">
      <c r="C100" s="44"/>
      <c r="D100" s="44"/>
      <c r="E100" s="44"/>
      <c r="F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T100" s="44"/>
      <c r="U100" s="44"/>
      <c r="V100" s="44"/>
      <c r="Y100" s="44"/>
      <c r="Z100" s="44"/>
      <c r="AA100" s="44"/>
      <c r="AB100" s="44"/>
      <c r="AC100" s="44"/>
      <c r="AD100" s="44"/>
      <c r="AE100" s="44"/>
      <c r="AF100" s="44"/>
      <c r="AG100" s="168"/>
      <c r="AH100" s="44"/>
      <c r="AI100" s="44"/>
      <c r="AJ100" s="44"/>
      <c r="AK100" s="168"/>
      <c r="AL100" s="44"/>
      <c r="AM100" s="44"/>
      <c r="AN100" s="44"/>
    </row>
    <row r="101" spans="1:40" x14ac:dyDescent="0.3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207"/>
      <c r="AH101" s="135"/>
      <c r="AI101" s="135"/>
      <c r="AJ101" s="135"/>
      <c r="AK101" s="207"/>
      <c r="AL101" s="135"/>
      <c r="AM101" s="135"/>
      <c r="AN101" s="135"/>
    </row>
    <row r="102" spans="1:40" x14ac:dyDescent="0.3"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Y102" s="44"/>
      <c r="Z102" s="44"/>
      <c r="AA102" s="44"/>
      <c r="AB102" s="44"/>
      <c r="AC102" s="44"/>
      <c r="AD102" s="44"/>
      <c r="AE102" s="44"/>
      <c r="AF102" s="44"/>
      <c r="AG102" s="168"/>
      <c r="AH102" s="44"/>
      <c r="AI102" s="44"/>
      <c r="AJ102" s="44"/>
      <c r="AK102" s="168"/>
      <c r="AL102" s="44"/>
      <c r="AM102" s="44"/>
      <c r="AN102" s="44"/>
    </row>
    <row r="103" spans="1:40" x14ac:dyDescent="0.3">
      <c r="C103" s="42"/>
      <c r="D103" s="42"/>
      <c r="E103" s="42"/>
      <c r="T103" s="42"/>
      <c r="U103" s="42"/>
    </row>
    <row r="104" spans="1:40" x14ac:dyDescent="0.3">
      <c r="C104" s="42"/>
      <c r="T104" s="42"/>
    </row>
    <row r="106" spans="1:40" x14ac:dyDescent="0.3">
      <c r="C106" s="42"/>
      <c r="T106" s="42"/>
    </row>
    <row r="107" spans="1:40" x14ac:dyDescent="0.3">
      <c r="C107" s="42"/>
      <c r="F107" s="184"/>
      <c r="H107" s="184"/>
      <c r="I107" s="184"/>
      <c r="J107" s="193"/>
      <c r="K107" s="193"/>
      <c r="L107" s="123"/>
      <c r="M107" s="123"/>
      <c r="N107" s="160"/>
      <c r="O107" s="160"/>
      <c r="R107" s="123"/>
      <c r="T107" s="42"/>
      <c r="V107" s="123"/>
      <c r="Y107" s="184"/>
      <c r="Z107" s="193"/>
      <c r="AA107" s="123"/>
      <c r="AB107" s="123"/>
      <c r="AC107" s="160"/>
      <c r="AD107" s="160"/>
      <c r="AE107" s="123"/>
      <c r="AF107" s="123"/>
      <c r="AG107" s="233"/>
      <c r="AH107" s="234"/>
      <c r="AL107" s="123"/>
      <c r="AM107" s="235"/>
      <c r="AN107" s="235"/>
    </row>
    <row r="108" spans="1:40" x14ac:dyDescent="0.3">
      <c r="C108" s="42"/>
      <c r="F108" s="184"/>
      <c r="H108" s="184"/>
      <c r="I108" s="184"/>
      <c r="J108" s="193"/>
      <c r="K108" s="193"/>
      <c r="L108" s="123"/>
      <c r="M108" s="123"/>
      <c r="N108" s="160"/>
      <c r="O108" s="160"/>
      <c r="R108" s="123"/>
      <c r="T108" s="42"/>
      <c r="V108" s="123"/>
      <c r="Y108" s="184"/>
      <c r="Z108" s="193"/>
      <c r="AA108" s="123"/>
      <c r="AB108" s="123"/>
      <c r="AC108" s="160"/>
      <c r="AD108" s="160"/>
      <c r="AE108" s="123"/>
      <c r="AF108" s="123"/>
      <c r="AH108" s="236"/>
      <c r="AL108" s="123"/>
      <c r="AM108" s="160"/>
      <c r="AN108" s="160"/>
    </row>
    <row r="109" spans="1:40" x14ac:dyDescent="0.3">
      <c r="C109" s="42"/>
      <c r="F109" s="184"/>
      <c r="H109" s="184"/>
      <c r="I109" s="184"/>
      <c r="J109" s="193"/>
      <c r="K109" s="193"/>
      <c r="L109" s="123"/>
      <c r="M109" s="123"/>
      <c r="N109" s="160"/>
      <c r="O109" s="160"/>
      <c r="R109" s="123"/>
      <c r="T109" s="42"/>
      <c r="V109" s="123"/>
      <c r="Y109" s="184"/>
      <c r="Z109" s="193"/>
      <c r="AA109" s="123"/>
      <c r="AB109" s="123"/>
      <c r="AC109" s="160"/>
      <c r="AD109" s="160"/>
      <c r="AE109" s="123"/>
      <c r="AF109" s="123"/>
      <c r="AH109" s="236"/>
      <c r="AL109" s="123"/>
      <c r="AM109" s="160"/>
      <c r="AN109" s="160"/>
    </row>
    <row r="110" spans="1:40" x14ac:dyDescent="0.3">
      <c r="F110" s="210"/>
      <c r="H110" s="123"/>
      <c r="I110" s="123"/>
      <c r="J110" s="213"/>
      <c r="K110" s="213"/>
      <c r="L110" s="210"/>
      <c r="M110" s="210"/>
      <c r="N110" s="210"/>
      <c r="O110" s="210"/>
      <c r="P110" s="210"/>
      <c r="Q110" s="210"/>
      <c r="R110" s="210"/>
      <c r="V110" s="210"/>
      <c r="Y110" s="123"/>
      <c r="Z110" s="213"/>
      <c r="AA110" s="210"/>
      <c r="AB110" s="210"/>
      <c r="AC110" s="210"/>
      <c r="AD110" s="210"/>
      <c r="AE110" s="210"/>
      <c r="AF110" s="210"/>
      <c r="AI110" s="210"/>
      <c r="AJ110" s="210"/>
      <c r="AK110" s="214"/>
      <c r="AL110" s="210"/>
      <c r="AM110" s="160"/>
      <c r="AN110" s="160"/>
    </row>
    <row r="111" spans="1:40" x14ac:dyDescent="0.3">
      <c r="C111" s="42"/>
      <c r="F111" s="123"/>
      <c r="H111" s="123"/>
      <c r="I111" s="123"/>
      <c r="J111" s="213"/>
      <c r="K111" s="213"/>
      <c r="L111" s="123"/>
      <c r="M111" s="123"/>
      <c r="N111" s="160"/>
      <c r="O111" s="160"/>
      <c r="P111" s="123"/>
      <c r="Q111" s="123"/>
      <c r="R111" s="123"/>
      <c r="T111" s="42"/>
      <c r="V111" s="123"/>
      <c r="Y111" s="123"/>
      <c r="Z111" s="219"/>
      <c r="AA111" s="123"/>
      <c r="AB111" s="123"/>
      <c r="AC111" s="160"/>
      <c r="AD111" s="160"/>
      <c r="AE111" s="123"/>
      <c r="AF111" s="123"/>
      <c r="AH111" s="236"/>
      <c r="AI111" s="123"/>
      <c r="AJ111" s="123"/>
      <c r="AL111" s="123"/>
      <c r="AM111" s="160"/>
      <c r="AN111" s="160"/>
    </row>
    <row r="112" spans="1:40" x14ac:dyDescent="0.3">
      <c r="F112" s="210"/>
      <c r="H112" s="123"/>
      <c r="I112" s="123"/>
      <c r="J112" s="213"/>
      <c r="K112" s="213"/>
      <c r="L112" s="210"/>
      <c r="M112" s="210"/>
      <c r="N112" s="210"/>
      <c r="O112" s="210"/>
      <c r="P112" s="210"/>
      <c r="Q112" s="210"/>
      <c r="R112" s="210"/>
      <c r="V112" s="210"/>
      <c r="Y112" s="123"/>
      <c r="Z112" s="213"/>
      <c r="AA112" s="210"/>
      <c r="AB112" s="210"/>
      <c r="AC112" s="210"/>
      <c r="AD112" s="210"/>
      <c r="AE112" s="210"/>
      <c r="AF112" s="210"/>
      <c r="AI112" s="210"/>
      <c r="AJ112" s="210"/>
      <c r="AK112" s="214"/>
      <c r="AL112" s="210"/>
      <c r="AM112" s="160"/>
      <c r="AN112" s="160"/>
    </row>
    <row r="113" spans="3:40" x14ac:dyDescent="0.3">
      <c r="C113" s="42"/>
      <c r="F113" s="184"/>
      <c r="H113" s="184"/>
      <c r="I113" s="184"/>
      <c r="J113" s="237"/>
      <c r="K113" s="237"/>
      <c r="L113" s="123"/>
      <c r="M113" s="123"/>
      <c r="N113" s="160"/>
      <c r="O113" s="160"/>
      <c r="P113" s="123"/>
      <c r="Q113" s="123"/>
      <c r="R113" s="123"/>
      <c r="S113" s="123"/>
      <c r="T113" s="42"/>
      <c r="V113" s="184"/>
      <c r="Y113" s="184"/>
      <c r="Z113" s="237"/>
      <c r="AA113" s="123"/>
      <c r="AB113" s="123"/>
      <c r="AC113" s="160"/>
      <c r="AD113" s="160"/>
      <c r="AE113" s="123"/>
      <c r="AF113" s="123"/>
      <c r="AH113" s="160"/>
      <c r="AI113" s="123"/>
      <c r="AJ113" s="123"/>
      <c r="AL113" s="123"/>
      <c r="AM113" s="160"/>
      <c r="AN113" s="160"/>
    </row>
    <row r="114" spans="3:40" x14ac:dyDescent="0.3">
      <c r="C114" s="42"/>
      <c r="F114" s="184"/>
      <c r="H114" s="184"/>
      <c r="I114" s="184"/>
      <c r="J114" s="193"/>
      <c r="K114" s="193"/>
      <c r="L114" s="123"/>
      <c r="M114" s="123"/>
      <c r="N114" s="160"/>
      <c r="O114" s="160"/>
      <c r="P114" s="123"/>
      <c r="Q114" s="123"/>
      <c r="R114" s="123"/>
      <c r="T114" s="42"/>
      <c r="V114" s="184"/>
      <c r="Y114" s="123"/>
      <c r="Z114" s="193"/>
      <c r="AA114" s="123"/>
      <c r="AB114" s="123"/>
      <c r="AC114" s="160"/>
      <c r="AD114" s="160"/>
      <c r="AE114" s="123"/>
      <c r="AF114" s="123"/>
      <c r="AH114" s="236"/>
      <c r="AI114" s="123"/>
      <c r="AJ114" s="123"/>
      <c r="AL114" s="123"/>
      <c r="AM114" s="160"/>
      <c r="AN114" s="160"/>
    </row>
    <row r="115" spans="3:40" x14ac:dyDescent="0.3">
      <c r="C115" s="42"/>
      <c r="F115" s="184"/>
      <c r="H115" s="184"/>
      <c r="I115" s="184"/>
      <c r="J115" s="193"/>
      <c r="K115" s="193"/>
      <c r="L115" s="123"/>
      <c r="M115" s="123"/>
      <c r="N115" s="160"/>
      <c r="O115" s="160"/>
      <c r="P115" s="123"/>
      <c r="Q115" s="123"/>
      <c r="R115" s="123"/>
      <c r="T115" s="42"/>
      <c r="V115" s="184"/>
      <c r="Y115" s="123"/>
      <c r="Z115" s="193"/>
      <c r="AA115" s="123"/>
      <c r="AB115" s="123"/>
      <c r="AC115" s="160"/>
      <c r="AD115" s="160"/>
      <c r="AE115" s="123"/>
      <c r="AF115" s="123"/>
      <c r="AH115" s="236"/>
      <c r="AI115" s="123"/>
      <c r="AJ115" s="123"/>
      <c r="AL115" s="123"/>
      <c r="AM115" s="160"/>
      <c r="AN115" s="160"/>
    </row>
    <row r="116" spans="3:40" x14ac:dyDescent="0.3">
      <c r="F116" s="123"/>
      <c r="H116" s="210"/>
      <c r="I116" s="210"/>
      <c r="J116" s="213"/>
      <c r="K116" s="213"/>
      <c r="L116" s="210"/>
      <c r="M116" s="210"/>
      <c r="N116" s="210"/>
      <c r="O116" s="210"/>
      <c r="P116" s="210"/>
      <c r="Q116" s="210"/>
      <c r="R116" s="210"/>
      <c r="V116" s="123"/>
      <c r="Y116" s="210"/>
      <c r="Z116" s="213"/>
      <c r="AA116" s="210"/>
      <c r="AB116" s="210"/>
      <c r="AC116" s="210"/>
      <c r="AD116" s="210"/>
      <c r="AE116" s="210"/>
      <c r="AF116" s="210"/>
      <c r="AI116" s="210"/>
      <c r="AJ116" s="210"/>
      <c r="AK116" s="214"/>
      <c r="AL116" s="210"/>
      <c r="AM116" s="160"/>
      <c r="AN116" s="160"/>
    </row>
    <row r="117" spans="3:40" x14ac:dyDescent="0.3">
      <c r="C117" s="42"/>
      <c r="F117" s="123"/>
      <c r="H117" s="123"/>
      <c r="I117" s="123"/>
      <c r="J117" s="213"/>
      <c r="K117" s="213"/>
      <c r="L117" s="123"/>
      <c r="M117" s="123"/>
      <c r="N117" s="160"/>
      <c r="O117" s="160"/>
      <c r="P117" s="123"/>
      <c r="Q117" s="123"/>
      <c r="R117" s="123"/>
      <c r="T117" s="42"/>
      <c r="V117" s="123"/>
      <c r="Y117" s="123"/>
      <c r="Z117" s="213"/>
      <c r="AA117" s="123"/>
      <c r="AB117" s="123"/>
      <c r="AC117" s="160"/>
      <c r="AD117" s="160"/>
      <c r="AE117" s="123"/>
      <c r="AF117" s="123"/>
      <c r="AH117" s="236"/>
      <c r="AI117" s="123"/>
      <c r="AJ117" s="123"/>
      <c r="AL117" s="123"/>
      <c r="AM117" s="160"/>
      <c r="AN117" s="160"/>
    </row>
    <row r="118" spans="3:40" x14ac:dyDescent="0.3">
      <c r="F118" s="123"/>
      <c r="H118" s="210"/>
      <c r="I118" s="210"/>
      <c r="J118" s="213"/>
      <c r="K118" s="213"/>
      <c r="L118" s="210"/>
      <c r="M118" s="210"/>
      <c r="N118" s="210"/>
      <c r="O118" s="210"/>
      <c r="P118" s="210"/>
      <c r="Q118" s="210"/>
      <c r="R118" s="210"/>
      <c r="V118" s="123"/>
      <c r="Y118" s="210"/>
      <c r="Z118" s="213"/>
      <c r="AA118" s="210"/>
      <c r="AB118" s="210"/>
      <c r="AC118" s="210"/>
      <c r="AD118" s="210"/>
      <c r="AE118" s="210"/>
      <c r="AF118" s="210"/>
      <c r="AI118" s="210"/>
      <c r="AJ118" s="210"/>
      <c r="AK118" s="214"/>
      <c r="AL118" s="210"/>
      <c r="AM118" s="160"/>
      <c r="AN118" s="160"/>
    </row>
    <row r="119" spans="3:40" x14ac:dyDescent="0.3">
      <c r="C119" s="42"/>
      <c r="F119" s="123"/>
      <c r="H119" s="123"/>
      <c r="I119" s="123"/>
      <c r="J119" s="213"/>
      <c r="K119" s="213"/>
      <c r="L119" s="123"/>
      <c r="M119" s="123"/>
      <c r="N119" s="123"/>
      <c r="O119" s="123"/>
      <c r="P119" s="123"/>
      <c r="Q119" s="123"/>
      <c r="R119" s="123"/>
      <c r="T119" s="42"/>
      <c r="V119" s="123"/>
      <c r="Y119" s="123"/>
      <c r="Z119" s="213"/>
      <c r="AA119" s="123"/>
      <c r="AB119" s="123"/>
      <c r="AC119" s="123"/>
      <c r="AD119" s="123"/>
      <c r="AE119" s="123"/>
      <c r="AF119" s="123"/>
      <c r="AH119" s="236"/>
      <c r="AI119" s="123"/>
      <c r="AJ119" s="123"/>
      <c r="AL119" s="123"/>
      <c r="AM119" s="160"/>
      <c r="AN119" s="160"/>
    </row>
    <row r="120" spans="3:40" x14ac:dyDescent="0.3">
      <c r="C120" s="42"/>
      <c r="F120" s="123"/>
      <c r="H120" s="184"/>
      <c r="I120" s="184"/>
      <c r="J120" s="238"/>
      <c r="K120" s="238"/>
      <c r="L120" s="123"/>
      <c r="M120" s="123"/>
      <c r="N120" s="160"/>
      <c r="O120" s="160"/>
      <c r="P120" s="123"/>
      <c r="Q120" s="123"/>
      <c r="R120" s="123"/>
      <c r="T120" s="42"/>
      <c r="V120" s="123"/>
      <c r="Y120" s="123"/>
      <c r="Z120" s="238"/>
      <c r="AA120" s="123"/>
      <c r="AB120" s="123"/>
      <c r="AC120" s="160"/>
      <c r="AD120" s="160"/>
      <c r="AE120" s="123"/>
      <c r="AF120" s="123"/>
      <c r="AH120" s="236"/>
      <c r="AI120" s="123"/>
      <c r="AJ120" s="123"/>
      <c r="AL120" s="123"/>
      <c r="AM120" s="160"/>
      <c r="AN120" s="160"/>
    </row>
    <row r="121" spans="3:40" x14ac:dyDescent="0.3">
      <c r="C121" s="42"/>
      <c r="H121" s="184"/>
      <c r="I121" s="184"/>
      <c r="J121" s="238"/>
      <c r="K121" s="238"/>
      <c r="L121" s="123"/>
      <c r="M121" s="123"/>
      <c r="N121" s="160"/>
      <c r="O121" s="160"/>
      <c r="P121" s="123"/>
      <c r="Q121" s="123"/>
      <c r="R121" s="123"/>
      <c r="T121" s="42"/>
      <c r="Y121" s="123"/>
      <c r="Z121" s="238"/>
      <c r="AA121" s="123"/>
      <c r="AB121" s="123"/>
      <c r="AC121" s="160"/>
      <c r="AD121" s="160"/>
      <c r="AE121" s="123"/>
      <c r="AF121" s="123"/>
      <c r="AH121" s="236"/>
      <c r="AI121" s="123"/>
      <c r="AJ121" s="123"/>
      <c r="AL121" s="123"/>
      <c r="AM121" s="160"/>
      <c r="AN121" s="160"/>
    </row>
    <row r="122" spans="3:40" x14ac:dyDescent="0.3">
      <c r="F122" s="123"/>
      <c r="H122" s="123"/>
      <c r="I122" s="123"/>
      <c r="J122" s="213"/>
      <c r="K122" s="213"/>
      <c r="L122" s="210"/>
      <c r="M122" s="210"/>
      <c r="N122" s="210"/>
      <c r="O122" s="210"/>
      <c r="P122" s="210"/>
      <c r="Q122" s="210"/>
      <c r="R122" s="210"/>
      <c r="V122" s="123"/>
      <c r="Y122" s="123"/>
      <c r="Z122" s="213"/>
      <c r="AA122" s="210"/>
      <c r="AB122" s="210"/>
      <c r="AC122" s="210"/>
      <c r="AD122" s="210"/>
      <c r="AE122" s="210"/>
      <c r="AF122" s="210"/>
      <c r="AI122" s="210"/>
      <c r="AJ122" s="210"/>
      <c r="AK122" s="214"/>
      <c r="AL122" s="210"/>
      <c r="AM122" s="160"/>
      <c r="AN122" s="160"/>
    </row>
    <row r="123" spans="3:40" x14ac:dyDescent="0.3">
      <c r="C123" s="42"/>
      <c r="F123" s="123"/>
      <c r="H123" s="123"/>
      <c r="I123" s="123"/>
      <c r="J123" s="219"/>
      <c r="K123" s="219"/>
      <c r="L123" s="123"/>
      <c r="M123" s="123"/>
      <c r="N123" s="160"/>
      <c r="O123" s="160"/>
      <c r="P123" s="123"/>
      <c r="Q123" s="123"/>
      <c r="R123" s="123"/>
      <c r="T123" s="42"/>
      <c r="V123" s="123"/>
      <c r="Y123" s="123"/>
      <c r="Z123" s="219"/>
      <c r="AA123" s="123"/>
      <c r="AB123" s="123"/>
      <c r="AC123" s="160"/>
      <c r="AD123" s="160"/>
      <c r="AE123" s="123"/>
      <c r="AF123" s="123"/>
      <c r="AH123" s="236"/>
      <c r="AI123" s="123"/>
      <c r="AJ123" s="123"/>
      <c r="AL123" s="123"/>
      <c r="AM123" s="160"/>
      <c r="AN123" s="160"/>
    </row>
    <row r="124" spans="3:40" x14ac:dyDescent="0.3">
      <c r="F124" s="123"/>
      <c r="H124" s="123"/>
      <c r="I124" s="123"/>
      <c r="J124" s="213"/>
      <c r="K124" s="213"/>
      <c r="L124" s="210"/>
      <c r="M124" s="210"/>
      <c r="N124" s="210"/>
      <c r="O124" s="210"/>
      <c r="P124" s="210"/>
      <c r="Q124" s="210"/>
      <c r="R124" s="210"/>
      <c r="V124" s="123"/>
      <c r="Y124" s="123"/>
      <c r="Z124" s="213"/>
      <c r="AA124" s="210"/>
      <c r="AB124" s="210"/>
      <c r="AC124" s="210"/>
      <c r="AD124" s="210"/>
      <c r="AE124" s="210"/>
      <c r="AF124" s="210"/>
      <c r="AI124" s="210"/>
      <c r="AJ124" s="210"/>
      <c r="AK124" s="214"/>
      <c r="AL124" s="210"/>
      <c r="AM124" s="160"/>
      <c r="AN124" s="160"/>
    </row>
    <row r="125" spans="3:40" x14ac:dyDescent="0.3">
      <c r="C125" s="42"/>
      <c r="F125" s="123"/>
      <c r="H125" s="123"/>
      <c r="I125" s="123"/>
      <c r="J125" s="219"/>
      <c r="K125" s="219"/>
      <c r="L125" s="123"/>
      <c r="M125" s="123"/>
      <c r="N125" s="160"/>
      <c r="O125" s="160"/>
      <c r="P125" s="123"/>
      <c r="Q125" s="123"/>
      <c r="R125" s="123"/>
      <c r="T125" s="42"/>
      <c r="V125" s="123"/>
      <c r="Y125" s="123"/>
      <c r="Z125" s="219"/>
      <c r="AA125" s="123"/>
      <c r="AB125" s="123"/>
      <c r="AC125" s="160"/>
      <c r="AD125" s="160"/>
      <c r="AE125" s="123"/>
      <c r="AF125" s="123"/>
      <c r="AH125" s="236"/>
      <c r="AI125" s="123"/>
      <c r="AJ125" s="123"/>
      <c r="AL125" s="123"/>
      <c r="AM125" s="160"/>
      <c r="AN125" s="160"/>
    </row>
    <row r="126" spans="3:40" x14ac:dyDescent="0.3">
      <c r="C126" s="42"/>
      <c r="F126" s="123"/>
      <c r="H126" s="184"/>
      <c r="I126" s="184"/>
      <c r="J126" s="227"/>
      <c r="K126" s="227"/>
      <c r="L126" s="123"/>
      <c r="M126" s="123"/>
      <c r="N126" s="160"/>
      <c r="O126" s="160"/>
      <c r="P126" s="123"/>
      <c r="Q126" s="123"/>
      <c r="R126" s="123"/>
      <c r="T126" s="42"/>
      <c r="V126" s="184"/>
      <c r="Y126" s="123"/>
      <c r="Z126" s="227"/>
      <c r="AA126" s="123"/>
      <c r="AB126" s="123"/>
      <c r="AC126" s="160"/>
      <c r="AD126" s="160"/>
      <c r="AE126" s="123"/>
      <c r="AF126" s="123"/>
      <c r="AH126" s="236"/>
      <c r="AI126" s="123"/>
      <c r="AJ126" s="123"/>
      <c r="AL126" s="123"/>
      <c r="AM126" s="160"/>
      <c r="AN126" s="160"/>
    </row>
    <row r="127" spans="3:40" x14ac:dyDescent="0.3">
      <c r="F127" s="210"/>
      <c r="H127" s="210"/>
      <c r="I127" s="210"/>
      <c r="J127" s="213"/>
      <c r="K127" s="213"/>
      <c r="L127" s="210"/>
      <c r="M127" s="210"/>
      <c r="N127" s="210"/>
      <c r="O127" s="210"/>
      <c r="P127" s="210"/>
      <c r="Q127" s="210"/>
      <c r="R127" s="210"/>
      <c r="V127" s="210"/>
      <c r="Y127" s="210"/>
      <c r="Z127" s="213"/>
      <c r="AA127" s="210"/>
      <c r="AB127" s="210"/>
      <c r="AC127" s="210"/>
      <c r="AD127" s="210"/>
      <c r="AE127" s="210"/>
      <c r="AF127" s="210"/>
      <c r="AI127" s="210"/>
      <c r="AJ127" s="210"/>
      <c r="AK127" s="214"/>
      <c r="AL127" s="210"/>
      <c r="AM127" s="160"/>
      <c r="AN127" s="160"/>
    </row>
    <row r="128" spans="3:40" x14ac:dyDescent="0.3">
      <c r="C128" s="42"/>
      <c r="F128" s="123"/>
      <c r="H128" s="123"/>
      <c r="I128" s="123"/>
      <c r="J128" s="213"/>
      <c r="K128" s="213"/>
      <c r="L128" s="123"/>
      <c r="M128" s="123"/>
      <c r="N128" s="160"/>
      <c r="O128" s="160"/>
      <c r="P128" s="123"/>
      <c r="Q128" s="123"/>
      <c r="R128" s="123"/>
      <c r="S128" s="123"/>
      <c r="T128" s="42"/>
      <c r="V128" s="123"/>
      <c r="Y128" s="123"/>
      <c r="Z128" s="213"/>
      <c r="AA128" s="123"/>
      <c r="AB128" s="123"/>
      <c r="AC128" s="160"/>
      <c r="AD128" s="160"/>
      <c r="AE128" s="123"/>
      <c r="AF128" s="123"/>
      <c r="AH128" s="160"/>
      <c r="AI128" s="123"/>
      <c r="AJ128" s="123"/>
      <c r="AL128" s="123"/>
      <c r="AM128" s="160"/>
      <c r="AN128" s="160"/>
    </row>
    <row r="129" spans="3:40" x14ac:dyDescent="0.3">
      <c r="F129" s="210"/>
      <c r="H129" s="210"/>
      <c r="I129" s="210"/>
      <c r="J129" s="213"/>
      <c r="K129" s="213"/>
      <c r="L129" s="210"/>
      <c r="M129" s="210"/>
      <c r="N129" s="210"/>
      <c r="O129" s="210"/>
      <c r="P129" s="210"/>
      <c r="Q129" s="210"/>
      <c r="R129" s="210"/>
      <c r="S129" s="123"/>
      <c r="V129" s="210"/>
      <c r="Y129" s="210"/>
      <c r="Z129" s="213"/>
      <c r="AA129" s="210"/>
      <c r="AB129" s="210"/>
      <c r="AC129" s="210"/>
      <c r="AD129" s="210"/>
      <c r="AE129" s="210"/>
      <c r="AF129" s="210"/>
      <c r="AI129" s="210"/>
      <c r="AJ129" s="210"/>
      <c r="AK129" s="214"/>
      <c r="AL129" s="210"/>
      <c r="AM129" s="160"/>
      <c r="AN129" s="160"/>
    </row>
    <row r="130" spans="3:40" x14ac:dyDescent="0.3">
      <c r="C130" s="42"/>
      <c r="F130" s="184"/>
      <c r="H130" s="239"/>
      <c r="I130" s="239"/>
      <c r="J130" s="213"/>
      <c r="K130" s="213"/>
      <c r="L130" s="123"/>
      <c r="M130" s="123"/>
      <c r="N130" s="160"/>
      <c r="O130" s="160"/>
      <c r="P130" s="123"/>
      <c r="Q130" s="123"/>
      <c r="R130" s="123"/>
      <c r="S130" s="123"/>
      <c r="T130" s="42"/>
      <c r="V130" s="184"/>
      <c r="Y130" s="184"/>
      <c r="Z130" s="213"/>
      <c r="AA130" s="123"/>
      <c r="AB130" s="123"/>
      <c r="AC130" s="160"/>
      <c r="AD130" s="160"/>
      <c r="AE130" s="123"/>
      <c r="AF130" s="123"/>
      <c r="AI130" s="123"/>
      <c r="AJ130" s="123"/>
      <c r="AL130" s="123"/>
      <c r="AM130" s="160"/>
      <c r="AN130" s="160"/>
    </row>
    <row r="132" spans="3:40" x14ac:dyDescent="0.3">
      <c r="C132" s="42"/>
      <c r="T132" s="42"/>
    </row>
    <row r="133" spans="3:40" x14ac:dyDescent="0.3">
      <c r="C133" s="42"/>
      <c r="F133" s="184"/>
      <c r="H133" s="184"/>
      <c r="I133" s="184"/>
      <c r="J133" s="193"/>
      <c r="K133" s="193"/>
      <c r="L133" s="123"/>
      <c r="M133" s="123"/>
      <c r="N133" s="160"/>
      <c r="O133" s="160"/>
      <c r="R133" s="123"/>
      <c r="T133" s="42"/>
      <c r="V133" s="123"/>
      <c r="Y133" s="184"/>
      <c r="Z133" s="193"/>
      <c r="AA133" s="123"/>
      <c r="AB133" s="123"/>
      <c r="AC133" s="160"/>
      <c r="AD133" s="160"/>
      <c r="AE133" s="123"/>
      <c r="AF133" s="123"/>
      <c r="AG133" s="233"/>
      <c r="AH133" s="234"/>
      <c r="AL133" s="123"/>
      <c r="AM133" s="235"/>
      <c r="AN133" s="235"/>
    </row>
    <row r="134" spans="3:40" x14ac:dyDescent="0.3">
      <c r="C134" s="42"/>
      <c r="F134" s="184"/>
      <c r="H134" s="184"/>
      <c r="I134" s="184"/>
      <c r="J134" s="193"/>
      <c r="K134" s="193"/>
      <c r="L134" s="123"/>
      <c r="M134" s="123"/>
      <c r="N134" s="160"/>
      <c r="O134" s="160"/>
      <c r="R134" s="123"/>
      <c r="T134" s="42"/>
      <c r="V134" s="123"/>
      <c r="Y134" s="184"/>
      <c r="Z134" s="193"/>
      <c r="AA134" s="123"/>
      <c r="AB134" s="123"/>
      <c r="AC134" s="160"/>
      <c r="AD134" s="160"/>
      <c r="AE134" s="123"/>
      <c r="AF134" s="123"/>
      <c r="AH134" s="236"/>
      <c r="AL134" s="123"/>
      <c r="AM134" s="160"/>
      <c r="AN134" s="160"/>
    </row>
    <row r="135" spans="3:40" x14ac:dyDescent="0.3">
      <c r="C135" s="42"/>
      <c r="F135" s="184"/>
      <c r="H135" s="184"/>
      <c r="I135" s="184"/>
      <c r="J135" s="193"/>
      <c r="K135" s="193"/>
      <c r="L135" s="123"/>
      <c r="M135" s="123"/>
      <c r="N135" s="160"/>
      <c r="O135" s="160"/>
      <c r="R135" s="123"/>
      <c r="T135" s="42"/>
      <c r="V135" s="123"/>
      <c r="Y135" s="184"/>
      <c r="Z135" s="193"/>
      <c r="AA135" s="123"/>
      <c r="AB135" s="123"/>
      <c r="AC135" s="160"/>
      <c r="AD135" s="160"/>
      <c r="AE135" s="123"/>
      <c r="AF135" s="123"/>
      <c r="AH135" s="236"/>
      <c r="AL135" s="123"/>
      <c r="AM135" s="160"/>
      <c r="AN135" s="160"/>
    </row>
    <row r="136" spans="3:40" x14ac:dyDescent="0.3">
      <c r="F136" s="210"/>
      <c r="H136" s="123"/>
      <c r="I136" s="123"/>
      <c r="J136" s="213"/>
      <c r="K136" s="213"/>
      <c r="L136" s="210"/>
      <c r="M136" s="210"/>
      <c r="N136" s="210"/>
      <c r="O136" s="210"/>
      <c r="P136" s="210"/>
      <c r="Q136" s="210"/>
      <c r="R136" s="210"/>
      <c r="V136" s="210"/>
      <c r="Y136" s="123"/>
      <c r="Z136" s="213"/>
      <c r="AA136" s="210"/>
      <c r="AB136" s="210"/>
      <c r="AC136" s="210"/>
      <c r="AD136" s="210"/>
      <c r="AE136" s="210"/>
      <c r="AF136" s="210"/>
      <c r="AI136" s="210"/>
      <c r="AJ136" s="210"/>
      <c r="AK136" s="214"/>
      <c r="AL136" s="210"/>
      <c r="AM136" s="160"/>
      <c r="AN136" s="160"/>
    </row>
    <row r="137" spans="3:40" x14ac:dyDescent="0.3">
      <c r="C137" s="42"/>
      <c r="F137" s="123"/>
      <c r="H137" s="123"/>
      <c r="I137" s="123"/>
      <c r="J137" s="213"/>
      <c r="K137" s="213"/>
      <c r="L137" s="123"/>
      <c r="M137" s="123"/>
      <c r="N137" s="160"/>
      <c r="O137" s="160"/>
      <c r="P137" s="123"/>
      <c r="Q137" s="123"/>
      <c r="R137" s="123"/>
      <c r="T137" s="42"/>
      <c r="V137" s="123"/>
      <c r="Y137" s="123"/>
      <c r="Z137" s="213"/>
      <c r="AA137" s="123"/>
      <c r="AB137" s="123"/>
      <c r="AC137" s="160"/>
      <c r="AD137" s="160"/>
      <c r="AE137" s="123"/>
      <c r="AF137" s="123"/>
      <c r="AH137" s="236"/>
      <c r="AI137" s="123"/>
      <c r="AJ137" s="123"/>
      <c r="AL137" s="123"/>
      <c r="AM137" s="160"/>
      <c r="AN137" s="160"/>
    </row>
    <row r="138" spans="3:40" x14ac:dyDescent="0.3">
      <c r="F138" s="210"/>
      <c r="H138" s="123"/>
      <c r="I138" s="123"/>
      <c r="J138" s="213"/>
      <c r="K138" s="213"/>
      <c r="L138" s="210"/>
      <c r="M138" s="210"/>
      <c r="N138" s="210"/>
      <c r="O138" s="210"/>
      <c r="P138" s="210"/>
      <c r="Q138" s="210"/>
      <c r="R138" s="210"/>
      <c r="V138" s="210"/>
      <c r="Y138" s="123"/>
      <c r="Z138" s="213"/>
      <c r="AA138" s="210"/>
      <c r="AB138" s="210"/>
      <c r="AC138" s="210"/>
      <c r="AD138" s="210"/>
      <c r="AE138" s="210"/>
      <c r="AF138" s="210"/>
      <c r="AI138" s="210"/>
      <c r="AJ138" s="210"/>
      <c r="AK138" s="214"/>
      <c r="AL138" s="210"/>
      <c r="AM138" s="160"/>
      <c r="AN138" s="160"/>
    </row>
    <row r="139" spans="3:40" x14ac:dyDescent="0.3">
      <c r="C139" s="42"/>
      <c r="F139" s="184"/>
      <c r="H139" s="184"/>
      <c r="I139" s="184"/>
      <c r="J139" s="237"/>
      <c r="K139" s="237"/>
      <c r="L139" s="123"/>
      <c r="M139" s="123"/>
      <c r="N139" s="160"/>
      <c r="O139" s="160"/>
      <c r="P139" s="123"/>
      <c r="Q139" s="123"/>
      <c r="R139" s="123"/>
      <c r="S139" s="123"/>
      <c r="T139" s="42"/>
      <c r="V139" s="184"/>
      <c r="Y139" s="184"/>
      <c r="Z139" s="237"/>
      <c r="AA139" s="123"/>
      <c r="AB139" s="123"/>
      <c r="AC139" s="160"/>
      <c r="AD139" s="160"/>
      <c r="AE139" s="123"/>
      <c r="AF139" s="123"/>
      <c r="AH139" s="160"/>
      <c r="AI139" s="123"/>
      <c r="AJ139" s="123"/>
      <c r="AL139" s="123"/>
      <c r="AM139" s="160"/>
      <c r="AN139" s="160"/>
    </row>
    <row r="140" spans="3:40" x14ac:dyDescent="0.3">
      <c r="C140" s="42"/>
      <c r="F140" s="184"/>
      <c r="H140" s="184"/>
      <c r="I140" s="184"/>
      <c r="J140" s="193"/>
      <c r="K140" s="193"/>
      <c r="L140" s="123"/>
      <c r="M140" s="123"/>
      <c r="N140" s="160"/>
      <c r="O140" s="160"/>
      <c r="P140" s="123"/>
      <c r="Q140" s="123"/>
      <c r="R140" s="123"/>
      <c r="T140" s="42"/>
      <c r="V140" s="184"/>
      <c r="Y140" s="123"/>
      <c r="Z140" s="193"/>
      <c r="AA140" s="123"/>
      <c r="AB140" s="123"/>
      <c r="AC140" s="160"/>
      <c r="AD140" s="160"/>
      <c r="AE140" s="123"/>
      <c r="AF140" s="123"/>
      <c r="AH140" s="236"/>
      <c r="AI140" s="123"/>
      <c r="AJ140" s="123"/>
      <c r="AL140" s="123"/>
      <c r="AM140" s="160"/>
      <c r="AN140" s="160"/>
    </row>
    <row r="141" spans="3:40" x14ac:dyDescent="0.3">
      <c r="C141" s="42"/>
      <c r="F141" s="184"/>
      <c r="H141" s="184"/>
      <c r="I141" s="184"/>
      <c r="J141" s="193"/>
      <c r="K141" s="193"/>
      <c r="L141" s="123"/>
      <c r="M141" s="123"/>
      <c r="N141" s="160"/>
      <c r="O141" s="160"/>
      <c r="P141" s="123"/>
      <c r="Q141" s="123"/>
      <c r="R141" s="123"/>
      <c r="T141" s="42"/>
      <c r="V141" s="184"/>
      <c r="Y141" s="123"/>
      <c r="Z141" s="193"/>
      <c r="AA141" s="123"/>
      <c r="AB141" s="123"/>
      <c r="AC141" s="160"/>
      <c r="AD141" s="160"/>
      <c r="AE141" s="123"/>
      <c r="AF141" s="123"/>
      <c r="AH141" s="236"/>
      <c r="AI141" s="123"/>
      <c r="AJ141" s="123"/>
      <c r="AL141" s="123"/>
      <c r="AM141" s="160"/>
      <c r="AN141" s="160"/>
    </row>
    <row r="142" spans="3:40" x14ac:dyDescent="0.3">
      <c r="F142" s="123"/>
      <c r="H142" s="210"/>
      <c r="I142" s="210"/>
      <c r="J142" s="213"/>
      <c r="K142" s="213"/>
      <c r="L142" s="210"/>
      <c r="M142" s="210"/>
      <c r="N142" s="210"/>
      <c r="O142" s="210"/>
      <c r="P142" s="210"/>
      <c r="Q142" s="210"/>
      <c r="R142" s="210"/>
      <c r="V142" s="123"/>
      <c r="Y142" s="210"/>
      <c r="Z142" s="213"/>
      <c r="AA142" s="210"/>
      <c r="AB142" s="210"/>
      <c r="AC142" s="210"/>
      <c r="AD142" s="210"/>
      <c r="AE142" s="210"/>
      <c r="AF142" s="210"/>
      <c r="AI142" s="210"/>
      <c r="AJ142" s="210"/>
      <c r="AK142" s="214"/>
      <c r="AL142" s="210"/>
      <c r="AM142" s="160"/>
      <c r="AN142" s="160"/>
    </row>
    <row r="143" spans="3:40" x14ac:dyDescent="0.3">
      <c r="C143" s="42"/>
      <c r="F143" s="123"/>
      <c r="H143" s="123"/>
      <c r="I143" s="123"/>
      <c r="J143" s="213"/>
      <c r="K143" s="213"/>
      <c r="L143" s="123"/>
      <c r="M143" s="123"/>
      <c r="N143" s="160"/>
      <c r="O143" s="160"/>
      <c r="P143" s="123"/>
      <c r="Q143" s="123"/>
      <c r="R143" s="123"/>
      <c r="T143" s="42"/>
      <c r="V143" s="123"/>
      <c r="Y143" s="123"/>
      <c r="Z143" s="213"/>
      <c r="AA143" s="123"/>
      <c r="AB143" s="123"/>
      <c r="AC143" s="160"/>
      <c r="AD143" s="160"/>
      <c r="AE143" s="123"/>
      <c r="AF143" s="123"/>
      <c r="AH143" s="236"/>
      <c r="AI143" s="123"/>
      <c r="AJ143" s="123"/>
      <c r="AL143" s="123"/>
      <c r="AM143" s="160"/>
      <c r="AN143" s="160"/>
    </row>
    <row r="144" spans="3:40" x14ac:dyDescent="0.3">
      <c r="F144" s="123"/>
      <c r="H144" s="210"/>
      <c r="I144" s="210"/>
      <c r="J144" s="213"/>
      <c r="K144" s="213"/>
      <c r="L144" s="210"/>
      <c r="M144" s="210"/>
      <c r="N144" s="210"/>
      <c r="O144" s="210"/>
      <c r="P144" s="210"/>
      <c r="Q144" s="210"/>
      <c r="R144" s="210"/>
      <c r="V144" s="123"/>
      <c r="Y144" s="210"/>
      <c r="Z144" s="213"/>
      <c r="AA144" s="210"/>
      <c r="AB144" s="210"/>
      <c r="AC144" s="210"/>
      <c r="AD144" s="210"/>
      <c r="AE144" s="210"/>
      <c r="AF144" s="210"/>
      <c r="AI144" s="210"/>
      <c r="AJ144" s="210"/>
      <c r="AK144" s="214"/>
      <c r="AL144" s="210"/>
      <c r="AM144" s="160"/>
      <c r="AN144" s="160"/>
    </row>
    <row r="145" spans="3:40" x14ac:dyDescent="0.3">
      <c r="C145" s="42"/>
      <c r="F145" s="123"/>
      <c r="H145" s="123"/>
      <c r="I145" s="123"/>
      <c r="J145" s="213"/>
      <c r="K145" s="213"/>
      <c r="L145" s="123"/>
      <c r="M145" s="123"/>
      <c r="N145" s="123"/>
      <c r="O145" s="123"/>
      <c r="P145" s="123"/>
      <c r="Q145" s="123"/>
      <c r="R145" s="123"/>
      <c r="T145" s="42"/>
      <c r="V145" s="123"/>
      <c r="Y145" s="123"/>
      <c r="Z145" s="213"/>
      <c r="AA145" s="123"/>
      <c r="AB145" s="123"/>
      <c r="AC145" s="123"/>
      <c r="AD145" s="123"/>
      <c r="AE145" s="123"/>
      <c r="AF145" s="123"/>
      <c r="AH145" s="236"/>
      <c r="AI145" s="123"/>
      <c r="AJ145" s="123"/>
      <c r="AL145" s="123"/>
      <c r="AM145" s="160"/>
      <c r="AN145" s="160"/>
    </row>
    <row r="146" spans="3:40" x14ac:dyDescent="0.3">
      <c r="C146" s="42"/>
      <c r="F146" s="123"/>
      <c r="H146" s="184"/>
      <c r="I146" s="184"/>
      <c r="J146" s="238"/>
      <c r="K146" s="238"/>
      <c r="L146" s="123"/>
      <c r="M146" s="123"/>
      <c r="N146" s="160"/>
      <c r="O146" s="160"/>
      <c r="P146" s="123"/>
      <c r="Q146" s="123"/>
      <c r="R146" s="123"/>
      <c r="T146" s="42"/>
      <c r="V146" s="123"/>
      <c r="Y146" s="123"/>
      <c r="Z146" s="238"/>
      <c r="AA146" s="123"/>
      <c r="AB146" s="123"/>
      <c r="AC146" s="160"/>
      <c r="AD146" s="160"/>
      <c r="AE146" s="123"/>
      <c r="AF146" s="123"/>
      <c r="AH146" s="236"/>
      <c r="AI146" s="123"/>
      <c r="AJ146" s="123"/>
      <c r="AL146" s="123"/>
      <c r="AM146" s="160"/>
      <c r="AN146" s="160"/>
    </row>
    <row r="147" spans="3:40" x14ac:dyDescent="0.3">
      <c r="C147" s="42"/>
      <c r="H147" s="184"/>
      <c r="I147" s="184"/>
      <c r="J147" s="238"/>
      <c r="K147" s="238"/>
      <c r="L147" s="123"/>
      <c r="M147" s="123"/>
      <c r="N147" s="160"/>
      <c r="O147" s="160"/>
      <c r="P147" s="123"/>
      <c r="Q147" s="123"/>
      <c r="R147" s="123"/>
      <c r="T147" s="42"/>
      <c r="Y147" s="123"/>
      <c r="Z147" s="238"/>
      <c r="AA147" s="123"/>
      <c r="AB147" s="123"/>
      <c r="AC147" s="160"/>
      <c r="AD147" s="160"/>
      <c r="AE147" s="123"/>
      <c r="AF147" s="123"/>
      <c r="AH147" s="236"/>
      <c r="AI147" s="123"/>
      <c r="AJ147" s="123"/>
      <c r="AL147" s="123"/>
      <c r="AM147" s="160"/>
      <c r="AN147" s="160"/>
    </row>
    <row r="148" spans="3:40" x14ac:dyDescent="0.3">
      <c r="F148" s="123"/>
      <c r="H148" s="123"/>
      <c r="I148" s="123"/>
      <c r="J148" s="213"/>
      <c r="K148" s="213"/>
      <c r="L148" s="210"/>
      <c r="M148" s="210"/>
      <c r="N148" s="210"/>
      <c r="O148" s="210"/>
      <c r="P148" s="210"/>
      <c r="Q148" s="210"/>
      <c r="R148" s="210"/>
      <c r="V148" s="123"/>
      <c r="Y148" s="123"/>
      <c r="Z148" s="213"/>
      <c r="AA148" s="210"/>
      <c r="AB148" s="210"/>
      <c r="AC148" s="210"/>
      <c r="AD148" s="210"/>
      <c r="AE148" s="210"/>
      <c r="AF148" s="210"/>
      <c r="AI148" s="210"/>
      <c r="AJ148" s="210"/>
      <c r="AK148" s="214"/>
      <c r="AL148" s="210"/>
      <c r="AM148" s="160"/>
      <c r="AN148" s="160"/>
    </row>
    <row r="149" spans="3:40" x14ac:dyDescent="0.3">
      <c r="C149" s="42"/>
      <c r="F149" s="123"/>
      <c r="H149" s="123"/>
      <c r="I149" s="123"/>
      <c r="J149" s="219"/>
      <c r="K149" s="219"/>
      <c r="L149" s="123"/>
      <c r="M149" s="123"/>
      <c r="N149" s="160"/>
      <c r="O149" s="160"/>
      <c r="P149" s="123"/>
      <c r="Q149" s="123"/>
      <c r="R149" s="123"/>
      <c r="T149" s="42"/>
      <c r="V149" s="123"/>
      <c r="Y149" s="123"/>
      <c r="Z149" s="219"/>
      <c r="AA149" s="123"/>
      <c r="AB149" s="123"/>
      <c r="AC149" s="160"/>
      <c r="AD149" s="160"/>
      <c r="AE149" s="123"/>
      <c r="AF149" s="123"/>
      <c r="AH149" s="236"/>
      <c r="AI149" s="123"/>
      <c r="AJ149" s="123"/>
      <c r="AL149" s="123"/>
      <c r="AM149" s="160"/>
      <c r="AN149" s="160"/>
    </row>
    <row r="150" spans="3:40" x14ac:dyDescent="0.3">
      <c r="F150" s="123"/>
      <c r="H150" s="123"/>
      <c r="I150" s="123"/>
      <c r="J150" s="213"/>
      <c r="K150" s="213"/>
      <c r="L150" s="210"/>
      <c r="M150" s="210"/>
      <c r="N150" s="210"/>
      <c r="O150" s="210"/>
      <c r="P150" s="210"/>
      <c r="Q150" s="210"/>
      <c r="R150" s="210"/>
      <c r="V150" s="123"/>
      <c r="Y150" s="123"/>
      <c r="Z150" s="213"/>
      <c r="AA150" s="210"/>
      <c r="AB150" s="210"/>
      <c r="AC150" s="210"/>
      <c r="AD150" s="210"/>
      <c r="AE150" s="210"/>
      <c r="AF150" s="210"/>
      <c r="AI150" s="210"/>
      <c r="AJ150" s="210"/>
      <c r="AK150" s="214"/>
      <c r="AL150" s="210"/>
      <c r="AM150" s="160"/>
      <c r="AN150" s="160"/>
    </row>
    <row r="151" spans="3:40" x14ac:dyDescent="0.3">
      <c r="C151" s="42"/>
      <c r="F151" s="123"/>
      <c r="H151" s="123"/>
      <c r="I151" s="123"/>
      <c r="J151" s="219"/>
      <c r="K151" s="219"/>
      <c r="L151" s="123"/>
      <c r="M151" s="123"/>
      <c r="N151" s="160"/>
      <c r="O151" s="160"/>
      <c r="P151" s="123"/>
      <c r="Q151" s="123"/>
      <c r="R151" s="123"/>
      <c r="T151" s="42"/>
      <c r="V151" s="123"/>
      <c r="Y151" s="123"/>
      <c r="Z151" s="219"/>
      <c r="AA151" s="123"/>
      <c r="AB151" s="123"/>
      <c r="AC151" s="160"/>
      <c r="AD151" s="160"/>
      <c r="AE151" s="123"/>
      <c r="AF151" s="123"/>
      <c r="AH151" s="236"/>
      <c r="AI151" s="123"/>
      <c r="AJ151" s="123"/>
      <c r="AL151" s="123"/>
      <c r="AM151" s="160"/>
      <c r="AN151" s="160"/>
    </row>
    <row r="152" spans="3:40" x14ac:dyDescent="0.3">
      <c r="C152" s="42"/>
      <c r="F152" s="184"/>
      <c r="H152" s="184"/>
      <c r="I152" s="184"/>
      <c r="J152" s="227"/>
      <c r="K152" s="227"/>
      <c r="L152" s="123"/>
      <c r="M152" s="123"/>
      <c r="N152" s="160"/>
      <c r="O152" s="160"/>
      <c r="P152" s="123"/>
      <c r="Q152" s="123"/>
      <c r="R152" s="123"/>
      <c r="T152" s="42"/>
      <c r="V152" s="184"/>
      <c r="Y152" s="123"/>
      <c r="Z152" s="227"/>
      <c r="AA152" s="123"/>
      <c r="AB152" s="123"/>
      <c r="AC152" s="160"/>
      <c r="AD152" s="160"/>
      <c r="AE152" s="123"/>
      <c r="AF152" s="123"/>
      <c r="AH152" s="236"/>
      <c r="AI152" s="123"/>
      <c r="AJ152" s="123"/>
      <c r="AL152" s="123"/>
      <c r="AM152" s="160"/>
      <c r="AN152" s="160"/>
    </row>
    <row r="153" spans="3:40" x14ac:dyDescent="0.3">
      <c r="F153" s="210"/>
      <c r="H153" s="210"/>
      <c r="I153" s="210"/>
      <c r="J153" s="213"/>
      <c r="K153" s="213"/>
      <c r="L153" s="210"/>
      <c r="M153" s="210"/>
      <c r="N153" s="210"/>
      <c r="O153" s="210"/>
      <c r="P153" s="210"/>
      <c r="Q153" s="210"/>
      <c r="R153" s="210"/>
      <c r="V153" s="210"/>
      <c r="Y153" s="210"/>
      <c r="Z153" s="213"/>
      <c r="AA153" s="210"/>
      <c r="AB153" s="210"/>
      <c r="AC153" s="210"/>
      <c r="AD153" s="210"/>
      <c r="AE153" s="210"/>
      <c r="AF153" s="210"/>
      <c r="AI153" s="210"/>
      <c r="AJ153" s="210"/>
      <c r="AK153" s="214"/>
      <c r="AL153" s="210"/>
      <c r="AM153" s="160"/>
      <c r="AN153" s="160"/>
    </row>
    <row r="154" spans="3:40" x14ac:dyDescent="0.3">
      <c r="C154" s="42"/>
      <c r="F154" s="123"/>
      <c r="H154" s="123"/>
      <c r="I154" s="123"/>
      <c r="J154" s="213"/>
      <c r="K154" s="213"/>
      <c r="L154" s="123"/>
      <c r="M154" s="123"/>
      <c r="N154" s="160"/>
      <c r="O154" s="160"/>
      <c r="P154" s="123"/>
      <c r="Q154" s="123"/>
      <c r="R154" s="123"/>
      <c r="S154" s="123"/>
      <c r="T154" s="42"/>
      <c r="V154" s="123"/>
      <c r="Y154" s="123"/>
      <c r="Z154" s="213"/>
      <c r="AA154" s="123"/>
      <c r="AB154" s="123"/>
      <c r="AC154" s="160"/>
      <c r="AD154" s="160"/>
      <c r="AE154" s="123"/>
      <c r="AF154" s="123"/>
      <c r="AH154" s="160"/>
      <c r="AI154" s="123"/>
      <c r="AJ154" s="123"/>
      <c r="AL154" s="123"/>
      <c r="AM154" s="160"/>
      <c r="AN154" s="160"/>
    </row>
    <row r="155" spans="3:40" x14ac:dyDescent="0.3">
      <c r="F155" s="210"/>
      <c r="H155" s="210"/>
      <c r="I155" s="210"/>
      <c r="J155" s="213"/>
      <c r="K155" s="213"/>
      <c r="L155" s="210"/>
      <c r="M155" s="210"/>
      <c r="N155" s="210"/>
      <c r="O155" s="210"/>
      <c r="P155" s="210"/>
      <c r="Q155" s="210"/>
      <c r="R155" s="210"/>
      <c r="S155" s="123"/>
      <c r="V155" s="210"/>
      <c r="Y155" s="210"/>
      <c r="Z155" s="213"/>
      <c r="AA155" s="210"/>
      <c r="AB155" s="210"/>
      <c r="AC155" s="210"/>
      <c r="AD155" s="210"/>
      <c r="AE155" s="210"/>
      <c r="AF155" s="210"/>
      <c r="AI155" s="210"/>
      <c r="AJ155" s="210"/>
      <c r="AK155" s="214"/>
      <c r="AL155" s="210"/>
      <c r="AM155" s="160"/>
      <c r="AN155" s="160"/>
    </row>
    <row r="156" spans="3:40" x14ac:dyDescent="0.3">
      <c r="C156" s="42"/>
      <c r="T156" s="42"/>
    </row>
    <row r="157" spans="3:40" x14ac:dyDescent="0.3">
      <c r="C157" s="42"/>
      <c r="F157" s="123"/>
      <c r="H157" s="123"/>
      <c r="I157" s="123"/>
      <c r="L157" s="123"/>
      <c r="M157" s="123"/>
      <c r="N157" s="160"/>
      <c r="O157" s="160"/>
      <c r="P157" s="184"/>
      <c r="Q157" s="184"/>
      <c r="R157" s="123"/>
      <c r="T157" s="42"/>
      <c r="V157" s="123"/>
      <c r="Y157" s="123"/>
      <c r="AA157" s="123"/>
      <c r="AB157" s="123"/>
      <c r="AC157" s="160"/>
      <c r="AD157" s="160"/>
      <c r="AE157" s="123"/>
      <c r="AF157" s="123"/>
      <c r="AH157" s="160"/>
      <c r="AI157" s="184"/>
      <c r="AJ157" s="184"/>
      <c r="AL157" s="123"/>
      <c r="AM157" s="160"/>
      <c r="AN157" s="160"/>
    </row>
    <row r="158" spans="3:40" x14ac:dyDescent="0.3">
      <c r="F158" s="210"/>
      <c r="H158" s="210"/>
      <c r="I158" s="210"/>
      <c r="J158" s="213"/>
      <c r="K158" s="213"/>
      <c r="L158" s="210"/>
      <c r="M158" s="210"/>
      <c r="N158" s="210"/>
      <c r="O158" s="210"/>
      <c r="P158" s="210"/>
      <c r="Q158" s="210"/>
      <c r="R158" s="210"/>
      <c r="V158" s="210"/>
      <c r="Y158" s="210"/>
      <c r="Z158" s="213"/>
      <c r="AA158" s="210"/>
      <c r="AB158" s="210"/>
      <c r="AC158" s="210"/>
      <c r="AD158" s="210"/>
      <c r="AE158" s="210"/>
      <c r="AF158" s="210"/>
      <c r="AI158" s="210"/>
      <c r="AJ158" s="210"/>
      <c r="AK158" s="214"/>
      <c r="AL158" s="210"/>
    </row>
    <row r="160" spans="3:40" x14ac:dyDescent="0.3">
      <c r="C160" s="42"/>
      <c r="L160" s="123"/>
      <c r="M160" s="123"/>
      <c r="N160" s="123"/>
      <c r="O160" s="123"/>
      <c r="P160" s="123"/>
      <c r="Q160" s="123"/>
      <c r="R160" s="123"/>
      <c r="S160" s="123"/>
      <c r="T160" s="42"/>
      <c r="AA160" s="123"/>
      <c r="AB160" s="123"/>
      <c r="AC160" s="123"/>
      <c r="AD160" s="123"/>
      <c r="AI160" s="123"/>
      <c r="AJ160" s="123"/>
      <c r="AL160" s="123"/>
    </row>
    <row r="161" spans="1:40" x14ac:dyDescent="0.3">
      <c r="A161" s="42"/>
    </row>
    <row r="163" spans="1:40" x14ac:dyDescent="0.3">
      <c r="H163" s="42"/>
      <c r="I163" s="42"/>
      <c r="Y163" s="42"/>
    </row>
    <row r="165" spans="1:40" x14ac:dyDescent="0.3">
      <c r="L165" s="42"/>
      <c r="M165" s="42"/>
      <c r="AA165" s="42"/>
      <c r="AB165" s="42"/>
    </row>
    <row r="166" spans="1:40" x14ac:dyDescent="0.3">
      <c r="R166" s="42"/>
      <c r="AK166" s="206"/>
      <c r="AL166" s="42"/>
    </row>
    <row r="167" spans="1:40" x14ac:dyDescent="0.3">
      <c r="R167" s="42"/>
      <c r="AK167" s="206"/>
      <c r="AL167" s="42"/>
    </row>
    <row r="168" spans="1:40" x14ac:dyDescent="0.3">
      <c r="A168" s="42"/>
      <c r="R168" s="42"/>
      <c r="AK168" s="206"/>
      <c r="AL168" s="42"/>
    </row>
    <row r="169" spans="1:40" x14ac:dyDescent="0.3">
      <c r="L169" s="42"/>
      <c r="M169" s="42"/>
      <c r="AA169" s="42"/>
      <c r="AB169" s="42"/>
    </row>
    <row r="170" spans="1:40" x14ac:dyDescent="0.3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207"/>
      <c r="AH170" s="135"/>
      <c r="AI170" s="135"/>
      <c r="AJ170" s="135"/>
      <c r="AK170" s="207"/>
      <c r="AL170" s="135"/>
      <c r="AM170" s="135"/>
      <c r="AN170" s="135"/>
    </row>
    <row r="171" spans="1:40" x14ac:dyDescent="0.3">
      <c r="L171" s="44"/>
      <c r="M171" s="44"/>
      <c r="N171" s="44"/>
      <c r="O171" s="44"/>
      <c r="R171" s="44"/>
      <c r="AA171" s="44"/>
      <c r="AB171" s="44"/>
      <c r="AC171" s="44"/>
      <c r="AD171" s="44"/>
      <c r="AE171" s="44"/>
      <c r="AF171" s="44"/>
      <c r="AG171" s="168"/>
      <c r="AH171" s="44"/>
      <c r="AK171" s="168"/>
      <c r="AL171" s="44"/>
      <c r="AM171" s="44"/>
      <c r="AN171" s="44"/>
    </row>
    <row r="172" spans="1:40" x14ac:dyDescent="0.3">
      <c r="L172" s="44"/>
      <c r="M172" s="44"/>
      <c r="N172" s="44"/>
      <c r="O172" s="44"/>
      <c r="R172" s="44"/>
      <c r="Z172" s="44"/>
      <c r="AA172" s="44"/>
      <c r="AB172" s="44"/>
      <c r="AC172" s="44"/>
      <c r="AD172" s="44"/>
      <c r="AE172" s="44"/>
      <c r="AF172" s="44"/>
      <c r="AG172" s="168"/>
      <c r="AH172" s="44"/>
      <c r="AK172" s="168"/>
      <c r="AL172" s="44"/>
      <c r="AM172" s="44"/>
      <c r="AN172" s="44"/>
    </row>
    <row r="173" spans="1:40" x14ac:dyDescent="0.3">
      <c r="A173" s="44"/>
      <c r="C173" s="44"/>
      <c r="D173" s="44"/>
      <c r="E173" s="44"/>
      <c r="F173" s="44"/>
      <c r="J173" s="44"/>
      <c r="K173" s="44"/>
      <c r="L173" s="44"/>
      <c r="M173" s="44"/>
      <c r="N173" s="44"/>
      <c r="O173" s="44"/>
      <c r="P173" s="44"/>
      <c r="Q173" s="44"/>
      <c r="R173" s="44"/>
      <c r="T173" s="44"/>
      <c r="U173" s="44"/>
      <c r="V173" s="44"/>
      <c r="Z173" s="44"/>
      <c r="AA173" s="44"/>
      <c r="AB173" s="44"/>
      <c r="AC173" s="44"/>
      <c r="AD173" s="44"/>
      <c r="AE173" s="44"/>
      <c r="AF173" s="44"/>
      <c r="AG173" s="168"/>
      <c r="AH173" s="44"/>
      <c r="AI173" s="44"/>
      <c r="AJ173" s="44"/>
      <c r="AK173" s="168"/>
      <c r="AL173" s="44"/>
      <c r="AM173" s="44"/>
      <c r="AN173" s="44"/>
    </row>
    <row r="174" spans="1:40" x14ac:dyDescent="0.3">
      <c r="A174" s="44"/>
      <c r="C174" s="44"/>
      <c r="D174" s="44"/>
      <c r="E174" s="44"/>
      <c r="F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T174" s="44"/>
      <c r="U174" s="44"/>
      <c r="V174" s="44"/>
      <c r="Y174" s="44"/>
      <c r="Z174" s="44"/>
      <c r="AA174" s="44"/>
      <c r="AB174" s="44"/>
      <c r="AC174" s="44"/>
      <c r="AD174" s="44"/>
      <c r="AE174" s="44"/>
      <c r="AF174" s="44"/>
      <c r="AG174" s="168"/>
      <c r="AH174" s="44"/>
      <c r="AI174" s="44"/>
      <c r="AJ174" s="44"/>
      <c r="AK174" s="168"/>
      <c r="AL174" s="44"/>
      <c r="AM174" s="44"/>
      <c r="AN174" s="44"/>
    </row>
    <row r="175" spans="1:40" x14ac:dyDescent="0.3">
      <c r="C175" s="44"/>
      <c r="D175" s="44"/>
      <c r="E175" s="44"/>
      <c r="F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T175" s="44"/>
      <c r="U175" s="44"/>
      <c r="V175" s="44"/>
      <c r="Y175" s="44"/>
      <c r="Z175" s="44"/>
      <c r="AA175" s="44"/>
      <c r="AB175" s="44"/>
      <c r="AC175" s="44"/>
      <c r="AD175" s="44"/>
      <c r="AE175" s="44"/>
      <c r="AF175" s="44"/>
      <c r="AG175" s="168"/>
      <c r="AH175" s="44"/>
      <c r="AI175" s="44"/>
      <c r="AJ175" s="44"/>
      <c r="AK175" s="168"/>
      <c r="AL175" s="44"/>
      <c r="AM175" s="44"/>
      <c r="AN175" s="44"/>
    </row>
    <row r="176" spans="1:40" x14ac:dyDescent="0.3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207"/>
      <c r="AH176" s="135"/>
      <c r="AI176" s="135"/>
      <c r="AJ176" s="135"/>
      <c r="AK176" s="207"/>
      <c r="AL176" s="135"/>
      <c r="AM176" s="135"/>
      <c r="AN176" s="135"/>
    </row>
    <row r="177" spans="3:40" x14ac:dyDescent="0.3"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Y177" s="44"/>
      <c r="Z177" s="44"/>
      <c r="AA177" s="44"/>
      <c r="AB177" s="44"/>
      <c r="AC177" s="44"/>
      <c r="AD177" s="44"/>
      <c r="AE177" s="44"/>
      <c r="AF177" s="44"/>
      <c r="AG177" s="168"/>
      <c r="AH177" s="44"/>
      <c r="AI177" s="44"/>
      <c r="AJ177" s="44"/>
      <c r="AK177" s="168"/>
      <c r="AL177" s="44"/>
      <c r="AM177" s="44"/>
      <c r="AN177" s="44"/>
    </row>
    <row r="178" spans="3:40" x14ac:dyDescent="0.3">
      <c r="C178" s="42"/>
      <c r="D178" s="42"/>
      <c r="E178" s="42"/>
      <c r="T178" s="42"/>
      <c r="U178" s="42"/>
    </row>
    <row r="179" spans="3:40" x14ac:dyDescent="0.3">
      <c r="D179" s="42"/>
      <c r="E179" s="42"/>
      <c r="U179" s="42"/>
    </row>
    <row r="181" spans="3:40" x14ac:dyDescent="0.3">
      <c r="C181" s="42"/>
      <c r="F181" s="184"/>
      <c r="H181" s="184"/>
      <c r="I181" s="184"/>
      <c r="J181" s="193"/>
      <c r="K181" s="193"/>
      <c r="L181" s="123"/>
      <c r="M181" s="123"/>
      <c r="N181" s="160"/>
      <c r="O181" s="160"/>
      <c r="R181" s="123"/>
      <c r="T181" s="42"/>
      <c r="V181" s="123"/>
      <c r="Y181" s="184"/>
      <c r="Z181" s="193"/>
      <c r="AA181" s="123"/>
      <c r="AB181" s="123"/>
      <c r="AC181" s="160"/>
      <c r="AD181" s="160"/>
      <c r="AE181" s="123"/>
      <c r="AF181" s="123"/>
      <c r="AG181" s="233"/>
      <c r="AH181" s="234"/>
      <c r="AL181" s="123"/>
      <c r="AM181" s="235"/>
      <c r="AN181" s="235"/>
    </row>
    <row r="182" spans="3:40" x14ac:dyDescent="0.3">
      <c r="C182" s="42"/>
      <c r="F182" s="184"/>
      <c r="H182" s="184"/>
      <c r="I182" s="184"/>
      <c r="J182" s="193"/>
      <c r="K182" s="193"/>
      <c r="L182" s="123"/>
      <c r="M182" s="123"/>
      <c r="N182" s="160"/>
      <c r="O182" s="160"/>
      <c r="R182" s="123"/>
      <c r="T182" s="42"/>
      <c r="V182" s="123"/>
      <c r="Y182" s="184"/>
      <c r="Z182" s="193"/>
      <c r="AA182" s="123"/>
      <c r="AB182" s="123"/>
      <c r="AC182" s="160"/>
      <c r="AD182" s="160"/>
      <c r="AE182" s="123"/>
      <c r="AF182" s="123"/>
      <c r="AH182" s="236"/>
      <c r="AL182" s="123"/>
      <c r="AM182" s="160"/>
      <c r="AN182" s="160"/>
    </row>
    <row r="183" spans="3:40" x14ac:dyDescent="0.3">
      <c r="F183" s="210"/>
      <c r="H183" s="123"/>
      <c r="I183" s="123"/>
      <c r="J183" s="213"/>
      <c r="K183" s="213"/>
      <c r="L183" s="210"/>
      <c r="M183" s="210"/>
      <c r="N183" s="210"/>
      <c r="O183" s="210"/>
      <c r="P183" s="210"/>
      <c r="Q183" s="210"/>
      <c r="R183" s="210"/>
      <c r="V183" s="210"/>
      <c r="Y183" s="123"/>
      <c r="Z183" s="213"/>
      <c r="AA183" s="210"/>
      <c r="AB183" s="210"/>
      <c r="AC183" s="210"/>
      <c r="AD183" s="210"/>
      <c r="AE183" s="210"/>
      <c r="AF183" s="210"/>
      <c r="AI183" s="210"/>
      <c r="AJ183" s="210"/>
      <c r="AK183" s="214"/>
      <c r="AL183" s="210"/>
      <c r="AM183" s="160"/>
      <c r="AN183" s="160"/>
    </row>
    <row r="184" spans="3:40" x14ac:dyDescent="0.3">
      <c r="C184" s="42"/>
      <c r="F184" s="123"/>
      <c r="H184" s="123"/>
      <c r="I184" s="123"/>
      <c r="J184" s="213"/>
      <c r="K184" s="213"/>
      <c r="L184" s="123"/>
      <c r="M184" s="123"/>
      <c r="N184" s="160"/>
      <c r="O184" s="160"/>
      <c r="P184" s="123"/>
      <c r="Q184" s="123"/>
      <c r="R184" s="123"/>
      <c r="T184" s="42"/>
      <c r="V184" s="123"/>
      <c r="Y184" s="123"/>
      <c r="Z184" s="219"/>
      <c r="AA184" s="123"/>
      <c r="AB184" s="123"/>
      <c r="AC184" s="160"/>
      <c r="AD184" s="160"/>
      <c r="AE184" s="123"/>
      <c r="AF184" s="123"/>
      <c r="AH184" s="236"/>
      <c r="AI184" s="123"/>
      <c r="AJ184" s="123"/>
      <c r="AL184" s="123"/>
      <c r="AM184" s="160"/>
      <c r="AN184" s="160"/>
    </row>
    <row r="185" spans="3:40" x14ac:dyDescent="0.3">
      <c r="F185" s="210"/>
      <c r="H185" s="123"/>
      <c r="I185" s="123"/>
      <c r="J185" s="213"/>
      <c r="K185" s="213"/>
      <c r="L185" s="210"/>
      <c r="M185" s="210"/>
      <c r="N185" s="210"/>
      <c r="O185" s="210"/>
      <c r="P185" s="210"/>
      <c r="Q185" s="210"/>
      <c r="R185" s="210"/>
      <c r="V185" s="210"/>
      <c r="Y185" s="123"/>
      <c r="Z185" s="213"/>
      <c r="AA185" s="210"/>
      <c r="AB185" s="210"/>
      <c r="AC185" s="210"/>
      <c r="AD185" s="210"/>
      <c r="AE185" s="210"/>
      <c r="AF185" s="210"/>
      <c r="AI185" s="210"/>
      <c r="AJ185" s="210"/>
      <c r="AK185" s="214"/>
      <c r="AL185" s="210"/>
      <c r="AM185" s="160"/>
      <c r="AN185" s="160"/>
    </row>
    <row r="186" spans="3:40" x14ac:dyDescent="0.3">
      <c r="F186" s="123"/>
      <c r="H186" s="123"/>
      <c r="I186" s="123"/>
      <c r="J186" s="213"/>
      <c r="K186" s="213"/>
      <c r="L186" s="123"/>
      <c r="M186" s="123"/>
      <c r="N186" s="160"/>
      <c r="O186" s="160"/>
      <c r="P186" s="123"/>
      <c r="Q186" s="123"/>
      <c r="R186" s="123"/>
      <c r="V186" s="123"/>
      <c r="Y186" s="123"/>
      <c r="Z186" s="219"/>
      <c r="AA186" s="123"/>
      <c r="AB186" s="123"/>
      <c r="AC186" s="160"/>
      <c r="AD186" s="160"/>
      <c r="AE186" s="123"/>
      <c r="AF186" s="123"/>
      <c r="AH186" s="236"/>
      <c r="AI186" s="123"/>
      <c r="AJ186" s="123"/>
      <c r="AL186" s="123"/>
      <c r="AM186" s="160"/>
      <c r="AN186" s="160"/>
    </row>
    <row r="187" spans="3:40" x14ac:dyDescent="0.3">
      <c r="C187" s="42"/>
      <c r="F187" s="184"/>
      <c r="H187" s="184"/>
      <c r="I187" s="184"/>
      <c r="J187" s="193"/>
      <c r="K187" s="193"/>
      <c r="L187" s="123"/>
      <c r="M187" s="123"/>
      <c r="N187" s="160"/>
      <c r="O187" s="160"/>
      <c r="P187" s="123"/>
      <c r="Q187" s="123"/>
      <c r="R187" s="123"/>
      <c r="T187" s="42"/>
      <c r="V187" s="184"/>
      <c r="Y187" s="123"/>
      <c r="Z187" s="193"/>
      <c r="AA187" s="123"/>
      <c r="AB187" s="123"/>
      <c r="AC187" s="160"/>
      <c r="AD187" s="160"/>
      <c r="AE187" s="123"/>
      <c r="AF187" s="123"/>
      <c r="AG187" s="233"/>
      <c r="AH187" s="234"/>
      <c r="AI187" s="123"/>
      <c r="AJ187" s="123"/>
      <c r="AL187" s="123"/>
      <c r="AM187" s="235"/>
      <c r="AN187" s="235"/>
    </row>
    <row r="188" spans="3:40" x14ac:dyDescent="0.3">
      <c r="C188" s="42"/>
      <c r="F188" s="184"/>
      <c r="H188" s="184"/>
      <c r="I188" s="184"/>
      <c r="J188" s="193"/>
      <c r="K188" s="193"/>
      <c r="L188" s="123"/>
      <c r="M188" s="123"/>
      <c r="N188" s="160"/>
      <c r="O188" s="160"/>
      <c r="P188" s="123"/>
      <c r="Q188" s="123"/>
      <c r="R188" s="123"/>
      <c r="T188" s="42"/>
      <c r="V188" s="184"/>
      <c r="Y188" s="123"/>
      <c r="Z188" s="193"/>
      <c r="AA188" s="123"/>
      <c r="AB188" s="123"/>
      <c r="AC188" s="160"/>
      <c r="AD188" s="160"/>
      <c r="AE188" s="123"/>
      <c r="AF188" s="123"/>
      <c r="AH188" s="236"/>
      <c r="AI188" s="123"/>
      <c r="AJ188" s="123"/>
      <c r="AL188" s="123"/>
      <c r="AM188" s="160"/>
      <c r="AN188" s="160"/>
    </row>
    <row r="189" spans="3:40" x14ac:dyDescent="0.3">
      <c r="F189" s="123"/>
      <c r="H189" s="210"/>
      <c r="I189" s="210"/>
      <c r="J189" s="213"/>
      <c r="K189" s="213"/>
      <c r="L189" s="210"/>
      <c r="M189" s="210"/>
      <c r="N189" s="210"/>
      <c r="O189" s="210"/>
      <c r="P189" s="210"/>
      <c r="Q189" s="210"/>
      <c r="R189" s="210"/>
      <c r="V189" s="123"/>
      <c r="Y189" s="210"/>
      <c r="Z189" s="213"/>
      <c r="AA189" s="210"/>
      <c r="AB189" s="210"/>
      <c r="AC189" s="210"/>
      <c r="AD189" s="210"/>
      <c r="AE189" s="210"/>
      <c r="AF189" s="210"/>
      <c r="AI189" s="210"/>
      <c r="AJ189" s="210"/>
      <c r="AK189" s="214"/>
      <c r="AL189" s="210"/>
      <c r="AM189" s="160"/>
      <c r="AN189" s="160"/>
    </row>
    <row r="190" spans="3:40" x14ac:dyDescent="0.3">
      <c r="C190" s="42"/>
      <c r="F190" s="123"/>
      <c r="H190" s="123"/>
      <c r="I190" s="123"/>
      <c r="J190" s="213"/>
      <c r="K190" s="213"/>
      <c r="L190" s="123"/>
      <c r="M190" s="123"/>
      <c r="N190" s="160"/>
      <c r="O190" s="160"/>
      <c r="P190" s="123"/>
      <c r="Q190" s="123"/>
      <c r="R190" s="123"/>
      <c r="T190" s="42"/>
      <c r="V190" s="123"/>
      <c r="Y190" s="123"/>
      <c r="Z190" s="213"/>
      <c r="AA190" s="123"/>
      <c r="AB190" s="123"/>
      <c r="AC190" s="160"/>
      <c r="AD190" s="160"/>
      <c r="AE190" s="123"/>
      <c r="AF190" s="123"/>
      <c r="AH190" s="236"/>
      <c r="AI190" s="123"/>
      <c r="AJ190" s="123"/>
      <c r="AL190" s="123"/>
      <c r="AM190" s="160"/>
      <c r="AN190" s="160"/>
    </row>
    <row r="191" spans="3:40" x14ac:dyDescent="0.3">
      <c r="F191" s="123"/>
      <c r="H191" s="210"/>
      <c r="I191" s="210"/>
      <c r="J191" s="213"/>
      <c r="K191" s="213"/>
      <c r="L191" s="210"/>
      <c r="M191" s="210"/>
      <c r="N191" s="210"/>
      <c r="O191" s="210"/>
      <c r="P191" s="210"/>
      <c r="Q191" s="210"/>
      <c r="R191" s="210"/>
      <c r="V191" s="123"/>
      <c r="Y191" s="210"/>
      <c r="Z191" s="213"/>
      <c r="AA191" s="210"/>
      <c r="AB191" s="210"/>
      <c r="AC191" s="210"/>
      <c r="AD191" s="210"/>
      <c r="AE191" s="210"/>
      <c r="AF191" s="210"/>
      <c r="AI191" s="210"/>
      <c r="AJ191" s="210"/>
      <c r="AK191" s="214"/>
      <c r="AL191" s="210"/>
      <c r="AM191" s="160"/>
      <c r="AN191" s="160"/>
    </row>
    <row r="192" spans="3:40" x14ac:dyDescent="0.3">
      <c r="F192" s="123"/>
      <c r="H192" s="123"/>
      <c r="I192" s="123"/>
      <c r="J192" s="213"/>
      <c r="K192" s="213"/>
      <c r="L192" s="123"/>
      <c r="M192" s="123"/>
      <c r="N192" s="123"/>
      <c r="O192" s="123"/>
      <c r="P192" s="123"/>
      <c r="Q192" s="123"/>
      <c r="R192" s="123"/>
      <c r="V192" s="123"/>
      <c r="Y192" s="123"/>
      <c r="Z192" s="213"/>
      <c r="AA192" s="123"/>
      <c r="AB192" s="123"/>
      <c r="AC192" s="123"/>
      <c r="AD192" s="123"/>
      <c r="AE192" s="123"/>
      <c r="AF192" s="123"/>
      <c r="AH192" s="236"/>
      <c r="AI192" s="123"/>
      <c r="AJ192" s="123"/>
      <c r="AL192" s="123"/>
      <c r="AM192" s="160"/>
      <c r="AN192" s="160"/>
    </row>
    <row r="193" spans="1:40" x14ac:dyDescent="0.3">
      <c r="C193" s="42"/>
      <c r="F193" s="184"/>
      <c r="H193" s="184"/>
      <c r="I193" s="184"/>
      <c r="J193" s="227"/>
      <c r="K193" s="227"/>
      <c r="L193" s="123"/>
      <c r="M193" s="123"/>
      <c r="N193" s="160"/>
      <c r="O193" s="160"/>
      <c r="P193" s="184"/>
      <c r="Q193" s="184"/>
      <c r="R193" s="123"/>
      <c r="T193" s="42"/>
      <c r="V193" s="184"/>
      <c r="Y193" s="184"/>
      <c r="Z193" s="237"/>
      <c r="AA193" s="123"/>
      <c r="AB193" s="123"/>
      <c r="AC193" s="160"/>
      <c r="AD193" s="160"/>
      <c r="AE193" s="123"/>
      <c r="AF193" s="123"/>
      <c r="AH193" s="236"/>
      <c r="AI193" s="184"/>
      <c r="AJ193" s="184"/>
      <c r="AL193" s="123"/>
      <c r="AM193" s="160"/>
      <c r="AN193" s="160"/>
    </row>
    <row r="194" spans="1:40" x14ac:dyDescent="0.3">
      <c r="C194" s="42"/>
      <c r="F194" s="184"/>
      <c r="H194" s="184"/>
      <c r="I194" s="184"/>
      <c r="J194" s="227"/>
      <c r="K194" s="227"/>
      <c r="L194" s="123"/>
      <c r="M194" s="123"/>
      <c r="N194" s="160"/>
      <c r="O194" s="160"/>
      <c r="P194" s="184"/>
      <c r="Q194" s="184"/>
      <c r="R194" s="123"/>
      <c r="T194" s="42"/>
      <c r="V194" s="184"/>
      <c r="Y194" s="123"/>
      <c r="Z194" s="212"/>
      <c r="AA194" s="123"/>
      <c r="AB194" s="123"/>
      <c r="AC194" s="160"/>
      <c r="AD194" s="160"/>
      <c r="AE194" s="123"/>
      <c r="AF194" s="123"/>
      <c r="AH194" s="236"/>
      <c r="AI194" s="184"/>
      <c r="AJ194" s="184"/>
      <c r="AL194" s="123"/>
      <c r="AM194" s="160"/>
      <c r="AN194" s="160"/>
    </row>
    <row r="195" spans="1:40" x14ac:dyDescent="0.3">
      <c r="C195" s="42"/>
      <c r="F195" s="184"/>
      <c r="H195" s="184"/>
      <c r="I195" s="184"/>
      <c r="J195" s="227"/>
      <c r="K195" s="227"/>
      <c r="L195" s="123"/>
      <c r="M195" s="123"/>
      <c r="N195" s="160"/>
      <c r="O195" s="160"/>
      <c r="P195" s="184"/>
      <c r="Q195" s="184"/>
      <c r="R195" s="123"/>
      <c r="T195" s="42"/>
      <c r="V195" s="184"/>
      <c r="Y195" s="123"/>
      <c r="Z195" s="212"/>
      <c r="AA195" s="123"/>
      <c r="AB195" s="123"/>
      <c r="AC195" s="160"/>
      <c r="AD195" s="160"/>
      <c r="AE195" s="123"/>
      <c r="AF195" s="123"/>
      <c r="AH195" s="236"/>
      <c r="AI195" s="184"/>
      <c r="AJ195" s="184"/>
      <c r="AL195" s="123"/>
      <c r="AM195" s="160"/>
      <c r="AN195" s="160"/>
    </row>
    <row r="196" spans="1:40" x14ac:dyDescent="0.3">
      <c r="F196" s="210"/>
      <c r="H196" s="210"/>
      <c r="I196" s="210"/>
      <c r="J196" s="213"/>
      <c r="K196" s="213"/>
      <c r="L196" s="210"/>
      <c r="M196" s="210"/>
      <c r="N196" s="210"/>
      <c r="O196" s="210"/>
      <c r="P196" s="210"/>
      <c r="Q196" s="210"/>
      <c r="R196" s="210"/>
      <c r="V196" s="210"/>
      <c r="Y196" s="210"/>
      <c r="Z196" s="213"/>
      <c r="AA196" s="210"/>
      <c r="AB196" s="210"/>
      <c r="AC196" s="210"/>
      <c r="AD196" s="210"/>
      <c r="AE196" s="210"/>
      <c r="AF196" s="210"/>
      <c r="AI196" s="210"/>
      <c r="AJ196" s="210"/>
      <c r="AK196" s="214"/>
      <c r="AL196" s="210"/>
      <c r="AM196" s="160"/>
      <c r="AN196" s="160"/>
    </row>
    <row r="197" spans="1:40" x14ac:dyDescent="0.3">
      <c r="C197" s="42"/>
      <c r="F197" s="123"/>
      <c r="H197" s="123"/>
      <c r="I197" s="123"/>
      <c r="J197" s="219"/>
      <c r="K197" s="219"/>
      <c r="L197" s="123"/>
      <c r="M197" s="123"/>
      <c r="N197" s="160"/>
      <c r="O197" s="160"/>
      <c r="P197" s="123"/>
      <c r="Q197" s="123"/>
      <c r="R197" s="123"/>
      <c r="T197" s="42"/>
      <c r="V197" s="123"/>
      <c r="Y197" s="123"/>
      <c r="Z197" s="219"/>
      <c r="AA197" s="123"/>
      <c r="AB197" s="123"/>
      <c r="AC197" s="160"/>
      <c r="AD197" s="160"/>
      <c r="AE197" s="123"/>
      <c r="AF197" s="123"/>
      <c r="AH197" s="236"/>
      <c r="AI197" s="123"/>
      <c r="AJ197" s="123"/>
      <c r="AL197" s="123"/>
      <c r="AM197" s="160"/>
      <c r="AN197" s="160"/>
    </row>
    <row r="198" spans="1:40" x14ac:dyDescent="0.3">
      <c r="F198" s="210"/>
      <c r="H198" s="210"/>
      <c r="I198" s="210"/>
      <c r="J198" s="213"/>
      <c r="K198" s="213"/>
      <c r="L198" s="210"/>
      <c r="M198" s="210"/>
      <c r="N198" s="210"/>
      <c r="O198" s="210"/>
      <c r="P198" s="210"/>
      <c r="Q198" s="210"/>
      <c r="R198" s="210"/>
      <c r="V198" s="210"/>
      <c r="Y198" s="210"/>
      <c r="Z198" s="213"/>
      <c r="AA198" s="210"/>
      <c r="AB198" s="210"/>
      <c r="AC198" s="210"/>
      <c r="AD198" s="210"/>
      <c r="AE198" s="210"/>
      <c r="AF198" s="210"/>
      <c r="AI198" s="210"/>
      <c r="AJ198" s="210"/>
      <c r="AK198" s="214"/>
      <c r="AL198" s="210"/>
      <c r="AM198" s="160"/>
      <c r="AN198" s="160"/>
    </row>
    <row r="199" spans="1:40" x14ac:dyDescent="0.3">
      <c r="C199" s="42"/>
      <c r="F199" s="123"/>
      <c r="H199" s="123"/>
      <c r="I199" s="123"/>
      <c r="J199" s="219"/>
      <c r="K199" s="219"/>
      <c r="L199" s="123"/>
      <c r="M199" s="123"/>
      <c r="N199" s="160"/>
      <c r="O199" s="160"/>
      <c r="P199" s="123"/>
      <c r="Q199" s="123"/>
      <c r="R199" s="123"/>
      <c r="T199" s="42"/>
      <c r="V199" s="123"/>
      <c r="Y199" s="123"/>
      <c r="Z199" s="219"/>
      <c r="AA199" s="123"/>
      <c r="AB199" s="123"/>
      <c r="AC199" s="160"/>
      <c r="AD199" s="160"/>
      <c r="AE199" s="123"/>
      <c r="AF199" s="123"/>
      <c r="AH199" s="236"/>
      <c r="AI199" s="123"/>
      <c r="AJ199" s="123"/>
      <c r="AL199" s="123"/>
      <c r="AM199" s="160"/>
      <c r="AN199" s="160"/>
    </row>
    <row r="200" spans="1:40" x14ac:dyDescent="0.3">
      <c r="C200" s="42"/>
      <c r="F200" s="123"/>
      <c r="H200" s="123"/>
      <c r="I200" s="123"/>
      <c r="J200" s="219"/>
      <c r="K200" s="219"/>
      <c r="L200" s="123"/>
      <c r="M200" s="123"/>
      <c r="N200" s="160"/>
      <c r="O200" s="160"/>
      <c r="P200" s="123"/>
      <c r="Q200" s="123"/>
      <c r="R200" s="123"/>
      <c r="T200" s="42"/>
      <c r="V200" s="123"/>
      <c r="Y200" s="123"/>
      <c r="Z200" s="219"/>
      <c r="AA200" s="123"/>
      <c r="AB200" s="123"/>
      <c r="AC200" s="160"/>
      <c r="AD200" s="160"/>
      <c r="AE200" s="123"/>
      <c r="AF200" s="123"/>
      <c r="AH200" s="236"/>
      <c r="AI200" s="123"/>
      <c r="AJ200" s="123"/>
      <c r="AL200" s="123"/>
      <c r="AM200" s="160"/>
      <c r="AN200" s="160"/>
    </row>
    <row r="201" spans="1:40" x14ac:dyDescent="0.3">
      <c r="F201" s="210"/>
      <c r="H201" s="210"/>
      <c r="I201" s="210"/>
      <c r="J201" s="213"/>
      <c r="K201" s="213"/>
      <c r="L201" s="210"/>
      <c r="M201" s="210"/>
      <c r="N201" s="210"/>
      <c r="O201" s="210"/>
      <c r="P201" s="210"/>
      <c r="Q201" s="210"/>
      <c r="R201" s="210"/>
      <c r="V201" s="210"/>
      <c r="Y201" s="210"/>
      <c r="Z201" s="213"/>
      <c r="AA201" s="210"/>
      <c r="AB201" s="210"/>
      <c r="AC201" s="210"/>
      <c r="AD201" s="210"/>
      <c r="AE201" s="210"/>
      <c r="AF201" s="210"/>
      <c r="AI201" s="210"/>
      <c r="AJ201" s="210"/>
      <c r="AK201" s="214"/>
      <c r="AL201" s="210"/>
      <c r="AM201" s="123"/>
      <c r="AN201" s="123"/>
    </row>
    <row r="202" spans="1:40" x14ac:dyDescent="0.3">
      <c r="F202" s="123"/>
      <c r="H202" s="123"/>
      <c r="I202" s="123"/>
      <c r="J202" s="219"/>
      <c r="K202" s="219"/>
      <c r="L202" s="123"/>
      <c r="M202" s="123"/>
      <c r="N202" s="123"/>
      <c r="O202" s="123"/>
      <c r="P202" s="123"/>
      <c r="Q202" s="123"/>
      <c r="R202" s="123"/>
      <c r="V202" s="123"/>
      <c r="Y202" s="123"/>
      <c r="Z202" s="219"/>
      <c r="AA202" s="123"/>
      <c r="AB202" s="123"/>
      <c r="AC202" s="123"/>
      <c r="AD202" s="123"/>
    </row>
    <row r="203" spans="1:40" x14ac:dyDescent="0.3">
      <c r="C203" s="42"/>
      <c r="F203" s="123"/>
      <c r="H203" s="123"/>
      <c r="I203" s="123"/>
      <c r="J203" s="219"/>
      <c r="K203" s="219"/>
      <c r="L203" s="123"/>
      <c r="M203" s="123"/>
      <c r="N203" s="123"/>
      <c r="O203" s="123"/>
      <c r="P203" s="123"/>
      <c r="Q203" s="123"/>
      <c r="R203" s="123"/>
      <c r="T203" s="42"/>
      <c r="V203" s="123"/>
      <c r="Y203" s="123"/>
      <c r="Z203" s="219"/>
      <c r="AA203" s="123"/>
      <c r="AB203" s="123"/>
      <c r="AC203" s="123"/>
      <c r="AD203" s="123"/>
    </row>
    <row r="204" spans="1:40" x14ac:dyDescent="0.3">
      <c r="A204" s="42"/>
    </row>
    <row r="206" spans="1:40" x14ac:dyDescent="0.3">
      <c r="H206" s="42"/>
      <c r="I206" s="42"/>
      <c r="Y206" s="42"/>
    </row>
    <row r="208" spans="1:40" x14ac:dyDescent="0.3">
      <c r="L208" s="42"/>
      <c r="M208" s="42"/>
      <c r="AA208" s="42"/>
      <c r="AB208" s="42"/>
    </row>
    <row r="209" spans="1:40" x14ac:dyDescent="0.3">
      <c r="R209" s="42"/>
      <c r="AK209" s="206"/>
      <c r="AL209" s="42"/>
    </row>
    <row r="210" spans="1:40" x14ac:dyDescent="0.3">
      <c r="R210" s="42"/>
      <c r="AK210" s="206"/>
      <c r="AL210" s="42"/>
    </row>
    <row r="211" spans="1:40" x14ac:dyDescent="0.3">
      <c r="A211" s="42"/>
      <c r="R211" s="42"/>
      <c r="AK211" s="206"/>
      <c r="AL211" s="42"/>
    </row>
    <row r="212" spans="1:40" x14ac:dyDescent="0.3">
      <c r="L212" s="42"/>
      <c r="M212" s="42"/>
      <c r="AA212" s="42"/>
      <c r="AB212" s="42"/>
    </row>
    <row r="213" spans="1:40" x14ac:dyDescent="0.3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207"/>
      <c r="AH213" s="135"/>
      <c r="AI213" s="135"/>
      <c r="AJ213" s="135"/>
      <c r="AK213" s="207"/>
      <c r="AL213" s="135"/>
      <c r="AM213" s="135"/>
      <c r="AN213" s="135"/>
    </row>
    <row r="214" spans="1:40" x14ac:dyDescent="0.3">
      <c r="L214" s="44"/>
      <c r="M214" s="44"/>
      <c r="N214" s="44"/>
      <c r="O214" s="44"/>
      <c r="R214" s="44"/>
      <c r="AA214" s="44"/>
      <c r="AB214" s="44"/>
      <c r="AC214" s="44"/>
      <c r="AD214" s="44"/>
      <c r="AE214" s="44"/>
      <c r="AF214" s="44"/>
      <c r="AG214" s="168"/>
      <c r="AH214" s="44"/>
      <c r="AK214" s="168"/>
      <c r="AL214" s="44"/>
      <c r="AM214" s="44"/>
      <c r="AN214" s="44"/>
    </row>
    <row r="215" spans="1:40" x14ac:dyDescent="0.3">
      <c r="L215" s="44"/>
      <c r="M215" s="44"/>
      <c r="N215" s="44"/>
      <c r="O215" s="44"/>
      <c r="R215" s="44"/>
      <c r="Z215" s="44"/>
      <c r="AA215" s="44"/>
      <c r="AB215" s="44"/>
      <c r="AC215" s="44"/>
      <c r="AD215" s="44"/>
      <c r="AE215" s="44"/>
      <c r="AF215" s="44"/>
      <c r="AG215" s="168"/>
      <c r="AH215" s="44"/>
      <c r="AK215" s="168"/>
      <c r="AL215" s="44"/>
      <c r="AM215" s="44"/>
      <c r="AN215" s="44"/>
    </row>
    <row r="216" spans="1:40" x14ac:dyDescent="0.3">
      <c r="A216" s="44"/>
      <c r="C216" s="44"/>
      <c r="D216" s="44"/>
      <c r="E216" s="44"/>
      <c r="F216" s="44"/>
      <c r="J216" s="44"/>
      <c r="K216" s="44"/>
      <c r="L216" s="44"/>
      <c r="M216" s="44"/>
      <c r="N216" s="44"/>
      <c r="O216" s="44"/>
      <c r="P216" s="44"/>
      <c r="Q216" s="44"/>
      <c r="R216" s="44"/>
      <c r="T216" s="44"/>
      <c r="U216" s="44"/>
      <c r="V216" s="44"/>
      <c r="Z216" s="44"/>
      <c r="AA216" s="44"/>
      <c r="AB216" s="44"/>
      <c r="AC216" s="44"/>
      <c r="AD216" s="44"/>
      <c r="AE216" s="44"/>
      <c r="AF216" s="44"/>
      <c r="AG216" s="168"/>
      <c r="AH216" s="44"/>
      <c r="AI216" s="44"/>
      <c r="AJ216" s="44"/>
      <c r="AK216" s="168"/>
      <c r="AL216" s="44"/>
      <c r="AM216" s="44"/>
      <c r="AN216" s="44"/>
    </row>
    <row r="217" spans="1:40" x14ac:dyDescent="0.3">
      <c r="A217" s="44"/>
      <c r="C217" s="44"/>
      <c r="D217" s="44"/>
      <c r="E217" s="44"/>
      <c r="F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T217" s="44"/>
      <c r="U217" s="44"/>
      <c r="V217" s="44"/>
      <c r="Y217" s="44"/>
      <c r="Z217" s="44"/>
      <c r="AA217" s="44"/>
      <c r="AB217" s="44"/>
      <c r="AC217" s="44"/>
      <c r="AD217" s="44"/>
      <c r="AE217" s="44"/>
      <c r="AF217" s="44"/>
      <c r="AG217" s="168"/>
      <c r="AH217" s="44"/>
      <c r="AI217" s="44"/>
      <c r="AJ217" s="44"/>
      <c r="AK217" s="168"/>
      <c r="AL217" s="44"/>
      <c r="AM217" s="44"/>
      <c r="AN217" s="44"/>
    </row>
    <row r="218" spans="1:40" x14ac:dyDescent="0.3">
      <c r="C218" s="44"/>
      <c r="D218" s="44"/>
      <c r="E218" s="44"/>
      <c r="F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T218" s="44"/>
      <c r="U218" s="44"/>
      <c r="V218" s="44"/>
      <c r="Y218" s="44"/>
      <c r="Z218" s="44"/>
      <c r="AA218" s="44"/>
      <c r="AB218" s="44"/>
      <c r="AC218" s="44"/>
      <c r="AD218" s="44"/>
      <c r="AE218" s="44"/>
      <c r="AF218" s="44"/>
      <c r="AG218" s="168"/>
      <c r="AH218" s="44"/>
      <c r="AI218" s="44"/>
      <c r="AJ218" s="44"/>
      <c r="AK218" s="168"/>
      <c r="AL218" s="44"/>
      <c r="AM218" s="44"/>
      <c r="AN218" s="44"/>
    </row>
    <row r="219" spans="1:40" x14ac:dyDescent="0.3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207"/>
      <c r="AH219" s="135"/>
      <c r="AI219" s="135"/>
      <c r="AJ219" s="135"/>
      <c r="AK219" s="207"/>
      <c r="AL219" s="135"/>
      <c r="AM219" s="135"/>
      <c r="AN219" s="135"/>
    </row>
    <row r="220" spans="1:40" x14ac:dyDescent="0.3"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Y220" s="44"/>
      <c r="Z220" s="44"/>
      <c r="AA220" s="44"/>
      <c r="AB220" s="44"/>
      <c r="AC220" s="44"/>
      <c r="AD220" s="44"/>
      <c r="AE220" s="44"/>
      <c r="AF220" s="44"/>
      <c r="AG220" s="168"/>
      <c r="AH220" s="44"/>
      <c r="AI220" s="44"/>
      <c r="AJ220" s="44"/>
      <c r="AK220" s="168"/>
      <c r="AL220" s="44"/>
      <c r="AM220" s="44"/>
      <c r="AN220" s="44"/>
    </row>
    <row r="221" spans="1:40" x14ac:dyDescent="0.3">
      <c r="C221" s="42"/>
      <c r="D221" s="42"/>
      <c r="E221" s="42"/>
      <c r="T221" s="42"/>
      <c r="U221" s="42"/>
    </row>
    <row r="223" spans="1:40" x14ac:dyDescent="0.3">
      <c r="C223" s="42"/>
      <c r="F223" s="184"/>
      <c r="H223" s="222"/>
      <c r="I223" s="222"/>
      <c r="J223" s="193"/>
      <c r="K223" s="193"/>
      <c r="L223" s="123"/>
      <c r="M223" s="123"/>
      <c r="R223" s="123"/>
      <c r="T223" s="42"/>
      <c r="V223" s="123"/>
      <c r="Z223" s="193"/>
      <c r="AA223" s="123"/>
      <c r="AB223" s="123"/>
      <c r="AE223" s="123"/>
      <c r="AF223" s="123"/>
      <c r="AG223" s="233"/>
      <c r="AH223" s="234"/>
      <c r="AI223" s="123"/>
      <c r="AJ223" s="123"/>
      <c r="AL223" s="123"/>
      <c r="AM223" s="235"/>
      <c r="AN223" s="235"/>
    </row>
    <row r="224" spans="1:40" x14ac:dyDescent="0.3">
      <c r="F224" s="184"/>
      <c r="H224" s="222"/>
      <c r="I224" s="222"/>
      <c r="J224" s="222"/>
      <c r="K224" s="222"/>
      <c r="R224" s="123"/>
      <c r="V224" s="123"/>
      <c r="Z224" s="222"/>
    </row>
    <row r="225" spans="3:40" x14ac:dyDescent="0.3">
      <c r="C225" s="42"/>
      <c r="F225" s="184"/>
      <c r="H225" s="184"/>
      <c r="I225" s="184"/>
      <c r="J225" s="227"/>
      <c r="K225" s="227"/>
      <c r="L225" s="123"/>
      <c r="M225" s="123"/>
      <c r="N225" s="160"/>
      <c r="O225" s="160"/>
      <c r="P225" s="184"/>
      <c r="Q225" s="184"/>
      <c r="R225" s="123"/>
      <c r="T225" s="42"/>
      <c r="V225" s="123"/>
      <c r="Y225" s="123"/>
      <c r="Z225" s="212"/>
      <c r="AA225" s="123"/>
      <c r="AB225" s="123"/>
      <c r="AC225" s="160"/>
      <c r="AD225" s="160"/>
      <c r="AE225" s="123"/>
      <c r="AF225" s="123"/>
      <c r="AH225" s="236"/>
      <c r="AI225" s="184"/>
      <c r="AJ225" s="184"/>
      <c r="AL225" s="123"/>
      <c r="AM225" s="160"/>
      <c r="AN225" s="160"/>
    </row>
    <row r="226" spans="3:40" x14ac:dyDescent="0.3">
      <c r="F226" s="210"/>
      <c r="H226" s="210"/>
      <c r="I226" s="210"/>
      <c r="J226" s="213"/>
      <c r="K226" s="213"/>
      <c r="L226" s="210"/>
      <c r="M226" s="210"/>
      <c r="N226" s="210"/>
      <c r="O226" s="210"/>
      <c r="P226" s="210"/>
      <c r="Q226" s="210"/>
      <c r="R226" s="210"/>
      <c r="V226" s="210"/>
      <c r="Y226" s="210"/>
      <c r="Z226" s="213"/>
      <c r="AA226" s="210"/>
      <c r="AB226" s="210"/>
      <c r="AC226" s="210"/>
      <c r="AD226" s="210"/>
      <c r="AE226" s="210"/>
      <c r="AF226" s="210"/>
      <c r="AI226" s="210"/>
      <c r="AJ226" s="210"/>
      <c r="AK226" s="214"/>
      <c r="AL226" s="210"/>
    </row>
    <row r="227" spans="3:40" x14ac:dyDescent="0.3">
      <c r="D227" s="42"/>
      <c r="E227" s="42"/>
      <c r="F227" s="123"/>
      <c r="H227" s="123"/>
      <c r="I227" s="123"/>
      <c r="J227" s="219"/>
      <c r="K227" s="219"/>
      <c r="L227" s="123"/>
      <c r="M227" s="123"/>
      <c r="N227" s="160"/>
      <c r="O227" s="160"/>
      <c r="P227" s="123"/>
      <c r="Q227" s="123"/>
      <c r="R227" s="123"/>
      <c r="U227" s="42"/>
      <c r="V227" s="123"/>
      <c r="Y227" s="123"/>
      <c r="Z227" s="219"/>
      <c r="AA227" s="123"/>
      <c r="AB227" s="123"/>
      <c r="AC227" s="160"/>
      <c r="AD227" s="160"/>
      <c r="AE227" s="123"/>
      <c r="AF227" s="123"/>
      <c r="AH227" s="236"/>
      <c r="AI227" s="123"/>
      <c r="AJ227" s="123"/>
      <c r="AL227" s="123"/>
      <c r="AM227" s="160"/>
      <c r="AN227" s="160"/>
    </row>
    <row r="228" spans="3:40" x14ac:dyDescent="0.3">
      <c r="F228" s="210"/>
      <c r="H228" s="210"/>
      <c r="I228" s="210"/>
      <c r="J228" s="213"/>
      <c r="K228" s="213"/>
      <c r="L228" s="210"/>
      <c r="M228" s="210"/>
      <c r="N228" s="210"/>
      <c r="O228" s="210"/>
      <c r="P228" s="210"/>
      <c r="Q228" s="210"/>
      <c r="R228" s="210"/>
      <c r="V228" s="210"/>
      <c r="Y228" s="210"/>
      <c r="Z228" s="213"/>
      <c r="AA228" s="210"/>
      <c r="AB228" s="210"/>
      <c r="AC228" s="210"/>
      <c r="AD228" s="210"/>
      <c r="AE228" s="210"/>
      <c r="AF228" s="210"/>
      <c r="AI228" s="210"/>
      <c r="AJ228" s="210"/>
      <c r="AK228" s="214"/>
      <c r="AL228" s="210"/>
    </row>
    <row r="229" spans="3:40" x14ac:dyDescent="0.3">
      <c r="R229" s="123"/>
    </row>
    <row r="230" spans="3:40" x14ac:dyDescent="0.3">
      <c r="R230" s="123"/>
    </row>
    <row r="231" spans="3:40" x14ac:dyDescent="0.3">
      <c r="R231" s="123"/>
    </row>
    <row r="232" spans="3:40" x14ac:dyDescent="0.3">
      <c r="C232" s="42"/>
      <c r="D232" s="42"/>
      <c r="E232" s="42"/>
      <c r="H232" s="123"/>
      <c r="I232" s="123"/>
      <c r="J232" s="219"/>
      <c r="K232" s="219"/>
      <c r="L232" s="123"/>
      <c r="M232" s="123"/>
      <c r="N232" s="160"/>
      <c r="O232" s="160"/>
      <c r="P232" s="123"/>
      <c r="Q232" s="123"/>
      <c r="R232" s="123"/>
      <c r="T232" s="42"/>
      <c r="U232" s="42"/>
      <c r="Y232" s="123"/>
      <c r="Z232" s="219"/>
      <c r="AA232" s="123"/>
      <c r="AB232" s="123"/>
      <c r="AC232" s="160"/>
      <c r="AD232" s="160"/>
    </row>
    <row r="233" spans="3:40" x14ac:dyDescent="0.3">
      <c r="H233" s="123"/>
      <c r="I233" s="123"/>
      <c r="J233" s="219"/>
      <c r="K233" s="219"/>
      <c r="L233" s="123"/>
      <c r="M233" s="123"/>
      <c r="N233" s="160"/>
      <c r="O233" s="160"/>
      <c r="P233" s="123"/>
      <c r="Q233" s="123"/>
      <c r="R233" s="123"/>
      <c r="Y233" s="123"/>
      <c r="Z233" s="219"/>
      <c r="AA233" s="123"/>
      <c r="AB233" s="123"/>
      <c r="AC233" s="160"/>
      <c r="AD233" s="160"/>
    </row>
    <row r="234" spans="3:40" x14ac:dyDescent="0.3">
      <c r="C234" s="42"/>
      <c r="F234" s="184"/>
      <c r="H234" s="184"/>
      <c r="I234" s="184"/>
      <c r="J234" s="240"/>
      <c r="K234" s="240"/>
      <c r="L234" s="184"/>
      <c r="M234" s="184"/>
      <c r="N234" s="160"/>
      <c r="O234" s="160"/>
      <c r="P234" s="123"/>
      <c r="Q234" s="123"/>
      <c r="R234" s="123"/>
      <c r="T234" s="42"/>
      <c r="V234" s="123"/>
      <c r="Y234" s="123"/>
      <c r="Z234" s="240"/>
      <c r="AA234" s="123"/>
      <c r="AB234" s="123"/>
      <c r="AC234" s="160"/>
      <c r="AD234" s="160"/>
      <c r="AE234" s="123"/>
      <c r="AF234" s="123"/>
      <c r="AH234" s="236"/>
      <c r="AI234" s="123"/>
      <c r="AJ234" s="123"/>
      <c r="AL234" s="123"/>
      <c r="AM234" s="160"/>
      <c r="AN234" s="160"/>
    </row>
    <row r="235" spans="3:40" x14ac:dyDescent="0.3">
      <c r="F235" s="184"/>
      <c r="H235" s="222"/>
      <c r="I235" s="222"/>
      <c r="J235" s="222"/>
      <c r="K235" s="222"/>
      <c r="R235" s="123"/>
      <c r="V235" s="123"/>
      <c r="Z235" s="222"/>
    </row>
    <row r="236" spans="3:40" x14ac:dyDescent="0.3">
      <c r="C236" s="42"/>
      <c r="F236" s="184"/>
      <c r="H236" s="184"/>
      <c r="I236" s="184"/>
      <c r="J236" s="193"/>
      <c r="K236" s="193"/>
      <c r="L236" s="123"/>
      <c r="M236" s="123"/>
      <c r="N236" s="160"/>
      <c r="O236" s="160"/>
      <c r="P236" s="123"/>
      <c r="Q236" s="123"/>
      <c r="R236" s="123"/>
      <c r="T236" s="42"/>
      <c r="V236" s="123"/>
      <c r="Y236" s="123"/>
      <c r="Z236" s="193"/>
      <c r="AA236" s="123"/>
      <c r="AB236" s="123"/>
      <c r="AC236" s="160"/>
      <c r="AD236" s="160"/>
      <c r="AE236" s="123"/>
      <c r="AF236" s="123"/>
      <c r="AH236" s="236"/>
      <c r="AI236" s="123"/>
      <c r="AJ236" s="123"/>
      <c r="AL236" s="123"/>
      <c r="AM236" s="160"/>
      <c r="AN236" s="160"/>
    </row>
    <row r="237" spans="3:40" x14ac:dyDescent="0.3">
      <c r="F237" s="184"/>
      <c r="H237" s="222"/>
      <c r="I237" s="222"/>
      <c r="J237" s="222"/>
      <c r="K237" s="222"/>
      <c r="R237" s="123"/>
      <c r="V237" s="123"/>
      <c r="Z237" s="222"/>
    </row>
    <row r="238" spans="3:40" x14ac:dyDescent="0.3">
      <c r="C238" s="42"/>
      <c r="F238" s="184"/>
      <c r="H238" s="184"/>
      <c r="I238" s="184"/>
      <c r="J238" s="227"/>
      <c r="K238" s="227"/>
      <c r="L238" s="123"/>
      <c r="M238" s="123"/>
      <c r="N238" s="160"/>
      <c r="O238" s="160"/>
      <c r="P238" s="123"/>
      <c r="Q238" s="123"/>
      <c r="R238" s="123"/>
      <c r="T238" s="42"/>
      <c r="V238" s="123"/>
      <c r="Y238" s="123"/>
      <c r="Z238" s="212"/>
      <c r="AA238" s="123"/>
      <c r="AB238" s="123"/>
      <c r="AC238" s="160"/>
      <c r="AD238" s="160"/>
      <c r="AE238" s="123"/>
      <c r="AF238" s="123"/>
      <c r="AH238" s="236"/>
      <c r="AI238" s="123"/>
      <c r="AJ238" s="123"/>
      <c r="AL238" s="123"/>
      <c r="AM238" s="160"/>
      <c r="AN238" s="160"/>
    </row>
    <row r="239" spans="3:40" x14ac:dyDescent="0.3">
      <c r="F239" s="210"/>
      <c r="H239" s="210"/>
      <c r="I239" s="210"/>
      <c r="J239" s="213"/>
      <c r="K239" s="213"/>
      <c r="L239" s="210"/>
      <c r="M239" s="210"/>
      <c r="N239" s="210"/>
      <c r="O239" s="210"/>
      <c r="P239" s="210"/>
      <c r="Q239" s="210"/>
      <c r="R239" s="210"/>
      <c r="S239" s="123"/>
      <c r="V239" s="210"/>
      <c r="Y239" s="210"/>
      <c r="Z239" s="213"/>
      <c r="AA239" s="210"/>
      <c r="AB239" s="210"/>
      <c r="AC239" s="210"/>
      <c r="AD239" s="210"/>
      <c r="AE239" s="210"/>
      <c r="AF239" s="210"/>
      <c r="AI239" s="210"/>
      <c r="AJ239" s="210"/>
      <c r="AK239" s="214"/>
      <c r="AL239" s="210"/>
    </row>
    <row r="240" spans="3:40" x14ac:dyDescent="0.3">
      <c r="D240" s="42"/>
      <c r="E240" s="42"/>
      <c r="F240" s="123"/>
      <c r="H240" s="123"/>
      <c r="I240" s="123"/>
      <c r="J240" s="219"/>
      <c r="K240" s="219"/>
      <c r="L240" s="123"/>
      <c r="M240" s="123"/>
      <c r="N240" s="160"/>
      <c r="O240" s="160"/>
      <c r="P240" s="184"/>
      <c r="Q240" s="184"/>
      <c r="R240" s="123"/>
      <c r="S240" s="123"/>
      <c r="U240" s="42"/>
      <c r="V240" s="123"/>
      <c r="Y240" s="123"/>
      <c r="Z240" s="219"/>
      <c r="AA240" s="123"/>
      <c r="AB240" s="123"/>
      <c r="AC240" s="160"/>
      <c r="AD240" s="160"/>
      <c r="AE240" s="123"/>
      <c r="AF240" s="123"/>
      <c r="AH240" s="236"/>
      <c r="AI240" s="184"/>
      <c r="AJ240" s="184"/>
      <c r="AL240" s="123"/>
      <c r="AM240" s="160"/>
      <c r="AN240" s="160"/>
    </row>
    <row r="241" spans="1:40" x14ac:dyDescent="0.3">
      <c r="F241" s="210"/>
      <c r="H241" s="210"/>
      <c r="I241" s="210"/>
      <c r="J241" s="213"/>
      <c r="K241" s="213"/>
      <c r="L241" s="210"/>
      <c r="M241" s="210"/>
      <c r="N241" s="210"/>
      <c r="O241" s="210"/>
      <c r="P241" s="210"/>
      <c r="Q241" s="210"/>
      <c r="R241" s="210"/>
      <c r="S241" s="123"/>
      <c r="V241" s="210"/>
      <c r="Y241" s="210"/>
      <c r="Z241" s="213"/>
      <c r="AA241" s="210"/>
      <c r="AB241" s="210"/>
      <c r="AC241" s="210"/>
      <c r="AD241" s="210"/>
      <c r="AE241" s="210"/>
      <c r="AF241" s="210"/>
      <c r="AI241" s="210"/>
      <c r="AJ241" s="210"/>
      <c r="AK241" s="214"/>
      <c r="AL241" s="210"/>
    </row>
    <row r="242" spans="1:40" x14ac:dyDescent="0.3">
      <c r="R242" s="123"/>
    </row>
    <row r="243" spans="1:40" x14ac:dyDescent="0.3">
      <c r="F243" s="123"/>
      <c r="H243" s="123"/>
      <c r="I243" s="123"/>
      <c r="J243" s="219"/>
      <c r="K243" s="219"/>
      <c r="L243" s="123"/>
      <c r="M243" s="123"/>
      <c r="N243" s="123"/>
      <c r="O243" s="123"/>
      <c r="P243" s="123"/>
      <c r="Q243" s="123"/>
      <c r="R243" s="123"/>
      <c r="V243" s="123"/>
      <c r="Y243" s="123"/>
      <c r="Z243" s="219"/>
      <c r="AA243" s="123"/>
      <c r="AB243" s="123"/>
      <c r="AC243" s="123"/>
      <c r="AD243" s="123"/>
    </row>
    <row r="244" spans="1:40" x14ac:dyDescent="0.3">
      <c r="C244" s="42"/>
      <c r="F244" s="123"/>
      <c r="H244" s="123"/>
      <c r="I244" s="123"/>
      <c r="J244" s="219"/>
      <c r="K244" s="219"/>
      <c r="L244" s="123"/>
      <c r="M244" s="123"/>
      <c r="N244" s="123"/>
      <c r="O244" s="123"/>
      <c r="P244" s="123"/>
      <c r="Q244" s="123"/>
      <c r="R244" s="123"/>
      <c r="T244" s="42"/>
      <c r="V244" s="123"/>
      <c r="Y244" s="123"/>
      <c r="Z244" s="219"/>
      <c r="AA244" s="123"/>
      <c r="AB244" s="123"/>
      <c r="AC244" s="123"/>
      <c r="AD244" s="123"/>
    </row>
    <row r="245" spans="1:40" x14ac:dyDescent="0.3">
      <c r="C245" s="42"/>
      <c r="T245" s="42"/>
    </row>
    <row r="246" spans="1:40" x14ac:dyDescent="0.3">
      <c r="A246" s="42"/>
    </row>
    <row r="249" spans="1:40" x14ac:dyDescent="0.3">
      <c r="H249" s="42"/>
      <c r="I249" s="42"/>
      <c r="Y249" s="42"/>
    </row>
    <row r="251" spans="1:40" x14ac:dyDescent="0.3">
      <c r="L251" s="42"/>
      <c r="M251" s="42"/>
      <c r="AA251" s="42"/>
      <c r="AB251" s="42"/>
    </row>
    <row r="252" spans="1:40" x14ac:dyDescent="0.3">
      <c r="R252" s="42"/>
      <c r="AK252" s="206"/>
      <c r="AL252" s="42"/>
    </row>
    <row r="253" spans="1:40" x14ac:dyDescent="0.3">
      <c r="R253" s="42"/>
      <c r="AK253" s="206"/>
      <c r="AL253" s="42"/>
    </row>
    <row r="254" spans="1:40" x14ac:dyDescent="0.3">
      <c r="A254" s="42"/>
      <c r="R254" s="42"/>
      <c r="AK254" s="206"/>
      <c r="AL254" s="42"/>
    </row>
    <row r="255" spans="1:40" x14ac:dyDescent="0.3">
      <c r="L255" s="42"/>
      <c r="M255" s="42"/>
      <c r="AA255" s="42"/>
      <c r="AB255" s="42"/>
    </row>
    <row r="256" spans="1:40" x14ac:dyDescent="0.3">
      <c r="A256" s="135"/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207"/>
      <c r="AH256" s="135"/>
      <c r="AI256" s="135"/>
      <c r="AJ256" s="135"/>
      <c r="AK256" s="207"/>
      <c r="AL256" s="135"/>
      <c r="AM256" s="135"/>
      <c r="AN256" s="135"/>
    </row>
    <row r="257" spans="1:40" x14ac:dyDescent="0.3">
      <c r="L257" s="44"/>
      <c r="M257" s="44"/>
      <c r="N257" s="44"/>
      <c r="O257" s="44"/>
      <c r="R257" s="44"/>
      <c r="AA257" s="44"/>
      <c r="AB257" s="44"/>
      <c r="AC257" s="44"/>
      <c r="AD257" s="44"/>
      <c r="AE257" s="44"/>
      <c r="AF257" s="44"/>
      <c r="AG257" s="168"/>
      <c r="AH257" s="44"/>
      <c r="AK257" s="168"/>
      <c r="AL257" s="44"/>
      <c r="AM257" s="44"/>
      <c r="AN257" s="44"/>
    </row>
    <row r="258" spans="1:40" x14ac:dyDescent="0.3">
      <c r="L258" s="44"/>
      <c r="M258" s="44"/>
      <c r="N258" s="44"/>
      <c r="O258" s="44"/>
      <c r="R258" s="44"/>
      <c r="Z258" s="44"/>
      <c r="AA258" s="44"/>
      <c r="AB258" s="44"/>
      <c r="AC258" s="44"/>
      <c r="AD258" s="44"/>
      <c r="AE258" s="44"/>
      <c r="AF258" s="44"/>
      <c r="AG258" s="168"/>
      <c r="AH258" s="44"/>
      <c r="AK258" s="168"/>
      <c r="AL258" s="44"/>
      <c r="AM258" s="44"/>
      <c r="AN258" s="44"/>
    </row>
    <row r="259" spans="1:40" x14ac:dyDescent="0.3">
      <c r="A259" s="44"/>
      <c r="C259" s="44"/>
      <c r="D259" s="44"/>
      <c r="E259" s="44"/>
      <c r="F259" s="44"/>
      <c r="J259" s="44"/>
      <c r="K259" s="44"/>
      <c r="L259" s="44"/>
      <c r="M259" s="44"/>
      <c r="N259" s="44"/>
      <c r="O259" s="44"/>
      <c r="P259" s="44"/>
      <c r="Q259" s="44"/>
      <c r="R259" s="44"/>
      <c r="T259" s="44"/>
      <c r="U259" s="44"/>
      <c r="V259" s="44"/>
      <c r="Z259" s="44"/>
      <c r="AA259" s="44"/>
      <c r="AB259" s="44"/>
      <c r="AC259" s="44"/>
      <c r="AD259" s="44"/>
      <c r="AE259" s="44"/>
      <c r="AF259" s="44"/>
      <c r="AG259" s="168"/>
      <c r="AH259" s="44"/>
      <c r="AI259" s="44"/>
      <c r="AJ259" s="44"/>
      <c r="AK259" s="168"/>
      <c r="AL259" s="44"/>
      <c r="AM259" s="44"/>
      <c r="AN259" s="44"/>
    </row>
    <row r="260" spans="1:40" x14ac:dyDescent="0.3">
      <c r="A260" s="44"/>
      <c r="C260" s="44"/>
      <c r="D260" s="44"/>
      <c r="E260" s="44"/>
      <c r="F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T260" s="44"/>
      <c r="U260" s="44"/>
      <c r="V260" s="44"/>
      <c r="Y260" s="44"/>
      <c r="Z260" s="44"/>
      <c r="AA260" s="44"/>
      <c r="AB260" s="44"/>
      <c r="AC260" s="44"/>
      <c r="AD260" s="44"/>
      <c r="AE260" s="44"/>
      <c r="AF260" s="44"/>
      <c r="AG260" s="168"/>
      <c r="AH260" s="44"/>
      <c r="AI260" s="44"/>
      <c r="AJ260" s="44"/>
      <c r="AK260" s="168"/>
      <c r="AL260" s="44"/>
      <c r="AM260" s="44"/>
      <c r="AN260" s="44"/>
    </row>
    <row r="261" spans="1:40" x14ac:dyDescent="0.3">
      <c r="C261" s="44"/>
      <c r="D261" s="44"/>
      <c r="E261" s="44"/>
      <c r="F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T261" s="44"/>
      <c r="U261" s="44"/>
      <c r="V261" s="44"/>
      <c r="Y261" s="44"/>
      <c r="Z261" s="44"/>
      <c r="AA261" s="44"/>
      <c r="AB261" s="44"/>
      <c r="AC261" s="44"/>
      <c r="AD261" s="44"/>
      <c r="AE261" s="44"/>
      <c r="AF261" s="44"/>
      <c r="AG261" s="168"/>
      <c r="AH261" s="44"/>
      <c r="AI261" s="44"/>
      <c r="AJ261" s="44"/>
      <c r="AK261" s="168"/>
      <c r="AL261" s="44"/>
      <c r="AM261" s="44"/>
      <c r="AN261" s="44"/>
    </row>
    <row r="262" spans="1:40" x14ac:dyDescent="0.3">
      <c r="A262" s="135"/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207"/>
      <c r="AH262" s="135"/>
      <c r="AI262" s="135"/>
      <c r="AJ262" s="135"/>
      <c r="AK262" s="207"/>
      <c r="AL262" s="135"/>
      <c r="AM262" s="135"/>
      <c r="AN262" s="135"/>
    </row>
    <row r="263" spans="1:40" x14ac:dyDescent="0.3"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Y263" s="44"/>
      <c r="Z263" s="44"/>
      <c r="AA263" s="44"/>
      <c r="AB263" s="44"/>
      <c r="AC263" s="44"/>
      <c r="AD263" s="44"/>
      <c r="AE263" s="44"/>
      <c r="AF263" s="44"/>
      <c r="AG263" s="168"/>
      <c r="AH263" s="44"/>
      <c r="AI263" s="44"/>
      <c r="AJ263" s="44"/>
      <c r="AK263" s="168"/>
      <c r="AL263" s="44"/>
      <c r="AM263" s="44"/>
      <c r="AN263" s="44"/>
    </row>
    <row r="264" spans="1:40" x14ac:dyDescent="0.3">
      <c r="C264" s="42"/>
      <c r="D264" s="42"/>
      <c r="E264" s="42"/>
      <c r="T264" s="42"/>
      <c r="U264" s="42"/>
    </row>
    <row r="265" spans="1:40" x14ac:dyDescent="0.3">
      <c r="D265" s="42"/>
      <c r="E265" s="42"/>
      <c r="U265" s="42"/>
    </row>
    <row r="267" spans="1:40" x14ac:dyDescent="0.3">
      <c r="C267" s="42"/>
      <c r="F267" s="123"/>
      <c r="J267" s="209"/>
      <c r="K267" s="209"/>
      <c r="L267" s="123"/>
      <c r="M267" s="123"/>
      <c r="R267" s="123"/>
      <c r="T267" s="42"/>
      <c r="V267" s="123"/>
      <c r="Z267" s="209"/>
      <c r="AA267" s="123"/>
      <c r="AB267" s="123"/>
      <c r="AL267" s="123"/>
    </row>
    <row r="268" spans="1:40" x14ac:dyDescent="0.3">
      <c r="F268" s="123"/>
      <c r="R268" s="123"/>
      <c r="V268" s="123"/>
      <c r="AL268" s="123"/>
    </row>
    <row r="269" spans="1:40" x14ac:dyDescent="0.3">
      <c r="C269" s="42"/>
      <c r="F269" s="184"/>
      <c r="H269" s="184"/>
      <c r="I269" s="184"/>
      <c r="J269" s="193"/>
      <c r="K269" s="193"/>
      <c r="L269" s="123"/>
      <c r="M269" s="123"/>
      <c r="N269" s="160"/>
      <c r="O269" s="160"/>
      <c r="P269" s="123"/>
      <c r="Q269" s="123"/>
      <c r="R269" s="123"/>
      <c r="T269" s="42"/>
      <c r="V269" s="123"/>
      <c r="Y269" s="123"/>
      <c r="Z269" s="193"/>
      <c r="AA269" s="123"/>
      <c r="AB269" s="123"/>
      <c r="AC269" s="160"/>
      <c r="AD269" s="160"/>
      <c r="AE269" s="123"/>
      <c r="AF269" s="123"/>
      <c r="AH269" s="236"/>
      <c r="AI269" s="123"/>
      <c r="AJ269" s="123"/>
      <c r="AL269" s="123"/>
      <c r="AM269" s="160"/>
      <c r="AN269" s="160"/>
    </row>
    <row r="270" spans="1:40" x14ac:dyDescent="0.3">
      <c r="C270" s="42"/>
      <c r="F270" s="184"/>
      <c r="H270" s="222"/>
      <c r="I270" s="222"/>
      <c r="J270" s="193"/>
      <c r="K270" s="193"/>
      <c r="L270" s="123"/>
      <c r="M270" s="123"/>
      <c r="N270" s="160"/>
      <c r="O270" s="160"/>
      <c r="P270" s="123"/>
      <c r="Q270" s="123"/>
      <c r="R270" s="123"/>
      <c r="T270" s="42"/>
      <c r="V270" s="123"/>
      <c r="Y270" s="123"/>
      <c r="Z270" s="193"/>
      <c r="AA270" s="123"/>
      <c r="AB270" s="123"/>
      <c r="AC270" s="160"/>
      <c r="AD270" s="160"/>
      <c r="AE270" s="123"/>
      <c r="AF270" s="123"/>
      <c r="AH270" s="236"/>
      <c r="AI270" s="123"/>
      <c r="AJ270" s="123"/>
      <c r="AL270" s="123"/>
      <c r="AM270" s="160"/>
      <c r="AN270" s="160"/>
    </row>
    <row r="271" spans="1:40" x14ac:dyDescent="0.3">
      <c r="F271" s="210"/>
      <c r="H271" s="123"/>
      <c r="I271" s="123"/>
      <c r="J271" s="213"/>
      <c r="K271" s="213"/>
      <c r="L271" s="210"/>
      <c r="M271" s="210"/>
      <c r="N271" s="210"/>
      <c r="O271" s="210"/>
      <c r="P271" s="210"/>
      <c r="Q271" s="210"/>
      <c r="R271" s="210"/>
      <c r="V271" s="210"/>
      <c r="Y271" s="123"/>
      <c r="Z271" s="213"/>
      <c r="AA271" s="210"/>
      <c r="AB271" s="210"/>
      <c r="AC271" s="210"/>
      <c r="AD271" s="210"/>
      <c r="AE271" s="210"/>
      <c r="AF271" s="210"/>
      <c r="AI271" s="210"/>
      <c r="AJ271" s="210"/>
      <c r="AK271" s="214"/>
      <c r="AL271" s="210"/>
    </row>
    <row r="272" spans="1:40" x14ac:dyDescent="0.3">
      <c r="C272" s="42"/>
      <c r="F272" s="123"/>
      <c r="H272" s="123"/>
      <c r="I272" s="123"/>
      <c r="J272" s="219"/>
      <c r="K272" s="219"/>
      <c r="L272" s="123"/>
      <c r="M272" s="123"/>
      <c r="N272" s="160"/>
      <c r="O272" s="160"/>
      <c r="P272" s="123"/>
      <c r="Q272" s="123"/>
      <c r="R272" s="123"/>
      <c r="T272" s="42"/>
      <c r="V272" s="123"/>
      <c r="Y272" s="123"/>
      <c r="Z272" s="219"/>
      <c r="AA272" s="123"/>
      <c r="AB272" s="123"/>
      <c r="AC272" s="160"/>
      <c r="AD272" s="160"/>
      <c r="AE272" s="123"/>
      <c r="AF272" s="123"/>
      <c r="AH272" s="236"/>
      <c r="AI272" s="123"/>
      <c r="AJ272" s="123"/>
      <c r="AL272" s="123"/>
      <c r="AM272" s="160"/>
      <c r="AN272" s="160"/>
    </row>
    <row r="273" spans="1:40" x14ac:dyDescent="0.3">
      <c r="F273" s="210"/>
      <c r="H273" s="123"/>
      <c r="I273" s="123"/>
      <c r="J273" s="213"/>
      <c r="K273" s="213"/>
      <c r="L273" s="210"/>
      <c r="M273" s="210"/>
      <c r="N273" s="210"/>
      <c r="O273" s="210"/>
      <c r="P273" s="210"/>
      <c r="Q273" s="210"/>
      <c r="R273" s="210"/>
      <c r="V273" s="210"/>
      <c r="Y273" s="123"/>
      <c r="Z273" s="213"/>
      <c r="AA273" s="210"/>
      <c r="AB273" s="210"/>
      <c r="AC273" s="210"/>
      <c r="AD273" s="210"/>
      <c r="AE273" s="210"/>
      <c r="AF273" s="210"/>
      <c r="AI273" s="210"/>
      <c r="AJ273" s="210"/>
      <c r="AK273" s="214"/>
      <c r="AL273" s="210"/>
    </row>
    <row r="274" spans="1:40" x14ac:dyDescent="0.3">
      <c r="F274" s="123"/>
      <c r="R274" s="123"/>
      <c r="V274" s="123"/>
      <c r="AL274" s="123"/>
    </row>
    <row r="275" spans="1:40" x14ac:dyDescent="0.3">
      <c r="C275" s="42"/>
      <c r="F275" s="123"/>
      <c r="R275" s="123"/>
      <c r="T275" s="42"/>
      <c r="V275" s="123"/>
      <c r="AL275" s="123"/>
    </row>
    <row r="276" spans="1:40" x14ac:dyDescent="0.3">
      <c r="F276" s="123"/>
      <c r="R276" s="123"/>
      <c r="V276" s="123"/>
      <c r="AL276" s="123"/>
    </row>
    <row r="277" spans="1:40" x14ac:dyDescent="0.3">
      <c r="C277" s="42"/>
      <c r="F277" s="123"/>
      <c r="H277" s="184"/>
      <c r="I277" s="184"/>
      <c r="J277" s="227"/>
      <c r="K277" s="227"/>
      <c r="L277" s="123"/>
      <c r="M277" s="123"/>
      <c r="N277" s="160"/>
      <c r="O277" s="160"/>
      <c r="P277" s="184"/>
      <c r="Q277" s="184"/>
      <c r="R277" s="123"/>
      <c r="T277" s="42"/>
      <c r="V277" s="123"/>
      <c r="Y277" s="123"/>
      <c r="Z277" s="212"/>
      <c r="AA277" s="123"/>
      <c r="AB277" s="123"/>
      <c r="AC277" s="160"/>
      <c r="AD277" s="160"/>
      <c r="AE277" s="123"/>
      <c r="AF277" s="123"/>
      <c r="AH277" s="236"/>
      <c r="AI277" s="184"/>
      <c r="AJ277" s="184"/>
      <c r="AL277" s="123"/>
      <c r="AM277" s="160"/>
      <c r="AN277" s="160"/>
    </row>
    <row r="278" spans="1:40" x14ac:dyDescent="0.3">
      <c r="F278" s="210"/>
      <c r="H278" s="210"/>
      <c r="I278" s="210"/>
      <c r="J278" s="213"/>
      <c r="K278" s="213"/>
      <c r="L278" s="210"/>
      <c r="M278" s="210"/>
      <c r="N278" s="210"/>
      <c r="O278" s="210"/>
      <c r="P278" s="210"/>
      <c r="Q278" s="210"/>
      <c r="R278" s="210"/>
      <c r="V278" s="210"/>
      <c r="Y278" s="210"/>
      <c r="Z278" s="213"/>
      <c r="AA278" s="210"/>
      <c r="AB278" s="210"/>
      <c r="AC278" s="210"/>
      <c r="AD278" s="210"/>
      <c r="AE278" s="210"/>
      <c r="AF278" s="210"/>
      <c r="AI278" s="210"/>
      <c r="AJ278" s="210"/>
      <c r="AK278" s="214"/>
      <c r="AL278" s="210"/>
    </row>
    <row r="280" spans="1:40" x14ac:dyDescent="0.3">
      <c r="C280" s="42"/>
      <c r="F280" s="123"/>
      <c r="H280" s="123"/>
      <c r="I280" s="123"/>
      <c r="J280" s="209"/>
      <c r="K280" s="209"/>
      <c r="L280" s="123"/>
      <c r="M280" s="123"/>
      <c r="N280" s="160"/>
      <c r="O280" s="160"/>
      <c r="P280" s="123"/>
      <c r="Q280" s="123"/>
      <c r="R280" s="123"/>
      <c r="T280" s="42"/>
      <c r="V280" s="123"/>
      <c r="Y280" s="123"/>
      <c r="Z280" s="209"/>
      <c r="AA280" s="123"/>
      <c r="AB280" s="123"/>
      <c r="AC280" s="160"/>
      <c r="AD280" s="160"/>
      <c r="AE280" s="123"/>
      <c r="AF280" s="123"/>
      <c r="AH280" s="236"/>
      <c r="AI280" s="123"/>
      <c r="AJ280" s="123"/>
      <c r="AL280" s="123"/>
      <c r="AM280" s="160"/>
      <c r="AN280" s="160"/>
    </row>
    <row r="281" spans="1:40" x14ac:dyDescent="0.3">
      <c r="F281" s="210"/>
      <c r="H281" s="210"/>
      <c r="I281" s="210"/>
      <c r="J281" s="213"/>
      <c r="K281" s="213"/>
      <c r="L281" s="210"/>
      <c r="M281" s="210"/>
      <c r="N281" s="210"/>
      <c r="O281" s="210"/>
      <c r="P281" s="210"/>
      <c r="Q281" s="210"/>
      <c r="R281" s="210"/>
      <c r="V281" s="210"/>
      <c r="Y281" s="210"/>
      <c r="Z281" s="213"/>
      <c r="AA281" s="210"/>
      <c r="AB281" s="210"/>
      <c r="AC281" s="210"/>
      <c r="AD281" s="210"/>
      <c r="AE281" s="210"/>
      <c r="AF281" s="210"/>
      <c r="AI281" s="210"/>
      <c r="AJ281" s="210"/>
      <c r="AK281" s="214"/>
      <c r="AL281" s="210"/>
    </row>
    <row r="282" spans="1:40" x14ac:dyDescent="0.3">
      <c r="R282" s="123"/>
      <c r="AH282" s="123"/>
    </row>
    <row r="283" spans="1:40" x14ac:dyDescent="0.3">
      <c r="F283" s="123"/>
      <c r="H283" s="123"/>
      <c r="I283" s="123"/>
      <c r="J283" s="219"/>
      <c r="K283" s="219"/>
      <c r="L283" s="123"/>
      <c r="M283" s="123"/>
      <c r="N283" s="123"/>
      <c r="O283" s="123"/>
      <c r="P283" s="123"/>
      <c r="Q283" s="123"/>
      <c r="R283" s="123"/>
      <c r="V283" s="123"/>
      <c r="Y283" s="123"/>
      <c r="Z283" s="219"/>
      <c r="AA283" s="123"/>
      <c r="AB283" s="123"/>
      <c r="AC283" s="123"/>
      <c r="AD283" s="123"/>
      <c r="AE283" s="123"/>
      <c r="AF283" s="123"/>
      <c r="AH283" s="123"/>
    </row>
    <row r="284" spans="1:40" x14ac:dyDescent="0.3">
      <c r="C284" s="42"/>
      <c r="F284" s="123"/>
      <c r="H284" s="123"/>
      <c r="I284" s="123"/>
      <c r="J284" s="219"/>
      <c r="K284" s="219"/>
      <c r="L284" s="123"/>
      <c r="M284" s="123"/>
      <c r="N284" s="123"/>
      <c r="O284" s="123"/>
      <c r="P284" s="123"/>
      <c r="Q284" s="123"/>
      <c r="R284" s="123"/>
      <c r="T284" s="42"/>
      <c r="V284" s="123"/>
      <c r="Y284" s="123"/>
      <c r="Z284" s="219"/>
      <c r="AA284" s="123"/>
      <c r="AB284" s="123"/>
      <c r="AC284" s="123"/>
      <c r="AD284" s="123"/>
      <c r="AE284" s="123"/>
      <c r="AF284" s="123"/>
      <c r="AH284" s="123"/>
    </row>
    <row r="285" spans="1:40" x14ac:dyDescent="0.3">
      <c r="A285" s="42"/>
    </row>
    <row r="288" spans="1:40" x14ac:dyDescent="0.3">
      <c r="H288" s="42"/>
      <c r="I288" s="42"/>
      <c r="Y288" s="42"/>
    </row>
    <row r="290" spans="1:40" x14ac:dyDescent="0.3">
      <c r="L290" s="42"/>
      <c r="M290" s="42"/>
      <c r="AA290" s="42"/>
      <c r="AB290" s="42"/>
    </row>
    <row r="291" spans="1:40" x14ac:dyDescent="0.3">
      <c r="R291" s="42"/>
      <c r="AK291" s="206"/>
      <c r="AL291" s="42"/>
    </row>
    <row r="292" spans="1:40" x14ac:dyDescent="0.3">
      <c r="R292" s="42"/>
      <c r="AK292" s="206"/>
      <c r="AL292" s="42"/>
    </row>
    <row r="293" spans="1:40" x14ac:dyDescent="0.3">
      <c r="A293" s="42"/>
      <c r="R293" s="42"/>
      <c r="AK293" s="206"/>
      <c r="AL293" s="42"/>
    </row>
    <row r="294" spans="1:40" x14ac:dyDescent="0.3">
      <c r="L294" s="42"/>
      <c r="M294" s="42"/>
      <c r="AA294" s="42"/>
      <c r="AB294" s="42"/>
    </row>
    <row r="295" spans="1:40" x14ac:dyDescent="0.3">
      <c r="A295" s="135"/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207"/>
      <c r="AH295" s="135"/>
      <c r="AI295" s="135"/>
      <c r="AJ295" s="135"/>
      <c r="AK295" s="207"/>
      <c r="AL295" s="135"/>
      <c r="AM295" s="135"/>
      <c r="AN295" s="135"/>
    </row>
    <row r="296" spans="1:40" x14ac:dyDescent="0.3">
      <c r="L296" s="44"/>
      <c r="M296" s="44"/>
      <c r="N296" s="44"/>
      <c r="O296" s="44"/>
      <c r="R296" s="44"/>
      <c r="AA296" s="44"/>
      <c r="AB296" s="44"/>
      <c r="AC296" s="44"/>
      <c r="AD296" s="44"/>
      <c r="AE296" s="44"/>
      <c r="AF296" s="44"/>
      <c r="AG296" s="168"/>
      <c r="AH296" s="44"/>
      <c r="AK296" s="168"/>
      <c r="AL296" s="44"/>
      <c r="AM296" s="44"/>
      <c r="AN296" s="44"/>
    </row>
    <row r="297" spans="1:40" x14ac:dyDescent="0.3">
      <c r="L297" s="44"/>
      <c r="M297" s="44"/>
      <c r="N297" s="44"/>
      <c r="O297" s="44"/>
      <c r="R297" s="44"/>
      <c r="Z297" s="44"/>
      <c r="AA297" s="44"/>
      <c r="AB297" s="44"/>
      <c r="AC297" s="44"/>
      <c r="AD297" s="44"/>
      <c r="AE297" s="44"/>
      <c r="AF297" s="44"/>
      <c r="AG297" s="168"/>
      <c r="AH297" s="44"/>
      <c r="AK297" s="168"/>
      <c r="AL297" s="44"/>
      <c r="AM297" s="44"/>
      <c r="AN297" s="44"/>
    </row>
    <row r="298" spans="1:40" x14ac:dyDescent="0.3">
      <c r="A298" s="44"/>
      <c r="C298" s="44"/>
      <c r="D298" s="44"/>
      <c r="E298" s="44"/>
      <c r="F298" s="44"/>
      <c r="J298" s="44"/>
      <c r="K298" s="44"/>
      <c r="L298" s="44"/>
      <c r="M298" s="44"/>
      <c r="N298" s="44"/>
      <c r="O298" s="44"/>
      <c r="P298" s="44"/>
      <c r="Q298" s="44"/>
      <c r="R298" s="44"/>
      <c r="T298" s="44"/>
      <c r="U298" s="44"/>
      <c r="V298" s="44"/>
      <c r="Z298" s="44"/>
      <c r="AA298" s="44"/>
      <c r="AB298" s="44"/>
      <c r="AC298" s="44"/>
      <c r="AD298" s="44"/>
      <c r="AE298" s="44"/>
      <c r="AF298" s="44"/>
      <c r="AG298" s="168"/>
      <c r="AH298" s="44"/>
      <c r="AI298" s="44"/>
      <c r="AJ298" s="44"/>
      <c r="AK298" s="168"/>
      <c r="AL298" s="44"/>
      <c r="AM298" s="44"/>
      <c r="AN298" s="44"/>
    </row>
    <row r="299" spans="1:40" x14ac:dyDescent="0.3">
      <c r="A299" s="44"/>
      <c r="C299" s="44"/>
      <c r="D299" s="44"/>
      <c r="E299" s="44"/>
      <c r="F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T299" s="44"/>
      <c r="U299" s="44"/>
      <c r="V299" s="44"/>
      <c r="Y299" s="44"/>
      <c r="Z299" s="44"/>
      <c r="AA299" s="44"/>
      <c r="AB299" s="44"/>
      <c r="AC299" s="44"/>
      <c r="AD299" s="44"/>
      <c r="AE299" s="44"/>
      <c r="AF299" s="44"/>
      <c r="AG299" s="168"/>
      <c r="AH299" s="44"/>
      <c r="AI299" s="44"/>
      <c r="AJ299" s="44"/>
      <c r="AK299" s="168"/>
      <c r="AL299" s="44"/>
      <c r="AM299" s="44"/>
      <c r="AN299" s="44"/>
    </row>
    <row r="300" spans="1:40" x14ac:dyDescent="0.3">
      <c r="C300" s="44"/>
      <c r="D300" s="44"/>
      <c r="E300" s="44"/>
      <c r="F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T300" s="44"/>
      <c r="U300" s="44"/>
      <c r="V300" s="44"/>
      <c r="Y300" s="44"/>
      <c r="Z300" s="44"/>
      <c r="AA300" s="44"/>
      <c r="AB300" s="44"/>
      <c r="AC300" s="44"/>
      <c r="AD300" s="44"/>
      <c r="AE300" s="44"/>
      <c r="AF300" s="44"/>
      <c r="AG300" s="168"/>
      <c r="AH300" s="44"/>
      <c r="AI300" s="44"/>
      <c r="AJ300" s="44"/>
      <c r="AK300" s="168"/>
      <c r="AL300" s="44"/>
      <c r="AM300" s="44"/>
      <c r="AN300" s="44"/>
    </row>
    <row r="301" spans="1:40" x14ac:dyDescent="0.3">
      <c r="A301" s="135"/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207"/>
      <c r="AH301" s="135"/>
      <c r="AI301" s="135"/>
      <c r="AJ301" s="135"/>
      <c r="AK301" s="207"/>
      <c r="AL301" s="135"/>
      <c r="AM301" s="135"/>
      <c r="AN301" s="135"/>
    </row>
    <row r="302" spans="1:40" x14ac:dyDescent="0.3"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Y302" s="44"/>
      <c r="Z302" s="44"/>
      <c r="AA302" s="44"/>
      <c r="AB302" s="44"/>
      <c r="AC302" s="44"/>
      <c r="AD302" s="44"/>
      <c r="AE302" s="44"/>
      <c r="AF302" s="44"/>
      <c r="AG302" s="168"/>
      <c r="AH302" s="44"/>
      <c r="AI302" s="44"/>
      <c r="AJ302" s="44"/>
      <c r="AK302" s="168"/>
      <c r="AL302" s="44"/>
      <c r="AM302" s="44"/>
      <c r="AN302" s="44"/>
    </row>
    <row r="303" spans="1:40" x14ac:dyDescent="0.3">
      <c r="C303" s="42"/>
      <c r="D303" s="42"/>
      <c r="E303" s="42"/>
      <c r="T303" s="42"/>
      <c r="U303" s="42"/>
    </row>
    <row r="304" spans="1:40" x14ac:dyDescent="0.3">
      <c r="C304" s="42"/>
      <c r="T304" s="42"/>
    </row>
    <row r="306" spans="3:40" x14ac:dyDescent="0.3">
      <c r="C306" s="42"/>
      <c r="F306" s="184"/>
      <c r="H306" s="184"/>
      <c r="I306" s="184"/>
      <c r="J306" s="193"/>
      <c r="K306" s="193"/>
      <c r="L306" s="123"/>
      <c r="M306" s="123"/>
      <c r="N306" s="160"/>
      <c r="O306" s="160"/>
      <c r="R306" s="123"/>
      <c r="T306" s="42"/>
      <c r="V306" s="123"/>
      <c r="Y306" s="184"/>
      <c r="Z306" s="193"/>
      <c r="AA306" s="123"/>
      <c r="AB306" s="123"/>
      <c r="AC306" s="160"/>
      <c r="AD306" s="160"/>
      <c r="AE306" s="123"/>
      <c r="AF306" s="123"/>
      <c r="AH306" s="236"/>
      <c r="AL306" s="123"/>
      <c r="AM306" s="160"/>
      <c r="AN306" s="160"/>
    </row>
    <row r="307" spans="3:40" x14ac:dyDescent="0.3">
      <c r="F307" s="210"/>
      <c r="H307" s="123"/>
      <c r="I307" s="123"/>
      <c r="J307" s="213"/>
      <c r="K307" s="213"/>
      <c r="L307" s="210"/>
      <c r="M307" s="210"/>
      <c r="N307" s="210"/>
      <c r="O307" s="210"/>
      <c r="P307" s="210"/>
      <c r="Q307" s="210"/>
      <c r="R307" s="210"/>
      <c r="V307" s="210"/>
      <c r="Y307" s="123"/>
      <c r="Z307" s="213"/>
      <c r="AA307" s="210"/>
      <c r="AB307" s="210"/>
      <c r="AC307" s="210"/>
      <c r="AD307" s="210"/>
      <c r="AE307" s="210"/>
      <c r="AF307" s="210"/>
      <c r="AI307" s="210"/>
      <c r="AJ307" s="210"/>
      <c r="AK307" s="214"/>
      <c r="AL307" s="210"/>
      <c r="AM307" s="160"/>
      <c r="AN307" s="160"/>
    </row>
    <row r="308" spans="3:40" x14ac:dyDescent="0.3">
      <c r="C308" s="42"/>
      <c r="F308" s="184"/>
      <c r="H308" s="184"/>
      <c r="I308" s="184"/>
      <c r="J308" s="237"/>
      <c r="K308" s="237"/>
      <c r="L308" s="123"/>
      <c r="M308" s="123"/>
      <c r="N308" s="160"/>
      <c r="O308" s="160"/>
      <c r="P308" s="123"/>
      <c r="Q308" s="123"/>
      <c r="R308" s="123"/>
      <c r="S308" s="123"/>
      <c r="T308" s="42"/>
      <c r="V308" s="184"/>
      <c r="Y308" s="184"/>
      <c r="Z308" s="237"/>
      <c r="AA308" s="123"/>
      <c r="AB308" s="123"/>
      <c r="AC308" s="160"/>
      <c r="AD308" s="160"/>
      <c r="AE308" s="123"/>
      <c r="AF308" s="123"/>
      <c r="AH308" s="160"/>
      <c r="AI308" s="123"/>
      <c r="AJ308" s="123"/>
      <c r="AL308" s="123"/>
      <c r="AM308" s="160"/>
      <c r="AN308" s="160"/>
    </row>
    <row r="309" spans="3:40" x14ac:dyDescent="0.3">
      <c r="C309" s="42"/>
      <c r="F309" s="184"/>
      <c r="H309" s="184"/>
      <c r="I309" s="184"/>
      <c r="J309" s="193"/>
      <c r="K309" s="193"/>
      <c r="L309" s="123"/>
      <c r="M309" s="123"/>
      <c r="N309" s="160"/>
      <c r="O309" s="160"/>
      <c r="P309" s="123"/>
      <c r="Q309" s="123"/>
      <c r="R309" s="123"/>
      <c r="T309" s="42"/>
      <c r="V309" s="184"/>
      <c r="Y309" s="123"/>
      <c r="Z309" s="193"/>
      <c r="AA309" s="123"/>
      <c r="AB309" s="123"/>
      <c r="AC309" s="160"/>
      <c r="AD309" s="160"/>
      <c r="AE309" s="123"/>
      <c r="AF309" s="123"/>
      <c r="AH309" s="236"/>
      <c r="AI309" s="123"/>
      <c r="AJ309" s="123"/>
      <c r="AL309" s="123"/>
      <c r="AM309" s="160"/>
      <c r="AN309" s="160"/>
    </row>
    <row r="310" spans="3:40" x14ac:dyDescent="0.3">
      <c r="C310" s="42"/>
      <c r="F310" s="184"/>
      <c r="H310" s="184"/>
      <c r="I310" s="184"/>
      <c r="J310" s="193"/>
      <c r="K310" s="193"/>
      <c r="L310" s="123"/>
      <c r="M310" s="123"/>
      <c r="N310" s="160"/>
      <c r="O310" s="160"/>
      <c r="P310" s="123"/>
      <c r="Q310" s="123"/>
      <c r="R310" s="123"/>
      <c r="T310" s="42"/>
      <c r="V310" s="184"/>
      <c r="Y310" s="123"/>
      <c r="Z310" s="193"/>
      <c r="AA310" s="123"/>
      <c r="AB310" s="123"/>
      <c r="AC310" s="160"/>
      <c r="AD310" s="160"/>
      <c r="AE310" s="123"/>
      <c r="AF310" s="123"/>
      <c r="AH310" s="236"/>
      <c r="AI310" s="123"/>
      <c r="AJ310" s="123"/>
      <c r="AL310" s="123"/>
      <c r="AM310" s="160"/>
      <c r="AN310" s="160"/>
    </row>
    <row r="311" spans="3:40" x14ac:dyDescent="0.3">
      <c r="F311" s="210"/>
      <c r="H311" s="210"/>
      <c r="I311" s="210"/>
      <c r="J311" s="213"/>
      <c r="K311" s="213"/>
      <c r="L311" s="210"/>
      <c r="M311" s="210"/>
      <c r="N311" s="210"/>
      <c r="O311" s="210"/>
      <c r="P311" s="210"/>
      <c r="Q311" s="210"/>
      <c r="R311" s="210"/>
      <c r="V311" s="210"/>
      <c r="Y311" s="210"/>
      <c r="Z311" s="213"/>
      <c r="AA311" s="210"/>
      <c r="AB311" s="210"/>
      <c r="AC311" s="210"/>
      <c r="AD311" s="210"/>
      <c r="AE311" s="210"/>
      <c r="AF311" s="210"/>
      <c r="AI311" s="210"/>
      <c r="AJ311" s="210"/>
      <c r="AK311" s="214"/>
      <c r="AL311" s="210"/>
      <c r="AM311" s="160"/>
      <c r="AN311" s="160"/>
    </row>
    <row r="312" spans="3:40" x14ac:dyDescent="0.3">
      <c r="C312" s="42"/>
      <c r="F312" s="123"/>
      <c r="H312" s="123"/>
      <c r="I312" s="123"/>
      <c r="J312" s="219"/>
      <c r="K312" s="219"/>
      <c r="L312" s="123"/>
      <c r="M312" s="123"/>
      <c r="N312" s="160"/>
      <c r="O312" s="160"/>
      <c r="P312" s="123"/>
      <c r="Q312" s="123"/>
      <c r="R312" s="123"/>
      <c r="T312" s="42"/>
      <c r="V312" s="123"/>
      <c r="Y312" s="123"/>
      <c r="Z312" s="219"/>
      <c r="AA312" s="123"/>
      <c r="AB312" s="123"/>
      <c r="AC312" s="160"/>
      <c r="AD312" s="160"/>
      <c r="AE312" s="123"/>
      <c r="AF312" s="123"/>
      <c r="AH312" s="236"/>
      <c r="AI312" s="123"/>
      <c r="AJ312" s="123"/>
      <c r="AL312" s="123"/>
      <c r="AM312" s="160"/>
      <c r="AN312" s="160"/>
    </row>
    <row r="313" spans="3:40" x14ac:dyDescent="0.3">
      <c r="F313" s="210"/>
      <c r="H313" s="210"/>
      <c r="I313" s="210"/>
      <c r="J313" s="213"/>
      <c r="K313" s="213"/>
      <c r="L313" s="210"/>
      <c r="M313" s="210"/>
      <c r="N313" s="210"/>
      <c r="O313" s="210"/>
      <c r="P313" s="210"/>
      <c r="Q313" s="210"/>
      <c r="R313" s="210"/>
      <c r="V313" s="210"/>
      <c r="Y313" s="210"/>
      <c r="Z313" s="213"/>
      <c r="AA313" s="210"/>
      <c r="AB313" s="210"/>
      <c r="AC313" s="210"/>
      <c r="AD313" s="210"/>
      <c r="AE313" s="210"/>
      <c r="AF313" s="210"/>
      <c r="AI313" s="210"/>
      <c r="AJ313" s="210"/>
      <c r="AK313" s="214"/>
      <c r="AL313" s="210"/>
      <c r="AM313" s="160"/>
      <c r="AN313" s="160"/>
    </row>
    <row r="314" spans="3:40" x14ac:dyDescent="0.3">
      <c r="C314" s="42"/>
      <c r="F314" s="123"/>
      <c r="H314" s="123"/>
      <c r="I314" s="123"/>
      <c r="J314" s="219"/>
      <c r="K314" s="219"/>
      <c r="L314" s="123"/>
      <c r="M314" s="123"/>
      <c r="N314" s="160"/>
      <c r="O314" s="160"/>
      <c r="P314" s="123"/>
      <c r="Q314" s="123"/>
      <c r="R314" s="123"/>
      <c r="T314" s="42"/>
      <c r="V314" s="123"/>
      <c r="Y314" s="123"/>
      <c r="Z314" s="219"/>
      <c r="AA314" s="123"/>
      <c r="AB314" s="123"/>
      <c r="AC314" s="160"/>
      <c r="AD314" s="160"/>
      <c r="AE314" s="123"/>
      <c r="AF314" s="123"/>
      <c r="AH314" s="236"/>
      <c r="AI314" s="123"/>
      <c r="AJ314" s="123"/>
      <c r="AL314" s="123"/>
      <c r="AM314" s="160"/>
      <c r="AN314" s="160"/>
    </row>
    <row r="315" spans="3:40" x14ac:dyDescent="0.3">
      <c r="C315" s="42"/>
      <c r="F315" s="123"/>
      <c r="H315" s="184"/>
      <c r="I315" s="184"/>
      <c r="J315" s="227"/>
      <c r="K315" s="227"/>
      <c r="L315" s="123"/>
      <c r="M315" s="123"/>
      <c r="N315" s="160"/>
      <c r="O315" s="160"/>
      <c r="P315" s="123"/>
      <c r="Q315" s="123"/>
      <c r="R315" s="123"/>
      <c r="T315" s="42"/>
      <c r="V315" s="123"/>
      <c r="Y315" s="123"/>
      <c r="Z315" s="212"/>
      <c r="AA315" s="123"/>
      <c r="AB315" s="123"/>
      <c r="AC315" s="160"/>
      <c r="AD315" s="160"/>
      <c r="AE315" s="123"/>
      <c r="AF315" s="123"/>
      <c r="AH315" s="236"/>
      <c r="AI315" s="123"/>
      <c r="AJ315" s="123"/>
      <c r="AL315" s="123"/>
      <c r="AM315" s="160"/>
      <c r="AN315" s="160"/>
    </row>
    <row r="316" spans="3:40" x14ac:dyDescent="0.3">
      <c r="F316" s="210"/>
      <c r="H316" s="210"/>
      <c r="I316" s="210"/>
      <c r="J316" s="213"/>
      <c r="K316" s="213"/>
      <c r="L316" s="210"/>
      <c r="M316" s="210"/>
      <c r="N316" s="210"/>
      <c r="O316" s="210"/>
      <c r="P316" s="210"/>
      <c r="Q316" s="210"/>
      <c r="R316" s="210"/>
      <c r="V316" s="210"/>
      <c r="Y316" s="210"/>
      <c r="Z316" s="213"/>
      <c r="AA316" s="210"/>
      <c r="AB316" s="210"/>
      <c r="AC316" s="210"/>
      <c r="AD316" s="210"/>
      <c r="AE316" s="210"/>
      <c r="AF316" s="210"/>
      <c r="AI316" s="210"/>
      <c r="AJ316" s="210"/>
      <c r="AK316" s="214"/>
      <c r="AL316" s="210"/>
      <c r="AM316" s="160"/>
      <c r="AN316" s="160"/>
    </row>
    <row r="318" spans="3:40" x14ac:dyDescent="0.3">
      <c r="C318" s="42"/>
      <c r="F318" s="123"/>
      <c r="H318" s="123"/>
      <c r="I318" s="123"/>
      <c r="J318" s="213"/>
      <c r="K318" s="213"/>
      <c r="L318" s="123"/>
      <c r="M318" s="123"/>
      <c r="N318" s="160"/>
      <c r="O318" s="160"/>
      <c r="P318" s="123"/>
      <c r="Q318" s="123"/>
      <c r="R318" s="123"/>
      <c r="S318" s="123"/>
      <c r="T318" s="42"/>
      <c r="V318" s="123"/>
      <c r="Y318" s="123"/>
      <c r="Z318" s="213"/>
      <c r="AA318" s="123"/>
      <c r="AB318" s="123"/>
      <c r="AC318" s="160"/>
      <c r="AD318" s="160"/>
      <c r="AE318" s="123"/>
      <c r="AF318" s="123"/>
      <c r="AH318" s="160"/>
      <c r="AI318" s="123"/>
      <c r="AJ318" s="123"/>
      <c r="AL318" s="123"/>
      <c r="AM318" s="160"/>
      <c r="AN318" s="160"/>
    </row>
    <row r="319" spans="3:40" x14ac:dyDescent="0.3">
      <c r="F319" s="210"/>
      <c r="H319" s="210"/>
      <c r="I319" s="210"/>
      <c r="J319" s="213"/>
      <c r="K319" s="213"/>
      <c r="L319" s="210"/>
      <c r="M319" s="210"/>
      <c r="N319" s="210"/>
      <c r="O319" s="210"/>
      <c r="P319" s="210"/>
      <c r="Q319" s="210"/>
      <c r="R319" s="210"/>
      <c r="S319" s="123"/>
      <c r="V319" s="210"/>
      <c r="Y319" s="210"/>
      <c r="Z319" s="213"/>
      <c r="AA319" s="210"/>
      <c r="AB319" s="210"/>
      <c r="AC319" s="210"/>
      <c r="AD319" s="210"/>
      <c r="AE319" s="210"/>
      <c r="AF319" s="210"/>
      <c r="AI319" s="210"/>
      <c r="AJ319" s="210"/>
      <c r="AK319" s="214"/>
      <c r="AL319" s="210"/>
      <c r="AM319" s="160"/>
      <c r="AN319" s="160"/>
    </row>
    <row r="320" spans="3:40" x14ac:dyDescent="0.3">
      <c r="C320" s="42"/>
      <c r="F320" s="184"/>
      <c r="H320" s="184"/>
      <c r="I320" s="184"/>
      <c r="J320" s="213"/>
      <c r="K320" s="213"/>
      <c r="L320" s="123"/>
      <c r="M320" s="123"/>
      <c r="N320" s="160"/>
      <c r="O320" s="160"/>
      <c r="P320" s="123"/>
      <c r="Q320" s="123"/>
      <c r="R320" s="123"/>
      <c r="S320" s="123"/>
      <c r="T320" s="42"/>
      <c r="V320" s="184"/>
      <c r="Y320" s="184"/>
      <c r="Z320" s="213"/>
      <c r="AA320" s="123"/>
      <c r="AB320" s="123"/>
      <c r="AC320" s="160"/>
      <c r="AD320" s="160"/>
      <c r="AE320" s="123"/>
      <c r="AF320" s="123"/>
      <c r="AI320" s="123"/>
      <c r="AJ320" s="123"/>
      <c r="AL320" s="123"/>
      <c r="AM320" s="160"/>
      <c r="AN320" s="160"/>
    </row>
    <row r="322" spans="3:40" x14ac:dyDescent="0.3">
      <c r="C322" s="42"/>
      <c r="F322" s="184"/>
      <c r="H322" s="184"/>
      <c r="I322" s="184"/>
      <c r="J322" s="193"/>
      <c r="K322" s="193"/>
      <c r="L322" s="123"/>
      <c r="M322" s="123"/>
      <c r="N322" s="160"/>
      <c r="O322" s="160"/>
      <c r="R322" s="123"/>
      <c r="T322" s="42"/>
      <c r="V322" s="123"/>
      <c r="Y322" s="184"/>
      <c r="Z322" s="193"/>
      <c r="AA322" s="123"/>
      <c r="AB322" s="123"/>
      <c r="AC322" s="160"/>
      <c r="AD322" s="160"/>
      <c r="AE322" s="123"/>
      <c r="AF322" s="123"/>
      <c r="AH322" s="236"/>
      <c r="AL322" s="123"/>
      <c r="AM322" s="160"/>
      <c r="AN322" s="160"/>
    </row>
    <row r="323" spans="3:40" x14ac:dyDescent="0.3">
      <c r="F323" s="210"/>
      <c r="H323" s="123"/>
      <c r="I323" s="123"/>
      <c r="J323" s="213"/>
      <c r="K323" s="213"/>
      <c r="L323" s="210"/>
      <c r="M323" s="210"/>
      <c r="N323" s="210"/>
      <c r="O323" s="210"/>
      <c r="P323" s="210"/>
      <c r="Q323" s="210"/>
      <c r="R323" s="210"/>
      <c r="V323" s="210"/>
      <c r="Y323" s="123"/>
      <c r="Z323" s="213"/>
      <c r="AA323" s="210"/>
      <c r="AB323" s="210"/>
      <c r="AC323" s="210"/>
      <c r="AD323" s="210"/>
      <c r="AE323" s="210"/>
      <c r="AF323" s="210"/>
      <c r="AI323" s="210"/>
      <c r="AJ323" s="210"/>
      <c r="AK323" s="214"/>
      <c r="AL323" s="210"/>
      <c r="AM323" s="160"/>
      <c r="AN323" s="160"/>
    </row>
    <row r="324" spans="3:40" x14ac:dyDescent="0.3">
      <c r="C324" s="42"/>
      <c r="F324" s="184"/>
      <c r="H324" s="184"/>
      <c r="I324" s="184"/>
      <c r="J324" s="237"/>
      <c r="K324" s="237"/>
      <c r="L324" s="123"/>
      <c r="M324" s="123"/>
      <c r="N324" s="160"/>
      <c r="O324" s="160"/>
      <c r="P324" s="123"/>
      <c r="Q324" s="123"/>
      <c r="R324" s="123"/>
      <c r="S324" s="123"/>
      <c r="T324" s="42"/>
      <c r="V324" s="184"/>
      <c r="Y324" s="184"/>
      <c r="Z324" s="237"/>
      <c r="AA324" s="123"/>
      <c r="AB324" s="123"/>
      <c r="AC324" s="160"/>
      <c r="AD324" s="160"/>
      <c r="AE324" s="123"/>
      <c r="AF324" s="123"/>
      <c r="AH324" s="160"/>
      <c r="AI324" s="123"/>
      <c r="AJ324" s="123"/>
      <c r="AL324" s="123"/>
      <c r="AM324" s="160"/>
      <c r="AN324" s="160"/>
    </row>
    <row r="325" spans="3:40" x14ac:dyDescent="0.3">
      <c r="C325" s="42"/>
      <c r="F325" s="184"/>
      <c r="H325" s="184"/>
      <c r="I325" s="184"/>
      <c r="J325" s="193"/>
      <c r="K325" s="193"/>
      <c r="L325" s="123"/>
      <c r="M325" s="123"/>
      <c r="N325" s="160"/>
      <c r="O325" s="160"/>
      <c r="P325" s="123"/>
      <c r="Q325" s="123"/>
      <c r="R325" s="123"/>
      <c r="T325" s="42"/>
      <c r="V325" s="184"/>
      <c r="Y325" s="123"/>
      <c r="Z325" s="193"/>
      <c r="AA325" s="123"/>
      <c r="AB325" s="123"/>
      <c r="AC325" s="160"/>
      <c r="AD325" s="160"/>
      <c r="AE325" s="123"/>
      <c r="AF325" s="123"/>
      <c r="AH325" s="236"/>
      <c r="AI325" s="123"/>
      <c r="AJ325" s="123"/>
      <c r="AL325" s="123"/>
      <c r="AM325" s="160"/>
      <c r="AN325" s="160"/>
    </row>
    <row r="326" spans="3:40" x14ac:dyDescent="0.3">
      <c r="C326" s="42"/>
      <c r="F326" s="184"/>
      <c r="H326" s="184"/>
      <c r="I326" s="184"/>
      <c r="J326" s="193"/>
      <c r="K326" s="193"/>
      <c r="L326" s="123"/>
      <c r="M326" s="123"/>
      <c r="N326" s="160"/>
      <c r="O326" s="160"/>
      <c r="P326" s="123"/>
      <c r="Q326" s="123"/>
      <c r="R326" s="123"/>
      <c r="T326" s="42"/>
      <c r="V326" s="184"/>
      <c r="Y326" s="123"/>
      <c r="Z326" s="193"/>
      <c r="AA326" s="123"/>
      <c r="AB326" s="123"/>
      <c r="AC326" s="160"/>
      <c r="AD326" s="160"/>
      <c r="AE326" s="123"/>
      <c r="AF326" s="123"/>
      <c r="AH326" s="236"/>
      <c r="AI326" s="123"/>
      <c r="AJ326" s="123"/>
      <c r="AL326" s="123"/>
      <c r="AM326" s="160"/>
      <c r="AN326" s="160"/>
    </row>
    <row r="327" spans="3:40" x14ac:dyDescent="0.3">
      <c r="F327" s="210"/>
      <c r="H327" s="210"/>
      <c r="I327" s="210"/>
      <c r="J327" s="213"/>
      <c r="K327" s="213"/>
      <c r="L327" s="210"/>
      <c r="M327" s="210"/>
      <c r="N327" s="210"/>
      <c r="O327" s="210"/>
      <c r="P327" s="210"/>
      <c r="Q327" s="210"/>
      <c r="R327" s="210"/>
      <c r="V327" s="210"/>
      <c r="Y327" s="210"/>
      <c r="Z327" s="213"/>
      <c r="AA327" s="210"/>
      <c r="AB327" s="210"/>
      <c r="AC327" s="210"/>
      <c r="AD327" s="210"/>
      <c r="AE327" s="210"/>
      <c r="AF327" s="210"/>
      <c r="AI327" s="210"/>
      <c r="AJ327" s="210"/>
      <c r="AK327" s="214"/>
      <c r="AL327" s="210"/>
      <c r="AM327" s="160"/>
      <c r="AN327" s="160"/>
    </row>
    <row r="328" spans="3:40" x14ac:dyDescent="0.3">
      <c r="C328" s="42"/>
      <c r="F328" s="123"/>
      <c r="H328" s="123"/>
      <c r="I328" s="123"/>
      <c r="J328" s="219"/>
      <c r="K328" s="219"/>
      <c r="L328" s="123"/>
      <c r="M328" s="123"/>
      <c r="N328" s="160"/>
      <c r="O328" s="160"/>
      <c r="P328" s="123"/>
      <c r="Q328" s="123"/>
      <c r="R328" s="123"/>
      <c r="T328" s="42"/>
      <c r="V328" s="123"/>
      <c r="Y328" s="123"/>
      <c r="Z328" s="219"/>
      <c r="AA328" s="123"/>
      <c r="AB328" s="123"/>
      <c r="AC328" s="160"/>
      <c r="AD328" s="160"/>
      <c r="AE328" s="123"/>
      <c r="AF328" s="123"/>
      <c r="AH328" s="236"/>
      <c r="AI328" s="123"/>
      <c r="AJ328" s="123"/>
      <c r="AL328" s="123"/>
      <c r="AM328" s="160"/>
      <c r="AN328" s="160"/>
    </row>
    <row r="329" spans="3:40" x14ac:dyDescent="0.3">
      <c r="F329" s="210"/>
      <c r="H329" s="210"/>
      <c r="I329" s="210"/>
      <c r="J329" s="213"/>
      <c r="K329" s="213"/>
      <c r="L329" s="210"/>
      <c r="M329" s="210"/>
      <c r="N329" s="210"/>
      <c r="O329" s="210"/>
      <c r="P329" s="210"/>
      <c r="Q329" s="210"/>
      <c r="R329" s="210"/>
      <c r="V329" s="210"/>
      <c r="Y329" s="210"/>
      <c r="Z329" s="213"/>
      <c r="AA329" s="210"/>
      <c r="AB329" s="210"/>
      <c r="AC329" s="210"/>
      <c r="AD329" s="210"/>
      <c r="AE329" s="210"/>
      <c r="AF329" s="210"/>
      <c r="AI329" s="210"/>
      <c r="AJ329" s="210"/>
      <c r="AK329" s="214"/>
      <c r="AL329" s="210"/>
      <c r="AM329" s="160"/>
      <c r="AN329" s="160"/>
    </row>
    <row r="330" spans="3:40" x14ac:dyDescent="0.3">
      <c r="C330" s="42"/>
      <c r="F330" s="123"/>
      <c r="H330" s="123"/>
      <c r="I330" s="123"/>
      <c r="J330" s="219"/>
      <c r="K330" s="219"/>
      <c r="L330" s="123"/>
      <c r="M330" s="123"/>
      <c r="N330" s="160"/>
      <c r="O330" s="160"/>
      <c r="P330" s="123"/>
      <c r="Q330" s="123"/>
      <c r="R330" s="123"/>
      <c r="T330" s="42"/>
      <c r="V330" s="123"/>
      <c r="Y330" s="123"/>
      <c r="Z330" s="219"/>
      <c r="AA330" s="123"/>
      <c r="AB330" s="123"/>
      <c r="AC330" s="160"/>
      <c r="AD330" s="160"/>
      <c r="AE330" s="123"/>
      <c r="AF330" s="123"/>
      <c r="AH330" s="236"/>
      <c r="AI330" s="123"/>
      <c r="AJ330" s="123"/>
      <c r="AL330" s="123"/>
      <c r="AM330" s="160"/>
      <c r="AN330" s="160"/>
    </row>
    <row r="331" spans="3:40" x14ac:dyDescent="0.3">
      <c r="C331" s="42"/>
      <c r="F331" s="123"/>
      <c r="H331" s="184"/>
      <c r="I331" s="184"/>
      <c r="J331" s="227"/>
      <c r="K331" s="227"/>
      <c r="L331" s="123"/>
      <c r="M331" s="123"/>
      <c r="N331" s="160"/>
      <c r="O331" s="160"/>
      <c r="P331" s="123"/>
      <c r="Q331" s="123"/>
      <c r="R331" s="123"/>
      <c r="T331" s="42"/>
      <c r="V331" s="123"/>
      <c r="Y331" s="123"/>
      <c r="Z331" s="212"/>
      <c r="AA331" s="123"/>
      <c r="AB331" s="123"/>
      <c r="AC331" s="160"/>
      <c r="AD331" s="160"/>
      <c r="AE331" s="123"/>
      <c r="AF331" s="123"/>
      <c r="AH331" s="236"/>
      <c r="AI331" s="123"/>
      <c r="AJ331" s="123"/>
      <c r="AL331" s="123"/>
      <c r="AM331" s="160"/>
      <c r="AN331" s="160"/>
    </row>
    <row r="332" spans="3:40" x14ac:dyDescent="0.3">
      <c r="F332" s="210"/>
      <c r="H332" s="210"/>
      <c r="I332" s="210"/>
      <c r="J332" s="213"/>
      <c r="K332" s="213"/>
      <c r="L332" s="210"/>
      <c r="M332" s="210"/>
      <c r="N332" s="210"/>
      <c r="O332" s="210"/>
      <c r="P332" s="210"/>
      <c r="Q332" s="210"/>
      <c r="R332" s="210"/>
      <c r="V332" s="210"/>
      <c r="Y332" s="210"/>
      <c r="Z332" s="213"/>
      <c r="AA332" s="210"/>
      <c r="AB332" s="210"/>
      <c r="AC332" s="210"/>
      <c r="AD332" s="210"/>
      <c r="AE332" s="210"/>
      <c r="AF332" s="210"/>
      <c r="AI332" s="210"/>
      <c r="AJ332" s="210"/>
      <c r="AK332" s="214"/>
      <c r="AL332" s="210"/>
      <c r="AM332" s="160"/>
      <c r="AN332" s="160"/>
    </row>
    <row r="334" spans="3:40" x14ac:dyDescent="0.3">
      <c r="C334" s="42"/>
      <c r="F334" s="123"/>
      <c r="H334" s="123"/>
      <c r="I334" s="123"/>
      <c r="J334" s="213"/>
      <c r="K334" s="213"/>
      <c r="L334" s="123"/>
      <c r="M334" s="123"/>
      <c r="N334" s="160"/>
      <c r="O334" s="160"/>
      <c r="P334" s="123"/>
      <c r="Q334" s="123"/>
      <c r="R334" s="123"/>
      <c r="S334" s="123"/>
      <c r="T334" s="42"/>
      <c r="V334" s="123"/>
      <c r="Y334" s="123"/>
      <c r="Z334" s="213"/>
      <c r="AA334" s="123"/>
      <c r="AB334" s="123"/>
      <c r="AC334" s="160"/>
      <c r="AD334" s="160"/>
      <c r="AE334" s="123"/>
      <c r="AF334" s="123"/>
      <c r="AH334" s="160"/>
      <c r="AI334" s="123"/>
      <c r="AJ334" s="123"/>
      <c r="AL334" s="123"/>
      <c r="AM334" s="160"/>
      <c r="AN334" s="160"/>
    </row>
    <row r="335" spans="3:40" x14ac:dyDescent="0.3">
      <c r="F335" s="210"/>
      <c r="H335" s="210"/>
      <c r="I335" s="210"/>
      <c r="J335" s="213"/>
      <c r="K335" s="213"/>
      <c r="L335" s="210"/>
      <c r="M335" s="210"/>
      <c r="N335" s="210"/>
      <c r="O335" s="210"/>
      <c r="P335" s="210"/>
      <c r="Q335" s="210"/>
      <c r="R335" s="210"/>
      <c r="S335" s="123"/>
      <c r="V335" s="210"/>
      <c r="Y335" s="210"/>
      <c r="Z335" s="213"/>
      <c r="AA335" s="210"/>
      <c r="AB335" s="210"/>
      <c r="AC335" s="210"/>
      <c r="AD335" s="210"/>
      <c r="AE335" s="210"/>
      <c r="AF335" s="210"/>
      <c r="AI335" s="210"/>
      <c r="AJ335" s="210"/>
      <c r="AK335" s="214"/>
      <c r="AL335" s="210"/>
      <c r="AM335" s="160"/>
      <c r="AN335" s="160"/>
    </row>
    <row r="336" spans="3:40" x14ac:dyDescent="0.3">
      <c r="C336" s="42"/>
      <c r="T336" s="42"/>
    </row>
    <row r="337" spans="1:40" x14ac:dyDescent="0.3">
      <c r="C337" s="42"/>
      <c r="F337" s="123"/>
      <c r="H337" s="123"/>
      <c r="I337" s="123"/>
      <c r="L337" s="123"/>
      <c r="M337" s="123"/>
      <c r="N337" s="160"/>
      <c r="O337" s="160"/>
      <c r="P337" s="184"/>
      <c r="Q337" s="184"/>
      <c r="R337" s="123"/>
      <c r="T337" s="42"/>
      <c r="V337" s="123"/>
      <c r="Y337" s="123"/>
      <c r="AA337" s="123"/>
      <c r="AB337" s="123"/>
      <c r="AC337" s="160"/>
      <c r="AD337" s="160"/>
      <c r="AE337" s="123"/>
      <c r="AF337" s="123"/>
      <c r="AH337" s="160"/>
      <c r="AI337" s="184"/>
      <c r="AJ337" s="184"/>
      <c r="AL337" s="123"/>
      <c r="AM337" s="160"/>
      <c r="AN337" s="160"/>
    </row>
    <row r="338" spans="1:40" x14ac:dyDescent="0.3">
      <c r="F338" s="210"/>
      <c r="H338" s="210"/>
      <c r="I338" s="210"/>
      <c r="J338" s="213"/>
      <c r="K338" s="213"/>
      <c r="L338" s="210"/>
      <c r="M338" s="210"/>
      <c r="N338" s="210"/>
      <c r="O338" s="210"/>
      <c r="P338" s="210"/>
      <c r="Q338" s="210"/>
      <c r="R338" s="210"/>
      <c r="V338" s="210"/>
      <c r="Y338" s="210"/>
      <c r="Z338" s="213"/>
      <c r="AA338" s="210"/>
      <c r="AB338" s="210"/>
      <c r="AC338" s="210"/>
      <c r="AD338" s="210"/>
      <c r="AE338" s="210"/>
      <c r="AF338" s="210"/>
      <c r="AI338" s="210"/>
      <c r="AJ338" s="210"/>
      <c r="AK338" s="214"/>
      <c r="AL338" s="210"/>
    </row>
    <row r="340" spans="1:40" x14ac:dyDescent="0.3">
      <c r="C340" s="42"/>
      <c r="L340" s="123"/>
      <c r="M340" s="123"/>
      <c r="N340" s="123"/>
      <c r="O340" s="123"/>
      <c r="P340" s="123"/>
      <c r="Q340" s="123"/>
      <c r="R340" s="123"/>
      <c r="S340" s="123"/>
      <c r="T340" s="42"/>
      <c r="AA340" s="123"/>
      <c r="AB340" s="123"/>
      <c r="AC340" s="123"/>
      <c r="AD340" s="123"/>
      <c r="AI340" s="123"/>
      <c r="AJ340" s="123"/>
      <c r="AL340" s="123"/>
    </row>
    <row r="341" spans="1:40" x14ac:dyDescent="0.3">
      <c r="A341" s="42"/>
    </row>
    <row r="343" spans="1:40" x14ac:dyDescent="0.3">
      <c r="H343" s="42"/>
      <c r="I343" s="42"/>
      <c r="Y343" s="42"/>
    </row>
    <row r="345" spans="1:40" x14ac:dyDescent="0.3">
      <c r="L345" s="42"/>
      <c r="M345" s="42"/>
      <c r="AA345" s="42"/>
      <c r="AB345" s="42"/>
    </row>
    <row r="346" spans="1:40" x14ac:dyDescent="0.3">
      <c r="R346" s="42"/>
      <c r="AK346" s="206"/>
      <c r="AL346" s="42"/>
    </row>
    <row r="347" spans="1:40" x14ac:dyDescent="0.3">
      <c r="R347" s="42"/>
      <c r="AK347" s="206"/>
      <c r="AL347" s="42"/>
    </row>
    <row r="348" spans="1:40" x14ac:dyDescent="0.3">
      <c r="A348" s="42"/>
      <c r="R348" s="42"/>
      <c r="AK348" s="206"/>
      <c r="AL348" s="42"/>
    </row>
    <row r="349" spans="1:40" x14ac:dyDescent="0.3">
      <c r="L349" s="42"/>
      <c r="M349" s="42"/>
      <c r="AA349" s="42"/>
      <c r="AB349" s="42"/>
    </row>
    <row r="350" spans="1:40" x14ac:dyDescent="0.3">
      <c r="A350" s="135"/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207"/>
      <c r="AH350" s="135"/>
      <c r="AI350" s="135"/>
      <c r="AJ350" s="135"/>
      <c r="AK350" s="207"/>
      <c r="AL350" s="135"/>
      <c r="AM350" s="135"/>
      <c r="AN350" s="135"/>
    </row>
    <row r="351" spans="1:40" x14ac:dyDescent="0.3">
      <c r="L351" s="44"/>
      <c r="M351" s="44"/>
      <c r="N351" s="44"/>
      <c r="O351" s="44"/>
      <c r="R351" s="44"/>
      <c r="AA351" s="44"/>
      <c r="AB351" s="44"/>
      <c r="AC351" s="44"/>
      <c r="AD351" s="44"/>
      <c r="AE351" s="44"/>
      <c r="AF351" s="44"/>
      <c r="AG351" s="168"/>
      <c r="AH351" s="44"/>
      <c r="AK351" s="168"/>
      <c r="AL351" s="44"/>
      <c r="AM351" s="44"/>
      <c r="AN351" s="44"/>
    </row>
    <row r="352" spans="1:40" x14ac:dyDescent="0.3">
      <c r="L352" s="44"/>
      <c r="M352" s="44"/>
      <c r="N352" s="44"/>
      <c r="O352" s="44"/>
      <c r="R352" s="44"/>
      <c r="Z352" s="44"/>
      <c r="AA352" s="44"/>
      <c r="AB352" s="44"/>
      <c r="AC352" s="44"/>
      <c r="AD352" s="44"/>
      <c r="AE352" s="44"/>
      <c r="AF352" s="44"/>
      <c r="AG352" s="168"/>
      <c r="AH352" s="44"/>
      <c r="AK352" s="168"/>
      <c r="AL352" s="44"/>
      <c r="AM352" s="44"/>
      <c r="AN352" s="44"/>
    </row>
    <row r="353" spans="1:40" x14ac:dyDescent="0.3">
      <c r="A353" s="44"/>
      <c r="C353" s="44"/>
      <c r="D353" s="44"/>
      <c r="E353" s="44"/>
      <c r="F353" s="44"/>
      <c r="J353" s="44"/>
      <c r="K353" s="44"/>
      <c r="L353" s="44"/>
      <c r="M353" s="44"/>
      <c r="N353" s="44"/>
      <c r="O353" s="44"/>
      <c r="P353" s="44"/>
      <c r="Q353" s="44"/>
      <c r="R353" s="44"/>
      <c r="T353" s="44"/>
      <c r="U353" s="44"/>
      <c r="V353" s="44"/>
      <c r="Z353" s="44"/>
      <c r="AA353" s="44"/>
      <c r="AB353" s="44"/>
      <c r="AC353" s="44"/>
      <c r="AD353" s="44"/>
      <c r="AE353" s="44"/>
      <c r="AF353" s="44"/>
      <c r="AG353" s="168"/>
      <c r="AH353" s="44"/>
      <c r="AI353" s="44"/>
      <c r="AJ353" s="44"/>
      <c r="AK353" s="168"/>
      <c r="AL353" s="44"/>
      <c r="AM353" s="44"/>
      <c r="AN353" s="44"/>
    </row>
    <row r="354" spans="1:40" x14ac:dyDescent="0.3">
      <c r="A354" s="44"/>
      <c r="C354" s="44"/>
      <c r="D354" s="44"/>
      <c r="E354" s="44"/>
      <c r="F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T354" s="44"/>
      <c r="U354" s="44"/>
      <c r="V354" s="44"/>
      <c r="Y354" s="44"/>
      <c r="Z354" s="44"/>
      <c r="AA354" s="44"/>
      <c r="AB354" s="44"/>
      <c r="AC354" s="44"/>
      <c r="AD354" s="44"/>
      <c r="AE354" s="44"/>
      <c r="AF354" s="44"/>
      <c r="AG354" s="168"/>
      <c r="AH354" s="44"/>
      <c r="AI354" s="44"/>
      <c r="AJ354" s="44"/>
      <c r="AK354" s="168"/>
      <c r="AL354" s="44"/>
      <c r="AM354" s="44"/>
      <c r="AN354" s="44"/>
    </row>
    <row r="355" spans="1:40" x14ac:dyDescent="0.3">
      <c r="C355" s="44"/>
      <c r="D355" s="44"/>
      <c r="E355" s="44"/>
      <c r="F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T355" s="44"/>
      <c r="U355" s="44"/>
      <c r="V355" s="44"/>
      <c r="Y355" s="44"/>
      <c r="Z355" s="44"/>
      <c r="AA355" s="44"/>
      <c r="AB355" s="44"/>
      <c r="AC355" s="44"/>
      <c r="AD355" s="44"/>
      <c r="AE355" s="44"/>
      <c r="AF355" s="44"/>
      <c r="AG355" s="168"/>
      <c r="AH355" s="44"/>
      <c r="AI355" s="44"/>
      <c r="AJ355" s="44"/>
      <c r="AK355" s="168"/>
      <c r="AL355" s="44"/>
      <c r="AM355" s="44"/>
      <c r="AN355" s="44"/>
    </row>
    <row r="356" spans="1:40" x14ac:dyDescent="0.3">
      <c r="A356" s="135"/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207"/>
      <c r="AH356" s="135"/>
      <c r="AI356" s="135"/>
      <c r="AJ356" s="135"/>
      <c r="AK356" s="207"/>
      <c r="AL356" s="135"/>
      <c r="AM356" s="135"/>
      <c r="AN356" s="135"/>
    </row>
    <row r="357" spans="1:40" x14ac:dyDescent="0.3"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Y357" s="44"/>
      <c r="Z357" s="44"/>
      <c r="AA357" s="44"/>
      <c r="AB357" s="44"/>
      <c r="AC357" s="44"/>
      <c r="AD357" s="44"/>
      <c r="AE357" s="44"/>
      <c r="AF357" s="44"/>
      <c r="AG357" s="168"/>
      <c r="AH357" s="44"/>
      <c r="AI357" s="44"/>
      <c r="AJ357" s="44"/>
      <c r="AK357" s="168"/>
      <c r="AL357" s="44"/>
      <c r="AM357" s="44"/>
      <c r="AN357" s="44"/>
    </row>
    <row r="358" spans="1:40" x14ac:dyDescent="0.3">
      <c r="C358" s="42"/>
      <c r="D358" s="42"/>
      <c r="E358" s="42"/>
      <c r="T358" s="42"/>
      <c r="U358" s="42"/>
    </row>
    <row r="359" spans="1:40" x14ac:dyDescent="0.3">
      <c r="D359" s="42"/>
      <c r="E359" s="42"/>
      <c r="U359" s="42"/>
    </row>
    <row r="361" spans="1:40" x14ac:dyDescent="0.3">
      <c r="C361" s="42"/>
      <c r="T361" s="42"/>
    </row>
    <row r="362" spans="1:40" x14ac:dyDescent="0.3">
      <c r="C362" s="42"/>
      <c r="F362" s="184"/>
      <c r="H362" s="184"/>
      <c r="I362" s="184"/>
      <c r="J362" s="238"/>
      <c r="K362" s="238"/>
      <c r="L362" s="123"/>
      <c r="M362" s="123"/>
      <c r="N362" s="160"/>
      <c r="O362" s="160"/>
      <c r="P362" s="123"/>
      <c r="Q362" s="123"/>
      <c r="R362" s="123"/>
      <c r="T362" s="42"/>
      <c r="V362" s="184"/>
      <c r="W362" s="123"/>
      <c r="X362" s="123"/>
      <c r="Y362" s="184"/>
      <c r="Z362" s="238"/>
      <c r="AA362" s="123"/>
      <c r="AB362" s="123"/>
      <c r="AC362" s="160"/>
      <c r="AD362" s="160"/>
      <c r="AE362" s="123"/>
      <c r="AF362" s="123"/>
      <c r="AH362" s="236"/>
      <c r="AI362" s="123"/>
      <c r="AJ362" s="123"/>
      <c r="AL362" s="123"/>
      <c r="AM362" s="160"/>
      <c r="AN362" s="160"/>
    </row>
    <row r="363" spans="1:40" x14ac:dyDescent="0.3">
      <c r="C363" s="42"/>
      <c r="F363" s="123"/>
      <c r="H363" s="123"/>
      <c r="I363" s="123"/>
      <c r="J363" s="213"/>
      <c r="K363" s="213"/>
      <c r="L363" s="123"/>
      <c r="M363" s="123"/>
      <c r="N363" s="160"/>
      <c r="O363" s="160"/>
      <c r="P363" s="123"/>
      <c r="Q363" s="123"/>
      <c r="R363" s="123"/>
      <c r="T363" s="42"/>
      <c r="V363" s="184"/>
      <c r="W363" s="123"/>
      <c r="X363" s="123"/>
      <c r="Y363" s="184"/>
      <c r="Z363" s="213"/>
      <c r="AA363" s="123"/>
      <c r="AB363" s="123"/>
      <c r="AC363" s="160"/>
      <c r="AD363" s="160"/>
      <c r="AE363" s="123"/>
      <c r="AF363" s="123"/>
      <c r="AH363" s="236"/>
      <c r="AI363" s="123"/>
      <c r="AJ363" s="123"/>
      <c r="AL363" s="123"/>
      <c r="AM363" s="160"/>
      <c r="AN363" s="160"/>
    </row>
    <row r="364" spans="1:40" x14ac:dyDescent="0.3">
      <c r="C364" s="42"/>
      <c r="F364" s="184"/>
      <c r="H364" s="184"/>
      <c r="I364" s="184"/>
      <c r="J364" s="238"/>
      <c r="K364" s="238"/>
      <c r="L364" s="123"/>
      <c r="M364" s="123"/>
      <c r="N364" s="160"/>
      <c r="O364" s="160"/>
      <c r="P364" s="123"/>
      <c r="Q364" s="123"/>
      <c r="R364" s="123"/>
      <c r="T364" s="42"/>
      <c r="V364" s="184"/>
      <c r="W364" s="123"/>
      <c r="X364" s="123"/>
      <c r="Y364" s="184"/>
      <c r="Z364" s="238"/>
      <c r="AA364" s="123"/>
      <c r="AB364" s="123"/>
      <c r="AC364" s="160"/>
      <c r="AD364" s="160"/>
      <c r="AE364" s="123"/>
      <c r="AF364" s="123"/>
      <c r="AH364" s="236"/>
      <c r="AI364" s="123"/>
      <c r="AJ364" s="123"/>
      <c r="AL364" s="123"/>
      <c r="AM364" s="160"/>
      <c r="AN364" s="160"/>
    </row>
    <row r="365" spans="1:40" x14ac:dyDescent="0.3">
      <c r="C365" s="42"/>
      <c r="F365" s="184"/>
      <c r="H365" s="184"/>
      <c r="I365" s="184"/>
      <c r="J365" s="238"/>
      <c r="K365" s="238"/>
      <c r="L365" s="123"/>
      <c r="M365" s="123"/>
      <c r="N365" s="160"/>
      <c r="O365" s="160"/>
      <c r="P365" s="123"/>
      <c r="Q365" s="123"/>
      <c r="R365" s="123"/>
      <c r="T365" s="42"/>
      <c r="V365" s="184"/>
      <c r="W365" s="123"/>
      <c r="X365" s="123"/>
      <c r="Y365" s="184"/>
      <c r="Z365" s="238"/>
      <c r="AA365" s="123"/>
      <c r="AB365" s="123"/>
      <c r="AC365" s="160"/>
      <c r="AD365" s="160"/>
      <c r="AE365" s="123"/>
      <c r="AF365" s="123"/>
      <c r="AH365" s="236"/>
      <c r="AI365" s="123"/>
      <c r="AJ365" s="123"/>
      <c r="AL365" s="123"/>
      <c r="AM365" s="160"/>
      <c r="AN365" s="160"/>
    </row>
    <row r="366" spans="1:40" x14ac:dyDescent="0.3">
      <c r="C366" s="42"/>
      <c r="F366" s="184"/>
      <c r="H366" s="184"/>
      <c r="I366" s="184"/>
      <c r="J366" s="238"/>
      <c r="K366" s="238"/>
      <c r="L366" s="123"/>
      <c r="M366" s="123"/>
      <c r="N366" s="160"/>
      <c r="O366" s="160"/>
      <c r="P366" s="123"/>
      <c r="Q366" s="123"/>
      <c r="R366" s="123"/>
      <c r="T366" s="42"/>
      <c r="V366" s="184"/>
      <c r="W366" s="123"/>
      <c r="X366" s="123"/>
      <c r="Y366" s="184"/>
      <c r="Z366" s="238"/>
      <c r="AA366" s="123"/>
      <c r="AB366" s="123"/>
      <c r="AC366" s="160"/>
      <c r="AD366" s="160"/>
      <c r="AE366" s="123"/>
      <c r="AF366" s="123"/>
      <c r="AH366" s="236"/>
      <c r="AI366" s="123"/>
      <c r="AJ366" s="123"/>
      <c r="AL366" s="123"/>
      <c r="AM366" s="160"/>
      <c r="AN366" s="160"/>
    </row>
    <row r="367" spans="1:40" x14ac:dyDescent="0.3">
      <c r="C367" s="42"/>
      <c r="F367" s="123"/>
      <c r="H367" s="123"/>
      <c r="I367" s="123"/>
      <c r="J367" s="238"/>
      <c r="K367" s="238"/>
      <c r="L367" s="123"/>
      <c r="M367" s="123"/>
      <c r="N367" s="160"/>
      <c r="O367" s="160"/>
      <c r="P367" s="123"/>
      <c r="Q367" s="123"/>
      <c r="R367" s="123"/>
      <c r="T367" s="42"/>
      <c r="V367" s="184"/>
      <c r="W367" s="123"/>
      <c r="X367" s="123"/>
      <c r="Y367" s="184"/>
      <c r="Z367" s="238"/>
      <c r="AA367" s="123"/>
      <c r="AB367" s="123"/>
      <c r="AC367" s="160"/>
      <c r="AD367" s="160"/>
      <c r="AE367" s="123"/>
      <c r="AF367" s="123"/>
      <c r="AH367" s="236"/>
      <c r="AI367" s="123"/>
      <c r="AJ367" s="123"/>
      <c r="AL367" s="123"/>
      <c r="AM367" s="160"/>
      <c r="AN367" s="160"/>
    </row>
    <row r="368" spans="1:40" x14ac:dyDescent="0.3">
      <c r="C368" s="42"/>
      <c r="F368" s="123"/>
      <c r="H368" s="123"/>
      <c r="I368" s="123"/>
      <c r="J368" s="238"/>
      <c r="K368" s="238"/>
      <c r="L368" s="123"/>
      <c r="M368" s="123"/>
      <c r="N368" s="160"/>
      <c r="O368" s="160"/>
      <c r="P368" s="123"/>
      <c r="Q368" s="123"/>
      <c r="R368" s="123"/>
      <c r="T368" s="42"/>
      <c r="V368" s="184"/>
      <c r="W368" s="123"/>
      <c r="X368" s="123"/>
      <c r="Y368" s="184"/>
      <c r="Z368" s="238"/>
      <c r="AA368" s="123"/>
      <c r="AB368" s="123"/>
      <c r="AC368" s="160"/>
      <c r="AD368" s="160"/>
      <c r="AE368" s="123"/>
      <c r="AF368" s="123"/>
      <c r="AH368" s="236"/>
      <c r="AI368" s="123"/>
      <c r="AJ368" s="123"/>
      <c r="AL368" s="123"/>
      <c r="AM368" s="160"/>
      <c r="AN368" s="160"/>
    </row>
    <row r="369" spans="3:40" x14ac:dyDescent="0.3">
      <c r="F369" s="241"/>
      <c r="H369" s="242"/>
      <c r="I369" s="242"/>
      <c r="J369" s="238"/>
      <c r="K369" s="238"/>
      <c r="L369" s="241"/>
      <c r="M369" s="241"/>
      <c r="N369" s="210"/>
      <c r="O369" s="210"/>
      <c r="P369" s="241"/>
      <c r="Q369" s="241"/>
      <c r="R369" s="241"/>
      <c r="V369" s="241"/>
      <c r="W369" s="123"/>
      <c r="X369" s="123"/>
      <c r="Y369" s="241"/>
      <c r="Z369" s="238"/>
      <c r="AA369" s="241"/>
      <c r="AB369" s="241"/>
      <c r="AC369" s="243"/>
      <c r="AD369" s="243"/>
      <c r="AE369" s="241"/>
      <c r="AF369" s="241"/>
      <c r="AH369" s="236"/>
      <c r="AI369" s="241"/>
      <c r="AJ369" s="241"/>
      <c r="AK369" s="207"/>
      <c r="AL369" s="241"/>
      <c r="AM369" s="160"/>
      <c r="AN369" s="160"/>
    </row>
    <row r="370" spans="3:40" x14ac:dyDescent="0.3">
      <c r="C370" s="42"/>
      <c r="F370" s="123"/>
      <c r="H370" s="123"/>
      <c r="I370" s="123"/>
      <c r="J370" s="238"/>
      <c r="K370" s="238"/>
      <c r="L370" s="123"/>
      <c r="M370" s="123"/>
      <c r="N370" s="236"/>
      <c r="O370" s="236"/>
      <c r="P370" s="123"/>
      <c r="Q370" s="123"/>
      <c r="R370" s="123"/>
      <c r="T370" s="44"/>
      <c r="V370" s="123"/>
      <c r="W370" s="123"/>
      <c r="X370" s="123"/>
      <c r="Y370" s="123"/>
      <c r="Z370" s="238"/>
      <c r="AA370" s="123"/>
      <c r="AB370" s="123"/>
      <c r="AC370" s="236"/>
      <c r="AD370" s="236"/>
      <c r="AE370" s="123"/>
      <c r="AF370" s="123"/>
      <c r="AH370" s="236"/>
      <c r="AI370" s="123"/>
      <c r="AJ370" s="123"/>
      <c r="AL370" s="123"/>
      <c r="AM370" s="160"/>
      <c r="AN370" s="160"/>
    </row>
    <row r="371" spans="3:40" x14ac:dyDescent="0.3">
      <c r="F371" s="135"/>
      <c r="H371" s="135"/>
      <c r="I371" s="135"/>
      <c r="L371" s="135"/>
      <c r="M371" s="135"/>
      <c r="N371" s="243"/>
      <c r="O371" s="243"/>
      <c r="P371" s="241"/>
      <c r="Q371" s="241"/>
      <c r="R371" s="241"/>
      <c r="V371" s="241"/>
      <c r="Y371" s="241"/>
      <c r="Z371" s="213"/>
      <c r="AA371" s="241"/>
      <c r="AB371" s="241"/>
      <c r="AC371" s="241"/>
      <c r="AD371" s="241"/>
      <c r="AE371" s="241"/>
      <c r="AF371" s="241"/>
      <c r="AI371" s="241"/>
      <c r="AJ371" s="241"/>
      <c r="AK371" s="207"/>
      <c r="AL371" s="241"/>
      <c r="AM371" s="243"/>
      <c r="AN371" s="243"/>
    </row>
    <row r="376" spans="3:40" x14ac:dyDescent="0.3">
      <c r="N376" s="123"/>
      <c r="O376" s="123"/>
      <c r="P376" s="123"/>
      <c r="Q376" s="123"/>
      <c r="R376" s="123"/>
      <c r="V376" s="123"/>
      <c r="Y376" s="123"/>
      <c r="Z376" s="219"/>
      <c r="AA376" s="123"/>
      <c r="AB376" s="123"/>
      <c r="AC376" s="160"/>
      <c r="AD376" s="160"/>
      <c r="AE376" s="123"/>
      <c r="AF376" s="123"/>
      <c r="AH376" s="236"/>
      <c r="AI376" s="123"/>
      <c r="AJ376" s="123"/>
      <c r="AL376" s="123"/>
      <c r="AM376" s="160"/>
      <c r="AN376" s="160"/>
    </row>
    <row r="377" spans="3:40" x14ac:dyDescent="0.3">
      <c r="C377" s="42"/>
      <c r="D377" s="42"/>
      <c r="E377" s="42"/>
      <c r="J377" s="188"/>
      <c r="K377" s="188"/>
      <c r="T377" s="42"/>
      <c r="U377" s="42"/>
      <c r="Z377" s="188"/>
      <c r="AE377" s="123"/>
      <c r="AF377" s="123"/>
      <c r="AI377" s="123"/>
      <c r="AJ377" s="123"/>
      <c r="AL377" s="123"/>
      <c r="AM377" s="160"/>
      <c r="AN377" s="160"/>
    </row>
    <row r="378" spans="3:40" x14ac:dyDescent="0.3">
      <c r="D378" s="42"/>
      <c r="E378" s="42"/>
      <c r="F378" s="123"/>
      <c r="H378" s="123"/>
      <c r="I378" s="123"/>
      <c r="J378" s="238"/>
      <c r="K378" s="238"/>
      <c r="L378" s="123"/>
      <c r="M378" s="123"/>
      <c r="N378" s="160"/>
      <c r="O378" s="160"/>
      <c r="P378" s="123"/>
      <c r="Q378" s="123"/>
      <c r="R378" s="123"/>
      <c r="U378" s="42"/>
      <c r="V378" s="123"/>
      <c r="Y378" s="123"/>
      <c r="Z378" s="238"/>
      <c r="AA378" s="123"/>
      <c r="AB378" s="123"/>
      <c r="AC378" s="160"/>
      <c r="AD378" s="160"/>
      <c r="AE378" s="123"/>
      <c r="AF378" s="123"/>
      <c r="AH378" s="236"/>
      <c r="AI378" s="123"/>
      <c r="AJ378" s="123"/>
      <c r="AL378" s="123"/>
      <c r="AM378" s="160"/>
      <c r="AN378" s="160"/>
    </row>
    <row r="379" spans="3:40" x14ac:dyDescent="0.3">
      <c r="F379" s="123"/>
      <c r="H379" s="123"/>
      <c r="I379" s="123"/>
      <c r="J379" s="213"/>
      <c r="K379" s="213"/>
      <c r="L379" s="123"/>
      <c r="M379" s="123"/>
      <c r="N379" s="123"/>
      <c r="O379" s="123"/>
      <c r="P379" s="123"/>
      <c r="Q379" s="123"/>
      <c r="R379" s="123"/>
      <c r="V379" s="123"/>
      <c r="Y379" s="123"/>
      <c r="Z379" s="213"/>
      <c r="AA379" s="123"/>
      <c r="AB379" s="123"/>
      <c r="AC379" s="123"/>
      <c r="AD379" s="123"/>
      <c r="AE379" s="123"/>
      <c r="AF379" s="123"/>
      <c r="AH379" s="236"/>
      <c r="AI379" s="184"/>
      <c r="AJ379" s="184"/>
      <c r="AL379" s="123"/>
      <c r="AM379" s="160"/>
      <c r="AN379" s="160"/>
    </row>
    <row r="380" spans="3:40" x14ac:dyDescent="0.3">
      <c r="C380" s="42"/>
      <c r="F380" s="184"/>
      <c r="H380" s="184"/>
      <c r="I380" s="184"/>
      <c r="J380" s="212"/>
      <c r="K380" s="212"/>
      <c r="L380" s="123"/>
      <c r="M380" s="123"/>
      <c r="N380" s="160"/>
      <c r="O380" s="160"/>
      <c r="P380" s="123"/>
      <c r="Q380" s="123"/>
      <c r="R380" s="123"/>
      <c r="T380" s="42"/>
      <c r="V380" s="184"/>
      <c r="Y380" s="184"/>
      <c r="Z380" s="212"/>
      <c r="AA380" s="123"/>
      <c r="AB380" s="123"/>
      <c r="AC380" s="160"/>
      <c r="AD380" s="160"/>
      <c r="AE380" s="123"/>
      <c r="AF380" s="123"/>
      <c r="AH380" s="236"/>
      <c r="AI380" s="123"/>
      <c r="AJ380" s="123"/>
      <c r="AL380" s="123"/>
      <c r="AM380" s="160"/>
      <c r="AN380" s="160"/>
    </row>
    <row r="381" spans="3:40" x14ac:dyDescent="0.3">
      <c r="F381" s="135"/>
      <c r="H381" s="135"/>
      <c r="I381" s="135"/>
      <c r="L381" s="135"/>
      <c r="M381" s="135"/>
      <c r="N381" s="135"/>
      <c r="O381" s="135"/>
      <c r="P381" s="135"/>
      <c r="Q381" s="135"/>
      <c r="R381" s="135"/>
      <c r="V381" s="135"/>
      <c r="Y381" s="135"/>
      <c r="AA381" s="135"/>
      <c r="AB381" s="135"/>
      <c r="AC381" s="135"/>
      <c r="AD381" s="135"/>
      <c r="AE381" s="135"/>
      <c r="AF381" s="135"/>
      <c r="AG381" s="207"/>
      <c r="AH381" s="135"/>
      <c r="AI381" s="135"/>
      <c r="AJ381" s="135"/>
      <c r="AK381" s="207"/>
      <c r="AL381" s="135"/>
      <c r="AM381" s="135"/>
      <c r="AN381" s="135"/>
    </row>
    <row r="382" spans="3:40" x14ac:dyDescent="0.3">
      <c r="C382" s="44"/>
      <c r="F382" s="184"/>
      <c r="H382" s="184"/>
      <c r="I382" s="184"/>
      <c r="J382" s="193"/>
      <c r="K382" s="193"/>
      <c r="L382" s="184"/>
      <c r="M382" s="184"/>
      <c r="N382" s="160"/>
      <c r="O382" s="160"/>
      <c r="P382" s="184"/>
      <c r="Q382" s="184"/>
      <c r="R382" s="184"/>
      <c r="T382" s="44"/>
      <c r="V382" s="123"/>
      <c r="Y382" s="123"/>
      <c r="Z382" s="219"/>
      <c r="AA382" s="123"/>
      <c r="AB382" s="123"/>
      <c r="AC382" s="160"/>
      <c r="AD382" s="160"/>
      <c r="AH382" s="236"/>
      <c r="AI382" s="123"/>
      <c r="AJ382" s="123"/>
      <c r="AL382" s="123"/>
      <c r="AM382" s="160"/>
      <c r="AN382" s="160"/>
    </row>
    <row r="383" spans="3:40" x14ac:dyDescent="0.3">
      <c r="F383" s="241"/>
      <c r="H383" s="241"/>
      <c r="I383" s="241"/>
      <c r="J383" s="213"/>
      <c r="K383" s="213"/>
      <c r="L383" s="241"/>
      <c r="M383" s="241"/>
      <c r="N383" s="241"/>
      <c r="O383" s="241"/>
      <c r="P383" s="241"/>
      <c r="Q383" s="241"/>
      <c r="R383" s="241"/>
      <c r="V383" s="135"/>
      <c r="Y383" s="135"/>
      <c r="AA383" s="135"/>
      <c r="AB383" s="135"/>
      <c r="AC383" s="135"/>
      <c r="AD383" s="135"/>
      <c r="AE383" s="135"/>
      <c r="AF383" s="135"/>
      <c r="AG383" s="207"/>
      <c r="AH383" s="135"/>
      <c r="AI383" s="135"/>
      <c r="AJ383" s="135"/>
      <c r="AK383" s="207"/>
      <c r="AL383" s="135"/>
      <c r="AM383" s="135"/>
      <c r="AN383" s="135"/>
    </row>
    <row r="384" spans="3:40" x14ac:dyDescent="0.3">
      <c r="F384" s="184"/>
      <c r="H384" s="184"/>
      <c r="I384" s="184"/>
      <c r="J384" s="237"/>
      <c r="K384" s="237"/>
      <c r="L384" s="123"/>
      <c r="M384" s="123"/>
      <c r="N384" s="160"/>
      <c r="O384" s="160"/>
      <c r="P384" s="123"/>
      <c r="Q384" s="123"/>
      <c r="R384" s="123"/>
    </row>
    <row r="385" spans="1:40" x14ac:dyDescent="0.3">
      <c r="A385" s="42"/>
      <c r="F385" s="184"/>
      <c r="H385" s="184"/>
      <c r="I385" s="184"/>
      <c r="J385" s="193"/>
      <c r="K385" s="193"/>
      <c r="L385" s="123"/>
      <c r="M385" s="123"/>
      <c r="N385" s="160"/>
      <c r="O385" s="160"/>
      <c r="P385" s="123"/>
      <c r="Q385" s="123"/>
      <c r="R385" s="123"/>
    </row>
    <row r="386" spans="1:40" x14ac:dyDescent="0.3">
      <c r="F386" s="184"/>
      <c r="H386" s="184"/>
      <c r="I386" s="184"/>
      <c r="J386" s="193"/>
      <c r="K386" s="193"/>
      <c r="L386" s="123"/>
      <c r="M386" s="123"/>
      <c r="N386" s="160"/>
      <c r="O386" s="160"/>
      <c r="P386" s="123"/>
      <c r="Q386" s="123"/>
      <c r="R386" s="123"/>
    </row>
    <row r="387" spans="1:40" x14ac:dyDescent="0.3">
      <c r="A387" s="42"/>
    </row>
    <row r="390" spans="1:40" x14ac:dyDescent="0.3">
      <c r="H390" s="42"/>
      <c r="I390" s="42"/>
      <c r="Y390" s="42"/>
    </row>
    <row r="392" spans="1:40" x14ac:dyDescent="0.3">
      <c r="L392" s="42"/>
      <c r="M392" s="42"/>
      <c r="AA392" s="42"/>
      <c r="AB392" s="42"/>
    </row>
    <row r="393" spans="1:40" x14ac:dyDescent="0.3">
      <c r="R393" s="42"/>
      <c r="AK393" s="206"/>
      <c r="AL393" s="42"/>
    </row>
    <row r="394" spans="1:40" x14ac:dyDescent="0.3">
      <c r="R394" s="42"/>
      <c r="AK394" s="206"/>
      <c r="AL394" s="42"/>
    </row>
    <row r="395" spans="1:40" x14ac:dyDescent="0.3">
      <c r="A395" s="42"/>
      <c r="R395" s="42"/>
      <c r="AK395" s="206"/>
      <c r="AL395" s="42"/>
    </row>
    <row r="396" spans="1:40" x14ac:dyDescent="0.3">
      <c r="L396" s="42"/>
      <c r="M396" s="42"/>
      <c r="AA396" s="42"/>
      <c r="AB396" s="42"/>
    </row>
    <row r="397" spans="1:40" x14ac:dyDescent="0.3">
      <c r="A397" s="135"/>
      <c r="B397" s="135"/>
      <c r="C397" s="135"/>
      <c r="D397" s="135"/>
      <c r="E397" s="135"/>
      <c r="F397" s="135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207"/>
      <c r="AH397" s="135"/>
      <c r="AI397" s="135"/>
      <c r="AJ397" s="135"/>
      <c r="AK397" s="207"/>
      <c r="AL397" s="135"/>
      <c r="AM397" s="135"/>
      <c r="AN397" s="135"/>
    </row>
    <row r="398" spans="1:40" x14ac:dyDescent="0.3">
      <c r="L398" s="44"/>
      <c r="M398" s="44"/>
      <c r="N398" s="44"/>
      <c r="O398" s="44"/>
      <c r="R398" s="44"/>
      <c r="AA398" s="44"/>
      <c r="AB398" s="44"/>
      <c r="AC398" s="44"/>
      <c r="AD398" s="44"/>
      <c r="AE398" s="44"/>
      <c r="AF398" s="44"/>
      <c r="AG398" s="168"/>
      <c r="AH398" s="44"/>
      <c r="AK398" s="168"/>
      <c r="AL398" s="44"/>
      <c r="AM398" s="44"/>
      <c r="AN398" s="44"/>
    </row>
    <row r="399" spans="1:40" x14ac:dyDescent="0.3">
      <c r="L399" s="44"/>
      <c r="M399" s="44"/>
      <c r="N399" s="44"/>
      <c r="O399" s="44"/>
      <c r="R399" s="44"/>
      <c r="Z399" s="44"/>
      <c r="AA399" s="44"/>
      <c r="AB399" s="44"/>
      <c r="AC399" s="44"/>
      <c r="AD399" s="44"/>
      <c r="AE399" s="44"/>
      <c r="AF399" s="44"/>
      <c r="AG399" s="168"/>
      <c r="AH399" s="44"/>
      <c r="AK399" s="168"/>
      <c r="AL399" s="44"/>
      <c r="AM399" s="44"/>
      <c r="AN399" s="44"/>
    </row>
    <row r="400" spans="1:40" x14ac:dyDescent="0.3">
      <c r="A400" s="44"/>
      <c r="C400" s="44"/>
      <c r="D400" s="44"/>
      <c r="E400" s="44"/>
      <c r="F400" s="44"/>
      <c r="J400" s="44"/>
      <c r="K400" s="44"/>
      <c r="L400" s="44"/>
      <c r="M400" s="44"/>
      <c r="N400" s="44"/>
      <c r="O400" s="44"/>
      <c r="P400" s="44"/>
      <c r="Q400" s="44"/>
      <c r="R400" s="44"/>
      <c r="T400" s="44"/>
      <c r="U400" s="44"/>
      <c r="V400" s="44"/>
      <c r="Z400" s="44"/>
      <c r="AA400" s="44"/>
      <c r="AB400" s="44"/>
      <c r="AC400" s="44"/>
      <c r="AD400" s="44"/>
      <c r="AE400" s="44"/>
      <c r="AF400" s="44"/>
      <c r="AG400" s="168"/>
      <c r="AH400" s="44"/>
      <c r="AI400" s="44"/>
      <c r="AJ400" s="44"/>
      <c r="AK400" s="168"/>
      <c r="AL400" s="44"/>
      <c r="AM400" s="44"/>
      <c r="AN400" s="44"/>
    </row>
    <row r="401" spans="1:40" x14ac:dyDescent="0.3">
      <c r="A401" s="44"/>
      <c r="C401" s="44"/>
      <c r="D401" s="44"/>
      <c r="E401" s="44"/>
      <c r="F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T401" s="44"/>
      <c r="U401" s="44"/>
      <c r="V401" s="44"/>
      <c r="Y401" s="44"/>
      <c r="Z401" s="44"/>
      <c r="AA401" s="44"/>
      <c r="AB401" s="44"/>
      <c r="AC401" s="44"/>
      <c r="AD401" s="44"/>
      <c r="AE401" s="44"/>
      <c r="AF401" s="44"/>
      <c r="AG401" s="168"/>
      <c r="AH401" s="44"/>
      <c r="AI401" s="44"/>
      <c r="AJ401" s="44"/>
      <c r="AK401" s="168"/>
      <c r="AL401" s="44"/>
      <c r="AM401" s="44"/>
      <c r="AN401" s="44"/>
    </row>
    <row r="402" spans="1:40" x14ac:dyDescent="0.3">
      <c r="C402" s="44"/>
      <c r="D402" s="44"/>
      <c r="E402" s="44"/>
      <c r="F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T402" s="44"/>
      <c r="U402" s="44"/>
      <c r="V402" s="44"/>
      <c r="Y402" s="44"/>
      <c r="Z402" s="44"/>
      <c r="AA402" s="44"/>
      <c r="AB402" s="44"/>
      <c r="AC402" s="44"/>
      <c r="AD402" s="44"/>
      <c r="AE402" s="44"/>
      <c r="AF402" s="44"/>
      <c r="AG402" s="168"/>
      <c r="AH402" s="44"/>
      <c r="AI402" s="44"/>
      <c r="AJ402" s="44"/>
      <c r="AK402" s="168"/>
      <c r="AL402" s="44"/>
      <c r="AM402" s="44"/>
      <c r="AN402" s="44"/>
    </row>
    <row r="403" spans="1:40" x14ac:dyDescent="0.3">
      <c r="A403" s="135"/>
      <c r="B403" s="135"/>
      <c r="C403" s="135"/>
      <c r="D403" s="135"/>
      <c r="E403" s="135"/>
      <c r="F403" s="135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207"/>
      <c r="AH403" s="135"/>
      <c r="AI403" s="135"/>
      <c r="AJ403" s="135"/>
      <c r="AK403" s="207"/>
      <c r="AL403" s="135"/>
      <c r="AM403" s="135"/>
      <c r="AN403" s="135"/>
    </row>
    <row r="404" spans="1:40" x14ac:dyDescent="0.3"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Y404" s="44"/>
      <c r="Z404" s="44"/>
      <c r="AA404" s="44"/>
      <c r="AB404" s="44"/>
      <c r="AC404" s="44"/>
      <c r="AD404" s="44"/>
      <c r="AE404" s="44"/>
      <c r="AF404" s="44"/>
      <c r="AG404" s="168"/>
      <c r="AH404" s="44"/>
      <c r="AI404" s="44"/>
      <c r="AJ404" s="44"/>
      <c r="AK404" s="168"/>
      <c r="AL404" s="44"/>
      <c r="AM404" s="44"/>
      <c r="AN404" s="44"/>
    </row>
    <row r="405" spans="1:40" x14ac:dyDescent="0.3">
      <c r="C405" s="42"/>
      <c r="D405" s="42"/>
      <c r="E405" s="42"/>
      <c r="T405" s="42"/>
      <c r="U405" s="42"/>
    </row>
    <row r="407" spans="1:40" x14ac:dyDescent="0.3">
      <c r="C407" s="42"/>
      <c r="T407" s="42"/>
    </row>
    <row r="408" spans="1:40" x14ac:dyDescent="0.3">
      <c r="C408" s="42"/>
      <c r="F408" s="184"/>
      <c r="H408" s="184"/>
      <c r="I408" s="184"/>
      <c r="J408" s="213"/>
      <c r="K408" s="213"/>
      <c r="L408" s="123"/>
      <c r="M408" s="123"/>
      <c r="N408" s="160"/>
      <c r="O408" s="160"/>
      <c r="P408" s="123"/>
      <c r="Q408" s="123"/>
      <c r="R408" s="123"/>
      <c r="T408" s="42"/>
      <c r="V408" s="184"/>
      <c r="Y408" s="184"/>
      <c r="Z408" s="213"/>
      <c r="AA408" s="123"/>
      <c r="AB408" s="123"/>
      <c r="AC408" s="160"/>
      <c r="AD408" s="160"/>
      <c r="AE408" s="123"/>
      <c r="AF408" s="123"/>
      <c r="AH408" s="236"/>
      <c r="AI408" s="123"/>
      <c r="AJ408" s="123"/>
      <c r="AL408" s="123"/>
      <c r="AM408" s="160"/>
      <c r="AN408" s="160"/>
    </row>
    <row r="409" spans="1:40" x14ac:dyDescent="0.3">
      <c r="C409" s="42"/>
      <c r="T409" s="42"/>
    </row>
    <row r="410" spans="1:40" x14ac:dyDescent="0.3">
      <c r="C410" s="42"/>
      <c r="F410" s="184"/>
      <c r="H410" s="184"/>
      <c r="I410" s="184"/>
      <c r="J410" s="238"/>
      <c r="K410" s="238"/>
      <c r="L410" s="123"/>
      <c r="M410" s="123"/>
      <c r="N410" s="160"/>
      <c r="O410" s="160"/>
      <c r="P410" s="123"/>
      <c r="Q410" s="123"/>
      <c r="R410" s="123"/>
      <c r="T410" s="42"/>
      <c r="V410" s="123"/>
      <c r="Y410" s="123"/>
      <c r="Z410" s="238"/>
      <c r="AA410" s="123"/>
      <c r="AB410" s="123"/>
      <c r="AC410" s="160"/>
      <c r="AD410" s="160"/>
      <c r="AE410" s="123"/>
      <c r="AF410" s="123"/>
      <c r="AH410" s="236"/>
      <c r="AI410" s="123"/>
      <c r="AJ410" s="123"/>
      <c r="AL410" s="123"/>
      <c r="AM410" s="160"/>
      <c r="AN410" s="160"/>
    </row>
    <row r="411" spans="1:40" x14ac:dyDescent="0.3">
      <c r="C411" s="42"/>
      <c r="F411" s="184"/>
      <c r="H411" s="184"/>
      <c r="I411" s="184"/>
      <c r="J411" s="238"/>
      <c r="K411" s="238"/>
      <c r="L411" s="123"/>
      <c r="M411" s="123"/>
      <c r="N411" s="160"/>
      <c r="O411" s="160"/>
      <c r="P411" s="123"/>
      <c r="Q411" s="123"/>
      <c r="R411" s="123"/>
      <c r="T411" s="42"/>
      <c r="V411" s="123"/>
      <c r="Y411" s="123"/>
      <c r="Z411" s="238"/>
      <c r="AA411" s="123"/>
      <c r="AB411" s="123"/>
      <c r="AC411" s="160"/>
      <c r="AD411" s="160"/>
      <c r="AE411" s="123"/>
      <c r="AF411" s="123"/>
      <c r="AH411" s="236"/>
      <c r="AI411" s="123"/>
      <c r="AJ411" s="123"/>
      <c r="AL411" s="123"/>
      <c r="AM411" s="160"/>
      <c r="AN411" s="160"/>
    </row>
    <row r="412" spans="1:40" x14ac:dyDescent="0.3">
      <c r="C412" s="42"/>
      <c r="F412" s="184"/>
      <c r="H412" s="184"/>
      <c r="I412" s="184"/>
      <c r="J412" s="238"/>
      <c r="K412" s="238"/>
      <c r="L412" s="123"/>
      <c r="M412" s="123"/>
      <c r="N412" s="160"/>
      <c r="O412" s="160"/>
      <c r="P412" s="123"/>
      <c r="Q412" s="123"/>
      <c r="R412" s="123"/>
      <c r="T412" s="42"/>
      <c r="V412" s="123"/>
      <c r="Y412" s="123"/>
      <c r="Z412" s="238"/>
      <c r="AA412" s="123"/>
      <c r="AB412" s="123"/>
      <c r="AC412" s="160"/>
      <c r="AD412" s="160"/>
      <c r="AE412" s="123"/>
      <c r="AF412" s="123"/>
      <c r="AH412" s="236"/>
      <c r="AI412" s="123"/>
      <c r="AJ412" s="123"/>
      <c r="AL412" s="123"/>
      <c r="AM412" s="160"/>
      <c r="AN412" s="160"/>
    </row>
    <row r="413" spans="1:40" x14ac:dyDescent="0.3">
      <c r="C413" s="42"/>
      <c r="F413" s="184"/>
      <c r="H413" s="184"/>
      <c r="I413" s="184"/>
      <c r="J413" s="238"/>
      <c r="K413" s="238"/>
      <c r="L413" s="123"/>
      <c r="M413" s="123"/>
      <c r="N413" s="160"/>
      <c r="O413" s="160"/>
      <c r="P413" s="123"/>
      <c r="Q413" s="123"/>
      <c r="R413" s="123"/>
      <c r="T413" s="42"/>
      <c r="V413" s="123"/>
      <c r="Y413" s="123"/>
      <c r="Z413" s="238"/>
      <c r="AA413" s="123"/>
      <c r="AB413" s="123"/>
      <c r="AC413" s="160"/>
      <c r="AD413" s="160"/>
      <c r="AE413" s="123"/>
      <c r="AF413" s="123"/>
      <c r="AH413" s="236"/>
      <c r="AI413" s="123"/>
      <c r="AJ413" s="123"/>
      <c r="AL413" s="123"/>
      <c r="AM413" s="160"/>
      <c r="AN413" s="160"/>
    </row>
    <row r="414" spans="1:40" x14ac:dyDescent="0.3">
      <c r="C414" s="42"/>
      <c r="J414" s="188"/>
      <c r="K414" s="188"/>
      <c r="T414" s="42"/>
      <c r="Z414" s="188"/>
    </row>
    <row r="415" spans="1:40" x14ac:dyDescent="0.3">
      <c r="C415" s="42"/>
      <c r="F415" s="184"/>
      <c r="H415" s="184"/>
      <c r="I415" s="184"/>
      <c r="J415" s="238"/>
      <c r="K415" s="238"/>
      <c r="L415" s="123"/>
      <c r="M415" s="123"/>
      <c r="N415" s="160"/>
      <c r="O415" s="160"/>
      <c r="P415" s="123"/>
      <c r="Q415" s="123"/>
      <c r="R415" s="123"/>
      <c r="T415" s="42"/>
      <c r="V415" s="123"/>
      <c r="Y415" s="123"/>
      <c r="Z415" s="238"/>
      <c r="AA415" s="123"/>
      <c r="AB415" s="123"/>
      <c r="AC415" s="160"/>
      <c r="AD415" s="160"/>
      <c r="AE415" s="123"/>
      <c r="AF415" s="123"/>
      <c r="AH415" s="236"/>
      <c r="AI415" s="123"/>
      <c r="AJ415" s="123"/>
      <c r="AL415" s="123"/>
      <c r="AM415" s="160"/>
      <c r="AN415" s="160"/>
    </row>
    <row r="416" spans="1:40" x14ac:dyDescent="0.3">
      <c r="C416" s="42"/>
      <c r="F416" s="184"/>
      <c r="H416" s="184"/>
      <c r="I416" s="184"/>
      <c r="J416" s="238"/>
      <c r="K416" s="238"/>
      <c r="L416" s="123"/>
      <c r="M416" s="123"/>
      <c r="N416" s="160"/>
      <c r="O416" s="160"/>
      <c r="P416" s="123"/>
      <c r="Q416" s="123"/>
      <c r="R416" s="123"/>
      <c r="T416" s="42"/>
      <c r="V416" s="123"/>
      <c r="Y416" s="123"/>
      <c r="Z416" s="238"/>
      <c r="AA416" s="123"/>
      <c r="AB416" s="123"/>
      <c r="AC416" s="160"/>
      <c r="AD416" s="160"/>
      <c r="AE416" s="123"/>
      <c r="AF416" s="123"/>
      <c r="AH416" s="236"/>
      <c r="AI416" s="123"/>
      <c r="AJ416" s="123"/>
      <c r="AL416" s="123"/>
      <c r="AM416" s="160"/>
      <c r="AN416" s="160"/>
    </row>
    <row r="417" spans="3:40" x14ac:dyDescent="0.3">
      <c r="C417" s="42"/>
      <c r="F417" s="184"/>
      <c r="H417" s="184"/>
      <c r="I417" s="184"/>
      <c r="J417" s="238"/>
      <c r="K417" s="238"/>
      <c r="L417" s="123"/>
      <c r="M417" s="123"/>
      <c r="N417" s="160"/>
      <c r="O417" s="160"/>
      <c r="P417" s="123"/>
      <c r="Q417" s="123"/>
      <c r="R417" s="123"/>
      <c r="T417" s="42"/>
      <c r="V417" s="123"/>
      <c r="Y417" s="123"/>
      <c r="Z417" s="238"/>
      <c r="AA417" s="123"/>
      <c r="AB417" s="123"/>
      <c r="AC417" s="160"/>
      <c r="AD417" s="160"/>
      <c r="AE417" s="123"/>
      <c r="AF417" s="123"/>
      <c r="AH417" s="236"/>
      <c r="AI417" s="123"/>
      <c r="AJ417" s="123"/>
      <c r="AL417" s="123"/>
      <c r="AM417" s="160"/>
      <c r="AN417" s="160"/>
    </row>
    <row r="418" spans="3:40" x14ac:dyDescent="0.3">
      <c r="C418" s="42"/>
      <c r="J418" s="188"/>
      <c r="K418" s="188"/>
      <c r="T418" s="42"/>
      <c r="Z418" s="188"/>
    </row>
    <row r="419" spans="3:40" x14ac:dyDescent="0.3">
      <c r="C419" s="42"/>
      <c r="F419" s="184"/>
      <c r="H419" s="184"/>
      <c r="I419" s="184"/>
      <c r="J419" s="238"/>
      <c r="K419" s="238"/>
      <c r="L419" s="123"/>
      <c r="M419" s="123"/>
      <c r="N419" s="160"/>
      <c r="O419" s="160"/>
      <c r="P419" s="123"/>
      <c r="Q419" s="123"/>
      <c r="R419" s="123"/>
      <c r="T419" s="42"/>
      <c r="V419" s="123"/>
      <c r="Y419" s="123"/>
      <c r="Z419" s="238"/>
      <c r="AA419" s="123"/>
      <c r="AB419" s="123"/>
      <c r="AC419" s="160"/>
      <c r="AD419" s="160"/>
      <c r="AE419" s="123"/>
      <c r="AF419" s="123"/>
      <c r="AH419" s="236"/>
      <c r="AI419" s="123"/>
      <c r="AJ419" s="123"/>
      <c r="AL419" s="123"/>
      <c r="AM419" s="160"/>
      <c r="AN419" s="160"/>
    </row>
    <row r="420" spans="3:40" x14ac:dyDescent="0.3">
      <c r="C420" s="42"/>
      <c r="F420" s="184"/>
      <c r="H420" s="184"/>
      <c r="I420" s="184"/>
      <c r="J420" s="238"/>
      <c r="K420" s="238"/>
      <c r="L420" s="123"/>
      <c r="M420" s="123"/>
      <c r="N420" s="160"/>
      <c r="O420" s="160"/>
      <c r="P420" s="123"/>
      <c r="Q420" s="123"/>
      <c r="R420" s="123"/>
      <c r="T420" s="42"/>
      <c r="V420" s="123"/>
      <c r="Y420" s="123"/>
      <c r="Z420" s="238"/>
      <c r="AA420" s="123"/>
      <c r="AB420" s="123"/>
      <c r="AC420" s="160"/>
      <c r="AD420" s="160"/>
      <c r="AE420" s="123"/>
      <c r="AF420" s="123"/>
      <c r="AH420" s="236"/>
      <c r="AI420" s="123"/>
      <c r="AJ420" s="123"/>
      <c r="AL420" s="123"/>
      <c r="AM420" s="160"/>
      <c r="AN420" s="160"/>
    </row>
    <row r="421" spans="3:40" x14ac:dyDescent="0.3">
      <c r="C421" s="42"/>
      <c r="J421" s="188"/>
      <c r="K421" s="188"/>
      <c r="T421" s="42"/>
      <c r="Z421" s="188"/>
    </row>
    <row r="422" spans="3:40" x14ac:dyDescent="0.3">
      <c r="C422" s="42"/>
      <c r="F422" s="184"/>
      <c r="H422" s="184"/>
      <c r="I422" s="184"/>
      <c r="J422" s="238"/>
      <c r="K422" s="238"/>
      <c r="L422" s="123"/>
      <c r="M422" s="123"/>
      <c r="N422" s="160"/>
      <c r="O422" s="160"/>
      <c r="P422" s="123"/>
      <c r="Q422" s="123"/>
      <c r="R422" s="123"/>
      <c r="T422" s="42"/>
      <c r="V422" s="123"/>
      <c r="Y422" s="123"/>
      <c r="Z422" s="238"/>
      <c r="AA422" s="123"/>
      <c r="AB422" s="123"/>
      <c r="AC422" s="160"/>
      <c r="AD422" s="160"/>
      <c r="AE422" s="123"/>
      <c r="AF422" s="123"/>
      <c r="AH422" s="236"/>
      <c r="AI422" s="123"/>
      <c r="AJ422" s="123"/>
      <c r="AL422" s="123"/>
      <c r="AM422" s="160"/>
      <c r="AN422" s="160"/>
    </row>
    <row r="423" spans="3:40" x14ac:dyDescent="0.3">
      <c r="C423" s="42"/>
      <c r="F423" s="184"/>
      <c r="H423" s="184"/>
      <c r="I423" s="184"/>
      <c r="J423" s="238"/>
      <c r="K423" s="238"/>
      <c r="L423" s="123"/>
      <c r="M423" s="123"/>
      <c r="N423" s="160"/>
      <c r="O423" s="160"/>
      <c r="P423" s="123"/>
      <c r="Q423" s="123"/>
      <c r="R423" s="123"/>
      <c r="T423" s="42"/>
      <c r="V423" s="123"/>
      <c r="Y423" s="123"/>
      <c r="Z423" s="238"/>
      <c r="AA423" s="123"/>
      <c r="AB423" s="123"/>
      <c r="AC423" s="160"/>
      <c r="AD423" s="160"/>
      <c r="AE423" s="123"/>
      <c r="AF423" s="123"/>
      <c r="AH423" s="236"/>
      <c r="AI423" s="123"/>
      <c r="AJ423" s="123"/>
      <c r="AL423" s="123"/>
      <c r="AM423" s="160"/>
      <c r="AN423" s="160"/>
    </row>
    <row r="424" spans="3:40" x14ac:dyDescent="0.3">
      <c r="C424" s="42"/>
      <c r="F424" s="184"/>
      <c r="H424" s="184"/>
      <c r="I424" s="184"/>
      <c r="J424" s="238"/>
      <c r="K424" s="238"/>
      <c r="L424" s="123"/>
      <c r="M424" s="123"/>
      <c r="N424" s="160"/>
      <c r="O424" s="160"/>
      <c r="P424" s="123"/>
      <c r="Q424" s="123"/>
      <c r="R424" s="123"/>
      <c r="T424" s="42"/>
      <c r="V424" s="123"/>
      <c r="Y424" s="123"/>
      <c r="Z424" s="238"/>
      <c r="AA424" s="123"/>
      <c r="AB424" s="123"/>
      <c r="AC424" s="160"/>
      <c r="AD424" s="160"/>
      <c r="AE424" s="123"/>
      <c r="AF424" s="123"/>
      <c r="AH424" s="236"/>
      <c r="AI424" s="123"/>
      <c r="AJ424" s="123"/>
      <c r="AL424" s="123"/>
      <c r="AM424" s="160"/>
      <c r="AN424" s="160"/>
    </row>
    <row r="425" spans="3:40" x14ac:dyDescent="0.3">
      <c r="F425" s="210"/>
      <c r="H425" s="210"/>
      <c r="I425" s="210"/>
      <c r="J425" s="238"/>
      <c r="K425" s="238"/>
      <c r="L425" s="210"/>
      <c r="M425" s="210"/>
      <c r="N425" s="210"/>
      <c r="O425" s="210"/>
      <c r="P425" s="210"/>
      <c r="Q425" s="210"/>
      <c r="R425" s="210"/>
      <c r="V425" s="210"/>
      <c r="Y425" s="210"/>
      <c r="Z425" s="238"/>
      <c r="AA425" s="210"/>
      <c r="AB425" s="210"/>
      <c r="AC425" s="210"/>
      <c r="AD425" s="210"/>
      <c r="AE425" s="210"/>
      <c r="AF425" s="210"/>
      <c r="AI425" s="210"/>
      <c r="AJ425" s="210"/>
      <c r="AK425" s="214"/>
      <c r="AL425" s="210"/>
    </row>
    <row r="426" spans="3:40" x14ac:dyDescent="0.3">
      <c r="C426" s="44"/>
      <c r="F426" s="123"/>
      <c r="H426" s="123"/>
      <c r="I426" s="123"/>
      <c r="J426" s="188"/>
      <c r="K426" s="188"/>
      <c r="L426" s="123"/>
      <c r="M426" s="123"/>
      <c r="N426" s="236"/>
      <c r="O426" s="236"/>
      <c r="P426" s="123"/>
      <c r="Q426" s="123"/>
      <c r="R426" s="123"/>
      <c r="T426" s="44"/>
      <c r="V426" s="123"/>
      <c r="Y426" s="123"/>
      <c r="Z426" s="188"/>
      <c r="AA426" s="123"/>
      <c r="AB426" s="123"/>
      <c r="AC426" s="123"/>
      <c r="AD426" s="123"/>
      <c r="AE426" s="123"/>
      <c r="AF426" s="123"/>
      <c r="AH426" s="236"/>
      <c r="AI426" s="123"/>
      <c r="AJ426" s="123"/>
      <c r="AL426" s="123"/>
      <c r="AM426" s="160"/>
      <c r="AN426" s="160"/>
    </row>
    <row r="427" spans="3:40" x14ac:dyDescent="0.3">
      <c r="F427" s="210"/>
      <c r="H427" s="210"/>
      <c r="I427" s="210"/>
      <c r="J427" s="238"/>
      <c r="K427" s="238"/>
      <c r="L427" s="210"/>
      <c r="M427" s="210"/>
      <c r="N427" s="210"/>
      <c r="O427" s="210"/>
      <c r="P427" s="210"/>
      <c r="Q427" s="210"/>
      <c r="R427" s="210"/>
      <c r="V427" s="210"/>
      <c r="Y427" s="210"/>
      <c r="Z427" s="238"/>
      <c r="AA427" s="210"/>
      <c r="AB427" s="210"/>
      <c r="AC427" s="210"/>
      <c r="AD427" s="210"/>
      <c r="AE427" s="210"/>
      <c r="AF427" s="210"/>
      <c r="AI427" s="210"/>
      <c r="AJ427" s="210"/>
      <c r="AK427" s="214"/>
      <c r="AL427" s="210"/>
    </row>
    <row r="428" spans="3:40" x14ac:dyDescent="0.3">
      <c r="C428" s="42"/>
      <c r="J428" s="188"/>
      <c r="K428" s="188"/>
      <c r="T428" s="42"/>
      <c r="Z428" s="188"/>
    </row>
    <row r="429" spans="3:40" x14ac:dyDescent="0.3">
      <c r="C429" s="42"/>
      <c r="J429" s="188"/>
      <c r="K429" s="188"/>
      <c r="T429" s="42"/>
      <c r="Z429" s="188"/>
    </row>
    <row r="430" spans="3:40" x14ac:dyDescent="0.3">
      <c r="C430" s="42"/>
      <c r="F430" s="184"/>
      <c r="H430" s="184"/>
      <c r="I430" s="184"/>
      <c r="J430" s="238"/>
      <c r="K430" s="238"/>
      <c r="L430" s="123"/>
      <c r="M430" s="123"/>
      <c r="N430" s="160"/>
      <c r="O430" s="160"/>
      <c r="P430" s="123"/>
      <c r="Q430" s="123"/>
      <c r="R430" s="123"/>
      <c r="T430" s="42"/>
      <c r="V430" s="123"/>
      <c r="Y430" s="123"/>
      <c r="Z430" s="238"/>
      <c r="AA430" s="123"/>
      <c r="AB430" s="123"/>
      <c r="AC430" s="160"/>
      <c r="AD430" s="160"/>
      <c r="AE430" s="123"/>
      <c r="AF430" s="123"/>
      <c r="AH430" s="236"/>
      <c r="AI430" s="123"/>
      <c r="AJ430" s="123"/>
      <c r="AL430" s="123"/>
      <c r="AM430" s="160"/>
      <c r="AN430" s="160"/>
    </row>
    <row r="431" spans="3:40" x14ac:dyDescent="0.3">
      <c r="C431" s="42"/>
      <c r="F431" s="184"/>
      <c r="H431" s="184"/>
      <c r="I431" s="184"/>
      <c r="J431" s="238"/>
      <c r="K431" s="238"/>
      <c r="L431" s="123"/>
      <c r="M431" s="123"/>
      <c r="N431" s="160"/>
      <c r="O431" s="160"/>
      <c r="P431" s="123"/>
      <c r="Q431" s="123"/>
      <c r="R431" s="123"/>
      <c r="T431" s="42"/>
      <c r="V431" s="123"/>
      <c r="Y431" s="123"/>
      <c r="Z431" s="238"/>
      <c r="AA431" s="123"/>
      <c r="AB431" s="123"/>
      <c r="AC431" s="160"/>
      <c r="AD431" s="160"/>
      <c r="AE431" s="123"/>
      <c r="AF431" s="123"/>
      <c r="AH431" s="236"/>
      <c r="AI431" s="123"/>
      <c r="AJ431" s="123"/>
      <c r="AL431" s="123"/>
      <c r="AM431" s="160"/>
      <c r="AN431" s="160"/>
    </row>
    <row r="432" spans="3:40" x14ac:dyDescent="0.3">
      <c r="C432" s="42"/>
      <c r="F432" s="184"/>
      <c r="H432" s="184"/>
      <c r="I432" s="184"/>
      <c r="J432" s="238"/>
      <c r="K432" s="238"/>
      <c r="L432" s="123"/>
      <c r="M432" s="123"/>
      <c r="N432" s="160"/>
      <c r="O432" s="160"/>
      <c r="P432" s="123"/>
      <c r="Q432" s="123"/>
      <c r="R432" s="123"/>
      <c r="T432" s="42"/>
      <c r="V432" s="123"/>
      <c r="Y432" s="123"/>
      <c r="Z432" s="238"/>
      <c r="AA432" s="123"/>
      <c r="AB432" s="123"/>
      <c r="AC432" s="160"/>
      <c r="AD432" s="160"/>
      <c r="AE432" s="123"/>
      <c r="AF432" s="123"/>
      <c r="AH432" s="236"/>
      <c r="AI432" s="123"/>
      <c r="AJ432" s="123"/>
      <c r="AL432" s="123"/>
      <c r="AM432" s="160"/>
      <c r="AN432" s="160"/>
    </row>
    <row r="433" spans="3:40" x14ac:dyDescent="0.3">
      <c r="C433" s="42"/>
      <c r="F433" s="184"/>
      <c r="H433" s="184"/>
      <c r="I433" s="184"/>
      <c r="J433" s="238"/>
      <c r="K433" s="238"/>
      <c r="L433" s="123"/>
      <c r="M433" s="123"/>
      <c r="N433" s="160"/>
      <c r="O433" s="160"/>
      <c r="P433" s="123"/>
      <c r="Q433" s="123"/>
      <c r="R433" s="123"/>
      <c r="T433" s="42"/>
      <c r="V433" s="123"/>
      <c r="Y433" s="123"/>
      <c r="Z433" s="238"/>
      <c r="AA433" s="123"/>
      <c r="AB433" s="123"/>
      <c r="AC433" s="160"/>
      <c r="AD433" s="160"/>
      <c r="AE433" s="123"/>
      <c r="AF433" s="123"/>
      <c r="AH433" s="236"/>
      <c r="AI433" s="123"/>
      <c r="AJ433" s="123"/>
      <c r="AL433" s="123"/>
      <c r="AM433" s="160"/>
      <c r="AN433" s="160"/>
    </row>
    <row r="434" spans="3:40" x14ac:dyDescent="0.3">
      <c r="C434" s="42"/>
      <c r="F434" s="184"/>
      <c r="H434" s="184"/>
      <c r="I434" s="184"/>
      <c r="J434" s="238"/>
      <c r="K434" s="238"/>
      <c r="L434" s="123"/>
      <c r="M434" s="123"/>
      <c r="N434" s="160"/>
      <c r="O434" s="160"/>
      <c r="P434" s="123"/>
      <c r="Q434" s="123"/>
      <c r="R434" s="123"/>
      <c r="T434" s="42"/>
      <c r="V434" s="123"/>
      <c r="Y434" s="123"/>
      <c r="Z434" s="238"/>
      <c r="AA434" s="123"/>
      <c r="AB434" s="123"/>
      <c r="AC434" s="160"/>
      <c r="AD434" s="160"/>
      <c r="AE434" s="123"/>
      <c r="AF434" s="123"/>
      <c r="AH434" s="236"/>
      <c r="AI434" s="123"/>
      <c r="AJ434" s="123"/>
      <c r="AL434" s="123"/>
      <c r="AM434" s="160"/>
      <c r="AN434" s="160"/>
    </row>
    <row r="435" spans="3:40" x14ac:dyDescent="0.3">
      <c r="C435" s="42"/>
      <c r="F435" s="184"/>
      <c r="H435" s="184"/>
      <c r="I435" s="184"/>
      <c r="J435" s="238"/>
      <c r="K435" s="238"/>
      <c r="L435" s="123"/>
      <c r="M435" s="123"/>
      <c r="N435" s="160"/>
      <c r="O435" s="160"/>
      <c r="P435" s="123"/>
      <c r="Q435" s="123"/>
      <c r="R435" s="123"/>
      <c r="T435" s="42"/>
      <c r="V435" s="123"/>
      <c r="Y435" s="123"/>
      <c r="Z435" s="238"/>
      <c r="AA435" s="123"/>
      <c r="AB435" s="123"/>
      <c r="AC435" s="160"/>
      <c r="AD435" s="160"/>
      <c r="AE435" s="123"/>
      <c r="AF435" s="123"/>
      <c r="AH435" s="236"/>
      <c r="AI435" s="123"/>
      <c r="AJ435" s="123"/>
      <c r="AL435" s="123"/>
      <c r="AM435" s="160"/>
      <c r="AN435" s="160"/>
    </row>
    <row r="436" spans="3:40" x14ac:dyDescent="0.3">
      <c r="C436" s="42"/>
      <c r="F436" s="184"/>
      <c r="H436" s="184"/>
      <c r="I436" s="184"/>
      <c r="J436" s="238"/>
      <c r="K436" s="238"/>
      <c r="L436" s="123"/>
      <c r="M436" s="123"/>
      <c r="N436" s="160"/>
      <c r="O436" s="160"/>
      <c r="P436" s="123"/>
      <c r="Q436" s="123"/>
      <c r="R436" s="123"/>
      <c r="T436" s="42"/>
      <c r="V436" s="123"/>
      <c r="Y436" s="123"/>
      <c r="Z436" s="238"/>
      <c r="AA436" s="123"/>
      <c r="AB436" s="123"/>
      <c r="AC436" s="160"/>
      <c r="AD436" s="160"/>
      <c r="AE436" s="123"/>
      <c r="AF436" s="123"/>
      <c r="AH436" s="236"/>
      <c r="AI436" s="123"/>
      <c r="AJ436" s="123"/>
      <c r="AL436" s="123"/>
      <c r="AM436" s="160"/>
      <c r="AN436" s="160"/>
    </row>
    <row r="437" spans="3:40" x14ac:dyDescent="0.3">
      <c r="C437" s="42"/>
      <c r="J437" s="188"/>
      <c r="K437" s="188"/>
      <c r="T437" s="42"/>
      <c r="Z437" s="188"/>
    </row>
    <row r="438" spans="3:40" x14ac:dyDescent="0.3">
      <c r="C438" s="42"/>
      <c r="F438" s="184"/>
      <c r="H438" s="184"/>
      <c r="I438" s="184"/>
      <c r="J438" s="238"/>
      <c r="K438" s="238"/>
      <c r="L438" s="123"/>
      <c r="M438" s="123"/>
      <c r="N438" s="160"/>
      <c r="O438" s="160"/>
      <c r="P438" s="123"/>
      <c r="Q438" s="123"/>
      <c r="R438" s="123"/>
      <c r="T438" s="42"/>
      <c r="V438" s="123"/>
      <c r="Y438" s="123"/>
      <c r="Z438" s="238"/>
      <c r="AA438" s="123"/>
      <c r="AB438" s="123"/>
      <c r="AC438" s="160"/>
      <c r="AD438" s="160"/>
      <c r="AE438" s="123"/>
      <c r="AF438" s="123"/>
      <c r="AH438" s="236"/>
      <c r="AI438" s="123"/>
      <c r="AJ438" s="123"/>
      <c r="AL438" s="123"/>
      <c r="AM438" s="160"/>
      <c r="AN438" s="160"/>
    </row>
    <row r="439" spans="3:40" x14ac:dyDescent="0.3">
      <c r="C439" s="42"/>
      <c r="F439" s="184"/>
      <c r="H439" s="184"/>
      <c r="I439" s="184"/>
      <c r="J439" s="238"/>
      <c r="K439" s="238"/>
      <c r="L439" s="123"/>
      <c r="M439" s="123"/>
      <c r="N439" s="160"/>
      <c r="O439" s="160"/>
      <c r="P439" s="123"/>
      <c r="Q439" s="123"/>
      <c r="R439" s="123"/>
      <c r="T439" s="42"/>
      <c r="V439" s="123"/>
      <c r="Y439" s="123"/>
      <c r="Z439" s="238"/>
      <c r="AA439" s="123"/>
      <c r="AB439" s="123"/>
      <c r="AC439" s="160"/>
      <c r="AD439" s="160"/>
      <c r="AE439" s="123"/>
      <c r="AF439" s="123"/>
      <c r="AH439" s="236"/>
      <c r="AI439" s="123"/>
      <c r="AJ439" s="123"/>
      <c r="AL439" s="123"/>
      <c r="AM439" s="160"/>
      <c r="AN439" s="160"/>
    </row>
    <row r="440" spans="3:40" x14ac:dyDescent="0.3">
      <c r="C440" s="42"/>
      <c r="F440" s="184"/>
      <c r="H440" s="184"/>
      <c r="I440" s="184"/>
      <c r="J440" s="238"/>
      <c r="K440" s="238"/>
      <c r="L440" s="123"/>
      <c r="M440" s="123"/>
      <c r="N440" s="160"/>
      <c r="O440" s="160"/>
      <c r="P440" s="123"/>
      <c r="Q440" s="123"/>
      <c r="R440" s="123"/>
      <c r="T440" s="42"/>
      <c r="V440" s="123"/>
      <c r="Y440" s="123"/>
      <c r="Z440" s="238"/>
      <c r="AA440" s="123"/>
      <c r="AB440" s="123"/>
      <c r="AC440" s="160"/>
      <c r="AD440" s="160"/>
      <c r="AE440" s="123"/>
      <c r="AF440" s="123"/>
      <c r="AH440" s="236"/>
      <c r="AI440" s="123"/>
      <c r="AJ440" s="123"/>
      <c r="AL440" s="123"/>
      <c r="AM440" s="160"/>
      <c r="AN440" s="160"/>
    </row>
    <row r="441" spans="3:40" x14ac:dyDescent="0.3">
      <c r="C441" s="42"/>
      <c r="F441" s="184"/>
      <c r="H441" s="184"/>
      <c r="I441" s="184"/>
      <c r="J441" s="238"/>
      <c r="K441" s="238"/>
      <c r="L441" s="123"/>
      <c r="M441" s="123"/>
      <c r="N441" s="160"/>
      <c r="O441" s="160"/>
      <c r="P441" s="123"/>
      <c r="Q441" s="123"/>
      <c r="R441" s="123"/>
      <c r="T441" s="42"/>
      <c r="V441" s="123"/>
      <c r="Y441" s="123"/>
      <c r="Z441" s="238"/>
      <c r="AA441" s="123"/>
      <c r="AB441" s="123"/>
      <c r="AC441" s="160"/>
      <c r="AD441" s="160"/>
      <c r="AE441" s="123"/>
      <c r="AF441" s="123"/>
      <c r="AH441" s="236"/>
      <c r="AI441" s="123"/>
      <c r="AJ441" s="123"/>
      <c r="AL441" s="123"/>
      <c r="AM441" s="160"/>
      <c r="AN441" s="160"/>
    </row>
    <row r="442" spans="3:40" x14ac:dyDescent="0.3">
      <c r="C442" s="42"/>
      <c r="J442" s="188"/>
      <c r="K442" s="188"/>
      <c r="T442" s="42"/>
      <c r="Z442" s="188"/>
    </row>
    <row r="443" spans="3:40" x14ac:dyDescent="0.3">
      <c r="C443" s="42"/>
      <c r="F443" s="184"/>
      <c r="H443" s="184"/>
      <c r="I443" s="184"/>
      <c r="J443" s="238"/>
      <c r="K443" s="238"/>
      <c r="L443" s="123"/>
      <c r="M443" s="123"/>
      <c r="N443" s="160"/>
      <c r="O443" s="160"/>
      <c r="P443" s="123"/>
      <c r="Q443" s="123"/>
      <c r="R443" s="123"/>
      <c r="T443" s="42"/>
      <c r="V443" s="123"/>
      <c r="Y443" s="123"/>
      <c r="Z443" s="238"/>
      <c r="AA443" s="123"/>
      <c r="AB443" s="123"/>
      <c r="AC443" s="160"/>
      <c r="AD443" s="160"/>
      <c r="AE443" s="123"/>
      <c r="AF443" s="123"/>
      <c r="AH443" s="236"/>
      <c r="AI443" s="123"/>
      <c r="AJ443" s="123"/>
      <c r="AL443" s="123"/>
      <c r="AM443" s="160"/>
      <c r="AN443" s="160"/>
    </row>
    <row r="444" spans="3:40" x14ac:dyDescent="0.3">
      <c r="C444" s="42"/>
      <c r="F444" s="184"/>
      <c r="H444" s="184"/>
      <c r="I444" s="184"/>
      <c r="J444" s="238"/>
      <c r="K444" s="238"/>
      <c r="L444" s="123"/>
      <c r="M444" s="123"/>
      <c r="N444" s="160"/>
      <c r="O444" s="160"/>
      <c r="P444" s="123"/>
      <c r="Q444" s="123"/>
      <c r="R444" s="123"/>
      <c r="T444" s="42"/>
      <c r="V444" s="123"/>
      <c r="Y444" s="123"/>
      <c r="Z444" s="238"/>
      <c r="AA444" s="123"/>
      <c r="AB444" s="123"/>
      <c r="AC444" s="160"/>
      <c r="AD444" s="160"/>
      <c r="AE444" s="123"/>
      <c r="AF444" s="123"/>
      <c r="AH444" s="236"/>
      <c r="AI444" s="123"/>
      <c r="AJ444" s="123"/>
      <c r="AL444" s="123"/>
      <c r="AM444" s="160"/>
      <c r="AN444" s="160"/>
    </row>
    <row r="445" spans="3:40" x14ac:dyDescent="0.3">
      <c r="C445" s="42"/>
      <c r="F445" s="184"/>
      <c r="H445" s="184"/>
      <c r="I445" s="184"/>
      <c r="J445" s="238"/>
      <c r="K445" s="238"/>
      <c r="L445" s="123"/>
      <c r="M445" s="123"/>
      <c r="N445" s="160"/>
      <c r="O445" s="160"/>
      <c r="P445" s="123"/>
      <c r="Q445" s="123"/>
      <c r="R445" s="123"/>
      <c r="T445" s="42"/>
      <c r="V445" s="123"/>
      <c r="Y445" s="123"/>
      <c r="Z445" s="238"/>
      <c r="AA445" s="123"/>
      <c r="AB445" s="123"/>
      <c r="AC445" s="160"/>
      <c r="AD445" s="160"/>
      <c r="AE445" s="123"/>
      <c r="AF445" s="123"/>
      <c r="AH445" s="236"/>
      <c r="AI445" s="123"/>
      <c r="AJ445" s="123"/>
      <c r="AL445" s="123"/>
      <c r="AM445" s="160"/>
      <c r="AN445" s="160"/>
    </row>
    <row r="446" spans="3:40" x14ac:dyDescent="0.3">
      <c r="C446" s="42"/>
      <c r="F446" s="184"/>
      <c r="H446" s="184"/>
      <c r="I446" s="184"/>
      <c r="J446" s="238"/>
      <c r="K446" s="238"/>
      <c r="L446" s="123"/>
      <c r="M446" s="123"/>
      <c r="N446" s="160"/>
      <c r="O446" s="160"/>
      <c r="P446" s="123"/>
      <c r="Q446" s="123"/>
      <c r="R446" s="123"/>
      <c r="T446" s="42"/>
      <c r="V446" s="123"/>
      <c r="Y446" s="123"/>
      <c r="Z446" s="238"/>
      <c r="AA446" s="123"/>
      <c r="AB446" s="123"/>
      <c r="AC446" s="160"/>
      <c r="AD446" s="160"/>
      <c r="AE446" s="123"/>
      <c r="AF446" s="123"/>
      <c r="AH446" s="236"/>
      <c r="AI446" s="123"/>
      <c r="AJ446" s="123"/>
      <c r="AL446" s="123"/>
      <c r="AM446" s="160"/>
      <c r="AN446" s="160"/>
    </row>
    <row r="447" spans="3:40" x14ac:dyDescent="0.3">
      <c r="C447" s="42"/>
      <c r="F447" s="184"/>
      <c r="H447" s="184"/>
      <c r="I447" s="184"/>
      <c r="J447" s="238"/>
      <c r="K447" s="238"/>
      <c r="L447" s="123"/>
      <c r="M447" s="123"/>
      <c r="N447" s="160"/>
      <c r="O447" s="160"/>
      <c r="P447" s="123"/>
      <c r="Q447" s="123"/>
      <c r="R447" s="123"/>
      <c r="T447" s="42"/>
      <c r="V447" s="123"/>
      <c r="Y447" s="123"/>
      <c r="Z447" s="238"/>
      <c r="AA447" s="123"/>
      <c r="AB447" s="123"/>
      <c r="AC447" s="160"/>
      <c r="AD447" s="160"/>
      <c r="AE447" s="123"/>
      <c r="AF447" s="123"/>
      <c r="AH447" s="236"/>
      <c r="AI447" s="123"/>
      <c r="AJ447" s="123"/>
      <c r="AL447" s="123"/>
      <c r="AM447" s="160"/>
      <c r="AN447" s="160"/>
    </row>
    <row r="448" spans="3:40" x14ac:dyDescent="0.3">
      <c r="F448" s="210"/>
      <c r="H448" s="210"/>
      <c r="I448" s="210"/>
      <c r="J448" s="213"/>
      <c r="K448" s="213"/>
      <c r="L448" s="210"/>
      <c r="M448" s="210"/>
      <c r="N448" s="210"/>
      <c r="O448" s="210"/>
      <c r="P448" s="210"/>
      <c r="Q448" s="210"/>
      <c r="R448" s="210"/>
      <c r="V448" s="210"/>
      <c r="Y448" s="210"/>
      <c r="Z448" s="238"/>
      <c r="AA448" s="210"/>
      <c r="AB448" s="210"/>
      <c r="AC448" s="210"/>
      <c r="AD448" s="210"/>
      <c r="AE448" s="210"/>
      <c r="AF448" s="210"/>
      <c r="AI448" s="210"/>
      <c r="AJ448" s="210"/>
      <c r="AK448" s="214"/>
      <c r="AL448" s="210"/>
    </row>
    <row r="449" spans="1:40" x14ac:dyDescent="0.3">
      <c r="C449" s="42"/>
      <c r="F449" s="123"/>
      <c r="H449" s="123"/>
      <c r="I449" s="123"/>
      <c r="L449" s="123"/>
      <c r="M449" s="123"/>
      <c r="N449" s="236"/>
      <c r="O449" s="236"/>
      <c r="P449" s="123"/>
      <c r="Q449" s="123"/>
      <c r="R449" s="123"/>
      <c r="T449" s="42"/>
      <c r="V449" s="123"/>
      <c r="Y449" s="123"/>
      <c r="AA449" s="123"/>
      <c r="AB449" s="123"/>
      <c r="AC449" s="160"/>
      <c r="AD449" s="160"/>
      <c r="AE449" s="123"/>
      <c r="AF449" s="123"/>
      <c r="AH449" s="236"/>
      <c r="AI449" s="123"/>
      <c r="AJ449" s="123"/>
      <c r="AL449" s="123"/>
      <c r="AM449" s="160"/>
      <c r="AN449" s="160"/>
    </row>
    <row r="450" spans="1:40" x14ac:dyDescent="0.3">
      <c r="F450" s="210"/>
      <c r="H450" s="210"/>
      <c r="I450" s="210"/>
      <c r="J450" s="213"/>
      <c r="K450" s="213"/>
      <c r="L450" s="210"/>
      <c r="M450" s="210"/>
      <c r="N450" s="210"/>
      <c r="O450" s="210"/>
      <c r="P450" s="210"/>
      <c r="Q450" s="210"/>
      <c r="R450" s="210"/>
      <c r="V450" s="210"/>
      <c r="Y450" s="210"/>
      <c r="Z450" s="213"/>
      <c r="AA450" s="210"/>
      <c r="AB450" s="210"/>
      <c r="AC450" s="210"/>
      <c r="AD450" s="210"/>
      <c r="AE450" s="210"/>
      <c r="AF450" s="210"/>
      <c r="AI450" s="210"/>
      <c r="AJ450" s="210"/>
      <c r="AK450" s="214"/>
      <c r="AL450" s="210"/>
    </row>
    <row r="451" spans="1:40" x14ac:dyDescent="0.3">
      <c r="C451" s="42"/>
      <c r="T451" s="42"/>
    </row>
    <row r="452" spans="1:40" x14ac:dyDescent="0.3">
      <c r="C452" s="42"/>
      <c r="F452" s="184"/>
      <c r="H452" s="184"/>
      <c r="I452" s="184"/>
      <c r="J452" s="193"/>
      <c r="K452" s="193"/>
      <c r="L452" s="123"/>
      <c r="M452" s="123"/>
      <c r="N452" s="160"/>
      <c r="O452" s="160"/>
      <c r="P452" s="123"/>
      <c r="Q452" s="123"/>
      <c r="R452" s="123"/>
      <c r="T452" s="42"/>
      <c r="V452" s="123"/>
      <c r="Y452" s="123"/>
      <c r="Z452" s="193"/>
      <c r="AA452" s="123"/>
      <c r="AB452" s="123"/>
      <c r="AC452" s="160"/>
      <c r="AD452" s="160"/>
      <c r="AE452" s="123"/>
      <c r="AF452" s="123"/>
      <c r="AH452" s="236"/>
      <c r="AI452" s="123"/>
      <c r="AJ452" s="123"/>
      <c r="AL452" s="123"/>
      <c r="AM452" s="160"/>
      <c r="AN452" s="160"/>
    </row>
    <row r="453" spans="1:40" x14ac:dyDescent="0.3">
      <c r="C453" s="42"/>
      <c r="F453" s="184"/>
      <c r="H453" s="184"/>
      <c r="I453" s="184"/>
      <c r="J453" s="193"/>
      <c r="K453" s="193"/>
      <c r="L453" s="123"/>
      <c r="M453" s="123"/>
      <c r="N453" s="160"/>
      <c r="O453" s="160"/>
      <c r="P453" s="123"/>
      <c r="Q453" s="123"/>
      <c r="R453" s="123"/>
      <c r="T453" s="42"/>
      <c r="V453" s="123"/>
      <c r="Y453" s="123"/>
      <c r="Z453" s="193"/>
      <c r="AA453" s="123"/>
      <c r="AB453" s="123"/>
      <c r="AC453" s="160"/>
      <c r="AD453" s="160"/>
      <c r="AE453" s="123"/>
      <c r="AF453" s="123"/>
      <c r="AH453" s="236"/>
      <c r="AI453" s="123"/>
      <c r="AJ453" s="123"/>
      <c r="AL453" s="123"/>
      <c r="AM453" s="160"/>
      <c r="AN453" s="160"/>
    </row>
    <row r="454" spans="1:40" x14ac:dyDescent="0.3">
      <c r="F454" s="210"/>
      <c r="H454" s="123"/>
      <c r="I454" s="123"/>
      <c r="J454" s="213"/>
      <c r="K454" s="213"/>
      <c r="L454" s="210"/>
      <c r="M454" s="210"/>
      <c r="N454" s="210"/>
      <c r="O454" s="210"/>
      <c r="P454" s="210"/>
      <c r="Q454" s="210"/>
      <c r="R454" s="210"/>
      <c r="V454" s="210"/>
      <c r="Y454" s="123"/>
      <c r="Z454" s="213"/>
      <c r="AA454" s="210"/>
      <c r="AB454" s="210"/>
      <c r="AC454" s="210"/>
      <c r="AD454" s="210"/>
      <c r="AE454" s="210"/>
      <c r="AF454" s="210"/>
      <c r="AI454" s="210"/>
      <c r="AJ454" s="210"/>
      <c r="AK454" s="214"/>
      <c r="AL454" s="210"/>
    </row>
    <row r="455" spans="1:40" x14ac:dyDescent="0.3">
      <c r="F455" s="123"/>
      <c r="H455" s="123"/>
      <c r="I455" s="123"/>
      <c r="J455" s="213"/>
      <c r="K455" s="213"/>
      <c r="L455" s="123"/>
      <c r="M455" s="123"/>
      <c r="N455" s="123"/>
      <c r="O455" s="123"/>
      <c r="P455" s="123"/>
      <c r="Q455" s="123"/>
      <c r="R455" s="123"/>
      <c r="V455" s="123"/>
      <c r="Y455" s="123"/>
      <c r="Z455" s="213"/>
      <c r="AA455" s="123"/>
      <c r="AB455" s="123"/>
      <c r="AC455" s="123"/>
      <c r="AD455" s="123"/>
      <c r="AE455" s="123"/>
      <c r="AF455" s="123"/>
      <c r="AI455" s="123"/>
      <c r="AJ455" s="123"/>
      <c r="AL455" s="123"/>
    </row>
    <row r="456" spans="1:40" x14ac:dyDescent="0.3">
      <c r="C456" s="42"/>
      <c r="F456" s="123"/>
      <c r="H456" s="123"/>
      <c r="I456" s="123"/>
      <c r="L456" s="123"/>
      <c r="M456" s="123"/>
      <c r="N456" s="160"/>
      <c r="O456" s="160"/>
      <c r="P456" s="123"/>
      <c r="Q456" s="123"/>
      <c r="R456" s="123"/>
      <c r="T456" s="42"/>
      <c r="V456" s="123"/>
      <c r="Y456" s="123"/>
      <c r="AA456" s="123"/>
      <c r="AB456" s="123"/>
      <c r="AC456" s="160"/>
      <c r="AD456" s="160"/>
      <c r="AE456" s="123"/>
      <c r="AF456" s="123"/>
      <c r="AH456" s="236"/>
      <c r="AI456" s="184"/>
      <c r="AJ456" s="184"/>
      <c r="AL456" s="123"/>
      <c r="AM456" s="160"/>
      <c r="AN456" s="160"/>
    </row>
    <row r="457" spans="1:40" x14ac:dyDescent="0.3">
      <c r="F457" s="210"/>
      <c r="H457" s="210"/>
      <c r="I457" s="210"/>
      <c r="J457" s="213"/>
      <c r="K457" s="213"/>
      <c r="L457" s="210"/>
      <c r="M457" s="210"/>
      <c r="N457" s="210"/>
      <c r="O457" s="210"/>
      <c r="P457" s="210"/>
      <c r="Q457" s="210"/>
      <c r="R457" s="210"/>
      <c r="V457" s="210"/>
      <c r="Y457" s="210"/>
      <c r="Z457" s="213"/>
      <c r="AA457" s="210"/>
      <c r="AB457" s="210"/>
      <c r="AC457" s="210"/>
      <c r="AD457" s="210"/>
      <c r="AE457" s="210"/>
      <c r="AF457" s="210"/>
      <c r="AI457" s="210"/>
      <c r="AJ457" s="210"/>
      <c r="AK457" s="214"/>
      <c r="AL457" s="210"/>
    </row>
    <row r="459" spans="1:40" x14ac:dyDescent="0.3">
      <c r="A459" s="42"/>
      <c r="T459" s="42"/>
    </row>
    <row r="460" spans="1:40" x14ac:dyDescent="0.3">
      <c r="A460" s="42"/>
      <c r="T460" s="42"/>
    </row>
    <row r="461" spans="1:40" x14ac:dyDescent="0.3">
      <c r="A461" s="42"/>
      <c r="T461" s="42"/>
    </row>
    <row r="462" spans="1:40" x14ac:dyDescent="0.3">
      <c r="A462" s="42"/>
      <c r="T462" s="42"/>
    </row>
    <row r="463" spans="1:40" x14ac:dyDescent="0.3">
      <c r="A463" s="42"/>
      <c r="T463" s="42"/>
    </row>
    <row r="464" spans="1:40" x14ac:dyDescent="0.3">
      <c r="A464" s="42"/>
      <c r="T464" s="42"/>
    </row>
    <row r="465" spans="1:40" x14ac:dyDescent="0.3">
      <c r="A465" s="42"/>
      <c r="T465" s="42"/>
    </row>
    <row r="466" spans="1:40" x14ac:dyDescent="0.3">
      <c r="A466" s="42"/>
      <c r="T466" s="42"/>
    </row>
    <row r="467" spans="1:40" x14ac:dyDescent="0.3">
      <c r="A467" s="42"/>
      <c r="T467" s="42"/>
    </row>
    <row r="469" spans="1:40" x14ac:dyDescent="0.3">
      <c r="A469" s="42"/>
    </row>
    <row r="471" spans="1:40" x14ac:dyDescent="0.3">
      <c r="H471" s="42"/>
      <c r="I471" s="42"/>
      <c r="Y471" s="42"/>
    </row>
    <row r="473" spans="1:40" x14ac:dyDescent="0.3">
      <c r="L473" s="42"/>
      <c r="M473" s="42"/>
      <c r="AA473" s="42"/>
      <c r="AB473" s="42"/>
    </row>
    <row r="474" spans="1:40" x14ac:dyDescent="0.3">
      <c r="R474" s="42"/>
      <c r="AK474" s="206"/>
      <c r="AL474" s="42"/>
    </row>
    <row r="475" spans="1:40" x14ac:dyDescent="0.3">
      <c r="R475" s="42"/>
      <c r="AK475" s="206"/>
      <c r="AL475" s="42"/>
    </row>
    <row r="476" spans="1:40" x14ac:dyDescent="0.3">
      <c r="A476" s="42"/>
      <c r="R476" s="42"/>
      <c r="AK476" s="206"/>
      <c r="AL476" s="42"/>
    </row>
    <row r="477" spans="1:40" x14ac:dyDescent="0.3">
      <c r="L477" s="42"/>
      <c r="M477" s="42"/>
      <c r="AA477" s="42"/>
      <c r="AB477" s="42"/>
    </row>
    <row r="478" spans="1:40" x14ac:dyDescent="0.3">
      <c r="A478" s="135"/>
      <c r="B478" s="135"/>
      <c r="C478" s="135"/>
      <c r="D478" s="135"/>
      <c r="E478" s="135"/>
      <c r="F478" s="135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207"/>
      <c r="AH478" s="135"/>
      <c r="AI478" s="135"/>
      <c r="AJ478" s="135"/>
      <c r="AK478" s="207"/>
      <c r="AL478" s="135"/>
      <c r="AM478" s="135"/>
      <c r="AN478" s="135"/>
    </row>
    <row r="479" spans="1:40" x14ac:dyDescent="0.3">
      <c r="L479" s="44"/>
      <c r="M479" s="44"/>
      <c r="N479" s="44"/>
      <c r="O479" s="44"/>
      <c r="R479" s="44"/>
      <c r="AA479" s="44"/>
      <c r="AB479" s="44"/>
      <c r="AC479" s="44"/>
      <c r="AD479" s="44"/>
      <c r="AE479" s="44"/>
      <c r="AF479" s="44"/>
      <c r="AG479" s="168"/>
      <c r="AH479" s="44"/>
      <c r="AK479" s="168"/>
      <c r="AL479" s="44"/>
      <c r="AM479" s="44"/>
      <c r="AN479" s="44"/>
    </row>
    <row r="480" spans="1:40" x14ac:dyDescent="0.3">
      <c r="L480" s="44"/>
      <c r="M480" s="44"/>
      <c r="N480" s="44"/>
      <c r="O480" s="44"/>
      <c r="R480" s="44"/>
      <c r="Z480" s="44"/>
      <c r="AA480" s="44"/>
      <c r="AB480" s="44"/>
      <c r="AC480" s="44"/>
      <c r="AD480" s="44"/>
      <c r="AE480" s="44"/>
      <c r="AF480" s="44"/>
      <c r="AG480" s="168"/>
      <c r="AH480" s="44"/>
      <c r="AK480" s="168"/>
      <c r="AL480" s="44"/>
      <c r="AM480" s="44"/>
      <c r="AN480" s="44"/>
    </row>
    <row r="481" spans="1:40" x14ac:dyDescent="0.3">
      <c r="A481" s="44"/>
      <c r="C481" s="44"/>
      <c r="D481" s="44"/>
      <c r="E481" s="44"/>
      <c r="F481" s="44"/>
      <c r="J481" s="44"/>
      <c r="K481" s="44"/>
      <c r="L481" s="44"/>
      <c r="M481" s="44"/>
      <c r="N481" s="44"/>
      <c r="O481" s="44"/>
      <c r="P481" s="44"/>
      <c r="Q481" s="44"/>
      <c r="R481" s="44"/>
      <c r="T481" s="44"/>
      <c r="U481" s="44"/>
      <c r="V481" s="44"/>
      <c r="Z481" s="44"/>
      <c r="AA481" s="44"/>
      <c r="AB481" s="44"/>
      <c r="AC481" s="44"/>
      <c r="AD481" s="44"/>
      <c r="AE481" s="44"/>
      <c r="AF481" s="44"/>
      <c r="AG481" s="168"/>
      <c r="AH481" s="44"/>
      <c r="AI481" s="44"/>
      <c r="AJ481" s="44"/>
      <c r="AK481" s="168"/>
      <c r="AL481" s="44"/>
      <c r="AM481" s="44"/>
      <c r="AN481" s="44"/>
    </row>
    <row r="482" spans="1:40" x14ac:dyDescent="0.3">
      <c r="A482" s="44"/>
      <c r="C482" s="44"/>
      <c r="D482" s="44"/>
      <c r="E482" s="44"/>
      <c r="F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T482" s="44"/>
      <c r="U482" s="44"/>
      <c r="V482" s="44"/>
      <c r="Y482" s="44"/>
      <c r="Z482" s="44"/>
      <c r="AA482" s="44"/>
      <c r="AB482" s="44"/>
      <c r="AC482" s="44"/>
      <c r="AD482" s="44"/>
      <c r="AE482" s="44"/>
      <c r="AF482" s="44"/>
      <c r="AG482" s="168"/>
      <c r="AH482" s="44"/>
      <c r="AI482" s="44"/>
      <c r="AJ482" s="44"/>
      <c r="AK482" s="168"/>
      <c r="AL482" s="44"/>
      <c r="AM482" s="44"/>
      <c r="AN482" s="44"/>
    </row>
    <row r="483" spans="1:40" x14ac:dyDescent="0.3">
      <c r="C483" s="44"/>
      <c r="D483" s="44"/>
      <c r="E483" s="44"/>
      <c r="F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T483" s="44"/>
      <c r="U483" s="44"/>
      <c r="V483" s="44"/>
      <c r="Y483" s="44"/>
      <c r="Z483" s="44"/>
      <c r="AA483" s="44"/>
      <c r="AB483" s="44"/>
      <c r="AC483" s="44"/>
      <c r="AD483" s="44"/>
      <c r="AE483" s="44"/>
      <c r="AF483" s="44"/>
      <c r="AG483" s="168"/>
      <c r="AH483" s="44"/>
      <c r="AI483" s="44"/>
      <c r="AJ483" s="44"/>
      <c r="AK483" s="168"/>
      <c r="AL483" s="44"/>
      <c r="AM483" s="44"/>
      <c r="AN483" s="44"/>
    </row>
    <row r="484" spans="1:40" x14ac:dyDescent="0.3">
      <c r="A484" s="135"/>
      <c r="B484" s="135"/>
      <c r="C484" s="135"/>
      <c r="D484" s="135"/>
      <c r="E484" s="135"/>
      <c r="F484" s="135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207"/>
      <c r="AH484" s="135"/>
      <c r="AI484" s="135"/>
      <c r="AJ484" s="135"/>
      <c r="AK484" s="207"/>
      <c r="AL484" s="135"/>
      <c r="AM484" s="135"/>
      <c r="AN484" s="135"/>
    </row>
    <row r="485" spans="1:40" x14ac:dyDescent="0.3"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Y485" s="44"/>
      <c r="Z485" s="44"/>
      <c r="AA485" s="44"/>
      <c r="AB485" s="44"/>
      <c r="AC485" s="44"/>
      <c r="AD485" s="44"/>
      <c r="AE485" s="44"/>
      <c r="AF485" s="44"/>
      <c r="AG485" s="168"/>
      <c r="AH485" s="44"/>
      <c r="AI485" s="44"/>
      <c r="AJ485" s="44"/>
      <c r="AK485" s="168"/>
      <c r="AL485" s="44"/>
      <c r="AM485" s="44"/>
      <c r="AN485" s="44"/>
    </row>
    <row r="486" spans="1:40" x14ac:dyDescent="0.3">
      <c r="C486" s="42"/>
      <c r="D486" s="42"/>
      <c r="E486" s="42"/>
      <c r="T486" s="42"/>
      <c r="U486" s="42"/>
    </row>
    <row r="487" spans="1:40" x14ac:dyDescent="0.3">
      <c r="D487" s="42"/>
      <c r="E487" s="42"/>
      <c r="U487" s="42"/>
    </row>
    <row r="489" spans="1:40" x14ac:dyDescent="0.3">
      <c r="C489" s="42"/>
      <c r="F489" s="123"/>
      <c r="J489" s="209"/>
      <c r="K489" s="209"/>
      <c r="L489" s="123"/>
      <c r="M489" s="123"/>
      <c r="R489" s="123"/>
      <c r="T489" s="42"/>
      <c r="V489" s="123"/>
      <c r="Z489" s="209"/>
      <c r="AA489" s="123"/>
      <c r="AB489" s="123"/>
      <c r="AH489" s="123"/>
      <c r="AL489" s="123"/>
    </row>
    <row r="490" spans="1:40" x14ac:dyDescent="0.3">
      <c r="C490" s="42"/>
      <c r="F490" s="123"/>
      <c r="R490" s="123"/>
      <c r="T490" s="42"/>
      <c r="V490" s="123"/>
      <c r="AH490" s="123"/>
      <c r="AL490" s="123"/>
    </row>
    <row r="491" spans="1:40" x14ac:dyDescent="0.3">
      <c r="AI491" s="123"/>
      <c r="AJ491" s="123"/>
      <c r="AL491" s="123"/>
      <c r="AM491" s="160"/>
      <c r="AN491" s="160"/>
    </row>
    <row r="492" spans="1:40" x14ac:dyDescent="0.3">
      <c r="C492" s="42"/>
      <c r="F492" s="184"/>
      <c r="H492" s="184"/>
      <c r="I492" s="184"/>
      <c r="J492" s="237"/>
      <c r="K492" s="237"/>
      <c r="L492" s="123"/>
      <c r="M492" s="123"/>
      <c r="N492" s="160"/>
      <c r="O492" s="160"/>
      <c r="P492" s="123"/>
      <c r="Q492" s="123"/>
      <c r="R492" s="123"/>
      <c r="T492" s="42"/>
      <c r="V492" s="123"/>
      <c r="Y492" s="123"/>
      <c r="Z492" s="237"/>
      <c r="AA492" s="123"/>
      <c r="AB492" s="123"/>
      <c r="AC492" s="160"/>
      <c r="AD492" s="160"/>
      <c r="AE492" s="123"/>
      <c r="AF492" s="123"/>
      <c r="AH492" s="236"/>
      <c r="AI492" s="123"/>
      <c r="AJ492" s="123"/>
      <c r="AL492" s="123"/>
      <c r="AM492" s="160"/>
      <c r="AN492" s="160"/>
    </row>
    <row r="493" spans="1:40" x14ac:dyDescent="0.3">
      <c r="F493" s="123"/>
      <c r="H493" s="123"/>
      <c r="I493" s="123"/>
      <c r="J493" s="219"/>
      <c r="K493" s="219"/>
      <c r="L493" s="123"/>
      <c r="M493" s="123"/>
      <c r="P493" s="123"/>
      <c r="Q493" s="123"/>
      <c r="R493" s="123"/>
      <c r="V493" s="123"/>
      <c r="Y493" s="123"/>
      <c r="Z493" s="219"/>
      <c r="AA493" s="123"/>
      <c r="AB493" s="123"/>
      <c r="AI493" s="123"/>
      <c r="AJ493" s="123"/>
      <c r="AL493" s="123"/>
      <c r="AM493" s="160"/>
      <c r="AN493" s="160"/>
    </row>
    <row r="494" spans="1:40" x14ac:dyDescent="0.3">
      <c r="F494" s="123"/>
      <c r="R494" s="123"/>
      <c r="V494" s="123"/>
      <c r="AL494" s="123"/>
      <c r="AM494" s="160"/>
      <c r="AN494" s="160"/>
    </row>
    <row r="495" spans="1:40" x14ac:dyDescent="0.3">
      <c r="C495" s="42"/>
      <c r="F495" s="123"/>
      <c r="J495" s="209"/>
      <c r="K495" s="209"/>
      <c r="L495" s="123"/>
      <c r="M495" s="123"/>
      <c r="N495" s="160"/>
      <c r="O495" s="160"/>
      <c r="R495" s="123"/>
      <c r="T495" s="42"/>
      <c r="V495" s="123"/>
      <c r="Z495" s="209"/>
      <c r="AA495" s="123"/>
      <c r="AB495" s="123"/>
      <c r="AC495" s="160"/>
      <c r="AD495" s="160"/>
      <c r="AL495" s="123"/>
      <c r="AM495" s="160"/>
      <c r="AN495" s="160"/>
    </row>
    <row r="496" spans="1:40" x14ac:dyDescent="0.3">
      <c r="C496" s="42"/>
      <c r="F496" s="123"/>
      <c r="H496" s="123"/>
      <c r="I496" s="123"/>
      <c r="J496" s="209"/>
      <c r="K496" s="209"/>
      <c r="L496" s="123"/>
      <c r="M496" s="123"/>
      <c r="N496" s="160"/>
      <c r="O496" s="160"/>
      <c r="P496" s="123"/>
      <c r="Q496" s="123"/>
      <c r="R496" s="123"/>
      <c r="T496" s="42"/>
      <c r="V496" s="123"/>
      <c r="Y496" s="123"/>
      <c r="Z496" s="209"/>
      <c r="AA496" s="123"/>
      <c r="AB496" s="123"/>
      <c r="AC496" s="160"/>
      <c r="AD496" s="160"/>
      <c r="AI496" s="123"/>
      <c r="AJ496" s="123"/>
      <c r="AL496" s="123"/>
      <c r="AM496" s="160"/>
      <c r="AN496" s="160"/>
    </row>
    <row r="497" spans="1:40" x14ac:dyDescent="0.3">
      <c r="C497" s="42"/>
      <c r="T497" s="42"/>
      <c r="AM497" s="160"/>
      <c r="AN497" s="160"/>
    </row>
    <row r="498" spans="1:40" x14ac:dyDescent="0.3">
      <c r="C498" s="42"/>
      <c r="T498" s="42"/>
      <c r="AM498" s="160"/>
      <c r="AN498" s="160"/>
    </row>
    <row r="499" spans="1:40" x14ac:dyDescent="0.3">
      <c r="AM499" s="160"/>
      <c r="AN499" s="160"/>
    </row>
    <row r="500" spans="1:40" x14ac:dyDescent="0.3">
      <c r="C500" s="42"/>
      <c r="F500" s="184"/>
      <c r="H500" s="184"/>
      <c r="I500" s="184"/>
      <c r="J500" s="237"/>
      <c r="K500" s="237"/>
      <c r="L500" s="123"/>
      <c r="M500" s="123"/>
      <c r="N500" s="160"/>
      <c r="O500" s="160"/>
      <c r="P500" s="123"/>
      <c r="Q500" s="123"/>
      <c r="R500" s="123"/>
      <c r="T500" s="42"/>
      <c r="V500" s="123"/>
      <c r="Y500" s="123"/>
      <c r="Z500" s="237"/>
      <c r="AA500" s="123"/>
      <c r="AB500" s="123"/>
      <c r="AC500" s="160"/>
      <c r="AD500" s="160"/>
      <c r="AE500" s="123"/>
      <c r="AF500" s="123"/>
      <c r="AH500" s="236"/>
      <c r="AI500" s="123"/>
      <c r="AJ500" s="123"/>
      <c r="AL500" s="123"/>
      <c r="AM500" s="160"/>
      <c r="AN500" s="160"/>
    </row>
    <row r="501" spans="1:40" x14ac:dyDescent="0.3">
      <c r="F501" s="210"/>
      <c r="H501" s="210"/>
      <c r="I501" s="210"/>
      <c r="J501" s="213"/>
      <c r="K501" s="213"/>
      <c r="L501" s="210"/>
      <c r="M501" s="210"/>
      <c r="N501" s="210"/>
      <c r="O501" s="210"/>
      <c r="P501" s="210"/>
      <c r="Q501" s="210"/>
      <c r="R501" s="210"/>
      <c r="V501" s="210"/>
      <c r="Y501" s="210"/>
      <c r="Z501" s="213"/>
      <c r="AA501" s="210"/>
      <c r="AB501" s="210"/>
      <c r="AC501" s="210"/>
      <c r="AD501" s="210"/>
      <c r="AE501" s="210"/>
      <c r="AF501" s="210"/>
      <c r="AI501" s="210"/>
      <c r="AJ501" s="210"/>
      <c r="AK501" s="214"/>
      <c r="AL501" s="210"/>
      <c r="AM501" s="160"/>
      <c r="AN501" s="160"/>
    </row>
    <row r="502" spans="1:40" x14ac:dyDescent="0.3">
      <c r="H502" s="123"/>
      <c r="I502" s="123"/>
      <c r="Y502" s="123"/>
      <c r="AM502" s="160"/>
      <c r="AN502" s="160"/>
    </row>
    <row r="503" spans="1:40" x14ac:dyDescent="0.3">
      <c r="C503" s="42"/>
      <c r="F503" s="123"/>
      <c r="H503" s="123"/>
      <c r="I503" s="123"/>
      <c r="L503" s="123"/>
      <c r="M503" s="123"/>
      <c r="N503" s="160"/>
      <c r="O503" s="160"/>
      <c r="P503" s="184"/>
      <c r="Q503" s="184"/>
      <c r="R503" s="123"/>
      <c r="T503" s="42"/>
      <c r="V503" s="123"/>
      <c r="Y503" s="123"/>
      <c r="AA503" s="123"/>
      <c r="AB503" s="123"/>
      <c r="AC503" s="160"/>
      <c r="AD503" s="160"/>
      <c r="AE503" s="123"/>
      <c r="AF503" s="123"/>
      <c r="AH503" s="236"/>
      <c r="AI503" s="184"/>
      <c r="AJ503" s="184"/>
      <c r="AL503" s="123"/>
      <c r="AM503" s="160"/>
      <c r="AN503" s="160"/>
    </row>
    <row r="504" spans="1:40" x14ac:dyDescent="0.3">
      <c r="F504" s="210"/>
      <c r="H504" s="210"/>
      <c r="I504" s="210"/>
      <c r="J504" s="213"/>
      <c r="K504" s="213"/>
      <c r="L504" s="210"/>
      <c r="M504" s="210"/>
      <c r="N504" s="210"/>
      <c r="O504" s="210"/>
      <c r="P504" s="210"/>
      <c r="Q504" s="210"/>
      <c r="R504" s="210"/>
      <c r="V504" s="210"/>
      <c r="Y504" s="210"/>
      <c r="Z504" s="213"/>
      <c r="AA504" s="210"/>
      <c r="AB504" s="210"/>
      <c r="AC504" s="210"/>
      <c r="AD504" s="210"/>
      <c r="AE504" s="210"/>
      <c r="AF504" s="210"/>
      <c r="AI504" s="210"/>
      <c r="AJ504" s="210"/>
      <c r="AK504" s="214"/>
      <c r="AL504" s="210"/>
      <c r="AM504" s="160"/>
      <c r="AN504" s="160"/>
    </row>
    <row r="506" spans="1:40" x14ac:dyDescent="0.3">
      <c r="F506" s="123"/>
      <c r="H506" s="123"/>
      <c r="I506" s="123"/>
      <c r="J506" s="219"/>
      <c r="K506" s="219"/>
      <c r="L506" s="123"/>
      <c r="M506" s="123"/>
      <c r="N506" s="123"/>
      <c r="O506" s="123"/>
      <c r="P506" s="123"/>
      <c r="Q506" s="123"/>
      <c r="R506" s="123"/>
      <c r="V506" s="123"/>
      <c r="Y506" s="123"/>
      <c r="Z506" s="219"/>
      <c r="AA506" s="123"/>
      <c r="AB506" s="123"/>
      <c r="AC506" s="123"/>
      <c r="AD506" s="123"/>
      <c r="AE506" s="123"/>
      <c r="AF506" s="123"/>
      <c r="AH506" s="123"/>
      <c r="AI506" s="123"/>
      <c r="AJ506" s="123"/>
      <c r="AL506" s="123"/>
    </row>
    <row r="507" spans="1:40" x14ac:dyDescent="0.3">
      <c r="A507" s="42"/>
    </row>
    <row r="509" spans="1:40" x14ac:dyDescent="0.3">
      <c r="H509" s="42"/>
      <c r="I509" s="42"/>
      <c r="Y509" s="42"/>
    </row>
    <row r="511" spans="1:40" x14ac:dyDescent="0.3">
      <c r="L511" s="42"/>
      <c r="M511" s="42"/>
      <c r="AA511" s="42"/>
      <c r="AB511" s="42"/>
    </row>
    <row r="512" spans="1:40" x14ac:dyDescent="0.3">
      <c r="R512" s="42"/>
      <c r="AK512" s="206"/>
      <c r="AL512" s="42"/>
    </row>
    <row r="513" spans="1:40" x14ac:dyDescent="0.3">
      <c r="R513" s="42"/>
      <c r="AK513" s="206"/>
      <c r="AL513" s="42"/>
    </row>
    <row r="514" spans="1:40" x14ac:dyDescent="0.3">
      <c r="A514" s="42"/>
      <c r="R514" s="42"/>
      <c r="AK514" s="206"/>
      <c r="AL514" s="42"/>
    </row>
    <row r="515" spans="1:40" x14ac:dyDescent="0.3">
      <c r="L515" s="42"/>
      <c r="M515" s="42"/>
      <c r="AA515" s="42"/>
      <c r="AB515" s="42"/>
    </row>
    <row r="516" spans="1:40" x14ac:dyDescent="0.3">
      <c r="A516" s="135"/>
      <c r="B516" s="135"/>
      <c r="C516" s="135"/>
      <c r="D516" s="135"/>
      <c r="E516" s="135"/>
      <c r="F516" s="135"/>
      <c r="G516" s="135"/>
      <c r="H516" s="135"/>
      <c r="I516" s="135"/>
      <c r="J516" s="135"/>
      <c r="K516" s="135"/>
      <c r="L516" s="135"/>
      <c r="M516" s="135"/>
      <c r="N516" s="135"/>
      <c r="O516" s="135"/>
      <c r="P516" s="135"/>
      <c r="Q516" s="135"/>
      <c r="R516" s="135"/>
      <c r="T516" s="135"/>
      <c r="U516" s="135"/>
      <c r="V516" s="135"/>
      <c r="W516" s="135"/>
      <c r="X516" s="135"/>
      <c r="Y516" s="135"/>
      <c r="Z516" s="135"/>
      <c r="AA516" s="135"/>
      <c r="AB516" s="135"/>
      <c r="AC516" s="135"/>
      <c r="AD516" s="135"/>
      <c r="AE516" s="135"/>
      <c r="AF516" s="135"/>
      <c r="AG516" s="207"/>
      <c r="AH516" s="135"/>
      <c r="AI516" s="135"/>
      <c r="AJ516" s="135"/>
      <c r="AK516" s="207"/>
      <c r="AL516" s="135"/>
      <c r="AM516" s="135"/>
      <c r="AN516" s="135"/>
    </row>
    <row r="517" spans="1:40" x14ac:dyDescent="0.3">
      <c r="L517" s="44"/>
      <c r="M517" s="44"/>
      <c r="N517" s="44"/>
      <c r="O517" s="44"/>
      <c r="R517" s="44"/>
      <c r="AA517" s="44"/>
      <c r="AB517" s="44"/>
      <c r="AC517" s="44"/>
      <c r="AD517" s="44"/>
      <c r="AE517" s="44"/>
      <c r="AF517" s="44"/>
      <c r="AG517" s="168"/>
      <c r="AH517" s="44"/>
      <c r="AK517" s="168"/>
      <c r="AL517" s="44"/>
      <c r="AM517" s="44"/>
      <c r="AN517" s="44"/>
    </row>
    <row r="518" spans="1:40" x14ac:dyDescent="0.3">
      <c r="L518" s="44"/>
      <c r="M518" s="44"/>
      <c r="N518" s="44"/>
      <c r="O518" s="44"/>
      <c r="R518" s="44"/>
      <c r="Z518" s="44"/>
      <c r="AA518" s="44"/>
      <c r="AB518" s="44"/>
      <c r="AC518" s="44"/>
      <c r="AD518" s="44"/>
      <c r="AE518" s="44"/>
      <c r="AF518" s="44"/>
      <c r="AG518" s="168"/>
      <c r="AH518" s="44"/>
      <c r="AK518" s="168"/>
      <c r="AL518" s="44"/>
      <c r="AM518" s="44"/>
      <c r="AN518" s="44"/>
    </row>
    <row r="519" spans="1:40" x14ac:dyDescent="0.3">
      <c r="A519" s="44"/>
      <c r="C519" s="44"/>
      <c r="D519" s="44"/>
      <c r="E519" s="44"/>
      <c r="F519" s="44"/>
      <c r="J519" s="44"/>
      <c r="K519" s="44"/>
      <c r="L519" s="44"/>
      <c r="M519" s="44"/>
      <c r="N519" s="44"/>
      <c r="O519" s="44"/>
      <c r="P519" s="44"/>
      <c r="Q519" s="44"/>
      <c r="R519" s="44"/>
      <c r="T519" s="44"/>
      <c r="U519" s="44"/>
      <c r="V519" s="44"/>
      <c r="Z519" s="44"/>
      <c r="AA519" s="44"/>
      <c r="AB519" s="44"/>
      <c r="AC519" s="44"/>
      <c r="AD519" s="44"/>
      <c r="AE519" s="44"/>
      <c r="AF519" s="44"/>
      <c r="AG519" s="168"/>
      <c r="AH519" s="44"/>
      <c r="AI519" s="44"/>
      <c r="AJ519" s="44"/>
      <c r="AK519" s="168"/>
      <c r="AL519" s="44"/>
      <c r="AM519" s="44"/>
      <c r="AN519" s="44"/>
    </row>
    <row r="520" spans="1:40" x14ac:dyDescent="0.3">
      <c r="A520" s="44"/>
      <c r="C520" s="44"/>
      <c r="D520" s="44"/>
      <c r="E520" s="44"/>
      <c r="F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T520" s="44"/>
      <c r="U520" s="44"/>
      <c r="V520" s="44"/>
      <c r="Y520" s="44"/>
      <c r="Z520" s="44"/>
      <c r="AA520" s="44"/>
      <c r="AB520" s="44"/>
      <c r="AC520" s="44"/>
      <c r="AD520" s="44"/>
      <c r="AE520" s="44"/>
      <c r="AF520" s="44"/>
      <c r="AG520" s="168"/>
      <c r="AH520" s="44"/>
      <c r="AI520" s="44"/>
      <c r="AJ520" s="44"/>
      <c r="AK520" s="168"/>
      <c r="AL520" s="44"/>
      <c r="AM520" s="44"/>
      <c r="AN520" s="44"/>
    </row>
    <row r="521" spans="1:40" x14ac:dyDescent="0.3">
      <c r="C521" s="44"/>
      <c r="D521" s="44"/>
      <c r="E521" s="44"/>
      <c r="F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T521" s="44"/>
      <c r="U521" s="44"/>
      <c r="V521" s="44"/>
      <c r="Y521" s="44"/>
      <c r="Z521" s="44"/>
      <c r="AA521" s="44"/>
      <c r="AB521" s="44"/>
      <c r="AC521" s="44"/>
      <c r="AD521" s="44"/>
      <c r="AE521" s="44"/>
      <c r="AF521" s="44"/>
      <c r="AG521" s="168"/>
      <c r="AH521" s="44"/>
      <c r="AI521" s="44"/>
      <c r="AJ521" s="44"/>
      <c r="AK521" s="168"/>
      <c r="AL521" s="44"/>
      <c r="AM521" s="44"/>
      <c r="AN521" s="44"/>
    </row>
    <row r="522" spans="1:40" x14ac:dyDescent="0.3">
      <c r="A522" s="135"/>
      <c r="B522" s="135"/>
      <c r="C522" s="135"/>
      <c r="D522" s="135"/>
      <c r="E522" s="135"/>
      <c r="F522" s="135"/>
      <c r="G522" s="135"/>
      <c r="H522" s="135"/>
      <c r="I522" s="135"/>
      <c r="J522" s="135"/>
      <c r="K522" s="135"/>
      <c r="L522" s="135"/>
      <c r="M522" s="135"/>
      <c r="N522" s="135"/>
      <c r="O522" s="135"/>
      <c r="P522" s="135"/>
      <c r="Q522" s="135"/>
      <c r="R522" s="135"/>
      <c r="T522" s="135"/>
      <c r="U522" s="135"/>
      <c r="V522" s="135"/>
      <c r="W522" s="135"/>
      <c r="X522" s="135"/>
      <c r="Y522" s="135"/>
      <c r="Z522" s="135"/>
      <c r="AA522" s="135"/>
      <c r="AB522" s="135"/>
      <c r="AC522" s="135"/>
      <c r="AD522" s="135"/>
      <c r="AE522" s="135"/>
      <c r="AF522" s="135"/>
      <c r="AG522" s="207"/>
      <c r="AH522" s="135"/>
      <c r="AI522" s="135"/>
      <c r="AJ522" s="135"/>
      <c r="AK522" s="207"/>
      <c r="AL522" s="135"/>
      <c r="AM522" s="135"/>
      <c r="AN522" s="135"/>
    </row>
    <row r="523" spans="1:40" x14ac:dyDescent="0.3"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Y523" s="44"/>
      <c r="Z523" s="44"/>
      <c r="AA523" s="44"/>
      <c r="AB523" s="44"/>
      <c r="AC523" s="44"/>
      <c r="AD523" s="44"/>
      <c r="AE523" s="44"/>
      <c r="AF523" s="44"/>
      <c r="AG523" s="168"/>
      <c r="AH523" s="44"/>
      <c r="AI523" s="44"/>
      <c r="AJ523" s="44"/>
      <c r="AK523" s="168"/>
      <c r="AL523" s="44"/>
      <c r="AM523" s="44"/>
      <c r="AN523" s="44"/>
    </row>
    <row r="524" spans="1:40" x14ac:dyDescent="0.3">
      <c r="C524" s="42"/>
      <c r="D524" s="42"/>
      <c r="E524" s="42"/>
      <c r="T524" s="42"/>
      <c r="U524" s="42"/>
      <c r="V524" s="123"/>
      <c r="W524" s="123"/>
      <c r="X524" s="123"/>
      <c r="Y524" s="123"/>
      <c r="Z524" s="237"/>
    </row>
    <row r="526" spans="1:40" x14ac:dyDescent="0.3">
      <c r="C526" s="42"/>
      <c r="T526" s="42"/>
      <c r="V526" s="123"/>
      <c r="W526" s="123"/>
      <c r="X526" s="123"/>
      <c r="Y526" s="123"/>
      <c r="Z526" s="237"/>
    </row>
    <row r="527" spans="1:40" x14ac:dyDescent="0.3">
      <c r="C527" s="42"/>
      <c r="F527" s="184"/>
      <c r="H527" s="184"/>
      <c r="I527" s="184"/>
      <c r="J527" s="238"/>
      <c r="K527" s="238"/>
      <c r="L527" s="123"/>
      <c r="M527" s="123"/>
      <c r="N527" s="160"/>
      <c r="O527" s="160"/>
      <c r="P527" s="123"/>
      <c r="Q527" s="123"/>
      <c r="R527" s="123"/>
      <c r="T527" s="42"/>
      <c r="V527" s="123"/>
      <c r="W527" s="123"/>
      <c r="X527" s="123"/>
      <c r="Y527" s="123"/>
      <c r="Z527" s="238"/>
      <c r="AA527" s="123"/>
      <c r="AB527" s="123"/>
      <c r="AC527" s="160"/>
      <c r="AD527" s="160"/>
      <c r="AE527" s="123"/>
      <c r="AF527" s="123"/>
      <c r="AH527" s="236"/>
      <c r="AI527" s="123"/>
      <c r="AJ527" s="123"/>
      <c r="AL527" s="123"/>
      <c r="AM527" s="160"/>
      <c r="AN527" s="160"/>
    </row>
    <row r="528" spans="1:40" x14ac:dyDescent="0.3">
      <c r="C528" s="42"/>
      <c r="F528" s="184"/>
      <c r="H528" s="184"/>
      <c r="I528" s="184"/>
      <c r="J528" s="238"/>
      <c r="K528" s="238"/>
      <c r="L528" s="123"/>
      <c r="M528" s="123"/>
      <c r="N528" s="160"/>
      <c r="O528" s="160"/>
      <c r="P528" s="123"/>
      <c r="Q528" s="123"/>
      <c r="R528" s="123"/>
      <c r="T528" s="42"/>
      <c r="V528" s="123"/>
      <c r="W528" s="123"/>
      <c r="X528" s="123"/>
      <c r="Y528" s="123"/>
      <c r="Z528" s="238"/>
      <c r="AA528" s="123"/>
      <c r="AB528" s="123"/>
      <c r="AC528" s="160"/>
      <c r="AD528" s="160"/>
      <c r="AE528" s="123"/>
      <c r="AF528" s="123"/>
      <c r="AH528" s="236"/>
      <c r="AI528" s="123"/>
      <c r="AJ528" s="123"/>
      <c r="AL528" s="123"/>
      <c r="AM528" s="160"/>
      <c r="AN528" s="160"/>
    </row>
    <row r="529" spans="1:40" x14ac:dyDescent="0.3">
      <c r="C529" s="42"/>
      <c r="F529" s="184"/>
      <c r="H529" s="184"/>
      <c r="I529" s="184"/>
      <c r="J529" s="238"/>
      <c r="K529" s="238"/>
      <c r="L529" s="123"/>
      <c r="M529" s="123"/>
      <c r="N529" s="160"/>
      <c r="O529" s="160"/>
      <c r="P529" s="123"/>
      <c r="Q529" s="123"/>
      <c r="R529" s="123"/>
      <c r="T529" s="42"/>
      <c r="V529" s="123"/>
      <c r="W529" s="123"/>
      <c r="X529" s="123"/>
      <c r="Y529" s="123"/>
      <c r="Z529" s="238"/>
      <c r="AA529" s="123"/>
      <c r="AB529" s="123"/>
      <c r="AC529" s="160"/>
      <c r="AD529" s="160"/>
      <c r="AE529" s="123"/>
      <c r="AF529" s="123"/>
      <c r="AH529" s="236"/>
      <c r="AI529" s="123"/>
      <c r="AJ529" s="123"/>
      <c r="AL529" s="123"/>
      <c r="AM529" s="160"/>
      <c r="AN529" s="160"/>
    </row>
    <row r="530" spans="1:40" x14ac:dyDescent="0.3">
      <c r="C530" s="42"/>
      <c r="F530" s="184"/>
      <c r="H530" s="184"/>
      <c r="I530" s="184"/>
      <c r="J530" s="238"/>
      <c r="K530" s="238"/>
      <c r="L530" s="123"/>
      <c r="M530" s="123"/>
      <c r="N530" s="160"/>
      <c r="O530" s="160"/>
      <c r="P530" s="123"/>
      <c r="Q530" s="123"/>
      <c r="R530" s="123"/>
      <c r="T530" s="42"/>
      <c r="V530" s="123"/>
      <c r="W530" s="123"/>
      <c r="X530" s="123"/>
      <c r="Y530" s="123"/>
      <c r="Z530" s="238"/>
      <c r="AA530" s="123"/>
      <c r="AB530" s="123"/>
      <c r="AC530" s="160"/>
      <c r="AD530" s="160"/>
      <c r="AE530" s="123"/>
      <c r="AF530" s="123"/>
      <c r="AH530" s="236"/>
      <c r="AI530" s="123"/>
      <c r="AJ530" s="123"/>
      <c r="AL530" s="123"/>
      <c r="AM530" s="160"/>
      <c r="AN530" s="160"/>
    </row>
    <row r="531" spans="1:40" x14ac:dyDescent="0.3">
      <c r="J531" s="188"/>
      <c r="K531" s="188"/>
      <c r="V531" s="123"/>
      <c r="W531" s="123"/>
      <c r="X531" s="123"/>
      <c r="Y531" s="123"/>
      <c r="Z531" s="238"/>
    </row>
    <row r="532" spans="1:40" x14ac:dyDescent="0.3">
      <c r="C532" s="42"/>
      <c r="F532" s="184"/>
      <c r="H532" s="184"/>
      <c r="I532" s="184"/>
      <c r="J532" s="238"/>
      <c r="K532" s="238"/>
      <c r="L532" s="123"/>
      <c r="M532" s="123"/>
      <c r="N532" s="160"/>
      <c r="O532" s="160"/>
      <c r="P532" s="123"/>
      <c r="Q532" s="123"/>
      <c r="R532" s="123"/>
      <c r="T532" s="42"/>
      <c r="V532" s="123"/>
      <c r="W532" s="123"/>
      <c r="X532" s="123"/>
      <c r="Y532" s="123"/>
      <c r="Z532" s="238"/>
      <c r="AA532" s="123"/>
      <c r="AB532" s="123"/>
      <c r="AC532" s="160"/>
      <c r="AD532" s="160"/>
      <c r="AE532" s="123"/>
      <c r="AF532" s="123"/>
      <c r="AH532" s="236"/>
      <c r="AI532" s="123"/>
      <c r="AJ532" s="123"/>
      <c r="AL532" s="123"/>
      <c r="AM532" s="236"/>
      <c r="AN532" s="236"/>
    </row>
    <row r="533" spans="1:40" x14ac:dyDescent="0.3">
      <c r="C533" s="42"/>
      <c r="J533" s="188"/>
      <c r="K533" s="188"/>
      <c r="T533" s="42"/>
      <c r="V533" s="123"/>
      <c r="W533" s="123"/>
      <c r="X533" s="123"/>
      <c r="Y533" s="123"/>
      <c r="Z533" s="238"/>
    </row>
    <row r="534" spans="1:40" x14ac:dyDescent="0.3">
      <c r="C534" s="42"/>
      <c r="F534" s="184"/>
      <c r="H534" s="184"/>
      <c r="I534" s="184"/>
      <c r="J534" s="238"/>
      <c r="K534" s="238"/>
      <c r="L534" s="123"/>
      <c r="M534" s="123"/>
      <c r="N534" s="160"/>
      <c r="O534" s="160"/>
      <c r="P534" s="123"/>
      <c r="Q534" s="123"/>
      <c r="R534" s="123"/>
      <c r="T534" s="42"/>
      <c r="V534" s="123"/>
      <c r="W534" s="123"/>
      <c r="X534" s="123"/>
      <c r="Y534" s="123"/>
      <c r="Z534" s="238"/>
      <c r="AA534" s="123"/>
      <c r="AB534" s="123"/>
      <c r="AC534" s="160"/>
      <c r="AD534" s="160"/>
      <c r="AE534" s="123"/>
      <c r="AF534" s="123"/>
      <c r="AH534" s="236"/>
      <c r="AI534" s="123"/>
      <c r="AJ534" s="123"/>
      <c r="AL534" s="123"/>
      <c r="AM534" s="236"/>
      <c r="AN534" s="236"/>
    </row>
    <row r="535" spans="1:40" x14ac:dyDescent="0.3">
      <c r="J535" s="188"/>
      <c r="K535" s="188"/>
      <c r="Z535" s="188"/>
    </row>
    <row r="536" spans="1:40" x14ac:dyDescent="0.3">
      <c r="C536" s="42"/>
      <c r="J536" s="188"/>
      <c r="K536" s="188"/>
      <c r="T536" s="42"/>
      <c r="V536" s="123"/>
      <c r="W536" s="123"/>
      <c r="X536" s="123"/>
      <c r="Y536" s="123"/>
      <c r="Z536" s="238"/>
    </row>
    <row r="537" spans="1:40" x14ac:dyDescent="0.3">
      <c r="C537" s="42"/>
      <c r="F537" s="184"/>
      <c r="H537" s="184"/>
      <c r="I537" s="184"/>
      <c r="J537" s="238"/>
      <c r="K537" s="238"/>
      <c r="L537" s="123"/>
      <c r="M537" s="123"/>
      <c r="N537" s="160"/>
      <c r="O537" s="160"/>
      <c r="P537" s="123"/>
      <c r="Q537" s="123"/>
      <c r="R537" s="123"/>
      <c r="T537" s="42"/>
      <c r="V537" s="123"/>
      <c r="W537" s="123"/>
      <c r="X537" s="123"/>
      <c r="Y537" s="123"/>
      <c r="Z537" s="238"/>
      <c r="AA537" s="123"/>
      <c r="AB537" s="123"/>
      <c r="AC537" s="160"/>
      <c r="AD537" s="160"/>
      <c r="AE537" s="123"/>
      <c r="AF537" s="123"/>
      <c r="AH537" s="236"/>
      <c r="AI537" s="123"/>
      <c r="AJ537" s="123"/>
      <c r="AL537" s="123"/>
      <c r="AM537" s="236"/>
      <c r="AN537" s="236"/>
    </row>
    <row r="538" spans="1:40" x14ac:dyDescent="0.3">
      <c r="C538" s="42"/>
      <c r="F538" s="184"/>
      <c r="H538" s="184"/>
      <c r="I538" s="184"/>
      <c r="J538" s="238"/>
      <c r="K538" s="238"/>
      <c r="L538" s="123"/>
      <c r="M538" s="123"/>
      <c r="N538" s="160"/>
      <c r="O538" s="160"/>
      <c r="P538" s="123"/>
      <c r="Q538" s="123"/>
      <c r="R538" s="123"/>
      <c r="T538" s="42"/>
      <c r="V538" s="123"/>
      <c r="W538" s="123"/>
      <c r="X538" s="123"/>
      <c r="Y538" s="123"/>
      <c r="Z538" s="238"/>
      <c r="AA538" s="123"/>
      <c r="AB538" s="123"/>
      <c r="AC538" s="160"/>
      <c r="AD538" s="160"/>
      <c r="AE538" s="123"/>
      <c r="AF538" s="123"/>
      <c r="AH538" s="236"/>
      <c r="AI538" s="123"/>
      <c r="AJ538" s="123"/>
      <c r="AL538" s="123"/>
      <c r="AM538" s="236"/>
      <c r="AN538" s="236"/>
    </row>
    <row r="539" spans="1:40" x14ac:dyDescent="0.3">
      <c r="F539" s="210"/>
      <c r="H539" s="210"/>
      <c r="I539" s="210"/>
      <c r="J539" s="238"/>
      <c r="K539" s="238"/>
      <c r="L539" s="210"/>
      <c r="M539" s="210"/>
      <c r="N539" s="210"/>
      <c r="O539" s="210"/>
      <c r="P539" s="210"/>
      <c r="Q539" s="210"/>
      <c r="R539" s="210"/>
      <c r="V539" s="210"/>
      <c r="Y539" s="210"/>
      <c r="Z539" s="213"/>
      <c r="AA539" s="210"/>
      <c r="AB539" s="210"/>
      <c r="AC539" s="210"/>
      <c r="AD539" s="210"/>
      <c r="AE539" s="210"/>
      <c r="AF539" s="210"/>
      <c r="AI539" s="210"/>
      <c r="AJ539" s="210"/>
      <c r="AK539" s="214"/>
      <c r="AL539" s="210"/>
    </row>
    <row r="540" spans="1:40" x14ac:dyDescent="0.3">
      <c r="C540" s="42"/>
      <c r="F540" s="123"/>
      <c r="H540" s="123"/>
      <c r="I540" s="123"/>
      <c r="L540" s="123"/>
      <c r="M540" s="123"/>
      <c r="N540" s="160"/>
      <c r="O540" s="160"/>
      <c r="P540" s="184"/>
      <c r="Q540" s="184"/>
      <c r="R540" s="123"/>
      <c r="T540" s="42"/>
      <c r="V540" s="123"/>
      <c r="W540" s="123"/>
      <c r="X540" s="123"/>
      <c r="Y540" s="123"/>
      <c r="Z540" s="237"/>
      <c r="AA540" s="123"/>
      <c r="AB540" s="123"/>
      <c r="AC540" s="160"/>
      <c r="AD540" s="160"/>
      <c r="AE540" s="123"/>
      <c r="AF540" s="123"/>
      <c r="AH540" s="236"/>
      <c r="AI540" s="184"/>
      <c r="AJ540" s="184"/>
      <c r="AL540" s="123"/>
      <c r="AM540" s="236"/>
      <c r="AN540" s="236"/>
    </row>
    <row r="541" spans="1:40" x14ac:dyDescent="0.3">
      <c r="F541" s="210"/>
      <c r="H541" s="210"/>
      <c r="I541" s="210"/>
      <c r="J541" s="213"/>
      <c r="K541" s="213"/>
      <c r="L541" s="210"/>
      <c r="M541" s="210"/>
      <c r="N541" s="210"/>
      <c r="O541" s="210"/>
      <c r="P541" s="210"/>
      <c r="Q541" s="210"/>
      <c r="R541" s="210"/>
      <c r="V541" s="210"/>
      <c r="Y541" s="210"/>
      <c r="Z541" s="213"/>
      <c r="AA541" s="210"/>
      <c r="AB541" s="210"/>
      <c r="AC541" s="210"/>
      <c r="AD541" s="210"/>
      <c r="AE541" s="210"/>
      <c r="AF541" s="210"/>
      <c r="AI541" s="210"/>
      <c r="AJ541" s="210"/>
      <c r="AK541" s="214"/>
      <c r="AL541" s="210"/>
    </row>
    <row r="544" spans="1:40" x14ac:dyDescent="0.3">
      <c r="A544" s="42"/>
    </row>
    <row r="546" spans="1:40" x14ac:dyDescent="0.3">
      <c r="H546" s="42"/>
      <c r="I546" s="42"/>
      <c r="Y546" s="42"/>
    </row>
    <row r="548" spans="1:40" x14ac:dyDescent="0.3">
      <c r="L548" s="42"/>
      <c r="M548" s="42"/>
      <c r="AA548" s="42"/>
      <c r="AB548" s="42"/>
    </row>
    <row r="549" spans="1:40" x14ac:dyDescent="0.3">
      <c r="R549" s="42"/>
      <c r="AK549" s="206"/>
      <c r="AL549" s="42"/>
    </row>
    <row r="550" spans="1:40" x14ac:dyDescent="0.3">
      <c r="R550" s="42"/>
      <c r="AK550" s="206"/>
      <c r="AL550" s="42"/>
    </row>
    <row r="551" spans="1:40" x14ac:dyDescent="0.3">
      <c r="A551" s="42"/>
      <c r="R551" s="42"/>
      <c r="AK551" s="206"/>
      <c r="AL551" s="42"/>
    </row>
    <row r="552" spans="1:40" x14ac:dyDescent="0.3">
      <c r="L552" s="42"/>
      <c r="M552" s="42"/>
      <c r="AA552" s="42"/>
      <c r="AB552" s="42"/>
    </row>
    <row r="553" spans="1:40" x14ac:dyDescent="0.3">
      <c r="A553" s="135"/>
      <c r="B553" s="135"/>
      <c r="C553" s="135"/>
      <c r="D553" s="135"/>
      <c r="E553" s="135"/>
      <c r="F553" s="135"/>
      <c r="G553" s="135"/>
      <c r="H553" s="135"/>
      <c r="I553" s="135"/>
      <c r="J553" s="135"/>
      <c r="K553" s="135"/>
      <c r="L553" s="135"/>
      <c r="M553" s="135"/>
      <c r="N553" s="135"/>
      <c r="O553" s="135"/>
      <c r="P553" s="135"/>
      <c r="Q553" s="135"/>
      <c r="R553" s="135"/>
      <c r="T553" s="135"/>
      <c r="U553" s="135"/>
      <c r="V553" s="135"/>
      <c r="W553" s="135"/>
      <c r="X553" s="135"/>
      <c r="Y553" s="135"/>
      <c r="Z553" s="135"/>
      <c r="AA553" s="135"/>
      <c r="AB553" s="135"/>
      <c r="AC553" s="135"/>
      <c r="AD553" s="135"/>
      <c r="AE553" s="135"/>
      <c r="AF553" s="135"/>
      <c r="AG553" s="207"/>
      <c r="AH553" s="135"/>
      <c r="AI553" s="135"/>
      <c r="AJ553" s="135"/>
      <c r="AK553" s="207"/>
      <c r="AL553" s="135"/>
      <c r="AM553" s="135"/>
      <c r="AN553" s="135"/>
    </row>
    <row r="554" spans="1:40" x14ac:dyDescent="0.3">
      <c r="L554" s="44"/>
      <c r="M554" s="44"/>
      <c r="N554" s="44"/>
      <c r="O554" s="44"/>
      <c r="R554" s="44"/>
      <c r="AA554" s="44"/>
      <c r="AB554" s="44"/>
      <c r="AC554" s="44"/>
      <c r="AD554" s="44"/>
      <c r="AE554" s="44"/>
      <c r="AF554" s="44"/>
      <c r="AG554" s="168"/>
      <c r="AH554" s="44"/>
      <c r="AK554" s="168"/>
      <c r="AL554" s="44"/>
      <c r="AM554" s="44"/>
      <c r="AN554" s="44"/>
    </row>
    <row r="555" spans="1:40" x14ac:dyDescent="0.3">
      <c r="L555" s="44"/>
      <c r="M555" s="44"/>
      <c r="N555" s="44"/>
      <c r="O555" s="44"/>
      <c r="R555" s="44"/>
      <c r="Z555" s="44"/>
      <c r="AA555" s="44"/>
      <c r="AB555" s="44"/>
      <c r="AC555" s="44"/>
      <c r="AD555" s="44"/>
      <c r="AE555" s="44"/>
      <c r="AF555" s="44"/>
      <c r="AG555" s="168"/>
      <c r="AH555" s="44"/>
      <c r="AK555" s="168"/>
      <c r="AL555" s="44"/>
      <c r="AM555" s="44"/>
      <c r="AN555" s="44"/>
    </row>
    <row r="556" spans="1:40" x14ac:dyDescent="0.3">
      <c r="A556" s="44"/>
      <c r="C556" s="44"/>
      <c r="D556" s="44"/>
      <c r="E556" s="44"/>
      <c r="F556" s="44"/>
      <c r="J556" s="44"/>
      <c r="K556" s="44"/>
      <c r="L556" s="44"/>
      <c r="M556" s="44"/>
      <c r="N556" s="44"/>
      <c r="O556" s="44"/>
      <c r="P556" s="44"/>
      <c r="Q556" s="44"/>
      <c r="R556" s="44"/>
      <c r="T556" s="44"/>
      <c r="U556" s="44"/>
      <c r="V556" s="44"/>
      <c r="Z556" s="44"/>
      <c r="AA556" s="44"/>
      <c r="AB556" s="44"/>
      <c r="AC556" s="44"/>
      <c r="AD556" s="44"/>
      <c r="AE556" s="44"/>
      <c r="AF556" s="44"/>
      <c r="AG556" s="168"/>
      <c r="AH556" s="44"/>
      <c r="AI556" s="44"/>
      <c r="AJ556" s="44"/>
      <c r="AK556" s="168"/>
      <c r="AL556" s="44"/>
      <c r="AM556" s="44"/>
      <c r="AN556" s="44"/>
    </row>
    <row r="557" spans="1:40" x14ac:dyDescent="0.3">
      <c r="A557" s="44"/>
      <c r="C557" s="44"/>
      <c r="D557" s="44"/>
      <c r="E557" s="44"/>
      <c r="F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T557" s="44"/>
      <c r="U557" s="44"/>
      <c r="V557" s="44"/>
      <c r="Y557" s="44"/>
      <c r="Z557" s="44"/>
      <c r="AA557" s="44"/>
      <c r="AB557" s="44"/>
      <c r="AC557" s="44"/>
      <c r="AD557" s="44"/>
      <c r="AE557" s="44"/>
      <c r="AF557" s="44"/>
      <c r="AG557" s="168"/>
      <c r="AH557" s="44"/>
      <c r="AI557" s="44"/>
      <c r="AJ557" s="44"/>
      <c r="AK557" s="168"/>
      <c r="AL557" s="44"/>
      <c r="AM557" s="44"/>
      <c r="AN557" s="44"/>
    </row>
    <row r="558" spans="1:40" x14ac:dyDescent="0.3">
      <c r="C558" s="44"/>
      <c r="D558" s="44"/>
      <c r="E558" s="44"/>
      <c r="F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T558" s="44"/>
      <c r="U558" s="44"/>
      <c r="V558" s="44"/>
      <c r="Y558" s="44"/>
      <c r="Z558" s="44"/>
      <c r="AA558" s="44"/>
      <c r="AB558" s="44"/>
      <c r="AC558" s="44"/>
      <c r="AD558" s="44"/>
      <c r="AE558" s="44"/>
      <c r="AF558" s="44"/>
      <c r="AG558" s="168"/>
      <c r="AH558" s="44"/>
      <c r="AI558" s="44"/>
      <c r="AJ558" s="44"/>
      <c r="AK558" s="168"/>
      <c r="AL558" s="44"/>
      <c r="AM558" s="44"/>
      <c r="AN558" s="44"/>
    </row>
    <row r="559" spans="1:40" x14ac:dyDescent="0.3">
      <c r="A559" s="135"/>
      <c r="B559" s="135"/>
      <c r="C559" s="135"/>
      <c r="D559" s="135"/>
      <c r="E559" s="135"/>
      <c r="F559" s="135"/>
      <c r="G559" s="135"/>
      <c r="H559" s="135"/>
      <c r="I559" s="135"/>
      <c r="J559" s="135"/>
      <c r="K559" s="135"/>
      <c r="L559" s="135"/>
      <c r="M559" s="135"/>
      <c r="N559" s="135"/>
      <c r="O559" s="135"/>
      <c r="P559" s="135"/>
      <c r="Q559" s="135"/>
      <c r="R559" s="135"/>
      <c r="T559" s="135"/>
      <c r="U559" s="135"/>
      <c r="V559" s="135"/>
      <c r="W559" s="135"/>
      <c r="X559" s="135"/>
      <c r="Y559" s="135"/>
      <c r="Z559" s="135"/>
      <c r="AA559" s="135"/>
      <c r="AB559" s="135"/>
      <c r="AC559" s="135"/>
      <c r="AD559" s="135"/>
      <c r="AE559" s="135"/>
      <c r="AF559" s="135"/>
      <c r="AG559" s="207"/>
      <c r="AH559" s="135"/>
      <c r="AI559" s="135"/>
      <c r="AJ559" s="135"/>
      <c r="AK559" s="207"/>
      <c r="AL559" s="135"/>
      <c r="AM559" s="135"/>
      <c r="AN559" s="135"/>
    </row>
    <row r="560" spans="1:40" x14ac:dyDescent="0.3"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Y560" s="44"/>
      <c r="Z560" s="44"/>
      <c r="AA560" s="44"/>
      <c r="AB560" s="44"/>
      <c r="AC560" s="44"/>
      <c r="AD560" s="44"/>
      <c r="AE560" s="44"/>
      <c r="AF560" s="44"/>
      <c r="AG560" s="168"/>
      <c r="AH560" s="44"/>
      <c r="AI560" s="44"/>
      <c r="AJ560" s="44"/>
      <c r="AK560" s="168"/>
      <c r="AL560" s="44"/>
      <c r="AM560" s="44"/>
      <c r="AN560" s="44"/>
    </row>
    <row r="561" spans="3:40" x14ac:dyDescent="0.3">
      <c r="C561" s="42"/>
      <c r="D561" s="42"/>
      <c r="E561" s="42"/>
      <c r="T561" s="42"/>
      <c r="U561" s="42"/>
    </row>
    <row r="563" spans="3:40" x14ac:dyDescent="0.3">
      <c r="C563" s="42"/>
      <c r="T563" s="42"/>
    </row>
    <row r="564" spans="3:40" x14ac:dyDescent="0.3">
      <c r="C564" s="42"/>
      <c r="T564" s="42"/>
    </row>
    <row r="565" spans="3:40" x14ac:dyDescent="0.3">
      <c r="C565" s="42"/>
      <c r="F565" s="184"/>
      <c r="H565" s="184"/>
      <c r="I565" s="184"/>
      <c r="J565" s="238"/>
      <c r="K565" s="238"/>
      <c r="L565" s="123"/>
      <c r="M565" s="123"/>
      <c r="N565" s="160"/>
      <c r="O565" s="160"/>
      <c r="P565" s="123"/>
      <c r="Q565" s="123"/>
      <c r="R565" s="123"/>
      <c r="T565" s="42"/>
      <c r="V565" s="123"/>
      <c r="W565" s="123"/>
      <c r="X565" s="123"/>
      <c r="Y565" s="123"/>
      <c r="Z565" s="238"/>
      <c r="AA565" s="123"/>
      <c r="AB565" s="123"/>
      <c r="AC565" s="160"/>
      <c r="AD565" s="160"/>
      <c r="AE565" s="123"/>
      <c r="AF565" s="123"/>
      <c r="AH565" s="236"/>
      <c r="AI565" s="123"/>
      <c r="AJ565" s="123"/>
      <c r="AL565" s="123"/>
      <c r="AM565" s="236"/>
      <c r="AN565" s="236"/>
    </row>
    <row r="566" spans="3:40" x14ac:dyDescent="0.3">
      <c r="C566" s="42"/>
      <c r="F566" s="123"/>
      <c r="H566" s="123"/>
      <c r="I566" s="123"/>
      <c r="J566" s="188"/>
      <c r="K566" s="188"/>
      <c r="L566" s="123"/>
      <c r="M566" s="123"/>
      <c r="N566" s="160"/>
      <c r="O566" s="160"/>
      <c r="P566" s="123"/>
      <c r="Q566" s="123"/>
      <c r="R566" s="123"/>
      <c r="T566" s="42"/>
      <c r="V566" s="123"/>
      <c r="W566" s="123"/>
      <c r="X566" s="123"/>
      <c r="Y566" s="123"/>
      <c r="Z566" s="188"/>
      <c r="AA566" s="123"/>
      <c r="AB566" s="123"/>
      <c r="AC566" s="160"/>
      <c r="AD566" s="160"/>
      <c r="AE566" s="123"/>
      <c r="AF566" s="123"/>
      <c r="AH566" s="236"/>
      <c r="AI566" s="123"/>
      <c r="AJ566" s="123"/>
      <c r="AL566" s="123"/>
      <c r="AM566" s="236"/>
      <c r="AN566" s="236"/>
    </row>
    <row r="567" spans="3:40" x14ac:dyDescent="0.3">
      <c r="C567" s="42"/>
      <c r="F567" s="123"/>
      <c r="H567" s="123"/>
      <c r="I567" s="123"/>
      <c r="J567" s="188"/>
      <c r="K567" s="188"/>
      <c r="L567" s="123"/>
      <c r="M567" s="123"/>
      <c r="N567" s="160"/>
      <c r="O567" s="160"/>
      <c r="P567" s="123"/>
      <c r="Q567" s="123"/>
      <c r="R567" s="123"/>
      <c r="T567" s="42"/>
      <c r="V567" s="123"/>
      <c r="W567" s="123"/>
      <c r="X567" s="123"/>
      <c r="Y567" s="123"/>
      <c r="Z567" s="188"/>
      <c r="AA567" s="123"/>
      <c r="AB567" s="123"/>
      <c r="AC567" s="160"/>
      <c r="AD567" s="160"/>
      <c r="AE567" s="123"/>
      <c r="AF567" s="123"/>
      <c r="AH567" s="236"/>
      <c r="AI567" s="123"/>
      <c r="AJ567" s="123"/>
      <c r="AL567" s="123"/>
      <c r="AM567" s="236"/>
      <c r="AN567" s="236"/>
    </row>
    <row r="568" spans="3:40" x14ac:dyDescent="0.3">
      <c r="C568" s="42"/>
      <c r="F568" s="123"/>
      <c r="H568" s="123"/>
      <c r="I568" s="123"/>
      <c r="J568" s="188"/>
      <c r="K568" s="188"/>
      <c r="T568" s="42"/>
      <c r="V568" s="123"/>
      <c r="Z568" s="188"/>
    </row>
    <row r="569" spans="3:40" x14ac:dyDescent="0.3">
      <c r="C569" s="42"/>
      <c r="F569" s="184"/>
      <c r="H569" s="184"/>
      <c r="I569" s="184"/>
      <c r="J569" s="238"/>
      <c r="K569" s="238"/>
      <c r="L569" s="123"/>
      <c r="M569" s="123"/>
      <c r="N569" s="160"/>
      <c r="O569" s="160"/>
      <c r="P569" s="123"/>
      <c r="Q569" s="123"/>
      <c r="R569" s="123"/>
      <c r="T569" s="42"/>
      <c r="V569" s="123"/>
      <c r="W569" s="123"/>
      <c r="X569" s="123"/>
      <c r="Y569" s="123"/>
      <c r="Z569" s="238"/>
      <c r="AA569" s="123"/>
      <c r="AB569" s="123"/>
      <c r="AC569" s="160"/>
      <c r="AD569" s="160"/>
      <c r="AE569" s="123"/>
      <c r="AF569" s="123"/>
      <c r="AH569" s="236"/>
      <c r="AI569" s="123"/>
      <c r="AJ569" s="123"/>
      <c r="AL569" s="123"/>
      <c r="AM569" s="236"/>
      <c r="AN569" s="236"/>
    </row>
    <row r="570" spans="3:40" x14ac:dyDescent="0.3">
      <c r="C570" s="42"/>
      <c r="F570" s="123"/>
      <c r="H570" s="123"/>
      <c r="I570" s="123"/>
      <c r="J570" s="188"/>
      <c r="K570" s="188"/>
      <c r="T570" s="42"/>
      <c r="V570" s="123"/>
      <c r="W570" s="123"/>
      <c r="X570" s="123"/>
      <c r="Y570" s="123"/>
      <c r="Z570" s="188"/>
      <c r="AC570" s="160"/>
      <c r="AD570" s="160"/>
      <c r="AE570" s="123"/>
      <c r="AF570" s="123"/>
      <c r="AH570" s="236"/>
      <c r="AI570" s="123"/>
      <c r="AJ570" s="123"/>
      <c r="AL570" s="123"/>
      <c r="AM570" s="236"/>
      <c r="AN570" s="236"/>
    </row>
    <row r="571" spans="3:40" x14ac:dyDescent="0.3">
      <c r="C571" s="42"/>
      <c r="F571" s="184"/>
      <c r="H571" s="184"/>
      <c r="I571" s="184"/>
      <c r="J571" s="238"/>
      <c r="K571" s="238"/>
      <c r="L571" s="123"/>
      <c r="M571" s="123"/>
      <c r="N571" s="160"/>
      <c r="O571" s="160"/>
      <c r="P571" s="123"/>
      <c r="Q571" s="123"/>
      <c r="R571" s="123"/>
      <c r="T571" s="42"/>
      <c r="V571" s="123"/>
      <c r="W571" s="123"/>
      <c r="X571" s="123"/>
      <c r="Y571" s="123"/>
      <c r="Z571" s="238"/>
      <c r="AA571" s="123"/>
      <c r="AB571" s="123"/>
      <c r="AC571" s="160"/>
      <c r="AD571" s="160"/>
      <c r="AE571" s="123"/>
      <c r="AF571" s="123"/>
      <c r="AH571" s="236"/>
      <c r="AI571" s="123"/>
      <c r="AJ571" s="123"/>
      <c r="AL571" s="123"/>
      <c r="AM571" s="236"/>
      <c r="AN571" s="236"/>
    </row>
    <row r="572" spans="3:40" x14ac:dyDescent="0.3">
      <c r="C572" s="42"/>
      <c r="F572" s="123"/>
      <c r="H572" s="123"/>
      <c r="I572" s="123"/>
      <c r="J572" s="188"/>
      <c r="K572" s="188"/>
      <c r="L572" s="123"/>
      <c r="M572" s="123"/>
      <c r="N572" s="160"/>
      <c r="O572" s="160"/>
      <c r="P572" s="123"/>
      <c r="Q572" s="123"/>
      <c r="R572" s="123"/>
      <c r="T572" s="42"/>
      <c r="V572" s="123"/>
      <c r="W572" s="123"/>
      <c r="X572" s="123"/>
      <c r="Y572" s="123"/>
      <c r="Z572" s="188"/>
      <c r="AA572" s="123"/>
      <c r="AB572" s="123"/>
      <c r="AC572" s="160"/>
      <c r="AD572" s="160"/>
      <c r="AE572" s="123"/>
      <c r="AF572" s="123"/>
      <c r="AH572" s="236"/>
      <c r="AI572" s="123"/>
      <c r="AJ572" s="123"/>
      <c r="AL572" s="123"/>
      <c r="AM572" s="236"/>
      <c r="AN572" s="236"/>
    </row>
    <row r="573" spans="3:40" x14ac:dyDescent="0.3">
      <c r="F573" s="123"/>
      <c r="H573" s="123"/>
      <c r="I573" s="123"/>
      <c r="J573" s="188"/>
      <c r="K573" s="188"/>
      <c r="Z573" s="188"/>
    </row>
    <row r="574" spans="3:40" x14ac:dyDescent="0.3">
      <c r="C574" s="42"/>
      <c r="F574" s="123"/>
      <c r="H574" s="184"/>
      <c r="I574" s="184"/>
      <c r="J574" s="238"/>
      <c r="K574" s="238"/>
      <c r="L574" s="123"/>
      <c r="M574" s="123"/>
      <c r="N574" s="160"/>
      <c r="O574" s="160"/>
      <c r="P574" s="123"/>
      <c r="Q574" s="123"/>
      <c r="R574" s="123"/>
      <c r="T574" s="42"/>
      <c r="V574" s="123"/>
      <c r="W574" s="123"/>
      <c r="X574" s="123"/>
      <c r="Y574" s="123"/>
      <c r="Z574" s="238"/>
      <c r="AA574" s="123"/>
      <c r="AB574" s="123"/>
      <c r="AC574" s="160"/>
      <c r="AD574" s="160"/>
      <c r="AE574" s="123"/>
      <c r="AF574" s="123"/>
      <c r="AH574" s="236"/>
      <c r="AI574" s="123"/>
      <c r="AJ574" s="123"/>
      <c r="AL574" s="123"/>
      <c r="AM574" s="236"/>
      <c r="AN574" s="236"/>
    </row>
    <row r="575" spans="3:40" x14ac:dyDescent="0.3">
      <c r="F575" s="210"/>
      <c r="H575" s="210"/>
      <c r="I575" s="210"/>
      <c r="J575" s="238"/>
      <c r="K575" s="238"/>
      <c r="L575" s="210"/>
      <c r="M575" s="210"/>
      <c r="N575" s="210"/>
      <c r="O575" s="210"/>
      <c r="P575" s="210"/>
      <c r="Q575" s="210"/>
      <c r="R575" s="210"/>
      <c r="V575" s="210"/>
      <c r="Y575" s="210"/>
      <c r="Z575" s="238"/>
      <c r="AA575" s="210"/>
      <c r="AB575" s="210"/>
      <c r="AC575" s="210"/>
      <c r="AD575" s="210"/>
      <c r="AE575" s="210"/>
      <c r="AF575" s="210"/>
      <c r="AI575" s="210"/>
      <c r="AJ575" s="210"/>
      <c r="AK575" s="214"/>
      <c r="AL575" s="210"/>
    </row>
    <row r="576" spans="3:40" x14ac:dyDescent="0.3">
      <c r="C576" s="42"/>
      <c r="F576" s="123"/>
      <c r="H576" s="123"/>
      <c r="I576" s="123"/>
      <c r="J576" s="188"/>
      <c r="K576" s="188"/>
      <c r="L576" s="123"/>
      <c r="M576" s="123"/>
      <c r="P576" s="123"/>
      <c r="Q576" s="123"/>
      <c r="R576" s="123"/>
      <c r="T576" s="42"/>
      <c r="V576" s="123"/>
      <c r="Y576" s="123"/>
      <c r="Z576" s="188"/>
      <c r="AA576" s="123"/>
      <c r="AB576" s="123"/>
      <c r="AC576" s="236"/>
      <c r="AD576" s="236"/>
      <c r="AE576" s="123"/>
      <c r="AF576" s="123"/>
      <c r="AH576" s="236"/>
      <c r="AI576" s="123"/>
      <c r="AJ576" s="123"/>
      <c r="AL576" s="123"/>
      <c r="AM576" s="236"/>
      <c r="AN576" s="236"/>
    </row>
    <row r="577" spans="1:40" x14ac:dyDescent="0.3">
      <c r="F577" s="210"/>
      <c r="H577" s="210"/>
      <c r="I577" s="210"/>
      <c r="J577" s="238"/>
      <c r="K577" s="238"/>
      <c r="L577" s="210"/>
      <c r="M577" s="210"/>
      <c r="N577" s="210"/>
      <c r="O577" s="210"/>
      <c r="P577" s="210"/>
      <c r="Q577" s="210"/>
      <c r="R577" s="210"/>
      <c r="V577" s="210"/>
      <c r="Y577" s="210"/>
      <c r="Z577" s="238"/>
      <c r="AA577" s="210"/>
      <c r="AB577" s="210"/>
      <c r="AC577" s="210"/>
      <c r="AD577" s="210"/>
      <c r="AE577" s="210"/>
      <c r="AF577" s="210"/>
      <c r="AI577" s="210"/>
      <c r="AJ577" s="210"/>
      <c r="AK577" s="214"/>
      <c r="AL577" s="210"/>
    </row>
    <row r="578" spans="1:40" x14ac:dyDescent="0.3">
      <c r="J578" s="188"/>
      <c r="K578" s="188"/>
      <c r="Z578" s="188"/>
    </row>
    <row r="579" spans="1:40" x14ac:dyDescent="0.3">
      <c r="C579" s="42"/>
      <c r="J579" s="188"/>
      <c r="K579" s="188"/>
      <c r="T579" s="42"/>
      <c r="Z579" s="188"/>
    </row>
    <row r="580" spans="1:40" x14ac:dyDescent="0.3">
      <c r="C580" s="42"/>
      <c r="J580" s="188"/>
      <c r="K580" s="188"/>
      <c r="T580" s="42"/>
      <c r="Z580" s="188"/>
    </row>
    <row r="581" spans="1:40" x14ac:dyDescent="0.3">
      <c r="C581" s="42"/>
      <c r="F581" s="184"/>
      <c r="H581" s="184"/>
      <c r="I581" s="184"/>
      <c r="J581" s="238"/>
      <c r="K581" s="238"/>
      <c r="L581" s="123"/>
      <c r="M581" s="123"/>
      <c r="N581" s="160"/>
      <c r="O581" s="160"/>
      <c r="P581" s="123"/>
      <c r="Q581" s="123"/>
      <c r="R581" s="123"/>
      <c r="T581" s="42"/>
      <c r="V581" s="123"/>
      <c r="W581" s="123"/>
      <c r="X581" s="123"/>
      <c r="Y581" s="123"/>
      <c r="Z581" s="238"/>
      <c r="AA581" s="123"/>
      <c r="AB581" s="123"/>
      <c r="AC581" s="160"/>
      <c r="AD581" s="160"/>
      <c r="AE581" s="123"/>
      <c r="AF581" s="123"/>
      <c r="AH581" s="236"/>
      <c r="AI581" s="123"/>
      <c r="AJ581" s="123"/>
      <c r="AL581" s="123"/>
      <c r="AM581" s="236"/>
      <c r="AN581" s="236"/>
    </row>
    <row r="582" spans="1:40" x14ac:dyDescent="0.3">
      <c r="C582" s="42"/>
      <c r="J582" s="188"/>
      <c r="K582" s="188"/>
      <c r="T582" s="42"/>
      <c r="Z582" s="188"/>
    </row>
    <row r="583" spans="1:40" x14ac:dyDescent="0.3">
      <c r="C583" s="42"/>
      <c r="F583" s="184"/>
      <c r="H583" s="184"/>
      <c r="I583" s="184"/>
      <c r="J583" s="238"/>
      <c r="K583" s="238"/>
      <c r="L583" s="123"/>
      <c r="M583" s="123"/>
      <c r="N583" s="160"/>
      <c r="O583" s="160"/>
      <c r="P583" s="123"/>
      <c r="Q583" s="123"/>
      <c r="R583" s="123"/>
      <c r="T583" s="42"/>
      <c r="V583" s="123"/>
      <c r="W583" s="123"/>
      <c r="X583" s="123"/>
      <c r="Y583" s="123"/>
      <c r="Z583" s="238"/>
      <c r="AA583" s="123"/>
      <c r="AB583" s="123"/>
      <c r="AC583" s="160"/>
      <c r="AD583" s="160"/>
      <c r="AE583" s="123"/>
      <c r="AF583" s="123"/>
      <c r="AH583" s="236"/>
      <c r="AI583" s="123"/>
      <c r="AJ583" s="123"/>
      <c r="AL583" s="123"/>
      <c r="AM583" s="236"/>
      <c r="AN583" s="236"/>
    </row>
    <row r="584" spans="1:40" x14ac:dyDescent="0.3">
      <c r="F584" s="210"/>
      <c r="H584" s="210"/>
      <c r="I584" s="210"/>
      <c r="J584" s="238"/>
      <c r="K584" s="238"/>
      <c r="L584" s="210"/>
      <c r="M584" s="210"/>
      <c r="N584" s="210"/>
      <c r="O584" s="210"/>
      <c r="P584" s="210"/>
      <c r="Q584" s="210"/>
      <c r="R584" s="210"/>
      <c r="V584" s="210"/>
      <c r="Y584" s="210"/>
      <c r="Z584" s="238"/>
      <c r="AA584" s="210"/>
      <c r="AB584" s="210"/>
      <c r="AC584" s="210"/>
      <c r="AD584" s="210"/>
      <c r="AE584" s="210"/>
      <c r="AF584" s="210"/>
      <c r="AI584" s="210"/>
      <c r="AJ584" s="210"/>
      <c r="AK584" s="214"/>
      <c r="AL584" s="210"/>
    </row>
    <row r="585" spans="1:40" x14ac:dyDescent="0.3">
      <c r="C585" s="42"/>
      <c r="F585" s="123"/>
      <c r="H585" s="123"/>
      <c r="I585" s="123"/>
      <c r="J585" s="188"/>
      <c r="K585" s="188"/>
      <c r="L585" s="123"/>
      <c r="M585" s="123"/>
      <c r="N585" s="236"/>
      <c r="O585" s="236"/>
      <c r="P585" s="123"/>
      <c r="Q585" s="123"/>
      <c r="R585" s="123"/>
      <c r="T585" s="42"/>
      <c r="V585" s="123"/>
      <c r="Y585" s="123"/>
      <c r="Z585" s="188"/>
      <c r="AA585" s="123"/>
      <c r="AB585" s="123"/>
      <c r="AC585" s="236"/>
      <c r="AD585" s="236"/>
      <c r="AE585" s="123"/>
      <c r="AF585" s="123"/>
      <c r="AH585" s="236"/>
      <c r="AI585" s="123"/>
      <c r="AJ585" s="123"/>
      <c r="AL585" s="123"/>
      <c r="AM585" s="236"/>
      <c r="AN585" s="236"/>
    </row>
    <row r="586" spans="1:40" x14ac:dyDescent="0.3">
      <c r="F586" s="210"/>
      <c r="H586" s="210"/>
      <c r="I586" s="210"/>
      <c r="J586" s="238"/>
      <c r="K586" s="238"/>
      <c r="L586" s="210"/>
      <c r="M586" s="210"/>
      <c r="N586" s="210"/>
      <c r="O586" s="210"/>
      <c r="P586" s="210"/>
      <c r="Q586" s="210"/>
      <c r="R586" s="210"/>
      <c r="V586" s="210"/>
      <c r="Y586" s="210"/>
      <c r="Z586" s="213"/>
      <c r="AA586" s="210"/>
      <c r="AB586" s="210"/>
      <c r="AC586" s="210"/>
      <c r="AD586" s="210"/>
      <c r="AE586" s="210"/>
      <c r="AF586" s="210"/>
      <c r="AI586" s="210"/>
      <c r="AJ586" s="210"/>
      <c r="AK586" s="214"/>
      <c r="AL586" s="210"/>
    </row>
    <row r="587" spans="1:40" x14ac:dyDescent="0.3">
      <c r="J587" s="188"/>
      <c r="K587" s="188"/>
    </row>
    <row r="588" spans="1:40" x14ac:dyDescent="0.3">
      <c r="C588" s="42"/>
      <c r="F588" s="123"/>
      <c r="H588" s="123"/>
      <c r="I588" s="123"/>
      <c r="J588" s="188"/>
      <c r="K588" s="188"/>
      <c r="L588" s="123"/>
      <c r="M588" s="123"/>
      <c r="N588" s="160"/>
      <c r="O588" s="160"/>
      <c r="P588" s="184"/>
      <c r="Q588" s="184"/>
      <c r="R588" s="123"/>
      <c r="T588" s="42"/>
      <c r="V588" s="123"/>
      <c r="Y588" s="123"/>
      <c r="AA588" s="123"/>
      <c r="AB588" s="123"/>
      <c r="AC588" s="236"/>
      <c r="AD588" s="236"/>
      <c r="AE588" s="123"/>
      <c r="AF588" s="123"/>
      <c r="AH588" s="236"/>
      <c r="AI588" s="184"/>
      <c r="AJ588" s="184"/>
      <c r="AL588" s="123"/>
      <c r="AM588" s="236"/>
      <c r="AN588" s="236"/>
    </row>
    <row r="589" spans="1:40" x14ac:dyDescent="0.3">
      <c r="F589" s="210"/>
      <c r="H589" s="210"/>
      <c r="I589" s="210"/>
      <c r="J589" s="238"/>
      <c r="K589" s="238"/>
      <c r="L589" s="210"/>
      <c r="M589" s="210"/>
      <c r="N589" s="210"/>
      <c r="O589" s="210"/>
      <c r="P589" s="210"/>
      <c r="Q589" s="210"/>
      <c r="R589" s="210"/>
      <c r="V589" s="210"/>
      <c r="Y589" s="210"/>
      <c r="Z589" s="213"/>
      <c r="AA589" s="210"/>
      <c r="AB589" s="210"/>
      <c r="AC589" s="210"/>
      <c r="AD589" s="210"/>
      <c r="AE589" s="210"/>
      <c r="AF589" s="210"/>
      <c r="AI589" s="210"/>
      <c r="AJ589" s="210"/>
      <c r="AK589" s="214"/>
      <c r="AL589" s="210"/>
    </row>
    <row r="592" spans="1:40" x14ac:dyDescent="0.3">
      <c r="A592" s="42"/>
    </row>
    <row r="594" spans="1:40" x14ac:dyDescent="0.3">
      <c r="H594" s="42"/>
      <c r="I594" s="42"/>
      <c r="Y594" s="42"/>
    </row>
    <row r="596" spans="1:40" x14ac:dyDescent="0.3">
      <c r="L596" s="42"/>
      <c r="M596" s="42"/>
      <c r="AA596" s="42"/>
      <c r="AB596" s="42"/>
    </row>
    <row r="597" spans="1:40" x14ac:dyDescent="0.3">
      <c r="R597" s="42"/>
      <c r="AK597" s="206"/>
      <c r="AL597" s="42"/>
    </row>
    <row r="598" spans="1:40" x14ac:dyDescent="0.3">
      <c r="R598" s="42"/>
      <c r="AK598" s="206"/>
      <c r="AL598" s="42"/>
    </row>
    <row r="599" spans="1:40" x14ac:dyDescent="0.3">
      <c r="A599" s="42"/>
      <c r="R599" s="42"/>
      <c r="AK599" s="206"/>
      <c r="AL599" s="42"/>
    </row>
    <row r="600" spans="1:40" x14ac:dyDescent="0.3">
      <c r="L600" s="42"/>
      <c r="M600" s="42"/>
      <c r="AA600" s="42"/>
      <c r="AB600" s="42"/>
    </row>
    <row r="601" spans="1:40" x14ac:dyDescent="0.3">
      <c r="A601" s="135"/>
      <c r="B601" s="135"/>
      <c r="C601" s="135"/>
      <c r="D601" s="135"/>
      <c r="E601" s="135"/>
      <c r="F601" s="135"/>
      <c r="G601" s="135"/>
      <c r="H601" s="135"/>
      <c r="I601" s="135"/>
      <c r="J601" s="135"/>
      <c r="K601" s="135"/>
      <c r="L601" s="135"/>
      <c r="M601" s="135"/>
      <c r="N601" s="135"/>
      <c r="O601" s="135"/>
      <c r="P601" s="135"/>
      <c r="Q601" s="135"/>
      <c r="R601" s="135"/>
      <c r="T601" s="135"/>
      <c r="U601" s="135"/>
      <c r="V601" s="135"/>
      <c r="W601" s="135"/>
      <c r="X601" s="135"/>
      <c r="Y601" s="135"/>
      <c r="Z601" s="135"/>
      <c r="AA601" s="135"/>
      <c r="AB601" s="135"/>
      <c r="AC601" s="135"/>
      <c r="AD601" s="135"/>
      <c r="AE601" s="135"/>
      <c r="AF601" s="135"/>
      <c r="AG601" s="207"/>
      <c r="AH601" s="135"/>
      <c r="AI601" s="135"/>
      <c r="AJ601" s="135"/>
      <c r="AK601" s="207"/>
      <c r="AL601" s="135"/>
      <c r="AM601" s="135"/>
      <c r="AN601" s="135"/>
    </row>
    <row r="602" spans="1:40" x14ac:dyDescent="0.3">
      <c r="L602" s="44"/>
      <c r="M602" s="44"/>
      <c r="N602" s="44"/>
      <c r="O602" s="44"/>
      <c r="R602" s="44"/>
      <c r="AA602" s="44"/>
      <c r="AB602" s="44"/>
      <c r="AC602" s="44"/>
      <c r="AD602" s="44"/>
      <c r="AE602" s="44"/>
      <c r="AF602" s="44"/>
      <c r="AG602" s="168"/>
      <c r="AH602" s="44"/>
      <c r="AK602" s="168"/>
      <c r="AL602" s="44"/>
      <c r="AM602" s="44"/>
      <c r="AN602" s="44"/>
    </row>
    <row r="603" spans="1:40" x14ac:dyDescent="0.3">
      <c r="L603" s="44"/>
      <c r="M603" s="44"/>
      <c r="N603" s="44"/>
      <c r="O603" s="44"/>
      <c r="R603" s="44"/>
      <c r="Z603" s="44"/>
      <c r="AA603" s="44"/>
      <c r="AB603" s="44"/>
      <c r="AC603" s="44"/>
      <c r="AD603" s="44"/>
      <c r="AE603" s="44"/>
      <c r="AF603" s="44"/>
      <c r="AG603" s="168"/>
      <c r="AH603" s="44"/>
      <c r="AK603" s="168"/>
      <c r="AL603" s="44"/>
      <c r="AM603" s="44"/>
      <c r="AN603" s="44"/>
    </row>
    <row r="604" spans="1:40" x14ac:dyDescent="0.3">
      <c r="A604" s="44"/>
      <c r="C604" s="44"/>
      <c r="D604" s="44"/>
      <c r="E604" s="44"/>
      <c r="F604" s="44"/>
      <c r="J604" s="44"/>
      <c r="K604" s="44"/>
      <c r="L604" s="44"/>
      <c r="M604" s="44"/>
      <c r="N604" s="44"/>
      <c r="O604" s="44"/>
      <c r="P604" s="44"/>
      <c r="Q604" s="44"/>
      <c r="R604" s="44"/>
      <c r="T604" s="44"/>
      <c r="U604" s="44"/>
      <c r="V604" s="44"/>
      <c r="Z604" s="44"/>
      <c r="AA604" s="44"/>
      <c r="AB604" s="44"/>
      <c r="AC604" s="44"/>
      <c r="AD604" s="44"/>
      <c r="AE604" s="44"/>
      <c r="AF604" s="44"/>
      <c r="AG604" s="168"/>
      <c r="AH604" s="44"/>
      <c r="AI604" s="44"/>
      <c r="AJ604" s="44"/>
      <c r="AK604" s="168"/>
      <c r="AL604" s="44"/>
      <c r="AM604" s="44"/>
      <c r="AN604" s="44"/>
    </row>
    <row r="605" spans="1:40" x14ac:dyDescent="0.3">
      <c r="A605" s="44"/>
      <c r="C605" s="44"/>
      <c r="D605" s="44"/>
      <c r="E605" s="44"/>
      <c r="F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T605" s="44"/>
      <c r="U605" s="44"/>
      <c r="V605" s="44"/>
      <c r="Y605" s="44"/>
      <c r="Z605" s="44"/>
      <c r="AA605" s="44"/>
      <c r="AB605" s="44"/>
      <c r="AC605" s="44"/>
      <c r="AD605" s="44"/>
      <c r="AE605" s="44"/>
      <c r="AF605" s="44"/>
      <c r="AG605" s="168"/>
      <c r="AH605" s="44"/>
      <c r="AI605" s="44"/>
      <c r="AJ605" s="44"/>
      <c r="AK605" s="168"/>
      <c r="AL605" s="44"/>
      <c r="AM605" s="44"/>
      <c r="AN605" s="44"/>
    </row>
    <row r="606" spans="1:40" x14ac:dyDescent="0.3">
      <c r="C606" s="44"/>
      <c r="D606" s="44"/>
      <c r="E606" s="44"/>
      <c r="F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T606" s="44"/>
      <c r="U606" s="44"/>
      <c r="V606" s="44"/>
      <c r="Y606" s="44"/>
      <c r="Z606" s="44"/>
      <c r="AA606" s="44"/>
      <c r="AB606" s="44"/>
      <c r="AC606" s="44"/>
      <c r="AD606" s="44"/>
      <c r="AE606" s="44"/>
      <c r="AF606" s="44"/>
      <c r="AG606" s="168"/>
      <c r="AH606" s="44"/>
      <c r="AI606" s="44"/>
      <c r="AJ606" s="44"/>
      <c r="AK606" s="168"/>
      <c r="AL606" s="44"/>
      <c r="AM606" s="44"/>
      <c r="AN606" s="44"/>
    </row>
    <row r="607" spans="1:40" x14ac:dyDescent="0.3">
      <c r="A607" s="135"/>
      <c r="B607" s="135"/>
      <c r="C607" s="135"/>
      <c r="D607" s="135"/>
      <c r="E607" s="135"/>
      <c r="F607" s="135"/>
      <c r="G607" s="135"/>
      <c r="H607" s="135"/>
      <c r="I607" s="135"/>
      <c r="J607" s="135"/>
      <c r="K607" s="135"/>
      <c r="L607" s="135"/>
      <c r="M607" s="135"/>
      <c r="N607" s="135"/>
      <c r="O607" s="135"/>
      <c r="P607" s="135"/>
      <c r="Q607" s="135"/>
      <c r="R607" s="135"/>
      <c r="T607" s="135"/>
      <c r="U607" s="135"/>
      <c r="V607" s="135"/>
      <c r="W607" s="135"/>
      <c r="X607" s="135"/>
      <c r="Y607" s="135"/>
      <c r="Z607" s="135"/>
      <c r="AA607" s="135"/>
      <c r="AB607" s="135"/>
      <c r="AC607" s="135"/>
      <c r="AD607" s="135"/>
      <c r="AE607" s="135"/>
      <c r="AF607" s="135"/>
      <c r="AG607" s="207"/>
      <c r="AH607" s="135"/>
      <c r="AI607" s="135"/>
      <c r="AJ607" s="135"/>
      <c r="AK607" s="207"/>
      <c r="AL607" s="135"/>
      <c r="AM607" s="135"/>
      <c r="AN607" s="135"/>
    </row>
    <row r="608" spans="1:40" x14ac:dyDescent="0.3"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Y608" s="44"/>
      <c r="Z608" s="44"/>
      <c r="AA608" s="44"/>
      <c r="AB608" s="44"/>
      <c r="AC608" s="44"/>
      <c r="AD608" s="44"/>
      <c r="AE608" s="44"/>
      <c r="AF608" s="44"/>
      <c r="AG608" s="168"/>
      <c r="AH608" s="44"/>
      <c r="AI608" s="44"/>
      <c r="AJ608" s="44"/>
      <c r="AK608" s="168"/>
      <c r="AL608" s="44"/>
      <c r="AM608" s="44"/>
      <c r="AN608" s="44"/>
    </row>
    <row r="609" spans="3:40" x14ac:dyDescent="0.3">
      <c r="C609" s="42"/>
      <c r="D609" s="42"/>
      <c r="E609" s="42"/>
      <c r="T609" s="42"/>
      <c r="U609" s="42"/>
    </row>
    <row r="611" spans="3:40" x14ac:dyDescent="0.3">
      <c r="C611" s="42"/>
      <c r="D611" s="42"/>
      <c r="E611" s="42"/>
      <c r="T611" s="42"/>
      <c r="U611" s="42"/>
    </row>
    <row r="612" spans="3:40" x14ac:dyDescent="0.3">
      <c r="C612" s="42"/>
      <c r="T612" s="42"/>
    </row>
    <row r="613" spans="3:40" x14ac:dyDescent="0.3">
      <c r="C613" s="42"/>
      <c r="T613" s="42"/>
    </row>
    <row r="614" spans="3:40" x14ac:dyDescent="0.3">
      <c r="C614" s="42"/>
      <c r="F614" s="184"/>
      <c r="H614" s="184"/>
      <c r="I614" s="184"/>
      <c r="J614" s="238"/>
      <c r="K614" s="238"/>
      <c r="L614" s="123"/>
      <c r="M614" s="123"/>
      <c r="N614" s="160"/>
      <c r="O614" s="160"/>
      <c r="P614" s="123"/>
      <c r="Q614" s="123"/>
      <c r="R614" s="123"/>
      <c r="T614" s="42"/>
      <c r="V614" s="123"/>
      <c r="W614" s="123"/>
      <c r="X614" s="123"/>
      <c r="Y614" s="123"/>
      <c r="Z614" s="238"/>
      <c r="AA614" s="123"/>
      <c r="AB614" s="123"/>
      <c r="AC614" s="160"/>
      <c r="AD614" s="160"/>
      <c r="AE614" s="123"/>
      <c r="AF614" s="123"/>
      <c r="AH614" s="236"/>
      <c r="AI614" s="123"/>
      <c r="AJ614" s="123"/>
      <c r="AL614" s="123"/>
      <c r="AM614" s="160"/>
      <c r="AN614" s="160"/>
    </row>
    <row r="615" spans="3:40" x14ac:dyDescent="0.3">
      <c r="C615" s="42"/>
      <c r="J615" s="188"/>
      <c r="K615" s="188"/>
      <c r="T615" s="42"/>
      <c r="V615" s="123"/>
      <c r="W615" s="123"/>
      <c r="X615" s="123"/>
      <c r="Y615" s="123"/>
      <c r="Z615" s="238"/>
    </row>
    <row r="616" spans="3:40" x14ac:dyDescent="0.3">
      <c r="C616" s="42"/>
      <c r="F616" s="184"/>
      <c r="H616" s="184"/>
      <c r="I616" s="184"/>
      <c r="J616" s="238"/>
      <c r="K616" s="238"/>
      <c r="L616" s="123"/>
      <c r="M616" s="123"/>
      <c r="N616" s="160"/>
      <c r="O616" s="160"/>
      <c r="P616" s="123"/>
      <c r="Q616" s="123"/>
      <c r="R616" s="123"/>
      <c r="T616" s="42"/>
      <c r="V616" s="123"/>
      <c r="W616" s="123"/>
      <c r="X616" s="123"/>
      <c r="Y616" s="123"/>
      <c r="Z616" s="238"/>
      <c r="AA616" s="123"/>
      <c r="AB616" s="123"/>
      <c r="AC616" s="160"/>
      <c r="AD616" s="160"/>
      <c r="AE616" s="123"/>
      <c r="AF616" s="123"/>
      <c r="AH616" s="236"/>
      <c r="AI616" s="123"/>
      <c r="AJ616" s="123"/>
      <c r="AL616" s="123"/>
      <c r="AM616" s="160"/>
      <c r="AN616" s="160"/>
    </row>
    <row r="617" spans="3:40" x14ac:dyDescent="0.3">
      <c r="C617" s="42"/>
      <c r="J617" s="188"/>
      <c r="K617" s="188"/>
      <c r="T617" s="42"/>
      <c r="V617" s="123"/>
      <c r="W617" s="123"/>
      <c r="X617" s="123"/>
      <c r="Y617" s="123"/>
      <c r="Z617" s="238"/>
    </row>
    <row r="618" spans="3:40" x14ac:dyDescent="0.3">
      <c r="C618" s="42"/>
      <c r="F618" s="184"/>
      <c r="H618" s="184"/>
      <c r="I618" s="184"/>
      <c r="J618" s="238"/>
      <c r="K618" s="238"/>
      <c r="L618" s="123"/>
      <c r="M618" s="123"/>
      <c r="N618" s="160"/>
      <c r="O618" s="160"/>
      <c r="P618" s="123"/>
      <c r="Q618" s="123"/>
      <c r="R618" s="123"/>
      <c r="T618" s="42"/>
      <c r="V618" s="123"/>
      <c r="W618" s="123"/>
      <c r="X618" s="123"/>
      <c r="Y618" s="123"/>
      <c r="Z618" s="238"/>
      <c r="AA618" s="123"/>
      <c r="AB618" s="123"/>
      <c r="AC618" s="160"/>
      <c r="AD618" s="160"/>
      <c r="AE618" s="123"/>
      <c r="AF618" s="123"/>
      <c r="AH618" s="236"/>
      <c r="AI618" s="123"/>
      <c r="AJ618" s="123"/>
      <c r="AL618" s="123"/>
      <c r="AM618" s="160"/>
      <c r="AN618" s="160"/>
    </row>
    <row r="619" spans="3:40" x14ac:dyDescent="0.3">
      <c r="C619" s="42"/>
      <c r="J619" s="188"/>
      <c r="K619" s="188"/>
      <c r="T619" s="42"/>
      <c r="V619" s="123"/>
      <c r="W619" s="123"/>
      <c r="X619" s="123"/>
      <c r="Y619" s="123"/>
      <c r="Z619" s="238"/>
    </row>
    <row r="620" spans="3:40" x14ac:dyDescent="0.3">
      <c r="C620" s="42"/>
      <c r="F620" s="184"/>
      <c r="H620" s="184"/>
      <c r="I620" s="184"/>
      <c r="J620" s="238"/>
      <c r="K620" s="238"/>
      <c r="L620" s="123"/>
      <c r="M620" s="123"/>
      <c r="N620" s="160"/>
      <c r="O620" s="160"/>
      <c r="P620" s="123"/>
      <c r="Q620" s="123"/>
      <c r="R620" s="123"/>
      <c r="T620" s="42"/>
      <c r="V620" s="123"/>
      <c r="W620" s="123"/>
      <c r="X620" s="123"/>
      <c r="Y620" s="123"/>
      <c r="Z620" s="238"/>
      <c r="AA620" s="123"/>
      <c r="AB620" s="123"/>
      <c r="AC620" s="160"/>
      <c r="AD620" s="160"/>
      <c r="AE620" s="123"/>
      <c r="AF620" s="123"/>
      <c r="AH620" s="236"/>
      <c r="AI620" s="123"/>
      <c r="AJ620" s="123"/>
      <c r="AL620" s="123"/>
      <c r="AM620" s="160"/>
      <c r="AN620" s="160"/>
    </row>
    <row r="621" spans="3:40" x14ac:dyDescent="0.3">
      <c r="C621" s="42"/>
      <c r="J621" s="188"/>
      <c r="K621" s="188"/>
      <c r="T621" s="42"/>
      <c r="V621" s="123"/>
      <c r="W621" s="123"/>
      <c r="X621" s="123"/>
      <c r="Y621" s="123"/>
      <c r="Z621" s="238"/>
    </row>
    <row r="622" spans="3:40" x14ac:dyDescent="0.3">
      <c r="C622" s="42"/>
      <c r="F622" s="184"/>
      <c r="H622" s="184"/>
      <c r="I622" s="184"/>
      <c r="J622" s="238"/>
      <c r="K622" s="238"/>
      <c r="L622" s="123"/>
      <c r="M622" s="123"/>
      <c r="N622" s="160"/>
      <c r="O622" s="160"/>
      <c r="P622" s="123"/>
      <c r="Q622" s="123"/>
      <c r="R622" s="123"/>
      <c r="T622" s="42"/>
      <c r="V622" s="123"/>
      <c r="W622" s="123"/>
      <c r="X622" s="123"/>
      <c r="Y622" s="123"/>
      <c r="Z622" s="238"/>
      <c r="AA622" s="123"/>
      <c r="AB622" s="123"/>
      <c r="AC622" s="160"/>
      <c r="AD622" s="160"/>
      <c r="AE622" s="123"/>
      <c r="AF622" s="123"/>
      <c r="AH622" s="236"/>
      <c r="AI622" s="123"/>
      <c r="AJ622" s="123"/>
      <c r="AL622" s="123"/>
      <c r="AM622" s="160"/>
      <c r="AN622" s="160"/>
    </row>
    <row r="623" spans="3:40" x14ac:dyDescent="0.3">
      <c r="C623" s="42"/>
      <c r="J623" s="188"/>
      <c r="K623" s="188"/>
      <c r="T623" s="42"/>
      <c r="V623" s="123"/>
      <c r="W623" s="123"/>
      <c r="X623" s="123"/>
      <c r="Y623" s="123"/>
      <c r="Z623" s="238"/>
    </row>
    <row r="624" spans="3:40" x14ac:dyDescent="0.3">
      <c r="C624" s="42"/>
      <c r="F624" s="184"/>
      <c r="H624" s="184"/>
      <c r="I624" s="184"/>
      <c r="J624" s="238"/>
      <c r="K624" s="238"/>
      <c r="L624" s="123"/>
      <c r="M624" s="123"/>
      <c r="N624" s="160"/>
      <c r="O624" s="160"/>
      <c r="P624" s="123"/>
      <c r="Q624" s="123"/>
      <c r="R624" s="123"/>
      <c r="T624" s="42"/>
      <c r="V624" s="123"/>
      <c r="W624" s="123"/>
      <c r="X624" s="123"/>
      <c r="Y624" s="123"/>
      <c r="Z624" s="238"/>
      <c r="AA624" s="123"/>
      <c r="AB624" s="123"/>
      <c r="AC624" s="160"/>
      <c r="AD624" s="160"/>
      <c r="AE624" s="123"/>
      <c r="AF624" s="123"/>
      <c r="AH624" s="236"/>
      <c r="AI624" s="123"/>
      <c r="AJ624" s="123"/>
      <c r="AL624" s="123"/>
      <c r="AM624" s="160"/>
      <c r="AN624" s="160"/>
    </row>
    <row r="625" spans="3:40" x14ac:dyDescent="0.3">
      <c r="F625" s="210"/>
      <c r="H625" s="210"/>
      <c r="I625" s="210"/>
      <c r="J625" s="238"/>
      <c r="K625" s="238"/>
      <c r="L625" s="210"/>
      <c r="M625" s="210"/>
      <c r="N625" s="210"/>
      <c r="O625" s="210"/>
      <c r="P625" s="210"/>
      <c r="Q625" s="210"/>
      <c r="R625" s="210"/>
      <c r="V625" s="210"/>
      <c r="Y625" s="210"/>
      <c r="Z625" s="238"/>
      <c r="AA625" s="210"/>
      <c r="AB625" s="210"/>
      <c r="AC625" s="210"/>
      <c r="AD625" s="210"/>
      <c r="AE625" s="210"/>
      <c r="AF625" s="210"/>
      <c r="AI625" s="210"/>
      <c r="AJ625" s="210"/>
      <c r="AK625" s="214"/>
      <c r="AL625" s="210"/>
      <c r="AM625" s="160"/>
      <c r="AN625" s="160"/>
    </row>
    <row r="626" spans="3:40" x14ac:dyDescent="0.3">
      <c r="C626" s="42"/>
      <c r="F626" s="123"/>
      <c r="H626" s="123"/>
      <c r="I626" s="123"/>
      <c r="J626" s="188"/>
      <c r="K626" s="188"/>
      <c r="L626" s="123"/>
      <c r="M626" s="123"/>
      <c r="N626" s="160"/>
      <c r="O626" s="160"/>
      <c r="P626" s="184"/>
      <c r="Q626" s="184"/>
      <c r="R626" s="123"/>
      <c r="T626" s="42"/>
      <c r="V626" s="123"/>
      <c r="W626" s="123"/>
      <c r="X626" s="123"/>
      <c r="Y626" s="123"/>
      <c r="Z626" s="238"/>
      <c r="AA626" s="123"/>
      <c r="AB626" s="123"/>
      <c r="AC626" s="160"/>
      <c r="AD626" s="160"/>
      <c r="AE626" s="123"/>
      <c r="AF626" s="123"/>
      <c r="AH626" s="236"/>
      <c r="AI626" s="184"/>
      <c r="AJ626" s="184"/>
      <c r="AL626" s="123"/>
      <c r="AM626" s="160"/>
      <c r="AN626" s="160"/>
    </row>
    <row r="627" spans="3:40" x14ac:dyDescent="0.3">
      <c r="F627" s="210"/>
      <c r="H627" s="210"/>
      <c r="I627" s="210"/>
      <c r="J627" s="238"/>
      <c r="K627" s="238"/>
      <c r="L627" s="210"/>
      <c r="M627" s="210"/>
      <c r="N627" s="210"/>
      <c r="O627" s="210"/>
      <c r="P627" s="210"/>
      <c r="Q627" s="210"/>
      <c r="R627" s="210"/>
      <c r="V627" s="210"/>
      <c r="Y627" s="210"/>
      <c r="Z627" s="238"/>
      <c r="AA627" s="210"/>
      <c r="AB627" s="210"/>
      <c r="AC627" s="210"/>
      <c r="AD627" s="210"/>
      <c r="AE627" s="210"/>
      <c r="AF627" s="210"/>
      <c r="AI627" s="210"/>
      <c r="AJ627" s="210"/>
      <c r="AK627" s="214"/>
      <c r="AL627" s="210"/>
    </row>
    <row r="628" spans="3:40" x14ac:dyDescent="0.3">
      <c r="C628" s="42"/>
      <c r="D628" s="42"/>
      <c r="E628" s="42"/>
      <c r="J628" s="188"/>
      <c r="K628" s="188"/>
      <c r="T628" s="42"/>
      <c r="U628" s="42"/>
      <c r="V628" s="123"/>
      <c r="W628" s="123"/>
      <c r="X628" s="123"/>
      <c r="Y628" s="123"/>
      <c r="Z628" s="238"/>
    </row>
    <row r="629" spans="3:40" x14ac:dyDescent="0.3">
      <c r="C629" s="42"/>
      <c r="J629" s="188"/>
      <c r="K629" s="188"/>
      <c r="T629" s="42"/>
      <c r="V629" s="123"/>
      <c r="W629" s="123"/>
      <c r="X629" s="123"/>
      <c r="Y629" s="123"/>
      <c r="Z629" s="238"/>
    </row>
    <row r="630" spans="3:40" x14ac:dyDescent="0.3">
      <c r="C630" s="42"/>
      <c r="J630" s="188"/>
      <c r="K630" s="188"/>
      <c r="T630" s="42"/>
      <c r="V630" s="123"/>
      <c r="W630" s="123"/>
      <c r="X630" s="123"/>
      <c r="Y630" s="123"/>
      <c r="Z630" s="238"/>
    </row>
    <row r="631" spans="3:40" x14ac:dyDescent="0.3">
      <c r="C631" s="42"/>
      <c r="F631" s="184"/>
      <c r="H631" s="184"/>
      <c r="I631" s="184"/>
      <c r="J631" s="238"/>
      <c r="K631" s="238"/>
      <c r="L631" s="123"/>
      <c r="M631" s="123"/>
      <c r="N631" s="160"/>
      <c r="O631" s="160"/>
      <c r="P631" s="123"/>
      <c r="Q631" s="123"/>
      <c r="R631" s="123"/>
      <c r="T631" s="42"/>
      <c r="V631" s="123"/>
      <c r="W631" s="123"/>
      <c r="X631" s="123"/>
      <c r="Y631" s="123"/>
      <c r="Z631" s="238"/>
      <c r="AA631" s="123"/>
      <c r="AB631" s="123"/>
      <c r="AC631" s="160"/>
      <c r="AD631" s="160"/>
      <c r="AE631" s="123"/>
      <c r="AF631" s="123"/>
      <c r="AH631" s="236"/>
      <c r="AI631" s="123"/>
      <c r="AJ631" s="123"/>
      <c r="AL631" s="123"/>
      <c r="AM631" s="160"/>
      <c r="AN631" s="160"/>
    </row>
    <row r="632" spans="3:40" x14ac:dyDescent="0.3">
      <c r="C632" s="42"/>
      <c r="J632" s="188"/>
      <c r="K632" s="188"/>
      <c r="T632" s="42"/>
      <c r="V632" s="123"/>
      <c r="W632" s="123"/>
      <c r="X632" s="123"/>
      <c r="Y632" s="123"/>
      <c r="Z632" s="238"/>
    </row>
    <row r="633" spans="3:40" x14ac:dyDescent="0.3">
      <c r="C633" s="42"/>
      <c r="F633" s="184"/>
      <c r="H633" s="184"/>
      <c r="I633" s="184"/>
      <c r="J633" s="238"/>
      <c r="K633" s="238"/>
      <c r="L633" s="123"/>
      <c r="M633" s="123"/>
      <c r="N633" s="160"/>
      <c r="O633" s="160"/>
      <c r="P633" s="123"/>
      <c r="Q633" s="123"/>
      <c r="R633" s="123"/>
      <c r="T633" s="42"/>
      <c r="V633" s="123"/>
      <c r="W633" s="123"/>
      <c r="X633" s="123"/>
      <c r="Y633" s="123"/>
      <c r="Z633" s="238"/>
      <c r="AA633" s="123"/>
      <c r="AB633" s="123"/>
      <c r="AC633" s="160"/>
      <c r="AD633" s="160"/>
      <c r="AE633" s="123"/>
      <c r="AF633" s="123"/>
      <c r="AH633" s="236"/>
      <c r="AI633" s="123"/>
      <c r="AJ633" s="123"/>
      <c r="AL633" s="123"/>
      <c r="AM633" s="160"/>
      <c r="AN633" s="160"/>
    </row>
    <row r="634" spans="3:40" x14ac:dyDescent="0.3">
      <c r="F634" s="210"/>
      <c r="H634" s="210"/>
      <c r="I634" s="210"/>
      <c r="J634" s="238"/>
      <c r="K634" s="238"/>
      <c r="L634" s="210"/>
      <c r="M634" s="210"/>
      <c r="N634" s="210"/>
      <c r="O634" s="210"/>
      <c r="P634" s="210"/>
      <c r="Q634" s="210"/>
      <c r="R634" s="210"/>
      <c r="V634" s="210"/>
      <c r="Y634" s="210"/>
      <c r="Z634" s="213"/>
      <c r="AA634" s="210"/>
      <c r="AB634" s="210"/>
      <c r="AC634" s="210"/>
      <c r="AD634" s="210"/>
      <c r="AE634" s="210"/>
      <c r="AF634" s="210"/>
      <c r="AI634" s="210"/>
      <c r="AJ634" s="210"/>
      <c r="AK634" s="214"/>
      <c r="AL634" s="210"/>
    </row>
    <row r="635" spans="3:40" x14ac:dyDescent="0.3">
      <c r="C635" s="42"/>
      <c r="F635" s="123"/>
      <c r="H635" s="123"/>
      <c r="I635" s="123"/>
      <c r="L635" s="123"/>
      <c r="M635" s="123"/>
      <c r="N635" s="160"/>
      <c r="O635" s="160"/>
      <c r="P635" s="184"/>
      <c r="Q635" s="184"/>
      <c r="R635" s="123"/>
      <c r="T635" s="42"/>
      <c r="V635" s="123"/>
      <c r="W635" s="123"/>
      <c r="X635" s="123"/>
      <c r="Y635" s="123"/>
      <c r="Z635" s="237"/>
      <c r="AA635" s="123"/>
      <c r="AB635" s="123"/>
      <c r="AC635" s="160"/>
      <c r="AD635" s="160"/>
      <c r="AE635" s="123"/>
      <c r="AF635" s="123"/>
      <c r="AH635" s="236"/>
      <c r="AI635" s="184"/>
      <c r="AJ635" s="184"/>
      <c r="AL635" s="123"/>
      <c r="AM635" s="160"/>
      <c r="AN635" s="160"/>
    </row>
    <row r="636" spans="3:40" x14ac:dyDescent="0.3">
      <c r="F636" s="210"/>
      <c r="H636" s="210"/>
      <c r="I636" s="210"/>
      <c r="J636" s="213"/>
      <c r="K636" s="213"/>
      <c r="L636" s="210"/>
      <c r="M636" s="210"/>
      <c r="N636" s="210"/>
      <c r="O636" s="210"/>
      <c r="P636" s="210"/>
      <c r="Q636" s="210"/>
      <c r="R636" s="210"/>
      <c r="V636" s="210"/>
      <c r="Y636" s="210"/>
      <c r="Z636" s="213"/>
      <c r="AA636" s="210"/>
      <c r="AB636" s="210"/>
      <c r="AC636" s="210"/>
      <c r="AD636" s="210"/>
      <c r="AE636" s="210"/>
      <c r="AF636" s="210"/>
      <c r="AI636" s="210"/>
      <c r="AJ636" s="210"/>
      <c r="AK636" s="214"/>
      <c r="AL636" s="210"/>
    </row>
    <row r="637" spans="3:40" x14ac:dyDescent="0.3">
      <c r="C637" s="42"/>
      <c r="D637" s="42"/>
      <c r="E637" s="42"/>
      <c r="T637" s="42"/>
      <c r="U637" s="42"/>
      <c r="V637" s="123"/>
      <c r="W637" s="123"/>
      <c r="X637" s="123"/>
      <c r="Y637" s="123"/>
      <c r="Z637" s="237"/>
    </row>
    <row r="638" spans="3:40" x14ac:dyDescent="0.3">
      <c r="C638" s="42"/>
      <c r="T638" s="42"/>
      <c r="V638" s="123"/>
      <c r="W638" s="123"/>
      <c r="X638" s="123"/>
      <c r="Y638" s="123"/>
      <c r="Z638" s="237"/>
    </row>
    <row r="639" spans="3:40" x14ac:dyDescent="0.3">
      <c r="C639" s="42"/>
      <c r="F639" s="184"/>
      <c r="H639" s="184"/>
      <c r="I639" s="184"/>
      <c r="J639" s="237"/>
      <c r="K639" s="237"/>
      <c r="L639" s="123"/>
      <c r="M639" s="123"/>
      <c r="N639" s="160"/>
      <c r="O639" s="160"/>
      <c r="P639" s="123"/>
      <c r="Q639" s="123"/>
      <c r="R639" s="123"/>
      <c r="T639" s="42"/>
      <c r="V639" s="123"/>
      <c r="W639" s="123"/>
      <c r="X639" s="123"/>
      <c r="Y639" s="123"/>
      <c r="Z639" s="237"/>
      <c r="AA639" s="123"/>
      <c r="AB639" s="123"/>
      <c r="AC639" s="160"/>
      <c r="AD639" s="160"/>
      <c r="AE639" s="123"/>
      <c r="AF639" s="123"/>
      <c r="AH639" s="236"/>
      <c r="AI639" s="123"/>
      <c r="AJ639" s="123"/>
      <c r="AL639" s="123"/>
      <c r="AM639" s="160"/>
      <c r="AN639" s="160"/>
    </row>
    <row r="640" spans="3:40" x14ac:dyDescent="0.3">
      <c r="C640" s="42"/>
      <c r="T640" s="42"/>
      <c r="V640" s="123"/>
      <c r="W640" s="123"/>
      <c r="X640" s="123"/>
      <c r="Y640" s="123"/>
      <c r="Z640" s="237"/>
    </row>
    <row r="641" spans="1:40" x14ac:dyDescent="0.3">
      <c r="C641" s="42"/>
      <c r="F641" s="184"/>
      <c r="H641" s="184"/>
      <c r="I641" s="184"/>
      <c r="J641" s="237"/>
      <c r="K641" s="237"/>
      <c r="L641" s="123"/>
      <c r="M641" s="123"/>
      <c r="N641" s="160"/>
      <c r="O641" s="160"/>
      <c r="P641" s="123"/>
      <c r="Q641" s="123"/>
      <c r="R641" s="123"/>
      <c r="T641" s="42"/>
      <c r="V641" s="123"/>
      <c r="W641" s="123"/>
      <c r="X641" s="123"/>
      <c r="Y641" s="123"/>
      <c r="Z641" s="237"/>
      <c r="AA641" s="123"/>
      <c r="AB641" s="123"/>
      <c r="AC641" s="160"/>
      <c r="AD641" s="160"/>
      <c r="AE641" s="123"/>
      <c r="AF641" s="123"/>
      <c r="AH641" s="236"/>
      <c r="AI641" s="123"/>
      <c r="AJ641" s="123"/>
      <c r="AL641" s="123"/>
      <c r="AM641" s="160"/>
      <c r="AN641" s="160"/>
    </row>
    <row r="642" spans="1:40" x14ac:dyDescent="0.3">
      <c r="C642" s="42"/>
      <c r="T642" s="42"/>
      <c r="V642" s="123"/>
      <c r="W642" s="123"/>
      <c r="X642" s="123"/>
      <c r="Y642" s="123"/>
      <c r="Z642" s="237"/>
    </row>
    <row r="643" spans="1:40" x14ac:dyDescent="0.3">
      <c r="C643" s="42"/>
      <c r="F643" s="184"/>
      <c r="H643" s="184"/>
      <c r="I643" s="184"/>
      <c r="J643" s="237"/>
      <c r="K643" s="237"/>
      <c r="L643" s="123"/>
      <c r="M643" s="123"/>
      <c r="N643" s="160"/>
      <c r="O643" s="160"/>
      <c r="P643" s="123"/>
      <c r="Q643" s="123"/>
      <c r="R643" s="123"/>
      <c r="T643" s="42"/>
      <c r="V643" s="123"/>
      <c r="W643" s="123"/>
      <c r="X643" s="123"/>
      <c r="Y643" s="123"/>
      <c r="Z643" s="237"/>
      <c r="AA643" s="123"/>
      <c r="AB643" s="123"/>
      <c r="AC643" s="160"/>
      <c r="AD643" s="160"/>
      <c r="AE643" s="123"/>
      <c r="AF643" s="123"/>
      <c r="AH643" s="236"/>
      <c r="AI643" s="123"/>
      <c r="AJ643" s="123"/>
      <c r="AL643" s="123"/>
      <c r="AM643" s="160"/>
      <c r="AN643" s="160"/>
    </row>
    <row r="644" spans="1:40" x14ac:dyDescent="0.3">
      <c r="C644" s="42"/>
      <c r="T644" s="42"/>
      <c r="V644" s="123"/>
      <c r="W644" s="123"/>
      <c r="X644" s="123"/>
      <c r="Y644" s="123"/>
      <c r="Z644" s="237"/>
    </row>
    <row r="645" spans="1:40" x14ac:dyDescent="0.3">
      <c r="C645" s="42"/>
      <c r="F645" s="184"/>
      <c r="H645" s="184"/>
      <c r="I645" s="184"/>
      <c r="J645" s="237"/>
      <c r="K645" s="237"/>
      <c r="L645" s="123"/>
      <c r="M645" s="123"/>
      <c r="N645" s="160"/>
      <c r="O645" s="160"/>
      <c r="P645" s="123"/>
      <c r="Q645" s="123"/>
      <c r="R645" s="123"/>
      <c r="T645" s="42"/>
      <c r="V645" s="123"/>
      <c r="W645" s="123"/>
      <c r="X645" s="123"/>
      <c r="Y645" s="123"/>
      <c r="Z645" s="237"/>
      <c r="AA645" s="123"/>
      <c r="AB645" s="123"/>
      <c r="AC645" s="160"/>
      <c r="AD645" s="160"/>
      <c r="AE645" s="123"/>
      <c r="AF645" s="123"/>
      <c r="AH645" s="236"/>
      <c r="AI645" s="123"/>
      <c r="AJ645" s="123"/>
      <c r="AL645" s="123"/>
      <c r="AM645" s="160"/>
      <c r="AN645" s="160"/>
    </row>
    <row r="646" spans="1:40" x14ac:dyDescent="0.3">
      <c r="F646" s="210"/>
      <c r="H646" s="210"/>
      <c r="I646" s="210"/>
      <c r="J646" s="213"/>
      <c r="K646" s="213"/>
      <c r="L646" s="210"/>
      <c r="M646" s="210"/>
      <c r="N646" s="210"/>
      <c r="O646" s="210"/>
      <c r="P646" s="210"/>
      <c r="Q646" s="210"/>
      <c r="R646" s="210"/>
      <c r="V646" s="210"/>
      <c r="Y646" s="210"/>
      <c r="Z646" s="213"/>
      <c r="AA646" s="210"/>
      <c r="AB646" s="210"/>
      <c r="AC646" s="210"/>
      <c r="AD646" s="210"/>
      <c r="AE646" s="210"/>
      <c r="AF646" s="210"/>
      <c r="AI646" s="210"/>
      <c r="AJ646" s="210"/>
      <c r="AK646" s="214"/>
      <c r="AL646" s="210"/>
    </row>
    <row r="647" spans="1:40" x14ac:dyDescent="0.3">
      <c r="C647" s="42"/>
      <c r="F647" s="123"/>
      <c r="H647" s="123"/>
      <c r="I647" s="123"/>
      <c r="L647" s="123"/>
      <c r="M647" s="123"/>
      <c r="N647" s="160"/>
      <c r="O647" s="160"/>
      <c r="P647" s="184"/>
      <c r="Q647" s="184"/>
      <c r="R647" s="123"/>
      <c r="T647" s="42"/>
      <c r="V647" s="123"/>
      <c r="W647" s="123"/>
      <c r="X647" s="123"/>
      <c r="Y647" s="123"/>
      <c r="Z647" s="237"/>
      <c r="AA647" s="123"/>
      <c r="AB647" s="123"/>
      <c r="AC647" s="160"/>
      <c r="AD647" s="160"/>
      <c r="AE647" s="123"/>
      <c r="AF647" s="123"/>
      <c r="AH647" s="236"/>
      <c r="AI647" s="184"/>
      <c r="AJ647" s="184"/>
      <c r="AL647" s="123"/>
      <c r="AM647" s="160"/>
      <c r="AN647" s="160"/>
    </row>
    <row r="648" spans="1:40" x14ac:dyDescent="0.3">
      <c r="F648" s="210"/>
      <c r="H648" s="210"/>
      <c r="I648" s="210"/>
      <c r="J648" s="213"/>
      <c r="K648" s="213"/>
      <c r="L648" s="210"/>
      <c r="M648" s="210"/>
      <c r="N648" s="210"/>
      <c r="O648" s="210"/>
      <c r="P648" s="210"/>
      <c r="Q648" s="210"/>
      <c r="R648" s="210"/>
      <c r="V648" s="210"/>
      <c r="Y648" s="210"/>
      <c r="Z648" s="213"/>
      <c r="AA648" s="210"/>
      <c r="AB648" s="210"/>
      <c r="AC648" s="210"/>
      <c r="AD648" s="210"/>
      <c r="AE648" s="210"/>
      <c r="AF648" s="210"/>
      <c r="AI648" s="210"/>
      <c r="AJ648" s="210"/>
      <c r="AK648" s="214"/>
      <c r="AL648" s="210"/>
    </row>
    <row r="649" spans="1:40" x14ac:dyDescent="0.3">
      <c r="C649" s="42"/>
      <c r="F649" s="123"/>
      <c r="H649" s="123"/>
      <c r="I649" s="123"/>
      <c r="L649" s="123"/>
      <c r="M649" s="123"/>
      <c r="N649" s="160"/>
      <c r="O649" s="160"/>
      <c r="P649" s="123"/>
      <c r="Q649" s="123"/>
      <c r="R649" s="123"/>
      <c r="T649" s="42"/>
      <c r="V649" s="123"/>
      <c r="W649" s="123"/>
      <c r="X649" s="123"/>
      <c r="Y649" s="123"/>
      <c r="AA649" s="123"/>
      <c r="AB649" s="123"/>
      <c r="AC649" s="160"/>
      <c r="AD649" s="160"/>
      <c r="AE649" s="123"/>
      <c r="AF649" s="123"/>
      <c r="AH649" s="236"/>
      <c r="AI649" s="123"/>
      <c r="AJ649" s="123"/>
      <c r="AL649" s="123"/>
      <c r="AM649" s="236"/>
      <c r="AN649" s="236"/>
    </row>
    <row r="650" spans="1:40" x14ac:dyDescent="0.3">
      <c r="F650" s="210"/>
      <c r="H650" s="210"/>
      <c r="I650" s="210"/>
      <c r="J650" s="213"/>
      <c r="K650" s="213"/>
      <c r="L650" s="210"/>
      <c r="M650" s="210"/>
      <c r="N650" s="210"/>
      <c r="O650" s="210"/>
      <c r="P650" s="210"/>
      <c r="Q650" s="210"/>
      <c r="R650" s="210"/>
      <c r="V650" s="210"/>
      <c r="Y650" s="210"/>
      <c r="Z650" s="213"/>
      <c r="AA650" s="210"/>
      <c r="AB650" s="210"/>
      <c r="AC650" s="210"/>
      <c r="AD650" s="210"/>
      <c r="AE650" s="210"/>
      <c r="AF650" s="210"/>
      <c r="AI650" s="210"/>
      <c r="AJ650" s="210"/>
      <c r="AK650" s="214"/>
      <c r="AL650" s="210"/>
    </row>
    <row r="653" spans="1:40" x14ac:dyDescent="0.3">
      <c r="A653" s="42"/>
    </row>
    <row r="655" spans="1:40" x14ac:dyDescent="0.3">
      <c r="H655" s="42"/>
      <c r="I655" s="42"/>
      <c r="Y655" s="42"/>
    </row>
    <row r="657" spans="1:40" x14ac:dyDescent="0.3">
      <c r="L657" s="42"/>
      <c r="M657" s="42"/>
      <c r="AA657" s="42"/>
      <c r="AB657" s="42"/>
    </row>
    <row r="658" spans="1:40" x14ac:dyDescent="0.3">
      <c r="R658" s="42"/>
      <c r="AK658" s="206"/>
      <c r="AL658" s="42"/>
    </row>
    <row r="659" spans="1:40" x14ac:dyDescent="0.3">
      <c r="R659" s="42"/>
      <c r="AK659" s="206"/>
      <c r="AL659" s="42"/>
    </row>
    <row r="660" spans="1:40" x14ac:dyDescent="0.3">
      <c r="A660" s="42"/>
      <c r="R660" s="42"/>
      <c r="AK660" s="206"/>
      <c r="AL660" s="42"/>
    </row>
    <row r="661" spans="1:40" x14ac:dyDescent="0.3">
      <c r="L661" s="42"/>
      <c r="M661" s="42"/>
      <c r="AA661" s="42"/>
      <c r="AB661" s="42"/>
    </row>
    <row r="662" spans="1:40" x14ac:dyDescent="0.3">
      <c r="A662" s="135"/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207"/>
      <c r="AH662" s="135"/>
      <c r="AI662" s="135"/>
      <c r="AJ662" s="135"/>
      <c r="AK662" s="207"/>
      <c r="AL662" s="135"/>
      <c r="AM662" s="135"/>
      <c r="AN662" s="135"/>
    </row>
    <row r="663" spans="1:40" x14ac:dyDescent="0.3">
      <c r="L663" s="44"/>
      <c r="M663" s="44"/>
      <c r="N663" s="44"/>
      <c r="O663" s="44"/>
      <c r="R663" s="44"/>
      <c r="AA663" s="44"/>
      <c r="AB663" s="44"/>
      <c r="AC663" s="44"/>
      <c r="AD663" s="44"/>
      <c r="AE663" s="44"/>
      <c r="AF663" s="44"/>
      <c r="AG663" s="168"/>
      <c r="AH663" s="44"/>
      <c r="AK663" s="168"/>
      <c r="AL663" s="44"/>
      <c r="AM663" s="44"/>
      <c r="AN663" s="44"/>
    </row>
    <row r="664" spans="1:40" x14ac:dyDescent="0.3">
      <c r="L664" s="44"/>
      <c r="M664" s="44"/>
      <c r="N664" s="44"/>
      <c r="O664" s="44"/>
      <c r="R664" s="44"/>
      <c r="Z664" s="44"/>
      <c r="AA664" s="44"/>
      <c r="AB664" s="44"/>
      <c r="AC664" s="44"/>
      <c r="AD664" s="44"/>
      <c r="AE664" s="44"/>
      <c r="AF664" s="44"/>
      <c r="AG664" s="168"/>
      <c r="AH664" s="44"/>
      <c r="AK664" s="168"/>
      <c r="AL664" s="44"/>
      <c r="AM664" s="44"/>
      <c r="AN664" s="44"/>
    </row>
    <row r="665" spans="1:40" x14ac:dyDescent="0.3">
      <c r="A665" s="44"/>
      <c r="C665" s="44"/>
      <c r="D665" s="44"/>
      <c r="E665" s="44"/>
      <c r="F665" s="44"/>
      <c r="J665" s="44"/>
      <c r="K665" s="44"/>
      <c r="L665" s="44"/>
      <c r="M665" s="44"/>
      <c r="N665" s="44"/>
      <c r="O665" s="44"/>
      <c r="P665" s="44"/>
      <c r="Q665" s="44"/>
      <c r="R665" s="44"/>
      <c r="T665" s="44"/>
      <c r="U665" s="44"/>
      <c r="V665" s="44"/>
      <c r="Z665" s="44"/>
      <c r="AA665" s="44"/>
      <c r="AB665" s="44"/>
      <c r="AC665" s="44"/>
      <c r="AD665" s="44"/>
      <c r="AE665" s="44"/>
      <c r="AF665" s="44"/>
      <c r="AG665" s="168"/>
      <c r="AH665" s="44"/>
      <c r="AI665" s="44"/>
      <c r="AJ665" s="44"/>
      <c r="AK665" s="168"/>
      <c r="AL665" s="44"/>
      <c r="AM665" s="44"/>
      <c r="AN665" s="44"/>
    </row>
    <row r="666" spans="1:40" x14ac:dyDescent="0.3">
      <c r="A666" s="44"/>
      <c r="C666" s="44"/>
      <c r="D666" s="44"/>
      <c r="E666" s="44"/>
      <c r="F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T666" s="44"/>
      <c r="U666" s="44"/>
      <c r="V666" s="44"/>
      <c r="Y666" s="44"/>
      <c r="Z666" s="44"/>
      <c r="AA666" s="44"/>
      <c r="AB666" s="44"/>
      <c r="AC666" s="44"/>
      <c r="AD666" s="44"/>
      <c r="AE666" s="44"/>
      <c r="AF666" s="44"/>
      <c r="AG666" s="168"/>
      <c r="AH666" s="44"/>
      <c r="AI666" s="44"/>
      <c r="AJ666" s="44"/>
      <c r="AK666" s="168"/>
      <c r="AL666" s="44"/>
      <c r="AM666" s="44"/>
      <c r="AN666" s="44"/>
    </row>
    <row r="667" spans="1:40" x14ac:dyDescent="0.3">
      <c r="C667" s="44"/>
      <c r="D667" s="44"/>
      <c r="E667" s="44"/>
      <c r="F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T667" s="44"/>
      <c r="U667" s="44"/>
      <c r="V667" s="44"/>
      <c r="Y667" s="44"/>
      <c r="Z667" s="44"/>
      <c r="AA667" s="44"/>
      <c r="AB667" s="44"/>
      <c r="AC667" s="44"/>
      <c r="AD667" s="44"/>
      <c r="AE667" s="44"/>
      <c r="AF667" s="44"/>
      <c r="AG667" s="168"/>
      <c r="AH667" s="44"/>
      <c r="AI667" s="44"/>
      <c r="AJ667" s="44"/>
      <c r="AK667" s="168"/>
      <c r="AL667" s="44"/>
      <c r="AM667" s="44"/>
      <c r="AN667" s="44"/>
    </row>
    <row r="668" spans="1:40" x14ac:dyDescent="0.3">
      <c r="A668" s="135"/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207"/>
      <c r="AH668" s="135"/>
      <c r="AI668" s="135"/>
      <c r="AJ668" s="135"/>
      <c r="AK668" s="207"/>
      <c r="AL668" s="135"/>
      <c r="AM668" s="135"/>
      <c r="AN668" s="135"/>
    </row>
    <row r="669" spans="1:40" x14ac:dyDescent="0.3"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Y669" s="44"/>
      <c r="Z669" s="44"/>
      <c r="AA669" s="44"/>
      <c r="AB669" s="44"/>
      <c r="AC669" s="44"/>
      <c r="AD669" s="44"/>
      <c r="AE669" s="44"/>
      <c r="AF669" s="44"/>
      <c r="AG669" s="168"/>
      <c r="AH669" s="44"/>
      <c r="AI669" s="44"/>
      <c r="AJ669" s="44"/>
      <c r="AK669" s="168"/>
      <c r="AL669" s="44"/>
      <c r="AM669" s="44"/>
      <c r="AN669" s="44"/>
    </row>
    <row r="670" spans="1:40" x14ac:dyDescent="0.3">
      <c r="C670" s="42"/>
      <c r="D670" s="42"/>
      <c r="E670" s="42"/>
      <c r="F670" s="123"/>
      <c r="H670" s="123"/>
      <c r="I670" s="123"/>
      <c r="J670" s="219"/>
      <c r="K670" s="219"/>
      <c r="L670" s="123"/>
      <c r="M670" s="123"/>
      <c r="N670" s="219"/>
      <c r="O670" s="219"/>
      <c r="P670" s="123"/>
      <c r="Q670" s="123"/>
      <c r="R670" s="123"/>
      <c r="T670" s="42"/>
      <c r="U670" s="42"/>
      <c r="V670" s="123"/>
      <c r="Y670" s="123"/>
      <c r="Z670" s="219"/>
      <c r="AA670" s="123"/>
      <c r="AB670" s="123"/>
      <c r="AC670" s="219"/>
      <c r="AD670" s="219"/>
      <c r="AE670" s="123"/>
      <c r="AF670" s="123"/>
      <c r="AH670" s="236"/>
      <c r="AI670" s="123"/>
      <c r="AJ670" s="123"/>
      <c r="AL670" s="123"/>
      <c r="AM670" s="160"/>
      <c r="AN670" s="160"/>
    </row>
    <row r="671" spans="1:40" x14ac:dyDescent="0.3">
      <c r="F671" s="210"/>
      <c r="H671" s="210"/>
      <c r="I671" s="210"/>
      <c r="J671" s="213"/>
      <c r="K671" s="213"/>
      <c r="L671" s="210"/>
      <c r="M671" s="210"/>
      <c r="N671" s="210"/>
      <c r="O671" s="210"/>
      <c r="P671" s="210"/>
      <c r="Q671" s="210"/>
      <c r="R671" s="210"/>
      <c r="V671" s="210"/>
      <c r="Y671" s="210"/>
      <c r="Z671" s="213"/>
      <c r="AA671" s="210"/>
      <c r="AB671" s="210"/>
      <c r="AC671" s="210"/>
      <c r="AD671" s="210"/>
      <c r="AE671" s="210"/>
      <c r="AF671" s="210"/>
      <c r="AI671" s="210"/>
      <c r="AJ671" s="210"/>
      <c r="AK671" s="214"/>
      <c r="AL671" s="210"/>
      <c r="AM671" s="160"/>
      <c r="AN671" s="160"/>
    </row>
    <row r="672" spans="1:40" x14ac:dyDescent="0.3">
      <c r="C672" s="42"/>
      <c r="F672" s="123"/>
      <c r="H672" s="123"/>
      <c r="I672" s="123"/>
      <c r="J672" s="219"/>
      <c r="K672" s="219"/>
      <c r="L672" s="123"/>
      <c r="M672" s="123"/>
      <c r="N672" s="219"/>
      <c r="O672" s="219"/>
      <c r="P672" s="123"/>
      <c r="Q672" s="123"/>
      <c r="R672" s="123"/>
      <c r="T672" s="42"/>
      <c r="V672" s="123"/>
      <c r="Y672" s="123"/>
      <c r="Z672" s="219"/>
      <c r="AA672" s="123"/>
      <c r="AB672" s="123"/>
      <c r="AC672" s="219"/>
      <c r="AD672" s="219"/>
      <c r="AE672" s="123"/>
      <c r="AF672" s="123"/>
      <c r="AH672" s="236"/>
      <c r="AI672" s="123"/>
      <c r="AJ672" s="123"/>
      <c r="AL672" s="123"/>
      <c r="AM672" s="160"/>
      <c r="AN672" s="160"/>
    </row>
    <row r="673" spans="3:40" x14ac:dyDescent="0.3">
      <c r="F673" s="123"/>
      <c r="H673" s="123"/>
      <c r="I673" s="123"/>
      <c r="J673" s="219"/>
      <c r="K673" s="219"/>
      <c r="L673" s="123"/>
      <c r="M673" s="123"/>
      <c r="N673" s="219"/>
      <c r="O673" s="219"/>
      <c r="P673" s="123"/>
      <c r="Q673" s="123"/>
      <c r="R673" s="123"/>
      <c r="V673" s="123"/>
      <c r="Y673" s="123"/>
      <c r="Z673" s="219"/>
      <c r="AA673" s="123"/>
      <c r="AB673" s="123"/>
      <c r="AC673" s="219"/>
      <c r="AD673" s="219"/>
      <c r="AH673" s="236"/>
      <c r="AI673" s="123"/>
      <c r="AJ673" s="123"/>
      <c r="AL673" s="123"/>
      <c r="AM673" s="160"/>
      <c r="AN673" s="160"/>
    </row>
    <row r="674" spans="3:40" x14ac:dyDescent="0.3">
      <c r="C674" s="42"/>
      <c r="D674" s="42"/>
      <c r="E674" s="42"/>
      <c r="F674" s="123"/>
      <c r="H674" s="123"/>
      <c r="I674" s="123"/>
      <c r="J674" s="219"/>
      <c r="K674" s="219"/>
      <c r="L674" s="123"/>
      <c r="M674" s="123"/>
      <c r="N674" s="219"/>
      <c r="O674" s="219"/>
      <c r="P674" s="123"/>
      <c r="Q674" s="123"/>
      <c r="R674" s="123"/>
      <c r="T674" s="42"/>
      <c r="U674" s="42"/>
      <c r="V674" s="123"/>
      <c r="Y674" s="123"/>
      <c r="Z674" s="219"/>
      <c r="AA674" s="123"/>
      <c r="AB674" s="123"/>
      <c r="AC674" s="219"/>
      <c r="AD674" s="219"/>
      <c r="AE674" s="123"/>
      <c r="AF674" s="123"/>
      <c r="AH674" s="236"/>
      <c r="AI674" s="123"/>
      <c r="AJ674" s="123"/>
      <c r="AL674" s="123"/>
      <c r="AM674" s="160"/>
      <c r="AN674" s="160"/>
    </row>
    <row r="675" spans="3:40" x14ac:dyDescent="0.3">
      <c r="C675" s="42"/>
      <c r="D675" s="42"/>
      <c r="E675" s="42"/>
      <c r="F675" s="123"/>
      <c r="H675" s="123"/>
      <c r="I675" s="123"/>
      <c r="J675" s="219"/>
      <c r="K675" s="219"/>
      <c r="L675" s="123"/>
      <c r="M675" s="123"/>
      <c r="N675" s="219"/>
      <c r="O675" s="219"/>
      <c r="P675" s="123"/>
      <c r="Q675" s="123"/>
      <c r="R675" s="123"/>
      <c r="T675" s="42"/>
      <c r="U675" s="42"/>
      <c r="V675" s="123"/>
      <c r="Y675" s="123"/>
      <c r="Z675" s="219"/>
      <c r="AA675" s="123"/>
      <c r="AB675" s="123"/>
      <c r="AC675" s="219"/>
      <c r="AD675" s="219"/>
      <c r="AE675" s="123"/>
      <c r="AF675" s="123"/>
      <c r="AH675" s="236"/>
      <c r="AI675" s="123"/>
      <c r="AJ675" s="123"/>
      <c r="AL675" s="123"/>
      <c r="AM675" s="160"/>
      <c r="AN675" s="160"/>
    </row>
    <row r="676" spans="3:40" x14ac:dyDescent="0.3">
      <c r="C676" s="42"/>
      <c r="D676" s="42"/>
      <c r="E676" s="42"/>
      <c r="F676" s="123"/>
      <c r="H676" s="123"/>
      <c r="I676" s="123"/>
      <c r="J676" s="219"/>
      <c r="K676" s="219"/>
      <c r="L676" s="123"/>
      <c r="M676" s="123"/>
      <c r="N676" s="219"/>
      <c r="O676" s="219"/>
      <c r="P676" s="123"/>
      <c r="Q676" s="123"/>
      <c r="R676" s="123"/>
      <c r="T676" s="42"/>
      <c r="U676" s="42"/>
      <c r="V676" s="123"/>
      <c r="Y676" s="123"/>
      <c r="Z676" s="219"/>
      <c r="AA676" s="123"/>
      <c r="AB676" s="123"/>
      <c r="AC676" s="219"/>
      <c r="AD676" s="219"/>
      <c r="AE676" s="123"/>
      <c r="AF676" s="123"/>
      <c r="AH676" s="236"/>
      <c r="AI676" s="123"/>
      <c r="AJ676" s="123"/>
      <c r="AL676" s="123"/>
      <c r="AM676" s="160"/>
      <c r="AN676" s="160"/>
    </row>
    <row r="677" spans="3:40" x14ac:dyDescent="0.3">
      <c r="C677" s="42"/>
      <c r="D677" s="42"/>
      <c r="E677" s="42"/>
      <c r="F677" s="123"/>
      <c r="H677" s="123"/>
      <c r="I677" s="123"/>
      <c r="J677" s="219"/>
      <c r="K677" s="219"/>
      <c r="L677" s="123"/>
      <c r="M677" s="123"/>
      <c r="N677" s="219"/>
      <c r="O677" s="219"/>
      <c r="P677" s="123"/>
      <c r="Q677" s="123"/>
      <c r="R677" s="123"/>
      <c r="T677" s="42"/>
      <c r="U677" s="42"/>
      <c r="V677" s="123"/>
      <c r="Y677" s="123"/>
      <c r="Z677" s="219"/>
      <c r="AA677" s="123"/>
      <c r="AB677" s="123"/>
      <c r="AC677" s="219"/>
      <c r="AD677" s="219"/>
      <c r="AE677" s="123"/>
      <c r="AF677" s="123"/>
      <c r="AH677" s="236"/>
      <c r="AI677" s="123"/>
      <c r="AJ677" s="123"/>
      <c r="AL677" s="123"/>
      <c r="AM677" s="160"/>
      <c r="AN677" s="160"/>
    </row>
    <row r="678" spans="3:40" x14ac:dyDescent="0.3">
      <c r="C678" s="42"/>
      <c r="D678" s="42"/>
      <c r="E678" s="42"/>
      <c r="F678" s="123"/>
      <c r="H678" s="123"/>
      <c r="I678" s="123"/>
      <c r="J678" s="219"/>
      <c r="K678" s="219"/>
      <c r="L678" s="123"/>
      <c r="M678" s="123"/>
      <c r="N678" s="219"/>
      <c r="O678" s="219"/>
      <c r="P678" s="123"/>
      <c r="Q678" s="123"/>
      <c r="R678" s="123"/>
      <c r="T678" s="42"/>
      <c r="U678" s="42"/>
      <c r="V678" s="123"/>
      <c r="Y678" s="123"/>
      <c r="Z678" s="219"/>
      <c r="AA678" s="123"/>
      <c r="AB678" s="123"/>
      <c r="AC678" s="219"/>
      <c r="AD678" s="219"/>
      <c r="AE678" s="123"/>
      <c r="AF678" s="123"/>
      <c r="AH678" s="236"/>
      <c r="AI678" s="123"/>
      <c r="AJ678" s="123"/>
      <c r="AL678" s="123"/>
      <c r="AM678" s="160"/>
      <c r="AN678" s="160"/>
    </row>
    <row r="679" spans="3:40" x14ac:dyDescent="0.3">
      <c r="C679" s="42"/>
      <c r="D679" s="42"/>
      <c r="E679" s="42"/>
      <c r="F679" s="123"/>
      <c r="H679" s="123"/>
      <c r="I679" s="123"/>
      <c r="J679" s="219"/>
      <c r="K679" s="219"/>
      <c r="L679" s="123"/>
      <c r="M679" s="123"/>
      <c r="N679" s="219"/>
      <c r="O679" s="219"/>
      <c r="P679" s="123"/>
      <c r="Q679" s="123"/>
      <c r="R679" s="123"/>
      <c r="T679" s="42"/>
      <c r="U679" s="42"/>
      <c r="V679" s="123"/>
      <c r="Y679" s="123"/>
      <c r="Z679" s="219"/>
      <c r="AA679" s="123"/>
      <c r="AB679" s="123"/>
      <c r="AC679" s="219"/>
      <c r="AD679" s="219"/>
      <c r="AE679" s="123"/>
      <c r="AF679" s="123"/>
      <c r="AH679" s="236"/>
      <c r="AI679" s="123"/>
      <c r="AJ679" s="123"/>
      <c r="AL679" s="123"/>
      <c r="AM679" s="160"/>
      <c r="AN679" s="160"/>
    </row>
    <row r="680" spans="3:40" x14ac:dyDescent="0.3">
      <c r="F680" s="210"/>
      <c r="H680" s="210"/>
      <c r="I680" s="210"/>
      <c r="J680" s="213"/>
      <c r="K680" s="213"/>
      <c r="L680" s="210"/>
      <c r="M680" s="210"/>
      <c r="N680" s="210"/>
      <c r="O680" s="210"/>
      <c r="P680" s="210"/>
      <c r="Q680" s="210"/>
      <c r="R680" s="210"/>
      <c r="V680" s="210"/>
      <c r="Y680" s="210"/>
      <c r="Z680" s="213"/>
      <c r="AA680" s="210"/>
      <c r="AB680" s="210"/>
      <c r="AC680" s="210"/>
      <c r="AD680" s="210"/>
      <c r="AE680" s="210"/>
      <c r="AF680" s="210"/>
      <c r="AI680" s="210"/>
      <c r="AJ680" s="210"/>
      <c r="AK680" s="214"/>
      <c r="AL680" s="210"/>
      <c r="AM680" s="160"/>
      <c r="AN680" s="160"/>
    </row>
    <row r="681" spans="3:40" x14ac:dyDescent="0.3">
      <c r="C681" s="42"/>
      <c r="F681" s="123"/>
      <c r="H681" s="123"/>
      <c r="I681" s="123"/>
      <c r="J681" s="219"/>
      <c r="K681" s="219"/>
      <c r="L681" s="123"/>
      <c r="M681" s="123"/>
      <c r="N681" s="219"/>
      <c r="O681" s="219"/>
      <c r="P681" s="123"/>
      <c r="Q681" s="123"/>
      <c r="R681" s="123"/>
      <c r="T681" s="42"/>
      <c r="V681" s="123"/>
      <c r="Y681" s="123"/>
      <c r="Z681" s="219"/>
      <c r="AA681" s="123"/>
      <c r="AB681" s="123"/>
      <c r="AC681" s="219"/>
      <c r="AD681" s="219"/>
      <c r="AE681" s="123"/>
      <c r="AF681" s="123"/>
      <c r="AH681" s="236"/>
      <c r="AI681" s="123"/>
      <c r="AJ681" s="123"/>
      <c r="AL681" s="123"/>
      <c r="AM681" s="160"/>
      <c r="AN681" s="160"/>
    </row>
    <row r="682" spans="3:40" x14ac:dyDescent="0.3">
      <c r="F682" s="123"/>
      <c r="H682" s="123"/>
      <c r="I682" s="123"/>
      <c r="J682" s="219"/>
      <c r="K682" s="219"/>
      <c r="L682" s="123"/>
      <c r="M682" s="123"/>
      <c r="N682" s="219"/>
      <c r="O682" s="219"/>
      <c r="P682" s="123"/>
      <c r="Q682" s="123"/>
      <c r="R682" s="123"/>
      <c r="V682" s="123"/>
      <c r="Y682" s="123"/>
      <c r="Z682" s="219"/>
      <c r="AA682" s="123"/>
      <c r="AB682" s="123"/>
      <c r="AC682" s="219"/>
      <c r="AD682" s="219"/>
      <c r="AH682" s="236"/>
      <c r="AI682" s="123"/>
      <c r="AJ682" s="123"/>
      <c r="AL682" s="123"/>
      <c r="AM682" s="160"/>
      <c r="AN682" s="160"/>
    </row>
    <row r="683" spans="3:40" x14ac:dyDescent="0.3">
      <c r="C683" s="42"/>
      <c r="D683" s="42"/>
      <c r="E683" s="42"/>
      <c r="F683" s="123"/>
      <c r="H683" s="123"/>
      <c r="I683" s="123"/>
      <c r="J683" s="219"/>
      <c r="K683" s="219"/>
      <c r="L683" s="123"/>
      <c r="M683" s="123"/>
      <c r="N683" s="219"/>
      <c r="O683" s="219"/>
      <c r="P683" s="123"/>
      <c r="Q683" s="123"/>
      <c r="R683" s="123"/>
      <c r="T683" s="42"/>
      <c r="U683" s="42"/>
      <c r="V683" s="123"/>
      <c r="Y683" s="123"/>
      <c r="Z683" s="219"/>
      <c r="AA683" s="123"/>
      <c r="AB683" s="123"/>
      <c r="AC683" s="219"/>
      <c r="AD683" s="219"/>
      <c r="AE683" s="123"/>
      <c r="AF683" s="123"/>
      <c r="AH683" s="236"/>
      <c r="AI683" s="123"/>
      <c r="AJ683" s="123"/>
      <c r="AL683" s="123"/>
      <c r="AM683" s="160"/>
      <c r="AN683" s="160"/>
    </row>
    <row r="684" spans="3:40" x14ac:dyDescent="0.3">
      <c r="F684" s="210"/>
      <c r="H684" s="210"/>
      <c r="I684" s="210"/>
      <c r="J684" s="213"/>
      <c r="K684" s="213"/>
      <c r="L684" s="210"/>
      <c r="M684" s="210"/>
      <c r="N684" s="210"/>
      <c r="O684" s="210"/>
      <c r="P684" s="210"/>
      <c r="Q684" s="210"/>
      <c r="R684" s="210"/>
      <c r="V684" s="210"/>
      <c r="Y684" s="210"/>
      <c r="Z684" s="213"/>
      <c r="AA684" s="210"/>
      <c r="AB684" s="210"/>
      <c r="AC684" s="210"/>
      <c r="AD684" s="210"/>
      <c r="AE684" s="210"/>
      <c r="AF684" s="210"/>
      <c r="AI684" s="210"/>
      <c r="AJ684" s="210"/>
      <c r="AK684" s="214"/>
      <c r="AL684" s="210"/>
      <c r="AM684" s="160"/>
      <c r="AN684" s="160"/>
    </row>
    <row r="685" spans="3:40" x14ac:dyDescent="0.3">
      <c r="C685" s="42"/>
      <c r="F685" s="123"/>
      <c r="H685" s="123"/>
      <c r="I685" s="123"/>
      <c r="J685" s="219"/>
      <c r="K685" s="219"/>
      <c r="L685" s="123"/>
      <c r="M685" s="123"/>
      <c r="N685" s="219"/>
      <c r="O685" s="219"/>
      <c r="P685" s="123"/>
      <c r="Q685" s="123"/>
      <c r="R685" s="123"/>
      <c r="T685" s="42"/>
      <c r="V685" s="123"/>
      <c r="Y685" s="123"/>
      <c r="Z685" s="219"/>
      <c r="AA685" s="123"/>
      <c r="AB685" s="123"/>
      <c r="AC685" s="219"/>
      <c r="AD685" s="219"/>
      <c r="AE685" s="123"/>
      <c r="AF685" s="123"/>
      <c r="AH685" s="236"/>
      <c r="AI685" s="123"/>
      <c r="AJ685" s="123"/>
      <c r="AL685" s="123"/>
      <c r="AM685" s="160"/>
      <c r="AN685" s="160"/>
    </row>
    <row r="686" spans="3:40" x14ac:dyDescent="0.3">
      <c r="F686" s="123"/>
      <c r="H686" s="123"/>
      <c r="I686" s="123"/>
      <c r="J686" s="219"/>
      <c r="K686" s="219"/>
      <c r="L686" s="123"/>
      <c r="M686" s="123"/>
      <c r="N686" s="219"/>
      <c r="O686" s="219"/>
      <c r="P686" s="123"/>
      <c r="Q686" s="123"/>
      <c r="R686" s="123"/>
      <c r="V686" s="123"/>
      <c r="Y686" s="123"/>
      <c r="Z686" s="219"/>
      <c r="AA686" s="123"/>
      <c r="AB686" s="123"/>
      <c r="AC686" s="219"/>
      <c r="AD686" s="219"/>
      <c r="AH686" s="236"/>
      <c r="AI686" s="123"/>
      <c r="AJ686" s="123"/>
      <c r="AL686" s="123"/>
      <c r="AM686" s="160"/>
      <c r="AN686" s="160"/>
    </row>
    <row r="687" spans="3:40" x14ac:dyDescent="0.3">
      <c r="C687" s="42"/>
      <c r="D687" s="42"/>
      <c r="E687" s="42"/>
      <c r="F687" s="123"/>
      <c r="H687" s="123"/>
      <c r="I687" s="123"/>
      <c r="J687" s="219"/>
      <c r="K687" s="219"/>
      <c r="L687" s="123"/>
      <c r="M687" s="123"/>
      <c r="N687" s="219"/>
      <c r="O687" s="219"/>
      <c r="P687" s="123"/>
      <c r="Q687" s="123"/>
      <c r="R687" s="123"/>
      <c r="T687" s="42"/>
      <c r="U687" s="42"/>
      <c r="V687" s="123"/>
      <c r="Y687" s="123"/>
      <c r="Z687" s="219"/>
      <c r="AA687" s="123"/>
      <c r="AB687" s="123"/>
      <c r="AC687" s="219"/>
      <c r="AD687" s="219"/>
      <c r="AE687" s="123"/>
      <c r="AF687" s="123"/>
      <c r="AH687" s="236"/>
      <c r="AI687" s="123"/>
      <c r="AJ687" s="123"/>
      <c r="AL687" s="123"/>
      <c r="AM687" s="160"/>
      <c r="AN687" s="160"/>
    </row>
    <row r="688" spans="3:40" x14ac:dyDescent="0.3">
      <c r="C688" s="42"/>
      <c r="D688" s="42"/>
      <c r="E688" s="42"/>
      <c r="F688" s="123"/>
      <c r="G688" s="123"/>
      <c r="H688" s="123"/>
      <c r="I688" s="123"/>
      <c r="J688" s="219"/>
      <c r="K688" s="219"/>
      <c r="L688" s="123"/>
      <c r="M688" s="123"/>
      <c r="N688" s="219"/>
      <c r="O688" s="219"/>
      <c r="P688" s="123"/>
      <c r="Q688" s="123"/>
      <c r="R688" s="123"/>
      <c r="T688" s="42"/>
      <c r="U688" s="42"/>
      <c r="V688" s="123"/>
      <c r="W688" s="123"/>
      <c r="X688" s="123"/>
      <c r="Y688" s="123"/>
      <c r="Z688" s="219"/>
      <c r="AA688" s="123"/>
      <c r="AB688" s="123"/>
      <c r="AC688" s="219"/>
      <c r="AD688" s="219"/>
      <c r="AE688" s="123"/>
      <c r="AF688" s="123"/>
      <c r="AH688" s="236"/>
      <c r="AI688" s="123"/>
      <c r="AJ688" s="123"/>
      <c r="AL688" s="123"/>
      <c r="AM688" s="160"/>
      <c r="AN688" s="160"/>
    </row>
    <row r="689" spans="3:40" x14ac:dyDescent="0.3">
      <c r="C689" s="42"/>
      <c r="D689" s="42"/>
      <c r="E689" s="42"/>
      <c r="F689" s="123"/>
      <c r="G689" s="123"/>
      <c r="H689" s="123"/>
      <c r="I689" s="123"/>
      <c r="J689" s="219"/>
      <c r="K689" s="219"/>
      <c r="L689" s="123"/>
      <c r="M689" s="123"/>
      <c r="N689" s="219"/>
      <c r="O689" s="219"/>
      <c r="P689" s="123"/>
      <c r="Q689" s="123"/>
      <c r="R689" s="123"/>
      <c r="T689" s="42"/>
      <c r="U689" s="42"/>
      <c r="V689" s="123"/>
      <c r="W689" s="123"/>
      <c r="X689" s="123"/>
      <c r="Y689" s="123"/>
      <c r="Z689" s="219"/>
      <c r="AA689" s="123"/>
      <c r="AB689" s="123"/>
      <c r="AC689" s="219"/>
      <c r="AD689" s="219"/>
      <c r="AE689" s="123"/>
      <c r="AF689" s="123"/>
      <c r="AH689" s="236"/>
      <c r="AI689" s="123"/>
      <c r="AJ689" s="123"/>
      <c r="AL689" s="123"/>
      <c r="AM689" s="160"/>
      <c r="AN689" s="160"/>
    </row>
    <row r="690" spans="3:40" x14ac:dyDescent="0.3">
      <c r="C690" s="42"/>
      <c r="D690" s="42"/>
      <c r="E690" s="42"/>
      <c r="F690" s="123"/>
      <c r="H690" s="123"/>
      <c r="I690" s="123"/>
      <c r="J690" s="219"/>
      <c r="K690" s="219"/>
      <c r="L690" s="123"/>
      <c r="M690" s="123"/>
      <c r="N690" s="219"/>
      <c r="O690" s="219"/>
      <c r="P690" s="123"/>
      <c r="Q690" s="123"/>
      <c r="R690" s="123"/>
      <c r="T690" s="42"/>
      <c r="U690" s="42"/>
      <c r="V690" s="123"/>
      <c r="Y690" s="123"/>
      <c r="Z690" s="219"/>
      <c r="AA690" s="123"/>
      <c r="AB690" s="123"/>
      <c r="AC690" s="219"/>
      <c r="AD690" s="219"/>
      <c r="AE690" s="123"/>
      <c r="AF690" s="123"/>
      <c r="AH690" s="236"/>
      <c r="AI690" s="123"/>
      <c r="AJ690" s="123"/>
      <c r="AL690" s="123"/>
      <c r="AM690" s="160"/>
      <c r="AN690" s="160"/>
    </row>
    <row r="691" spans="3:40" x14ac:dyDescent="0.3">
      <c r="C691" s="42"/>
      <c r="D691" s="42"/>
      <c r="E691" s="42"/>
      <c r="F691" s="123"/>
      <c r="H691" s="123"/>
      <c r="I691" s="123"/>
      <c r="J691" s="219"/>
      <c r="K691" s="219"/>
      <c r="L691" s="123"/>
      <c r="M691" s="123"/>
      <c r="N691" s="219"/>
      <c r="O691" s="219"/>
      <c r="P691" s="123"/>
      <c r="Q691" s="123"/>
      <c r="R691" s="123"/>
      <c r="T691" s="42"/>
      <c r="U691" s="42"/>
      <c r="V691" s="123"/>
      <c r="Y691" s="123"/>
      <c r="Z691" s="219"/>
      <c r="AA691" s="123"/>
      <c r="AB691" s="123"/>
      <c r="AC691" s="219"/>
      <c r="AD691" s="219"/>
      <c r="AE691" s="123"/>
      <c r="AF691" s="123"/>
      <c r="AH691" s="236"/>
      <c r="AI691" s="123"/>
      <c r="AJ691" s="123"/>
      <c r="AL691" s="123"/>
      <c r="AM691" s="160"/>
      <c r="AN691" s="160"/>
    </row>
    <row r="692" spans="3:40" x14ac:dyDescent="0.3">
      <c r="C692" s="42"/>
      <c r="D692" s="42"/>
      <c r="E692" s="42"/>
      <c r="F692" s="123"/>
      <c r="H692" s="123"/>
      <c r="I692" s="123"/>
      <c r="J692" s="219"/>
      <c r="K692" s="219"/>
      <c r="L692" s="123"/>
      <c r="M692" s="123"/>
      <c r="N692" s="219"/>
      <c r="O692" s="219"/>
      <c r="P692" s="123"/>
      <c r="Q692" s="123"/>
      <c r="R692" s="123"/>
      <c r="T692" s="42"/>
      <c r="U692" s="42"/>
      <c r="V692" s="123"/>
      <c r="Y692" s="123"/>
      <c r="Z692" s="219"/>
      <c r="AA692" s="123"/>
      <c r="AB692" s="123"/>
      <c r="AC692" s="219"/>
      <c r="AD692" s="219"/>
      <c r="AE692" s="123"/>
      <c r="AF692" s="123"/>
      <c r="AH692" s="236"/>
      <c r="AI692" s="123"/>
      <c r="AJ692" s="123"/>
      <c r="AL692" s="123"/>
      <c r="AM692" s="160"/>
      <c r="AN692" s="160"/>
    </row>
    <row r="693" spans="3:40" x14ac:dyDescent="0.3">
      <c r="C693" s="42"/>
      <c r="D693" s="42"/>
      <c r="E693" s="42"/>
      <c r="F693" s="123"/>
      <c r="H693" s="123"/>
      <c r="I693" s="123"/>
      <c r="J693" s="219"/>
      <c r="K693" s="219"/>
      <c r="L693" s="123"/>
      <c r="M693" s="123"/>
      <c r="N693" s="219"/>
      <c r="O693" s="219"/>
      <c r="P693" s="123"/>
      <c r="Q693" s="123"/>
      <c r="R693" s="123"/>
      <c r="T693" s="42"/>
      <c r="U693" s="42"/>
      <c r="V693" s="123"/>
      <c r="Y693" s="123"/>
      <c r="Z693" s="219"/>
      <c r="AA693" s="123"/>
      <c r="AB693" s="123"/>
      <c r="AC693" s="219"/>
      <c r="AD693" s="219"/>
      <c r="AE693" s="123"/>
      <c r="AF693" s="123"/>
      <c r="AH693" s="236"/>
      <c r="AI693" s="123"/>
      <c r="AJ693" s="123"/>
      <c r="AL693" s="123"/>
      <c r="AM693" s="160"/>
      <c r="AN693" s="160"/>
    </row>
    <row r="694" spans="3:40" x14ac:dyDescent="0.3">
      <c r="F694" s="210"/>
      <c r="H694" s="210"/>
      <c r="I694" s="210"/>
      <c r="J694" s="213"/>
      <c r="K694" s="213"/>
      <c r="L694" s="210"/>
      <c r="M694" s="210"/>
      <c r="N694" s="210"/>
      <c r="O694" s="210"/>
      <c r="P694" s="210"/>
      <c r="Q694" s="210"/>
      <c r="R694" s="210"/>
      <c r="V694" s="210"/>
      <c r="Y694" s="210"/>
      <c r="Z694" s="213"/>
      <c r="AA694" s="210"/>
      <c r="AB694" s="210"/>
      <c r="AC694" s="210"/>
      <c r="AD694" s="210"/>
      <c r="AE694" s="210"/>
      <c r="AF694" s="210"/>
      <c r="AI694" s="210"/>
      <c r="AJ694" s="210"/>
      <c r="AK694" s="214"/>
      <c r="AL694" s="210"/>
      <c r="AM694" s="160"/>
      <c r="AN694" s="160"/>
    </row>
    <row r="695" spans="3:40" x14ac:dyDescent="0.3">
      <c r="C695" s="42"/>
      <c r="F695" s="123"/>
      <c r="H695" s="123"/>
      <c r="I695" s="123"/>
      <c r="J695" s="219"/>
      <c r="K695" s="219"/>
      <c r="L695" s="123"/>
      <c r="M695" s="123"/>
      <c r="N695" s="219"/>
      <c r="O695" s="219"/>
      <c r="P695" s="123"/>
      <c r="Q695" s="123"/>
      <c r="R695" s="123"/>
      <c r="T695" s="42"/>
      <c r="V695" s="123"/>
      <c r="Y695" s="123"/>
      <c r="Z695" s="219"/>
      <c r="AA695" s="123"/>
      <c r="AB695" s="123"/>
      <c r="AC695" s="219"/>
      <c r="AD695" s="219"/>
      <c r="AE695" s="123"/>
      <c r="AF695" s="123"/>
      <c r="AH695" s="236"/>
      <c r="AI695" s="123"/>
      <c r="AJ695" s="123"/>
      <c r="AL695" s="123"/>
      <c r="AM695" s="160"/>
      <c r="AN695" s="160"/>
    </row>
    <row r="696" spans="3:40" x14ac:dyDescent="0.3">
      <c r="V696" s="123"/>
      <c r="Y696" s="123"/>
      <c r="Z696" s="213"/>
      <c r="AA696" s="123"/>
      <c r="AB696" s="123"/>
      <c r="AC696" s="123"/>
      <c r="AD696" s="123"/>
      <c r="AE696" s="123"/>
      <c r="AF696" s="123"/>
      <c r="AI696" s="123"/>
      <c r="AJ696" s="123"/>
      <c r="AL696" s="123"/>
      <c r="AM696" s="160"/>
      <c r="AN696" s="160"/>
    </row>
    <row r="697" spans="3:40" x14ac:dyDescent="0.3">
      <c r="C697" s="42"/>
      <c r="D697" s="42"/>
      <c r="E697" s="42"/>
      <c r="L697" s="123"/>
      <c r="M697" s="123"/>
      <c r="N697" s="219"/>
      <c r="O697" s="219"/>
      <c r="R697" s="123"/>
      <c r="T697" s="42"/>
      <c r="U697" s="42"/>
      <c r="AA697" s="123"/>
      <c r="AB697" s="123"/>
      <c r="AC697" s="219"/>
      <c r="AD697" s="219"/>
      <c r="AE697" s="123"/>
      <c r="AF697" s="123"/>
      <c r="AH697" s="236"/>
      <c r="AL697" s="123"/>
      <c r="AM697" s="160"/>
      <c r="AN697" s="160"/>
    </row>
    <row r="698" spans="3:40" x14ac:dyDescent="0.3">
      <c r="D698" s="42"/>
      <c r="E698" s="42"/>
      <c r="F698" s="184"/>
      <c r="H698" s="184"/>
      <c r="I698" s="184"/>
      <c r="J698" s="219"/>
      <c r="K698" s="219"/>
      <c r="L698" s="123"/>
      <c r="M698" s="123"/>
      <c r="N698" s="219"/>
      <c r="O698" s="219"/>
      <c r="P698" s="184"/>
      <c r="Q698" s="184"/>
      <c r="R698" s="123"/>
      <c r="U698" s="42"/>
      <c r="V698" s="123"/>
      <c r="Y698" s="123"/>
      <c r="Z698" s="219"/>
      <c r="AA698" s="123"/>
      <c r="AB698" s="123"/>
      <c r="AC698" s="219"/>
      <c r="AD698" s="219"/>
      <c r="AE698" s="123"/>
      <c r="AF698" s="123"/>
      <c r="AH698" s="236"/>
      <c r="AI698" s="123"/>
      <c r="AJ698" s="123"/>
      <c r="AL698" s="123"/>
      <c r="AM698" s="160"/>
      <c r="AN698" s="160"/>
    </row>
    <row r="699" spans="3:40" x14ac:dyDescent="0.3">
      <c r="F699" s="210"/>
      <c r="H699" s="210"/>
      <c r="I699" s="210"/>
      <c r="J699" s="213"/>
      <c r="K699" s="213"/>
      <c r="L699" s="210"/>
      <c r="M699" s="210"/>
      <c r="N699" s="210"/>
      <c r="O699" s="210"/>
      <c r="P699" s="210"/>
      <c r="Q699" s="210"/>
      <c r="R699" s="210"/>
      <c r="V699" s="210"/>
      <c r="Y699" s="210"/>
      <c r="Z699" s="213"/>
      <c r="AA699" s="210"/>
      <c r="AB699" s="210"/>
      <c r="AC699" s="210"/>
      <c r="AD699" s="210"/>
      <c r="AE699" s="210"/>
      <c r="AF699" s="210"/>
      <c r="AI699" s="210"/>
      <c r="AJ699" s="210"/>
      <c r="AK699" s="214"/>
      <c r="AL699" s="210"/>
      <c r="AM699" s="160"/>
      <c r="AN699" s="160"/>
    </row>
    <row r="700" spans="3:40" x14ac:dyDescent="0.3">
      <c r="C700" s="42"/>
      <c r="F700" s="123"/>
      <c r="H700" s="123"/>
      <c r="I700" s="123"/>
      <c r="J700" s="219"/>
      <c r="K700" s="219"/>
      <c r="L700" s="123"/>
      <c r="M700" s="123"/>
      <c r="N700" s="219"/>
      <c r="O700" s="219"/>
      <c r="P700" s="123"/>
      <c r="Q700" s="123"/>
      <c r="R700" s="123"/>
      <c r="T700" s="42"/>
      <c r="V700" s="123"/>
      <c r="Y700" s="123"/>
      <c r="Z700" s="219"/>
      <c r="AA700" s="123"/>
      <c r="AB700" s="123"/>
      <c r="AC700" s="219"/>
      <c r="AD700" s="219"/>
      <c r="AE700" s="123"/>
      <c r="AF700" s="123"/>
      <c r="AH700" s="236"/>
      <c r="AI700" s="123"/>
      <c r="AJ700" s="123"/>
      <c r="AL700" s="123"/>
      <c r="AM700" s="160"/>
      <c r="AN700" s="160"/>
    </row>
    <row r="701" spans="3:40" x14ac:dyDescent="0.3">
      <c r="F701" s="123"/>
      <c r="H701" s="123"/>
      <c r="I701" s="123"/>
      <c r="J701" s="219"/>
      <c r="K701" s="219"/>
      <c r="L701" s="123"/>
      <c r="M701" s="123"/>
      <c r="N701" s="219"/>
      <c r="O701" s="219"/>
      <c r="P701" s="123"/>
      <c r="Q701" s="123"/>
      <c r="R701" s="123"/>
      <c r="V701" s="123"/>
      <c r="Y701" s="123"/>
      <c r="Z701" s="219"/>
      <c r="AA701" s="123"/>
      <c r="AB701" s="123"/>
      <c r="AC701" s="219"/>
      <c r="AD701" s="219"/>
      <c r="AH701" s="236"/>
      <c r="AI701" s="123"/>
      <c r="AJ701" s="123"/>
      <c r="AL701" s="123"/>
      <c r="AM701" s="160"/>
      <c r="AN701" s="160"/>
    </row>
    <row r="702" spans="3:40" x14ac:dyDescent="0.3">
      <c r="D702" s="42"/>
      <c r="E702" s="42"/>
      <c r="F702" s="123"/>
      <c r="H702" s="123"/>
      <c r="I702" s="123"/>
      <c r="J702" s="219"/>
      <c r="K702" s="219"/>
      <c r="L702" s="184"/>
      <c r="M702" s="184"/>
      <c r="N702" s="219"/>
      <c r="O702" s="219"/>
      <c r="P702" s="123"/>
      <c r="Q702" s="123"/>
      <c r="R702" s="123"/>
      <c r="U702" s="42"/>
      <c r="V702" s="123"/>
      <c r="Y702" s="123"/>
      <c r="Z702" s="219"/>
      <c r="AA702" s="184"/>
      <c r="AB702" s="184"/>
      <c r="AC702" s="219"/>
      <c r="AD702" s="219"/>
      <c r="AE702" s="123"/>
      <c r="AF702" s="123"/>
      <c r="AH702" s="236"/>
      <c r="AI702" s="123"/>
      <c r="AJ702" s="123"/>
      <c r="AL702" s="123"/>
      <c r="AM702" s="160"/>
      <c r="AN702" s="160"/>
    </row>
    <row r="703" spans="3:40" x14ac:dyDescent="0.3">
      <c r="D703" s="42"/>
      <c r="E703" s="42"/>
      <c r="F703" s="123"/>
      <c r="H703" s="123"/>
      <c r="I703" s="123"/>
      <c r="J703" s="219"/>
      <c r="K703" s="219"/>
      <c r="L703" s="184"/>
      <c r="M703" s="184"/>
      <c r="N703" s="219"/>
      <c r="O703" s="219"/>
      <c r="P703" s="123"/>
      <c r="Q703" s="123"/>
      <c r="R703" s="123"/>
      <c r="U703" s="42"/>
      <c r="V703" s="123"/>
      <c r="Y703" s="123"/>
      <c r="Z703" s="219"/>
      <c r="AA703" s="184"/>
      <c r="AB703" s="184"/>
      <c r="AC703" s="219"/>
      <c r="AD703" s="219"/>
      <c r="AE703" s="123"/>
      <c r="AF703" s="123"/>
      <c r="AH703" s="236"/>
      <c r="AI703" s="123"/>
      <c r="AJ703" s="123"/>
      <c r="AL703" s="123"/>
      <c r="AM703" s="160"/>
      <c r="AN703" s="160"/>
    </row>
    <row r="704" spans="3:40" x14ac:dyDescent="0.3">
      <c r="D704" s="42"/>
      <c r="E704" s="42"/>
      <c r="F704" s="123"/>
      <c r="H704" s="123"/>
      <c r="I704" s="123"/>
      <c r="J704" s="219"/>
      <c r="K704" s="219"/>
      <c r="L704" s="184"/>
      <c r="M704" s="184"/>
      <c r="N704" s="219"/>
      <c r="O704" s="219"/>
      <c r="P704" s="123"/>
      <c r="Q704" s="123"/>
      <c r="R704" s="123"/>
      <c r="U704" s="42"/>
      <c r="V704" s="123"/>
      <c r="Y704" s="123"/>
      <c r="Z704" s="219"/>
      <c r="AA704" s="184"/>
      <c r="AB704" s="184"/>
      <c r="AC704" s="219"/>
      <c r="AD704" s="219"/>
      <c r="AE704" s="123"/>
      <c r="AF704" s="123"/>
      <c r="AH704" s="236"/>
      <c r="AI704" s="123"/>
      <c r="AJ704" s="123"/>
      <c r="AL704" s="123"/>
      <c r="AM704" s="160"/>
      <c r="AN704" s="160"/>
    </row>
    <row r="705" spans="1:40" x14ac:dyDescent="0.3">
      <c r="F705" s="210"/>
      <c r="H705" s="210"/>
      <c r="I705" s="210"/>
      <c r="J705" s="213"/>
      <c r="K705" s="213"/>
      <c r="L705" s="210"/>
      <c r="M705" s="210"/>
      <c r="N705" s="210"/>
      <c r="O705" s="210"/>
      <c r="P705" s="210"/>
      <c r="Q705" s="210"/>
      <c r="R705" s="210"/>
      <c r="V705" s="210"/>
      <c r="Y705" s="210"/>
      <c r="Z705" s="213"/>
      <c r="AA705" s="210"/>
      <c r="AB705" s="210"/>
      <c r="AC705" s="210"/>
      <c r="AD705" s="210"/>
      <c r="AE705" s="210"/>
      <c r="AF705" s="210"/>
      <c r="AI705" s="210"/>
      <c r="AJ705" s="210"/>
      <c r="AK705" s="214"/>
      <c r="AL705" s="210"/>
      <c r="AM705" s="160"/>
      <c r="AN705" s="160"/>
    </row>
    <row r="706" spans="1:40" x14ac:dyDescent="0.3">
      <c r="C706" s="42"/>
      <c r="F706" s="123"/>
      <c r="H706" s="123"/>
      <c r="I706" s="123"/>
      <c r="J706" s="219"/>
      <c r="K706" s="219"/>
      <c r="L706" s="123"/>
      <c r="M706" s="123"/>
      <c r="N706" s="219"/>
      <c r="O706" s="219"/>
      <c r="P706" s="123"/>
      <c r="Q706" s="123"/>
      <c r="R706" s="123"/>
      <c r="T706" s="42"/>
      <c r="V706" s="123"/>
      <c r="Y706" s="123"/>
      <c r="Z706" s="219"/>
      <c r="AA706" s="123"/>
      <c r="AB706" s="123"/>
      <c r="AC706" s="219"/>
      <c r="AD706" s="219"/>
      <c r="AE706" s="123"/>
      <c r="AF706" s="123"/>
      <c r="AH706" s="236"/>
      <c r="AI706" s="123"/>
      <c r="AJ706" s="123"/>
      <c r="AL706" s="123"/>
      <c r="AM706" s="160"/>
      <c r="AN706" s="160"/>
    </row>
    <row r="707" spans="1:40" x14ac:dyDescent="0.3">
      <c r="F707" s="123"/>
      <c r="H707" s="123"/>
      <c r="I707" s="123"/>
      <c r="J707" s="219"/>
      <c r="K707" s="219"/>
      <c r="L707" s="123"/>
      <c r="M707" s="123"/>
      <c r="N707" s="219"/>
      <c r="O707" s="219"/>
      <c r="P707" s="123"/>
      <c r="Q707" s="123"/>
      <c r="R707" s="123"/>
      <c r="V707" s="123"/>
      <c r="Y707" s="123"/>
      <c r="Z707" s="219"/>
      <c r="AA707" s="123"/>
      <c r="AB707" s="123"/>
      <c r="AC707" s="219"/>
      <c r="AD707" s="219"/>
      <c r="AH707" s="236"/>
      <c r="AI707" s="123"/>
      <c r="AJ707" s="123"/>
      <c r="AL707" s="123"/>
      <c r="AM707" s="160"/>
      <c r="AN707" s="160"/>
    </row>
    <row r="708" spans="1:40" x14ac:dyDescent="0.3">
      <c r="C708" s="42"/>
      <c r="F708" s="123"/>
      <c r="H708" s="123"/>
      <c r="I708" s="123"/>
      <c r="J708" s="219"/>
      <c r="K708" s="219"/>
      <c r="L708" s="123"/>
      <c r="M708" s="123"/>
      <c r="N708" s="219"/>
      <c r="O708" s="219"/>
      <c r="P708" s="123"/>
      <c r="Q708" s="123"/>
      <c r="R708" s="123"/>
      <c r="T708" s="42"/>
      <c r="V708" s="123"/>
      <c r="Y708" s="123"/>
      <c r="Z708" s="219"/>
      <c r="AA708" s="123"/>
      <c r="AB708" s="123"/>
      <c r="AC708" s="219"/>
      <c r="AD708" s="219"/>
      <c r="AE708" s="123"/>
      <c r="AF708" s="123"/>
      <c r="AH708" s="236"/>
      <c r="AI708" s="123"/>
      <c r="AJ708" s="123"/>
      <c r="AL708" s="123"/>
      <c r="AM708" s="160"/>
      <c r="AN708" s="160"/>
    </row>
    <row r="709" spans="1:40" x14ac:dyDescent="0.3">
      <c r="F709" s="210"/>
      <c r="H709" s="210"/>
      <c r="I709" s="210"/>
      <c r="J709" s="213"/>
      <c r="K709" s="213"/>
      <c r="L709" s="210"/>
      <c r="M709" s="210"/>
      <c r="N709" s="210"/>
      <c r="O709" s="210"/>
      <c r="P709" s="210"/>
      <c r="Q709" s="210"/>
      <c r="R709" s="210"/>
      <c r="V709" s="210"/>
      <c r="Y709" s="210"/>
      <c r="Z709" s="213"/>
      <c r="AA709" s="210"/>
      <c r="AB709" s="210"/>
      <c r="AC709" s="210"/>
      <c r="AD709" s="210"/>
      <c r="AE709" s="210"/>
      <c r="AF709" s="210"/>
      <c r="AI709" s="210"/>
      <c r="AJ709" s="210"/>
      <c r="AK709" s="214"/>
      <c r="AL709" s="210"/>
    </row>
    <row r="711" spans="1:40" x14ac:dyDescent="0.3">
      <c r="C711" s="42"/>
      <c r="L711" s="123"/>
      <c r="M711" s="123"/>
      <c r="P711" s="123"/>
      <c r="Q711" s="123"/>
      <c r="R711" s="123"/>
      <c r="T711" s="42"/>
    </row>
    <row r="712" spans="1:40" x14ac:dyDescent="0.3">
      <c r="A712" s="42"/>
      <c r="L712" s="123"/>
      <c r="M712" s="123"/>
      <c r="P712" s="123"/>
      <c r="Q712" s="123"/>
      <c r="R712" s="123"/>
    </row>
    <row r="713" spans="1:40" x14ac:dyDescent="0.3">
      <c r="L713" s="123"/>
      <c r="M713" s="123"/>
      <c r="P713" s="123"/>
      <c r="Q713" s="123"/>
      <c r="R713" s="123"/>
    </row>
    <row r="714" spans="1:40" x14ac:dyDescent="0.3">
      <c r="L714" s="123"/>
      <c r="M714" s="123"/>
      <c r="P714" s="123"/>
      <c r="Q714" s="123"/>
      <c r="R714" s="123"/>
    </row>
    <row r="715" spans="1:40" x14ac:dyDescent="0.3">
      <c r="L715" s="123"/>
      <c r="M715" s="123"/>
      <c r="P715" s="123"/>
      <c r="Q715" s="123"/>
      <c r="R715" s="123"/>
    </row>
    <row r="716" spans="1:40" x14ac:dyDescent="0.3">
      <c r="L716" s="123"/>
      <c r="M716" s="123"/>
      <c r="P716" s="123"/>
      <c r="Q716" s="123"/>
      <c r="R716" s="123"/>
    </row>
    <row r="717" spans="1:40" x14ac:dyDescent="0.3">
      <c r="L717" s="123"/>
      <c r="M717" s="123"/>
      <c r="P717" s="123"/>
      <c r="Q717" s="123"/>
      <c r="R717" s="123"/>
    </row>
    <row r="750" spans="49:49" x14ac:dyDescent="0.3">
      <c r="AW750" s="123"/>
    </row>
    <row r="751" spans="49:49" x14ac:dyDescent="0.3">
      <c r="AW751" s="123"/>
    </row>
    <row r="752" spans="49:49" x14ac:dyDescent="0.3">
      <c r="AW752" s="123"/>
    </row>
    <row r="753" spans="49:49" x14ac:dyDescent="0.3">
      <c r="AW753" s="123"/>
    </row>
    <row r="754" spans="49:49" x14ac:dyDescent="0.3">
      <c r="AW754" s="123"/>
    </row>
    <row r="755" spans="49:49" x14ac:dyDescent="0.3">
      <c r="AW755" s="123"/>
    </row>
    <row r="758" spans="49:49" x14ac:dyDescent="0.3">
      <c r="AW758" s="123"/>
    </row>
    <row r="759" spans="49:49" x14ac:dyDescent="0.3">
      <c r="AW759" s="123"/>
    </row>
    <row r="760" spans="49:49" x14ac:dyDescent="0.3">
      <c r="AW760" s="123"/>
    </row>
    <row r="761" spans="49:49" x14ac:dyDescent="0.3">
      <c r="AW761" s="123"/>
    </row>
    <row r="762" spans="49:49" x14ac:dyDescent="0.3">
      <c r="AW762" s="123"/>
    </row>
    <row r="763" spans="49:49" x14ac:dyDescent="0.3">
      <c r="AW763" s="123"/>
    </row>
    <row r="764" spans="49:49" x14ac:dyDescent="0.3">
      <c r="AW764" s="123"/>
    </row>
    <row r="765" spans="49:49" x14ac:dyDescent="0.3">
      <c r="AW765" s="123"/>
    </row>
    <row r="768" spans="49:49" x14ac:dyDescent="0.3">
      <c r="AW768" s="123"/>
    </row>
    <row r="769" spans="49:51" x14ac:dyDescent="0.3">
      <c r="AW769" s="123"/>
    </row>
    <row r="772" spans="49:51" x14ac:dyDescent="0.3">
      <c r="AW772" s="123"/>
    </row>
    <row r="773" spans="49:51" x14ac:dyDescent="0.3">
      <c r="AW773" s="123"/>
    </row>
    <row r="774" spans="49:51" x14ac:dyDescent="0.3">
      <c r="AW774" s="123"/>
    </row>
    <row r="775" spans="49:51" x14ac:dyDescent="0.3">
      <c r="AW775" s="123"/>
    </row>
    <row r="783" spans="49:51" x14ac:dyDescent="0.3">
      <c r="AY783" s="42"/>
    </row>
    <row r="784" spans="49:51" x14ac:dyDescent="0.3">
      <c r="AY784" s="42"/>
    </row>
    <row r="785" spans="45:69" x14ac:dyDescent="0.3">
      <c r="BD785" s="42"/>
    </row>
    <row r="786" spans="45:69" x14ac:dyDescent="0.3">
      <c r="BD786" s="42"/>
    </row>
    <row r="787" spans="45:69" x14ac:dyDescent="0.3">
      <c r="AS787" s="42"/>
      <c r="BD787" s="42"/>
    </row>
    <row r="789" spans="45:69" x14ac:dyDescent="0.3">
      <c r="AS789" s="135"/>
      <c r="AT789" s="135"/>
      <c r="AU789" s="135"/>
      <c r="AV789" s="135"/>
      <c r="AW789" s="135"/>
      <c r="AX789" s="135"/>
      <c r="AY789" s="135"/>
      <c r="AZ789" s="135"/>
      <c r="BA789" s="135"/>
      <c r="BB789" s="135"/>
      <c r="BC789" s="135"/>
      <c r="BD789" s="135"/>
      <c r="BE789" s="135"/>
    </row>
    <row r="790" spans="45:69" x14ac:dyDescent="0.3">
      <c r="AX790" s="42"/>
    </row>
    <row r="791" spans="45:69" x14ac:dyDescent="0.3">
      <c r="AX791" s="135"/>
      <c r="AY791" s="135"/>
      <c r="AZ791" s="135"/>
      <c r="BA791" s="135"/>
      <c r="BC791" s="44"/>
      <c r="BD791" s="44"/>
    </row>
    <row r="792" spans="45:69" x14ac:dyDescent="0.3">
      <c r="AV792" s="44"/>
      <c r="AW792" s="44"/>
      <c r="AZ792" s="44"/>
      <c r="BA792" s="44"/>
      <c r="BC792" s="44"/>
      <c r="BD792" s="44"/>
      <c r="BE792" s="44"/>
      <c r="BG792" s="135"/>
      <c r="BH792" s="42"/>
      <c r="BK792" s="135"/>
      <c r="BM792" s="135"/>
      <c r="BN792" s="42"/>
      <c r="BQ792" s="135"/>
    </row>
    <row r="793" spans="45:69" x14ac:dyDescent="0.3"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H793" s="44"/>
      <c r="BI793" s="44"/>
      <c r="BJ793" s="44"/>
      <c r="BN793" s="44"/>
      <c r="BO793" s="44"/>
      <c r="BP793" s="44"/>
    </row>
    <row r="794" spans="45:69" x14ac:dyDescent="0.3">
      <c r="AS794" s="44"/>
      <c r="AU794" s="42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G794" s="44"/>
      <c r="BH794" s="44"/>
      <c r="BI794" s="44"/>
      <c r="BJ794" s="44"/>
      <c r="BK794" s="44"/>
      <c r="BM794" s="44"/>
      <c r="BN794" s="44"/>
      <c r="BO794" s="44"/>
      <c r="BP794" s="44"/>
      <c r="BQ794" s="44"/>
    </row>
    <row r="795" spans="45:69" x14ac:dyDescent="0.3">
      <c r="AS795" s="44"/>
      <c r="AU795" s="42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G795" s="44"/>
      <c r="BH795" s="44"/>
      <c r="BI795" s="44"/>
      <c r="BJ795" s="44"/>
      <c r="BK795" s="44"/>
      <c r="BM795" s="44"/>
      <c r="BN795" s="44"/>
      <c r="BO795" s="44"/>
      <c r="BP795" s="44"/>
      <c r="BQ795" s="44"/>
    </row>
    <row r="796" spans="45:69" x14ac:dyDescent="0.3">
      <c r="AS796" s="135"/>
      <c r="AT796" s="135"/>
      <c r="AU796" s="135"/>
      <c r="AV796" s="135"/>
      <c r="AW796" s="135"/>
      <c r="AX796" s="135"/>
      <c r="AY796" s="135"/>
      <c r="AZ796" s="135"/>
      <c r="BA796" s="135"/>
      <c r="BB796" s="135"/>
      <c r="BC796" s="135"/>
      <c r="BD796" s="135"/>
      <c r="BE796" s="135"/>
      <c r="BG796" s="135"/>
      <c r="BH796" s="135"/>
      <c r="BI796" s="135"/>
      <c r="BJ796" s="135"/>
      <c r="BK796" s="135"/>
      <c r="BM796" s="135"/>
      <c r="BN796" s="135"/>
      <c r="BO796" s="135"/>
      <c r="BP796" s="135"/>
      <c r="BQ796" s="135"/>
    </row>
    <row r="797" spans="45:69" x14ac:dyDescent="0.3"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</row>
    <row r="798" spans="45:69" x14ac:dyDescent="0.3">
      <c r="AU798" s="42"/>
      <c r="AV798" s="44"/>
      <c r="AY798" s="219"/>
    </row>
    <row r="799" spans="45:69" x14ac:dyDescent="0.3">
      <c r="AV799" s="44"/>
      <c r="AW799" s="123"/>
      <c r="AX799" s="188"/>
      <c r="AY799" s="188"/>
      <c r="AZ799" s="188"/>
      <c r="BA799" s="160"/>
      <c r="BB799" s="188"/>
      <c r="BC799" s="219"/>
      <c r="BD799" s="219"/>
      <c r="BE799" s="160"/>
      <c r="BG799" s="188"/>
      <c r="BH799" s="188"/>
      <c r="BI799" s="188"/>
      <c r="BJ799" s="188"/>
      <c r="BK799" s="188"/>
      <c r="BM799" s="188"/>
      <c r="BN799" s="188"/>
      <c r="BO799" s="188"/>
      <c r="BP799" s="188"/>
      <c r="BQ799" s="188"/>
    </row>
    <row r="800" spans="45:69" x14ac:dyDescent="0.3">
      <c r="AV800" s="44"/>
      <c r="AW800" s="123"/>
      <c r="AX800" s="188"/>
      <c r="AY800" s="188"/>
      <c r="AZ800" s="188"/>
      <c r="BA800" s="160"/>
      <c r="BB800" s="188"/>
      <c r="BC800" s="219"/>
      <c r="BD800" s="219"/>
      <c r="BE800" s="160"/>
      <c r="BG800" s="188"/>
      <c r="BH800" s="188"/>
      <c r="BI800" s="188"/>
      <c r="BJ800" s="188"/>
      <c r="BK800" s="188"/>
      <c r="BM800" s="188"/>
      <c r="BN800" s="188"/>
      <c r="BO800" s="188"/>
      <c r="BP800" s="188"/>
      <c r="BQ800" s="188"/>
    </row>
    <row r="801" spans="48:69" x14ac:dyDescent="0.3">
      <c r="AV801" s="44"/>
      <c r="AW801" s="123"/>
      <c r="AX801" s="188"/>
      <c r="AY801" s="188"/>
      <c r="AZ801" s="188"/>
      <c r="BA801" s="160"/>
      <c r="BB801" s="188"/>
      <c r="BC801" s="219"/>
      <c r="BD801" s="219"/>
      <c r="BE801" s="160"/>
      <c r="BG801" s="188"/>
      <c r="BH801" s="188"/>
      <c r="BI801" s="188"/>
      <c r="BJ801" s="188"/>
      <c r="BK801" s="188"/>
      <c r="BM801" s="188"/>
      <c r="BN801" s="188"/>
      <c r="BO801" s="188"/>
      <c r="BP801" s="188"/>
      <c r="BQ801" s="188"/>
    </row>
    <row r="802" spans="48:69" x14ac:dyDescent="0.3">
      <c r="AV802" s="44"/>
      <c r="AW802" s="123"/>
      <c r="AX802" s="188"/>
      <c r="AY802" s="188"/>
      <c r="AZ802" s="188"/>
      <c r="BA802" s="160"/>
      <c r="BB802" s="188"/>
      <c r="BC802" s="219"/>
      <c r="BD802" s="219"/>
      <c r="BE802" s="160"/>
      <c r="BG802" s="188"/>
      <c r="BH802" s="188"/>
      <c r="BI802" s="188"/>
      <c r="BJ802" s="188"/>
      <c r="BK802" s="188"/>
      <c r="BM802" s="188"/>
      <c r="BN802" s="188"/>
      <c r="BO802" s="188"/>
      <c r="BP802" s="188"/>
      <c r="BQ802" s="188"/>
    </row>
    <row r="803" spans="48:69" x14ac:dyDescent="0.3">
      <c r="AV803" s="44"/>
      <c r="AW803" s="123"/>
      <c r="AX803" s="188"/>
      <c r="AY803" s="188"/>
      <c r="AZ803" s="188"/>
      <c r="BA803" s="160"/>
      <c r="BB803" s="188"/>
      <c r="BC803" s="219"/>
      <c r="BD803" s="219"/>
      <c r="BE803" s="160"/>
      <c r="BG803" s="188"/>
      <c r="BH803" s="188"/>
      <c r="BI803" s="188"/>
      <c r="BJ803" s="188"/>
      <c r="BK803" s="188"/>
      <c r="BM803" s="188"/>
      <c r="BN803" s="188"/>
      <c r="BO803" s="188"/>
      <c r="BP803" s="188"/>
      <c r="BQ803" s="188"/>
    </row>
    <row r="804" spans="48:69" x14ac:dyDescent="0.3">
      <c r="AV804" s="44"/>
      <c r="AW804" s="123"/>
      <c r="AX804" s="188"/>
      <c r="AY804" s="188"/>
      <c r="AZ804" s="188"/>
      <c r="BA804" s="160"/>
      <c r="BB804" s="188"/>
      <c r="BC804" s="219"/>
      <c r="BD804" s="219"/>
      <c r="BE804" s="160"/>
      <c r="BG804" s="188"/>
      <c r="BH804" s="188"/>
      <c r="BI804" s="188"/>
      <c r="BJ804" s="188"/>
      <c r="BK804" s="188"/>
      <c r="BM804" s="188"/>
      <c r="BN804" s="188"/>
      <c r="BO804" s="188"/>
      <c r="BP804" s="188"/>
      <c r="BQ804" s="188"/>
    </row>
    <row r="805" spans="48:69" x14ac:dyDescent="0.3">
      <c r="AV805" s="44"/>
      <c r="AW805" s="123"/>
      <c r="AX805" s="188"/>
      <c r="AY805" s="188"/>
      <c r="AZ805" s="188"/>
      <c r="BA805" s="160"/>
      <c r="BB805" s="188"/>
      <c r="BC805" s="219"/>
      <c r="BD805" s="219"/>
      <c r="BE805" s="160"/>
      <c r="BG805" s="188"/>
      <c r="BH805" s="188"/>
      <c r="BI805" s="188"/>
      <c r="BJ805" s="188"/>
      <c r="BK805" s="188"/>
      <c r="BM805" s="188"/>
      <c r="BN805" s="188"/>
      <c r="BO805" s="188"/>
      <c r="BP805" s="188"/>
      <c r="BQ805" s="188"/>
    </row>
    <row r="806" spans="48:69" x14ac:dyDescent="0.3">
      <c r="AY806" s="219"/>
      <c r="AZ806" s="188"/>
      <c r="BA806" s="160"/>
      <c r="BB806" s="188"/>
      <c r="BC806" s="219"/>
      <c r="BD806" s="219"/>
      <c r="BE806" s="160"/>
      <c r="BK806" s="188"/>
      <c r="BQ806" s="188"/>
    </row>
    <row r="807" spans="48:69" x14ac:dyDescent="0.3">
      <c r="AV807" s="44"/>
      <c r="AY807" s="219"/>
      <c r="AZ807" s="188"/>
      <c r="BA807" s="160"/>
      <c r="BB807" s="188"/>
      <c r="BC807" s="219"/>
      <c r="BD807" s="219"/>
      <c r="BE807" s="160"/>
      <c r="BK807" s="188"/>
      <c r="BQ807" s="188"/>
    </row>
    <row r="808" spans="48:69" x14ac:dyDescent="0.3">
      <c r="AV808" s="44"/>
      <c r="AW808" s="123"/>
      <c r="AX808" s="188"/>
      <c r="AY808" s="188"/>
      <c r="AZ808" s="188"/>
      <c r="BA808" s="160"/>
      <c r="BB808" s="188"/>
      <c r="BC808" s="219"/>
      <c r="BD808" s="219"/>
      <c r="BE808" s="160"/>
      <c r="BG808" s="188"/>
      <c r="BH808" s="188"/>
      <c r="BI808" s="188"/>
      <c r="BJ808" s="188"/>
      <c r="BK808" s="188"/>
      <c r="BM808" s="188"/>
      <c r="BN808" s="188"/>
      <c r="BO808" s="188"/>
      <c r="BP808" s="188"/>
      <c r="BQ808" s="188"/>
    </row>
    <row r="809" spans="48:69" x14ac:dyDescent="0.3">
      <c r="AV809" s="44"/>
      <c r="AW809" s="123"/>
      <c r="AX809" s="188"/>
      <c r="AY809" s="188"/>
      <c r="AZ809" s="188"/>
      <c r="BA809" s="160"/>
      <c r="BB809" s="188"/>
      <c r="BC809" s="219"/>
      <c r="BD809" s="219"/>
      <c r="BE809" s="160"/>
      <c r="BG809" s="188"/>
      <c r="BH809" s="188"/>
      <c r="BI809" s="188"/>
      <c r="BJ809" s="188"/>
      <c r="BK809" s="188"/>
      <c r="BM809" s="188"/>
      <c r="BN809" s="188"/>
      <c r="BO809" s="188"/>
      <c r="BP809" s="188"/>
      <c r="BQ809" s="188"/>
    </row>
    <row r="810" spans="48:69" x14ac:dyDescent="0.3">
      <c r="AV810" s="44"/>
      <c r="AW810" s="123"/>
      <c r="AX810" s="188"/>
      <c r="AY810" s="188"/>
      <c r="AZ810" s="188"/>
      <c r="BA810" s="160"/>
      <c r="BB810" s="188"/>
      <c r="BC810" s="219"/>
      <c r="BD810" s="219"/>
      <c r="BE810" s="160"/>
      <c r="BG810" s="188"/>
      <c r="BH810" s="188"/>
      <c r="BI810" s="188"/>
      <c r="BJ810" s="188"/>
      <c r="BK810" s="188"/>
      <c r="BM810" s="188"/>
      <c r="BN810" s="188"/>
      <c r="BO810" s="188"/>
      <c r="BP810" s="188"/>
      <c r="BQ810" s="188"/>
    </row>
    <row r="811" spans="48:69" x14ac:dyDescent="0.3">
      <c r="AV811" s="44"/>
      <c r="AW811" s="123"/>
      <c r="AX811" s="188"/>
      <c r="AY811" s="188"/>
      <c r="AZ811" s="188"/>
      <c r="BA811" s="160"/>
      <c r="BB811" s="188"/>
      <c r="BC811" s="219"/>
      <c r="BD811" s="219"/>
      <c r="BE811" s="160"/>
      <c r="BG811" s="188"/>
      <c r="BH811" s="188"/>
      <c r="BI811" s="188"/>
      <c r="BJ811" s="188"/>
      <c r="BK811" s="188"/>
      <c r="BM811" s="188"/>
      <c r="BN811" s="188"/>
      <c r="BO811" s="188"/>
      <c r="BP811" s="188"/>
      <c r="BQ811" s="188"/>
    </row>
    <row r="812" spans="48:69" x14ac:dyDescent="0.3">
      <c r="AV812" s="44"/>
      <c r="AW812" s="123"/>
      <c r="AX812" s="188"/>
      <c r="AY812" s="188"/>
      <c r="AZ812" s="188"/>
      <c r="BA812" s="160"/>
      <c r="BB812" s="188"/>
      <c r="BC812" s="219"/>
      <c r="BD812" s="219"/>
      <c r="BE812" s="160"/>
      <c r="BG812" s="188"/>
      <c r="BH812" s="188"/>
      <c r="BI812" s="188"/>
      <c r="BJ812" s="188"/>
      <c r="BK812" s="188"/>
      <c r="BM812" s="188"/>
      <c r="BN812" s="188"/>
      <c r="BO812" s="188"/>
      <c r="BP812" s="188"/>
      <c r="BQ812" s="188"/>
    </row>
    <row r="813" spans="48:69" x14ac:dyDescent="0.3">
      <c r="AV813" s="44"/>
      <c r="AW813" s="123"/>
      <c r="AX813" s="188"/>
      <c r="AY813" s="188"/>
      <c r="AZ813" s="188"/>
      <c r="BA813" s="160"/>
      <c r="BB813" s="188"/>
      <c r="BC813" s="219"/>
      <c r="BD813" s="219"/>
      <c r="BE813" s="160"/>
      <c r="BG813" s="188"/>
      <c r="BH813" s="188"/>
      <c r="BI813" s="188"/>
      <c r="BJ813" s="188"/>
      <c r="BK813" s="188"/>
      <c r="BM813" s="188"/>
      <c r="BN813" s="188"/>
      <c r="BO813" s="188"/>
      <c r="BP813" s="188"/>
      <c r="BQ813" s="188"/>
    </row>
    <row r="814" spans="48:69" x14ac:dyDescent="0.3">
      <c r="AV814" s="44"/>
      <c r="AW814" s="123"/>
      <c r="AX814" s="188"/>
      <c r="AY814" s="188"/>
      <c r="AZ814" s="188"/>
      <c r="BA814" s="160"/>
      <c r="BB814" s="188"/>
      <c r="BC814" s="219"/>
      <c r="BD814" s="219"/>
      <c r="BE814" s="160"/>
      <c r="BG814" s="188"/>
      <c r="BH814" s="188"/>
      <c r="BI814" s="188"/>
      <c r="BJ814" s="188"/>
      <c r="BK814" s="188"/>
      <c r="BM814" s="188"/>
      <c r="BN814" s="188"/>
      <c r="BO814" s="188"/>
      <c r="BP814" s="188"/>
      <c r="BQ814" s="188"/>
    </row>
    <row r="815" spans="48:69" x14ac:dyDescent="0.3">
      <c r="AV815" s="44"/>
      <c r="AW815" s="123"/>
      <c r="AX815" s="188"/>
      <c r="AY815" s="188"/>
      <c r="AZ815" s="188"/>
      <c r="BA815" s="160"/>
      <c r="BB815" s="188"/>
      <c r="BC815" s="219"/>
      <c r="BD815" s="219"/>
      <c r="BE815" s="160"/>
      <c r="BG815" s="188"/>
      <c r="BH815" s="188"/>
      <c r="BI815" s="188"/>
      <c r="BJ815" s="188"/>
      <c r="BK815" s="188"/>
      <c r="BM815" s="188"/>
      <c r="BN815" s="188"/>
      <c r="BO815" s="188"/>
      <c r="BP815" s="188"/>
      <c r="BQ815" s="188"/>
    </row>
    <row r="816" spans="48:69" x14ac:dyDescent="0.3">
      <c r="AY816" s="219"/>
      <c r="AZ816" s="188"/>
      <c r="BA816" s="160"/>
      <c r="BB816" s="188"/>
      <c r="BC816" s="219"/>
      <c r="BD816" s="219"/>
      <c r="BE816" s="160"/>
      <c r="BK816" s="188"/>
      <c r="BQ816" s="188"/>
    </row>
    <row r="817" spans="45:75" x14ac:dyDescent="0.3">
      <c r="AU817" s="42"/>
      <c r="AZ817" s="188"/>
      <c r="BB817" s="188"/>
      <c r="BG817" s="188"/>
      <c r="BH817" s="188"/>
      <c r="BJ817" s="188"/>
      <c r="BK817" s="188"/>
    </row>
    <row r="818" spans="45:75" x14ac:dyDescent="0.3">
      <c r="AZ818" s="188"/>
      <c r="BB818" s="188"/>
    </row>
    <row r="819" spans="45:75" x14ac:dyDescent="0.3">
      <c r="AS819" s="42"/>
      <c r="AZ819" s="188"/>
      <c r="BB819" s="188"/>
      <c r="BI819" s="188"/>
    </row>
    <row r="820" spans="45:75" x14ac:dyDescent="0.3">
      <c r="AZ820" s="188"/>
      <c r="BB820" s="188"/>
    </row>
    <row r="821" spans="45:75" x14ac:dyDescent="0.3">
      <c r="AY821" s="188"/>
      <c r="BB821" s="188"/>
    </row>
    <row r="822" spans="45:75" x14ac:dyDescent="0.3">
      <c r="AY822" s="42"/>
      <c r="AZ822" s="188"/>
      <c r="BB822" s="188"/>
    </row>
    <row r="823" spans="45:75" x14ac:dyDescent="0.3">
      <c r="AY823" s="42"/>
      <c r="AZ823" s="188"/>
      <c r="BB823" s="188"/>
    </row>
    <row r="824" spans="45:75" x14ac:dyDescent="0.3">
      <c r="AZ824" s="188"/>
      <c r="BB824" s="188"/>
      <c r="BD824" s="42"/>
    </row>
    <row r="825" spans="45:75" x14ac:dyDescent="0.3">
      <c r="AZ825" s="188"/>
      <c r="BB825" s="188"/>
      <c r="BD825" s="42"/>
    </row>
    <row r="826" spans="45:75" x14ac:dyDescent="0.3">
      <c r="AS826" s="42"/>
      <c r="AZ826" s="188"/>
      <c r="BB826" s="188"/>
      <c r="BD826" s="42"/>
    </row>
    <row r="827" spans="45:75" x14ac:dyDescent="0.3">
      <c r="AZ827" s="188"/>
      <c r="BB827" s="188"/>
    </row>
    <row r="828" spans="45:75" x14ac:dyDescent="0.3">
      <c r="AS828" s="135"/>
      <c r="AT828" s="135"/>
      <c r="AU828" s="135"/>
      <c r="AV828" s="135"/>
      <c r="AW828" s="135"/>
      <c r="AX828" s="135"/>
      <c r="AY828" s="135"/>
      <c r="AZ828" s="244"/>
      <c r="BA828" s="135"/>
      <c r="BB828" s="244"/>
      <c r="BC828" s="135"/>
      <c r="BD828" s="135"/>
      <c r="BE828" s="135"/>
    </row>
    <row r="829" spans="45:75" x14ac:dyDescent="0.3">
      <c r="AX829" s="42"/>
      <c r="AZ829" s="188"/>
      <c r="BB829" s="188"/>
    </row>
    <row r="830" spans="45:75" x14ac:dyDescent="0.3">
      <c r="AX830" s="135"/>
      <c r="AY830" s="135"/>
      <c r="AZ830" s="244"/>
      <c r="BA830" s="135"/>
      <c r="BB830" s="188"/>
      <c r="BC830" s="44"/>
      <c r="BD830" s="44"/>
    </row>
    <row r="831" spans="45:75" x14ac:dyDescent="0.3">
      <c r="AV831" s="44"/>
      <c r="AW831" s="44"/>
      <c r="AZ831" s="245"/>
      <c r="BA831" s="44"/>
      <c r="BB831" s="188"/>
      <c r="BC831" s="44"/>
      <c r="BD831" s="44"/>
      <c r="BE831" s="44"/>
      <c r="BG831" s="135"/>
      <c r="BH831" s="135"/>
      <c r="BI831" s="42"/>
      <c r="BM831" s="135"/>
      <c r="BN831" s="135"/>
      <c r="BP831" s="135"/>
      <c r="BQ831" s="135"/>
      <c r="BR831" s="42"/>
      <c r="BV831" s="135"/>
      <c r="BW831" s="135"/>
    </row>
    <row r="832" spans="45:75" x14ac:dyDescent="0.3">
      <c r="AV832" s="44"/>
      <c r="AW832" s="44"/>
      <c r="AX832" s="44"/>
      <c r="AY832" s="44"/>
      <c r="AZ832" s="245"/>
      <c r="BA832" s="44"/>
      <c r="BB832" s="245"/>
      <c r="BC832" s="44"/>
      <c r="BD832" s="44"/>
      <c r="BE832" s="44"/>
      <c r="BH832" s="44"/>
      <c r="BI832" s="44"/>
      <c r="BJ832" s="44"/>
      <c r="BK832" s="44"/>
      <c r="BL832" s="44"/>
      <c r="BM832" s="44"/>
      <c r="BQ832" s="44"/>
      <c r="BR832" s="44"/>
      <c r="BS832" s="44"/>
      <c r="BT832" s="44"/>
      <c r="BU832" s="44"/>
      <c r="BV832" s="44"/>
    </row>
    <row r="833" spans="45:75" x14ac:dyDescent="0.3">
      <c r="AS833" s="44"/>
      <c r="AU833" s="42"/>
      <c r="AV833" s="44"/>
      <c r="AW833" s="44"/>
      <c r="AX833" s="44"/>
      <c r="AY833" s="44"/>
      <c r="AZ833" s="245"/>
      <c r="BA833" s="44"/>
      <c r="BB833" s="245"/>
      <c r="BC833" s="44"/>
      <c r="BD833" s="44"/>
      <c r="BE833" s="44"/>
      <c r="BG833" s="44"/>
      <c r="BH833" s="44"/>
      <c r="BI833" s="44"/>
      <c r="BJ833" s="44"/>
      <c r="BK833" s="44"/>
      <c r="BL833" s="44"/>
      <c r="BM833" s="44"/>
      <c r="BN833" s="44"/>
      <c r="BP833" s="44"/>
      <c r="BQ833" s="44"/>
      <c r="BR833" s="44"/>
      <c r="BS833" s="44"/>
      <c r="BT833" s="44"/>
      <c r="BU833" s="44"/>
      <c r="BV833" s="44"/>
      <c r="BW833" s="44"/>
    </row>
    <row r="834" spans="45:75" x14ac:dyDescent="0.3">
      <c r="AS834" s="44"/>
      <c r="AU834" s="42"/>
      <c r="AV834" s="44"/>
      <c r="AW834" s="44"/>
      <c r="AX834" s="44"/>
      <c r="AY834" s="44"/>
      <c r="AZ834" s="245"/>
      <c r="BA834" s="44"/>
      <c r="BB834" s="245"/>
      <c r="BC834" s="44"/>
      <c r="BD834" s="44"/>
      <c r="BE834" s="44"/>
      <c r="BG834" s="44"/>
      <c r="BH834" s="44"/>
      <c r="BI834" s="44"/>
      <c r="BJ834" s="44"/>
      <c r="BK834" s="44"/>
      <c r="BL834" s="44"/>
      <c r="BM834" s="44"/>
      <c r="BN834" s="44"/>
      <c r="BP834" s="44"/>
      <c r="BQ834" s="44"/>
      <c r="BR834" s="44"/>
      <c r="BS834" s="44"/>
      <c r="BT834" s="44"/>
      <c r="BU834" s="44"/>
      <c r="BV834" s="44"/>
      <c r="BW834" s="44"/>
    </row>
    <row r="835" spans="45:75" x14ac:dyDescent="0.3">
      <c r="AS835" s="135"/>
      <c r="AT835" s="135"/>
      <c r="AU835" s="135"/>
      <c r="AV835" s="135"/>
      <c r="AW835" s="135"/>
      <c r="AX835" s="135"/>
      <c r="AY835" s="135"/>
      <c r="AZ835" s="244"/>
      <c r="BA835" s="135"/>
      <c r="BB835" s="244"/>
      <c r="BC835" s="135"/>
      <c r="BD835" s="135"/>
      <c r="BE835" s="135"/>
      <c r="BG835" s="135"/>
      <c r="BH835" s="135"/>
      <c r="BI835" s="135"/>
      <c r="BJ835" s="135"/>
      <c r="BK835" s="135"/>
      <c r="BL835" s="135"/>
      <c r="BM835" s="135"/>
      <c r="BN835" s="135"/>
      <c r="BP835" s="135"/>
      <c r="BQ835" s="135"/>
      <c r="BR835" s="135"/>
      <c r="BS835" s="135"/>
      <c r="BT835" s="135"/>
      <c r="BU835" s="135"/>
      <c r="BV835" s="135"/>
      <c r="BW835" s="135"/>
    </row>
    <row r="836" spans="45:75" x14ac:dyDescent="0.3">
      <c r="AV836" s="44"/>
      <c r="AW836" s="44"/>
      <c r="AX836" s="44"/>
      <c r="AY836" s="44"/>
      <c r="AZ836" s="245"/>
      <c r="BA836" s="44"/>
      <c r="BB836" s="245"/>
      <c r="BC836" s="44"/>
      <c r="BD836" s="44"/>
      <c r="BE836" s="44"/>
      <c r="BG836" s="188"/>
      <c r="BH836" s="188"/>
      <c r="BI836" s="188"/>
      <c r="BJ836" s="188"/>
      <c r="BK836" s="188"/>
      <c r="BL836" s="188"/>
      <c r="BM836" s="188"/>
      <c r="BN836" s="188"/>
      <c r="BO836" s="188"/>
      <c r="BP836" s="188"/>
      <c r="BQ836" s="188"/>
      <c r="BR836" s="188"/>
      <c r="BS836" s="188"/>
      <c r="BT836" s="188"/>
      <c r="BU836" s="188"/>
      <c r="BV836" s="188"/>
      <c r="BW836" s="188"/>
    </row>
    <row r="837" spans="45:75" x14ac:dyDescent="0.3">
      <c r="AU837" s="42"/>
      <c r="AW837" s="123"/>
      <c r="AX837" s="188"/>
      <c r="AY837" s="188"/>
      <c r="AZ837" s="188"/>
      <c r="BA837" s="236"/>
      <c r="BB837" s="188"/>
      <c r="BC837" s="188"/>
      <c r="BD837" s="188"/>
      <c r="BE837" s="236"/>
      <c r="BG837" s="188"/>
      <c r="BH837" s="188"/>
      <c r="BI837" s="188"/>
      <c r="BJ837" s="188"/>
      <c r="BK837" s="188"/>
      <c r="BL837" s="188"/>
      <c r="BM837" s="188"/>
      <c r="BN837" s="188"/>
      <c r="BO837" s="188"/>
      <c r="BP837" s="188"/>
      <c r="BQ837" s="188"/>
      <c r="BR837" s="188"/>
      <c r="BS837" s="188"/>
      <c r="BT837" s="188"/>
      <c r="BU837" s="188"/>
      <c r="BV837" s="188"/>
      <c r="BW837" s="188"/>
    </row>
    <row r="838" spans="45:75" x14ac:dyDescent="0.3">
      <c r="AW838" s="123"/>
      <c r="AX838" s="188"/>
      <c r="AY838" s="188"/>
      <c r="AZ838" s="188"/>
      <c r="BA838" s="236"/>
      <c r="BB838" s="188"/>
      <c r="BC838" s="188"/>
      <c r="BD838" s="188"/>
      <c r="BE838" s="236"/>
      <c r="BG838" s="188"/>
      <c r="BH838" s="188"/>
      <c r="BI838" s="188"/>
      <c r="BJ838" s="188"/>
      <c r="BK838" s="188"/>
      <c r="BL838" s="188"/>
      <c r="BM838" s="188"/>
      <c r="BN838" s="188"/>
      <c r="BO838" s="188"/>
      <c r="BP838" s="188"/>
      <c r="BQ838" s="188"/>
      <c r="BR838" s="188"/>
      <c r="BS838" s="188"/>
      <c r="BT838" s="188"/>
      <c r="BU838" s="188"/>
      <c r="BV838" s="188"/>
      <c r="BW838" s="188"/>
    </row>
    <row r="839" spans="45:75" x14ac:dyDescent="0.3">
      <c r="AW839" s="123"/>
      <c r="AX839" s="188"/>
      <c r="AY839" s="188"/>
      <c r="AZ839" s="188"/>
      <c r="BA839" s="236"/>
      <c r="BB839" s="188"/>
      <c r="BC839" s="188"/>
      <c r="BD839" s="188"/>
      <c r="BE839" s="236"/>
      <c r="BG839" s="188"/>
      <c r="BH839" s="188"/>
      <c r="BI839" s="188"/>
      <c r="BJ839" s="188"/>
      <c r="BK839" s="188"/>
      <c r="BL839" s="188"/>
      <c r="BM839" s="188"/>
      <c r="BN839" s="188"/>
      <c r="BO839" s="188"/>
      <c r="BP839" s="188"/>
      <c r="BQ839" s="188"/>
      <c r="BR839" s="188"/>
      <c r="BS839" s="188"/>
      <c r="BT839" s="188"/>
      <c r="BU839" s="188"/>
      <c r="BV839" s="188"/>
      <c r="BW839" s="188"/>
    </row>
    <row r="840" spans="45:75" x14ac:dyDescent="0.3">
      <c r="AW840" s="123"/>
      <c r="AX840" s="188"/>
      <c r="AY840" s="188"/>
      <c r="AZ840" s="188"/>
      <c r="BA840" s="236"/>
      <c r="BB840" s="188"/>
      <c r="BC840" s="188"/>
      <c r="BD840" s="188"/>
      <c r="BE840" s="236"/>
      <c r="BG840" s="188"/>
      <c r="BH840" s="188"/>
      <c r="BI840" s="188"/>
      <c r="BJ840" s="188"/>
      <c r="BK840" s="188"/>
      <c r="BL840" s="188"/>
      <c r="BM840" s="188"/>
      <c r="BN840" s="188"/>
      <c r="BO840" s="188"/>
      <c r="BP840" s="188"/>
      <c r="BQ840" s="188"/>
      <c r="BR840" s="188"/>
      <c r="BS840" s="188"/>
      <c r="BT840" s="188"/>
      <c r="BU840" s="188"/>
      <c r="BV840" s="188"/>
      <c r="BW840" s="188"/>
    </row>
    <row r="841" spans="45:75" x14ac:dyDescent="0.3">
      <c r="AW841" s="123"/>
      <c r="AX841" s="188"/>
      <c r="AY841" s="188"/>
      <c r="AZ841" s="188"/>
      <c r="BA841" s="236"/>
      <c r="BB841" s="188"/>
      <c r="BC841" s="188"/>
      <c r="BD841" s="188"/>
      <c r="BE841" s="236"/>
      <c r="BG841" s="188"/>
      <c r="BH841" s="188"/>
      <c r="BI841" s="188"/>
      <c r="BJ841" s="188"/>
      <c r="BK841" s="188"/>
      <c r="BL841" s="188"/>
      <c r="BM841" s="188"/>
      <c r="BN841" s="188"/>
      <c r="BO841" s="188"/>
      <c r="BP841" s="188"/>
      <c r="BQ841" s="188"/>
      <c r="BR841" s="188"/>
      <c r="BS841" s="188"/>
      <c r="BT841" s="188"/>
      <c r="BU841" s="188"/>
      <c r="BV841" s="188"/>
      <c r="BW841" s="188"/>
    </row>
    <row r="842" spans="45:75" x14ac:dyDescent="0.3">
      <c r="AW842" s="123"/>
      <c r="AX842" s="188"/>
      <c r="AY842" s="188"/>
      <c r="AZ842" s="188"/>
      <c r="BA842" s="236"/>
      <c r="BB842" s="188"/>
      <c r="BC842" s="188"/>
      <c r="BD842" s="188"/>
      <c r="BE842" s="236"/>
      <c r="BG842" s="188"/>
      <c r="BH842" s="188"/>
      <c r="BI842" s="188"/>
      <c r="BJ842" s="188"/>
      <c r="BK842" s="188"/>
      <c r="BL842" s="188"/>
      <c r="BM842" s="188"/>
      <c r="BN842" s="188"/>
      <c r="BO842" s="188"/>
      <c r="BP842" s="188"/>
      <c r="BQ842" s="188"/>
      <c r="BR842" s="188"/>
      <c r="BS842" s="188"/>
      <c r="BT842" s="188"/>
      <c r="BU842" s="188"/>
      <c r="BV842" s="188"/>
      <c r="BW842" s="188"/>
    </row>
    <row r="843" spans="45:75" x14ac:dyDescent="0.3">
      <c r="AW843" s="123"/>
      <c r="AX843" s="188"/>
      <c r="AY843" s="188"/>
      <c r="AZ843" s="188"/>
      <c r="BA843" s="236"/>
      <c r="BB843" s="188"/>
      <c r="BC843" s="188"/>
      <c r="BD843" s="188"/>
      <c r="BE843" s="236"/>
      <c r="BG843" s="188"/>
      <c r="BH843" s="188"/>
      <c r="BI843" s="188"/>
      <c r="BJ843" s="188"/>
      <c r="BK843" s="188"/>
      <c r="BL843" s="188"/>
      <c r="BM843" s="188"/>
      <c r="BN843" s="188"/>
      <c r="BO843" s="188"/>
      <c r="BP843" s="188"/>
      <c r="BQ843" s="188"/>
      <c r="BR843" s="188"/>
      <c r="BS843" s="188"/>
      <c r="BT843" s="188"/>
      <c r="BU843" s="188"/>
      <c r="BV843" s="188"/>
      <c r="BW843" s="188"/>
    </row>
    <row r="844" spans="45:75" x14ac:dyDescent="0.3">
      <c r="AW844" s="123"/>
      <c r="AX844" s="188"/>
      <c r="AY844" s="188"/>
      <c r="AZ844" s="188"/>
      <c r="BA844" s="236"/>
      <c r="BB844" s="188"/>
      <c r="BC844" s="188"/>
      <c r="BD844" s="188"/>
      <c r="BE844" s="236"/>
      <c r="BG844" s="188"/>
      <c r="BH844" s="188"/>
      <c r="BI844" s="188"/>
      <c r="BJ844" s="188"/>
      <c r="BK844" s="188"/>
      <c r="BL844" s="188"/>
      <c r="BM844" s="188"/>
      <c r="BN844" s="188"/>
      <c r="BO844" s="188"/>
      <c r="BP844" s="188"/>
      <c r="BQ844" s="188"/>
      <c r="BR844" s="188"/>
      <c r="BS844" s="188"/>
      <c r="BT844" s="188"/>
      <c r="BU844" s="188"/>
      <c r="BV844" s="188"/>
      <c r="BW844" s="188"/>
    </row>
    <row r="845" spans="45:75" x14ac:dyDescent="0.3">
      <c r="AW845" s="123"/>
      <c r="AX845" s="188"/>
      <c r="AY845" s="188"/>
      <c r="AZ845" s="188"/>
      <c r="BA845" s="236"/>
      <c r="BB845" s="188"/>
      <c r="BC845" s="188"/>
      <c r="BD845" s="188"/>
      <c r="BE845" s="236"/>
      <c r="BG845" s="188"/>
      <c r="BH845" s="188"/>
      <c r="BI845" s="188"/>
      <c r="BJ845" s="188"/>
      <c r="BK845" s="188"/>
      <c r="BL845" s="188"/>
      <c r="BM845" s="188"/>
      <c r="BN845" s="188"/>
      <c r="BO845" s="188"/>
      <c r="BP845" s="188"/>
      <c r="BQ845" s="188"/>
      <c r="BR845" s="188"/>
      <c r="BS845" s="188"/>
      <c r="BT845" s="188"/>
      <c r="BU845" s="188"/>
      <c r="BV845" s="188"/>
      <c r="BW845" s="188"/>
    </row>
    <row r="846" spans="45:75" x14ac:dyDescent="0.3">
      <c r="AW846" s="123"/>
      <c r="AX846" s="188"/>
      <c r="AY846" s="188"/>
      <c r="AZ846" s="188"/>
      <c r="BA846" s="236"/>
      <c r="BB846" s="188"/>
      <c r="BC846" s="188"/>
      <c r="BD846" s="188"/>
      <c r="BE846" s="236"/>
      <c r="BG846" s="188"/>
      <c r="BH846" s="188"/>
      <c r="BI846" s="188"/>
      <c r="BJ846" s="188"/>
      <c r="BK846" s="188"/>
      <c r="BL846" s="188"/>
      <c r="BM846" s="188"/>
      <c r="BN846" s="188"/>
      <c r="BO846" s="188"/>
      <c r="BP846" s="188"/>
      <c r="BQ846" s="188"/>
      <c r="BR846" s="188"/>
      <c r="BS846" s="188"/>
      <c r="BT846" s="188"/>
      <c r="BU846" s="188"/>
      <c r="BV846" s="188"/>
      <c r="BW846" s="188"/>
    </row>
    <row r="847" spans="45:75" x14ac:dyDescent="0.3">
      <c r="AW847" s="123"/>
      <c r="AX847" s="188"/>
      <c r="AY847" s="188"/>
      <c r="AZ847" s="188"/>
      <c r="BA847" s="236"/>
      <c r="BB847" s="188"/>
      <c r="BC847" s="188"/>
      <c r="BD847" s="188"/>
      <c r="BE847" s="236"/>
      <c r="BG847" s="188"/>
      <c r="BH847" s="188"/>
      <c r="BI847" s="188"/>
      <c r="BJ847" s="188"/>
      <c r="BK847" s="188"/>
      <c r="BL847" s="188"/>
      <c r="BM847" s="188"/>
      <c r="BN847" s="188"/>
      <c r="BO847" s="188"/>
      <c r="BP847" s="188"/>
      <c r="BQ847" s="188"/>
      <c r="BR847" s="188"/>
      <c r="BS847" s="188"/>
      <c r="BT847" s="188"/>
      <c r="BU847" s="188"/>
      <c r="BV847" s="188"/>
      <c r="BW847" s="188"/>
    </row>
    <row r="848" spans="45:75" x14ac:dyDescent="0.3">
      <c r="AW848" s="123"/>
      <c r="AX848" s="188"/>
      <c r="AY848" s="188"/>
      <c r="AZ848" s="188"/>
      <c r="BA848" s="236"/>
      <c r="BB848" s="188"/>
      <c r="BC848" s="188"/>
      <c r="BD848" s="188"/>
      <c r="BE848" s="236"/>
      <c r="BG848" s="188"/>
      <c r="BH848" s="188"/>
      <c r="BI848" s="188"/>
      <c r="BJ848" s="188"/>
      <c r="BK848" s="188"/>
      <c r="BL848" s="188"/>
      <c r="BM848" s="188"/>
      <c r="BN848" s="188"/>
      <c r="BO848" s="188"/>
      <c r="BP848" s="188"/>
      <c r="BQ848" s="188"/>
      <c r="BR848" s="188"/>
      <c r="BS848" s="188"/>
      <c r="BT848" s="188"/>
      <c r="BU848" s="188"/>
      <c r="BV848" s="188"/>
      <c r="BW848" s="188"/>
    </row>
    <row r="849" spans="47:75" x14ac:dyDescent="0.3">
      <c r="AW849" s="123"/>
      <c r="AX849" s="188"/>
      <c r="AY849" s="188"/>
      <c r="AZ849" s="188"/>
      <c r="BA849" s="236"/>
      <c r="BB849" s="188"/>
      <c r="BC849" s="188"/>
      <c r="BD849" s="188"/>
      <c r="BE849" s="236"/>
      <c r="BG849" s="188"/>
      <c r="BH849" s="188"/>
      <c r="BI849" s="188"/>
      <c r="BJ849" s="188"/>
      <c r="BK849" s="188"/>
      <c r="BL849" s="188"/>
      <c r="BM849" s="188"/>
      <c r="BN849" s="188"/>
      <c r="BO849" s="188"/>
      <c r="BP849" s="188"/>
      <c r="BQ849" s="188"/>
      <c r="BR849" s="188"/>
      <c r="BS849" s="188"/>
      <c r="BT849" s="188"/>
      <c r="BU849" s="188"/>
      <c r="BV849" s="188"/>
      <c r="BW849" s="188"/>
    </row>
    <row r="850" spans="47:75" x14ac:dyDescent="0.3">
      <c r="AW850" s="123"/>
      <c r="AX850" s="188"/>
      <c r="AY850" s="188"/>
      <c r="AZ850" s="188"/>
      <c r="BA850" s="236"/>
      <c r="BB850" s="188"/>
      <c r="BC850" s="188"/>
      <c r="BD850" s="188"/>
      <c r="BE850" s="236"/>
      <c r="BG850" s="188"/>
      <c r="BH850" s="188"/>
      <c r="BI850" s="188"/>
      <c r="BJ850" s="188"/>
      <c r="BK850" s="188"/>
      <c r="BL850" s="188"/>
      <c r="BM850" s="188"/>
      <c r="BN850" s="188"/>
      <c r="BO850" s="188"/>
      <c r="BP850" s="188"/>
      <c r="BQ850" s="188"/>
      <c r="BR850" s="188"/>
      <c r="BS850" s="188"/>
      <c r="BT850" s="188"/>
      <c r="BU850" s="188"/>
      <c r="BV850" s="188"/>
      <c r="BW850" s="188"/>
    </row>
    <row r="851" spans="47:75" x14ac:dyDescent="0.3">
      <c r="AW851" s="123"/>
      <c r="AX851" s="188"/>
      <c r="AY851" s="188"/>
      <c r="AZ851" s="188"/>
      <c r="BA851" s="236"/>
      <c r="BB851" s="188"/>
      <c r="BC851" s="188"/>
      <c r="BD851" s="188"/>
      <c r="BE851" s="236"/>
      <c r="BG851" s="188"/>
      <c r="BH851" s="188"/>
      <c r="BI851" s="188"/>
      <c r="BJ851" s="188"/>
      <c r="BK851" s="188"/>
      <c r="BL851" s="188"/>
      <c r="BM851" s="188"/>
      <c r="BN851" s="188"/>
      <c r="BO851" s="188"/>
      <c r="BP851" s="188"/>
      <c r="BQ851" s="188"/>
      <c r="BR851" s="188"/>
      <c r="BS851" s="188"/>
      <c r="BT851" s="188"/>
      <c r="BU851" s="188"/>
      <c r="BV851" s="188"/>
      <c r="BW851" s="188"/>
    </row>
    <row r="852" spans="47:75" x14ac:dyDescent="0.3">
      <c r="AW852" s="123"/>
      <c r="AX852" s="188"/>
      <c r="AY852" s="188"/>
      <c r="AZ852" s="188"/>
      <c r="BA852" s="236"/>
      <c r="BB852" s="188"/>
      <c r="BC852" s="188"/>
      <c r="BD852" s="188"/>
      <c r="BE852" s="236"/>
      <c r="BG852" s="188"/>
      <c r="BH852" s="188"/>
      <c r="BI852" s="188"/>
      <c r="BJ852" s="188"/>
      <c r="BK852" s="188"/>
      <c r="BL852" s="188"/>
      <c r="BM852" s="188"/>
      <c r="BN852" s="188"/>
      <c r="BO852" s="188"/>
      <c r="BP852" s="188"/>
      <c r="BQ852" s="188"/>
      <c r="BR852" s="188"/>
      <c r="BS852" s="188"/>
      <c r="BT852" s="188"/>
      <c r="BU852" s="188"/>
      <c r="BV852" s="188"/>
      <c r="BW852" s="188"/>
    </row>
    <row r="853" spans="47:75" x14ac:dyDescent="0.3">
      <c r="AW853" s="123"/>
      <c r="AX853" s="188"/>
      <c r="AY853" s="188"/>
      <c r="AZ853" s="188"/>
      <c r="BA853" s="236"/>
      <c r="BB853" s="188"/>
      <c r="BC853" s="188"/>
      <c r="BD853" s="188"/>
      <c r="BE853" s="236"/>
      <c r="BG853" s="188"/>
      <c r="BH853" s="188"/>
      <c r="BI853" s="188"/>
      <c r="BJ853" s="188"/>
      <c r="BK853" s="188"/>
      <c r="BL853" s="188"/>
      <c r="BM853" s="188"/>
      <c r="BN853" s="188"/>
      <c r="BO853" s="188"/>
      <c r="BP853" s="188"/>
      <c r="BQ853" s="188"/>
      <c r="BR853" s="188"/>
      <c r="BS853" s="188"/>
      <c r="BT853" s="188"/>
      <c r="BU853" s="188"/>
      <c r="BV853" s="188"/>
      <c r="BW853" s="188"/>
    </row>
    <row r="854" spans="47:75" x14ac:dyDescent="0.3">
      <c r="AW854" s="123"/>
      <c r="AX854" s="188"/>
      <c r="AY854" s="188"/>
      <c r="AZ854" s="188"/>
      <c r="BA854" s="236"/>
      <c r="BB854" s="188"/>
      <c r="BC854" s="188"/>
      <c r="BD854" s="188"/>
      <c r="BE854" s="236"/>
      <c r="BG854" s="188"/>
      <c r="BH854" s="188"/>
      <c r="BI854" s="188"/>
      <c r="BJ854" s="188"/>
      <c r="BK854" s="188"/>
      <c r="BL854" s="188"/>
      <c r="BM854" s="188"/>
      <c r="BN854" s="188"/>
      <c r="BO854" s="188"/>
      <c r="BP854" s="188"/>
      <c r="BQ854" s="188"/>
      <c r="BR854" s="188"/>
      <c r="BS854" s="188"/>
      <c r="BT854" s="188"/>
      <c r="BU854" s="188"/>
      <c r="BV854" s="188"/>
      <c r="BW854" s="188"/>
    </row>
    <row r="855" spans="47:75" x14ac:dyDescent="0.3">
      <c r="AW855" s="123"/>
      <c r="AX855" s="188"/>
      <c r="AY855" s="188"/>
      <c r="AZ855" s="188"/>
      <c r="BA855" s="236"/>
      <c r="BB855" s="188"/>
      <c r="BC855" s="188"/>
      <c r="BD855" s="188"/>
      <c r="BE855" s="236"/>
      <c r="BG855" s="188"/>
      <c r="BH855" s="188"/>
      <c r="BI855" s="188"/>
      <c r="BJ855" s="188"/>
      <c r="BK855" s="188"/>
      <c r="BL855" s="188"/>
      <c r="BM855" s="188"/>
      <c r="BN855" s="188"/>
      <c r="BO855" s="188"/>
      <c r="BP855" s="188"/>
      <c r="BQ855" s="188"/>
      <c r="BR855" s="188"/>
      <c r="BS855" s="188"/>
      <c r="BT855" s="188"/>
      <c r="BU855" s="188"/>
      <c r="BV855" s="188"/>
      <c r="BW855" s="188"/>
    </row>
    <row r="856" spans="47:75" x14ac:dyDescent="0.3">
      <c r="AW856" s="123"/>
      <c r="AX856" s="188"/>
      <c r="AY856" s="188"/>
      <c r="AZ856" s="188"/>
      <c r="BA856" s="236"/>
      <c r="BB856" s="188"/>
      <c r="BC856" s="188"/>
      <c r="BD856" s="188"/>
      <c r="BE856" s="236"/>
      <c r="BG856" s="188"/>
      <c r="BH856" s="188"/>
      <c r="BI856" s="188"/>
      <c r="BJ856" s="188"/>
      <c r="BK856" s="188"/>
      <c r="BL856" s="188"/>
      <c r="BM856" s="188"/>
      <c r="BN856" s="188"/>
      <c r="BO856" s="188"/>
      <c r="BP856" s="188"/>
      <c r="BQ856" s="188"/>
      <c r="BR856" s="188"/>
      <c r="BS856" s="188"/>
      <c r="BT856" s="188"/>
      <c r="BU856" s="188"/>
      <c r="BV856" s="188"/>
      <c r="BW856" s="188"/>
    </row>
    <row r="857" spans="47:75" x14ac:dyDescent="0.3">
      <c r="AW857" s="123"/>
      <c r="AX857" s="188"/>
      <c r="AY857" s="188"/>
      <c r="AZ857" s="188"/>
      <c r="BA857" s="236"/>
      <c r="BB857" s="188"/>
      <c r="BC857" s="188"/>
      <c r="BD857" s="188"/>
      <c r="BE857" s="236"/>
      <c r="BG857" s="188"/>
      <c r="BH857" s="188"/>
      <c r="BI857" s="188"/>
      <c r="BJ857" s="188"/>
      <c r="BK857" s="188"/>
      <c r="BL857" s="188"/>
      <c r="BM857" s="188"/>
      <c r="BN857" s="188"/>
      <c r="BO857" s="188"/>
      <c r="BP857" s="188"/>
      <c r="BQ857" s="188"/>
      <c r="BR857" s="188"/>
      <c r="BS857" s="188"/>
      <c r="BT857" s="188"/>
      <c r="BU857" s="188"/>
      <c r="BV857" s="188"/>
      <c r="BW857" s="188"/>
    </row>
    <row r="858" spans="47:75" x14ac:dyDescent="0.3">
      <c r="AW858" s="123"/>
      <c r="AX858" s="188"/>
      <c r="AY858" s="188"/>
      <c r="AZ858" s="188"/>
      <c r="BA858" s="236"/>
      <c r="BB858" s="188"/>
      <c r="BC858" s="188"/>
      <c r="BD858" s="188"/>
      <c r="BE858" s="236"/>
      <c r="BG858" s="135"/>
      <c r="BH858" s="135"/>
      <c r="BI858" s="42"/>
      <c r="BM858" s="135"/>
      <c r="BN858" s="135"/>
      <c r="BO858" s="188"/>
      <c r="BP858" s="135"/>
      <c r="BQ858" s="135"/>
      <c r="BR858" s="42"/>
      <c r="BV858" s="135"/>
      <c r="BW858" s="135"/>
    </row>
    <row r="859" spans="47:75" x14ac:dyDescent="0.3">
      <c r="AU859" s="42"/>
      <c r="AV859" s="44"/>
      <c r="AW859" s="123"/>
      <c r="AX859" s="188"/>
      <c r="AY859" s="188"/>
      <c r="AZ859" s="188"/>
      <c r="BA859" s="236"/>
      <c r="BB859" s="188"/>
      <c r="BC859" s="188"/>
      <c r="BD859" s="188"/>
      <c r="BE859" s="236"/>
      <c r="BG859" s="245"/>
      <c r="BH859" s="188"/>
      <c r="BI859" s="188"/>
      <c r="BJ859" s="188"/>
      <c r="BK859" s="245"/>
      <c r="BL859" s="246"/>
      <c r="BM859" s="188"/>
      <c r="BN859" s="245"/>
      <c r="BO859" s="188"/>
      <c r="BP859" s="245"/>
      <c r="BQ859" s="188"/>
      <c r="BR859" s="188"/>
      <c r="BS859" s="188"/>
      <c r="BT859" s="245"/>
      <c r="BU859" s="246"/>
      <c r="BV859" s="188"/>
      <c r="BW859" s="245"/>
    </row>
    <row r="860" spans="47:75" x14ac:dyDescent="0.3">
      <c r="AV860" s="44"/>
      <c r="AW860" s="123"/>
      <c r="AX860" s="188"/>
      <c r="AY860" s="188"/>
      <c r="AZ860" s="188"/>
      <c r="BA860" s="236"/>
      <c r="BB860" s="188"/>
      <c r="BC860" s="188"/>
      <c r="BD860" s="188"/>
      <c r="BE860" s="236"/>
      <c r="BG860" s="188"/>
      <c r="BH860" s="188"/>
      <c r="BI860" s="188"/>
      <c r="BJ860" s="188"/>
      <c r="BK860" s="188"/>
      <c r="BL860" s="246"/>
      <c r="BM860" s="188"/>
      <c r="BN860" s="188"/>
      <c r="BO860" s="188"/>
      <c r="BP860" s="188"/>
      <c r="BQ860" s="188"/>
      <c r="BR860" s="188"/>
      <c r="BS860" s="188"/>
      <c r="BT860" s="188"/>
      <c r="BU860" s="246"/>
      <c r="BV860" s="188"/>
      <c r="BW860" s="188"/>
    </row>
    <row r="861" spans="47:75" x14ac:dyDescent="0.3">
      <c r="AV861" s="44"/>
      <c r="AW861" s="123"/>
      <c r="AX861" s="188"/>
      <c r="AY861" s="188"/>
      <c r="AZ861" s="188"/>
      <c r="BA861" s="236"/>
      <c r="BB861" s="188"/>
      <c r="BC861" s="188"/>
      <c r="BD861" s="188"/>
      <c r="BE861" s="236"/>
      <c r="BG861" s="188"/>
      <c r="BH861" s="188"/>
      <c r="BI861" s="188"/>
      <c r="BJ861" s="188"/>
      <c r="BK861" s="188"/>
      <c r="BL861" s="246"/>
      <c r="BM861" s="188"/>
      <c r="BN861" s="188"/>
      <c r="BO861" s="188"/>
      <c r="BP861" s="188"/>
      <c r="BQ861" s="188"/>
      <c r="BR861" s="188"/>
      <c r="BS861" s="188"/>
      <c r="BT861" s="188"/>
      <c r="BU861" s="246"/>
      <c r="BV861" s="188"/>
      <c r="BW861" s="188"/>
    </row>
    <row r="862" spans="47:75" x14ac:dyDescent="0.3">
      <c r="AV862" s="44"/>
      <c r="AW862" s="123"/>
      <c r="AX862" s="188"/>
      <c r="AY862" s="188"/>
      <c r="AZ862" s="188"/>
      <c r="BA862" s="236"/>
      <c r="BB862" s="188"/>
      <c r="BC862" s="188"/>
      <c r="BD862" s="188"/>
      <c r="BE862" s="236"/>
      <c r="BG862" s="188"/>
      <c r="BH862" s="188"/>
      <c r="BI862" s="188"/>
      <c r="BJ862" s="188"/>
      <c r="BK862" s="188"/>
      <c r="BL862" s="246"/>
      <c r="BM862" s="188"/>
      <c r="BN862" s="188"/>
      <c r="BO862" s="188"/>
      <c r="BP862" s="188"/>
      <c r="BQ862" s="188"/>
      <c r="BR862" s="188"/>
      <c r="BS862" s="188"/>
      <c r="BT862" s="188"/>
      <c r="BU862" s="246"/>
      <c r="BV862" s="188"/>
      <c r="BW862" s="188"/>
    </row>
    <row r="863" spans="47:75" x14ac:dyDescent="0.3">
      <c r="AX863" s="188"/>
      <c r="AY863" s="188"/>
      <c r="AZ863" s="188"/>
      <c r="BA863" s="236"/>
      <c r="BB863" s="188"/>
      <c r="BC863" s="188"/>
      <c r="BD863" s="188"/>
      <c r="BE863" s="236"/>
      <c r="BG863" s="188"/>
      <c r="BH863" s="188"/>
      <c r="BI863" s="188"/>
      <c r="BJ863" s="188"/>
      <c r="BK863" s="188"/>
      <c r="BL863" s="188"/>
      <c r="BM863" s="188"/>
      <c r="BN863" s="188"/>
      <c r="BO863" s="188"/>
      <c r="BP863" s="188"/>
      <c r="BQ863" s="188"/>
      <c r="BR863" s="188"/>
      <c r="BS863" s="188"/>
      <c r="BT863" s="188"/>
      <c r="BU863" s="188"/>
      <c r="BV863" s="188"/>
    </row>
    <row r="864" spans="47:75" x14ac:dyDescent="0.3">
      <c r="AU864" s="42"/>
    </row>
    <row r="865" spans="45:74" x14ac:dyDescent="0.3">
      <c r="AU865" s="42"/>
      <c r="AZ865" s="188"/>
      <c r="BA865" s="236"/>
      <c r="BB865" s="188"/>
      <c r="BC865" s="188"/>
      <c r="BD865" s="188"/>
      <c r="BE865" s="236"/>
      <c r="BG865" s="188"/>
      <c r="BH865" s="188"/>
      <c r="BI865" s="188"/>
      <c r="BJ865" s="188"/>
      <c r="BK865" s="188"/>
      <c r="BL865" s="188"/>
      <c r="BM865" s="188"/>
      <c r="BN865" s="188"/>
      <c r="BO865" s="188"/>
      <c r="BP865" s="188"/>
      <c r="BQ865" s="188"/>
      <c r="BR865" s="188"/>
      <c r="BS865" s="188"/>
      <c r="BT865" s="188"/>
      <c r="BU865" s="188"/>
      <c r="BV865" s="188"/>
    </row>
    <row r="866" spans="45:74" x14ac:dyDescent="0.3">
      <c r="AS866" s="42"/>
      <c r="AZ866" s="188"/>
      <c r="BB866" s="188"/>
    </row>
    <row r="867" spans="45:74" x14ac:dyDescent="0.3">
      <c r="AZ867" s="188"/>
      <c r="BB867" s="188"/>
      <c r="BO867" s="188"/>
      <c r="BP867" s="188"/>
      <c r="BQ867" s="188"/>
      <c r="BR867" s="188"/>
      <c r="BS867" s="188"/>
      <c r="BT867" s="188"/>
      <c r="BU867" s="188"/>
      <c r="BV867" s="188"/>
    </row>
    <row r="868" spans="45:74" x14ac:dyDescent="0.3">
      <c r="AY868" s="188"/>
      <c r="AZ868" s="188"/>
      <c r="BB868" s="188"/>
      <c r="BO868" s="188"/>
      <c r="BP868" s="188"/>
      <c r="BQ868" s="188"/>
      <c r="BR868" s="188"/>
      <c r="BS868" s="188"/>
      <c r="BT868" s="188"/>
      <c r="BU868" s="188"/>
      <c r="BV868" s="188"/>
    </row>
    <row r="869" spans="45:74" x14ac:dyDescent="0.3">
      <c r="AY869" s="42"/>
      <c r="AZ869" s="188"/>
      <c r="BB869" s="188"/>
      <c r="BO869" s="188"/>
      <c r="BP869" s="188"/>
      <c r="BQ869" s="188"/>
      <c r="BR869" s="188"/>
      <c r="BS869" s="188"/>
      <c r="BT869" s="188"/>
      <c r="BU869" s="188"/>
      <c r="BV869" s="188"/>
    </row>
    <row r="870" spans="45:74" x14ac:dyDescent="0.3">
      <c r="AY870" s="42"/>
      <c r="AZ870" s="188"/>
      <c r="BB870" s="188"/>
      <c r="BO870" s="188"/>
      <c r="BP870" s="188"/>
      <c r="BQ870" s="188"/>
      <c r="BR870" s="188"/>
      <c r="BS870" s="188"/>
      <c r="BT870" s="188"/>
      <c r="BU870" s="188"/>
      <c r="BV870" s="188"/>
    </row>
    <row r="871" spans="45:74" x14ac:dyDescent="0.3">
      <c r="AZ871" s="188"/>
      <c r="BB871" s="188"/>
      <c r="BD871" s="42"/>
      <c r="BO871" s="188"/>
      <c r="BP871" s="188"/>
      <c r="BQ871" s="188"/>
      <c r="BR871" s="188"/>
      <c r="BS871" s="188"/>
      <c r="BT871" s="188"/>
      <c r="BU871" s="188"/>
      <c r="BV871" s="188"/>
    </row>
    <row r="872" spans="45:74" x14ac:dyDescent="0.3">
      <c r="AZ872" s="188"/>
      <c r="BB872" s="188"/>
      <c r="BD872" s="42"/>
      <c r="BO872" s="188"/>
      <c r="BP872" s="188"/>
      <c r="BQ872" s="188"/>
      <c r="BR872" s="188"/>
      <c r="BS872" s="188"/>
      <c r="BT872" s="188"/>
      <c r="BU872" s="188"/>
      <c r="BV872" s="188"/>
    </row>
    <row r="873" spans="45:74" x14ac:dyDescent="0.3">
      <c r="AS873" s="42"/>
      <c r="AZ873" s="188"/>
      <c r="BB873" s="188"/>
      <c r="BD873" s="42"/>
      <c r="BO873" s="188"/>
      <c r="BP873" s="188"/>
      <c r="BQ873" s="188"/>
      <c r="BR873" s="188"/>
      <c r="BS873" s="188"/>
      <c r="BT873" s="188"/>
      <c r="BU873" s="188"/>
      <c r="BV873" s="188"/>
    </row>
    <row r="874" spans="45:74" x14ac:dyDescent="0.3">
      <c r="AZ874" s="188"/>
      <c r="BB874" s="188"/>
      <c r="BO874" s="188"/>
      <c r="BP874" s="188"/>
      <c r="BQ874" s="188"/>
      <c r="BR874" s="188"/>
      <c r="BS874" s="188"/>
      <c r="BT874" s="188"/>
      <c r="BU874" s="188"/>
      <c r="BV874" s="188"/>
    </row>
    <row r="875" spans="45:74" x14ac:dyDescent="0.3">
      <c r="AS875" s="135"/>
      <c r="AT875" s="135"/>
      <c r="AU875" s="135"/>
      <c r="AV875" s="135"/>
      <c r="AW875" s="135"/>
      <c r="AX875" s="135"/>
      <c r="AY875" s="135"/>
      <c r="AZ875" s="244"/>
      <c r="BA875" s="135"/>
      <c r="BB875" s="244"/>
      <c r="BC875" s="135"/>
      <c r="BD875" s="135"/>
      <c r="BE875" s="135"/>
      <c r="BO875" s="188"/>
      <c r="BP875" s="188"/>
      <c r="BQ875" s="188"/>
      <c r="BR875" s="188"/>
      <c r="BS875" s="188"/>
      <c r="BT875" s="188"/>
      <c r="BU875" s="188"/>
      <c r="BV875" s="188"/>
    </row>
    <row r="876" spans="45:74" x14ac:dyDescent="0.3">
      <c r="AX876" s="42"/>
      <c r="AZ876" s="188"/>
      <c r="BB876" s="188"/>
      <c r="BO876" s="188"/>
      <c r="BP876" s="188"/>
      <c r="BQ876" s="188"/>
      <c r="BR876" s="188"/>
      <c r="BS876" s="188"/>
      <c r="BT876" s="188"/>
      <c r="BU876" s="188"/>
      <c r="BV876" s="188"/>
    </row>
    <row r="877" spans="45:74" x14ac:dyDescent="0.3">
      <c r="AX877" s="135"/>
      <c r="AY877" s="135"/>
      <c r="AZ877" s="244"/>
      <c r="BA877" s="135"/>
      <c r="BB877" s="188"/>
      <c r="BC877" s="44"/>
      <c r="BD877" s="44"/>
      <c r="BO877" s="188"/>
      <c r="BP877" s="188"/>
      <c r="BQ877" s="188"/>
      <c r="BR877" s="188"/>
      <c r="BS877" s="188"/>
      <c r="BT877" s="188"/>
      <c r="BU877" s="188"/>
      <c r="BV877" s="188"/>
    </row>
    <row r="878" spans="45:74" x14ac:dyDescent="0.3">
      <c r="AV878" s="44"/>
      <c r="AW878" s="44"/>
      <c r="AZ878" s="245"/>
      <c r="BA878" s="44"/>
      <c r="BB878" s="188"/>
      <c r="BC878" s="44"/>
      <c r="BD878" s="44"/>
      <c r="BE878" s="44"/>
      <c r="BG878" s="135"/>
      <c r="BH878" s="42"/>
      <c r="BK878" s="135"/>
      <c r="BM878" s="135"/>
      <c r="BN878" s="42"/>
      <c r="BQ878" s="135"/>
    </row>
    <row r="879" spans="45:74" x14ac:dyDescent="0.3">
      <c r="AV879" s="44"/>
      <c r="AW879" s="44"/>
      <c r="AX879" s="44"/>
      <c r="AY879" s="44"/>
      <c r="AZ879" s="245"/>
      <c r="BA879" s="44"/>
      <c r="BB879" s="245"/>
      <c r="BC879" s="44"/>
      <c r="BD879" s="44"/>
      <c r="BE879" s="44"/>
      <c r="BH879" s="44"/>
      <c r="BI879" s="44"/>
      <c r="BN879" s="44"/>
      <c r="BO879" s="44"/>
    </row>
    <row r="880" spans="45:74" x14ac:dyDescent="0.3">
      <c r="AS880" s="44"/>
      <c r="AU880" s="42"/>
      <c r="AV880" s="44"/>
      <c r="AW880" s="44"/>
      <c r="AX880" s="44"/>
      <c r="AY880" s="44"/>
      <c r="AZ880" s="245"/>
      <c r="BA880" s="44"/>
      <c r="BB880" s="245"/>
      <c r="BC880" s="44"/>
      <c r="BD880" s="44"/>
      <c r="BE880" s="44"/>
      <c r="BG880" s="44"/>
      <c r="BH880" s="44"/>
      <c r="BI880" s="44"/>
      <c r="BJ880" s="44"/>
      <c r="BK880" s="44"/>
      <c r="BM880" s="44"/>
      <c r="BN880" s="44"/>
      <c r="BO880" s="44"/>
      <c r="BP880" s="44"/>
      <c r="BQ880" s="44"/>
    </row>
    <row r="881" spans="45:71" x14ac:dyDescent="0.3">
      <c r="AS881" s="44"/>
      <c r="AU881" s="42"/>
      <c r="AV881" s="44"/>
      <c r="AW881" s="44"/>
      <c r="AX881" s="44"/>
      <c r="AY881" s="44"/>
      <c r="AZ881" s="245"/>
      <c r="BA881" s="44"/>
      <c r="BB881" s="245"/>
      <c r="BC881" s="44"/>
      <c r="BD881" s="44"/>
      <c r="BE881" s="44"/>
      <c r="BG881" s="44"/>
      <c r="BH881" s="44"/>
      <c r="BI881" s="44"/>
      <c r="BJ881" s="44"/>
      <c r="BK881" s="44"/>
      <c r="BM881" s="44"/>
      <c r="BN881" s="44"/>
      <c r="BO881" s="44"/>
      <c r="BP881" s="44"/>
      <c r="BQ881" s="44"/>
    </row>
    <row r="882" spans="45:71" x14ac:dyDescent="0.3">
      <c r="AS882" s="135"/>
      <c r="AT882" s="135"/>
      <c r="AU882" s="135"/>
      <c r="AV882" s="135"/>
      <c r="AW882" s="135"/>
      <c r="AX882" s="135"/>
      <c r="AY882" s="135"/>
      <c r="AZ882" s="244"/>
      <c r="BA882" s="135"/>
      <c r="BB882" s="244"/>
      <c r="BC882" s="135"/>
      <c r="BD882" s="135"/>
      <c r="BE882" s="135"/>
      <c r="BG882" s="135"/>
      <c r="BH882" s="135"/>
      <c r="BI882" s="135"/>
      <c r="BJ882" s="135"/>
      <c r="BK882" s="135"/>
      <c r="BM882" s="135"/>
      <c r="BN882" s="135"/>
      <c r="BO882" s="135"/>
      <c r="BP882" s="135"/>
      <c r="BQ882" s="135"/>
    </row>
    <row r="883" spans="45:71" x14ac:dyDescent="0.3">
      <c r="AV883" s="44"/>
      <c r="AW883" s="44"/>
      <c r="AX883" s="44"/>
      <c r="AY883" s="44"/>
      <c r="AZ883" s="245"/>
      <c r="BA883" s="44"/>
      <c r="BB883" s="245"/>
      <c r="BC883" s="44"/>
      <c r="BD883" s="44"/>
      <c r="BE883" s="44"/>
      <c r="BG883" s="188"/>
      <c r="BH883" s="188"/>
      <c r="BI883" s="188"/>
      <c r="BJ883" s="188"/>
      <c r="BK883" s="188"/>
      <c r="BL883" s="188"/>
      <c r="BM883" s="188"/>
      <c r="BN883" s="188"/>
      <c r="BO883" s="188"/>
      <c r="BP883" s="188"/>
      <c r="BQ883" s="188"/>
    </row>
    <row r="884" spans="45:71" x14ac:dyDescent="0.3">
      <c r="AT884" s="42"/>
      <c r="AV884" s="123"/>
      <c r="AW884" s="123"/>
      <c r="AX884" s="188"/>
      <c r="AY884" s="188"/>
      <c r="AZ884" s="188"/>
      <c r="BA884" s="236"/>
      <c r="BB884" s="188"/>
      <c r="BC884" s="188"/>
      <c r="BD884" s="188"/>
      <c r="BE884" s="236"/>
      <c r="BG884" s="188"/>
      <c r="BH884" s="188"/>
      <c r="BI884" s="188"/>
      <c r="BJ884" s="188"/>
      <c r="BK884" s="188"/>
      <c r="BL884" s="188"/>
      <c r="BM884" s="188"/>
      <c r="BN884" s="188"/>
      <c r="BO884" s="188"/>
      <c r="BP884" s="188"/>
      <c r="BQ884" s="188"/>
      <c r="BR884" s="188"/>
      <c r="BS884" s="188"/>
    </row>
    <row r="885" spans="45:71" x14ac:dyDescent="0.3">
      <c r="AV885" s="123"/>
      <c r="AW885" s="123"/>
      <c r="AX885" s="188"/>
      <c r="AY885" s="188"/>
      <c r="AZ885" s="188"/>
      <c r="BA885" s="236"/>
      <c r="BB885" s="188"/>
      <c r="BC885" s="188"/>
      <c r="BD885" s="188"/>
      <c r="BE885" s="236"/>
      <c r="BG885" s="188"/>
      <c r="BH885" s="188"/>
      <c r="BI885" s="188"/>
      <c r="BJ885" s="188"/>
      <c r="BK885" s="188"/>
      <c r="BL885" s="188"/>
      <c r="BM885" s="188"/>
      <c r="BN885" s="188"/>
      <c r="BO885" s="188"/>
      <c r="BP885" s="188"/>
      <c r="BQ885" s="188"/>
      <c r="BR885" s="188"/>
      <c r="BS885" s="188"/>
    </row>
    <row r="886" spans="45:71" x14ac:dyDescent="0.3">
      <c r="AV886" s="123"/>
      <c r="AW886" s="123"/>
      <c r="AX886" s="188"/>
      <c r="AY886" s="188"/>
      <c r="AZ886" s="188"/>
      <c r="BA886" s="236"/>
      <c r="BB886" s="188"/>
      <c r="BC886" s="188"/>
      <c r="BD886" s="188"/>
      <c r="BE886" s="236"/>
      <c r="BG886" s="188"/>
      <c r="BH886" s="188"/>
      <c r="BI886" s="188"/>
      <c r="BJ886" s="188"/>
      <c r="BK886" s="188"/>
      <c r="BL886" s="188"/>
      <c r="BM886" s="188"/>
      <c r="BN886" s="188"/>
      <c r="BO886" s="188"/>
      <c r="BP886" s="188"/>
      <c r="BQ886" s="188"/>
      <c r="BR886" s="188"/>
      <c r="BS886" s="188"/>
    </row>
    <row r="887" spans="45:71" x14ac:dyDescent="0.3">
      <c r="AV887" s="123"/>
      <c r="AW887" s="123"/>
      <c r="AX887" s="188"/>
      <c r="AY887" s="188"/>
      <c r="AZ887" s="188"/>
      <c r="BA887" s="236"/>
      <c r="BB887" s="188"/>
      <c r="BC887" s="188"/>
      <c r="BD887" s="188"/>
      <c r="BE887" s="236"/>
      <c r="BG887" s="188"/>
      <c r="BH887" s="188"/>
      <c r="BI887" s="188"/>
      <c r="BJ887" s="188"/>
      <c r="BK887" s="188"/>
      <c r="BL887" s="188"/>
      <c r="BM887" s="188"/>
      <c r="BN887" s="188"/>
      <c r="BO887" s="188"/>
      <c r="BP887" s="188"/>
      <c r="BQ887" s="188"/>
      <c r="BR887" s="188"/>
      <c r="BS887" s="188"/>
    </row>
    <row r="888" spans="45:71" x14ac:dyDescent="0.3">
      <c r="AV888" s="123"/>
      <c r="AW888" s="123"/>
      <c r="AX888" s="188"/>
      <c r="AY888" s="188"/>
      <c r="AZ888" s="188"/>
      <c r="BA888" s="236"/>
      <c r="BB888" s="188"/>
      <c r="BC888" s="188"/>
      <c r="BD888" s="188"/>
      <c r="BE888" s="236"/>
      <c r="BG888" s="188"/>
      <c r="BH888" s="188"/>
      <c r="BI888" s="188"/>
      <c r="BJ888" s="188"/>
      <c r="BK888" s="188"/>
      <c r="BL888" s="188"/>
      <c r="BM888" s="188"/>
      <c r="BN888" s="188"/>
      <c r="BO888" s="188"/>
      <c r="BP888" s="188"/>
      <c r="BQ888" s="188"/>
      <c r="BR888" s="188"/>
      <c r="BS888" s="188"/>
    </row>
    <row r="889" spans="45:71" x14ac:dyDescent="0.3">
      <c r="AV889" s="123"/>
      <c r="AW889" s="123"/>
      <c r="AX889" s="188"/>
      <c r="AY889" s="188"/>
      <c r="AZ889" s="188"/>
      <c r="BA889" s="236"/>
      <c r="BB889" s="188"/>
      <c r="BC889" s="188"/>
      <c r="BD889" s="188"/>
      <c r="BE889" s="236"/>
      <c r="BG889" s="188"/>
      <c r="BH889" s="188"/>
      <c r="BI889" s="188"/>
      <c r="BJ889" s="188"/>
      <c r="BK889" s="188"/>
      <c r="BL889" s="188"/>
      <c r="BM889" s="188"/>
      <c r="BN889" s="188"/>
      <c r="BO889" s="188"/>
      <c r="BP889" s="188"/>
      <c r="BQ889" s="188"/>
      <c r="BR889" s="188"/>
      <c r="BS889" s="188"/>
    </row>
    <row r="890" spans="45:71" x14ac:dyDescent="0.3">
      <c r="AV890" s="123"/>
      <c r="AW890" s="123"/>
      <c r="AX890" s="188"/>
      <c r="AY890" s="188"/>
      <c r="AZ890" s="188"/>
      <c r="BA890" s="236"/>
      <c r="BB890" s="188"/>
      <c r="BC890" s="188"/>
      <c r="BD890" s="188"/>
      <c r="BE890" s="236"/>
      <c r="BG890" s="188"/>
      <c r="BH890" s="188"/>
      <c r="BI890" s="188"/>
      <c r="BJ890" s="188"/>
      <c r="BK890" s="188"/>
      <c r="BL890" s="188"/>
      <c r="BM890" s="188"/>
      <c r="BN890" s="188"/>
      <c r="BO890" s="188"/>
      <c r="BP890" s="188"/>
      <c r="BQ890" s="188"/>
      <c r="BR890" s="188"/>
      <c r="BS890" s="188"/>
    </row>
    <row r="891" spans="45:71" x14ac:dyDescent="0.3">
      <c r="AV891" s="123"/>
      <c r="AW891" s="123"/>
      <c r="AX891" s="188"/>
      <c r="AY891" s="188"/>
      <c r="AZ891" s="188"/>
      <c r="BA891" s="236"/>
      <c r="BB891" s="188"/>
      <c r="BC891" s="188"/>
      <c r="BD891" s="188"/>
      <c r="BE891" s="236"/>
      <c r="BG891" s="188"/>
      <c r="BH891" s="188"/>
      <c r="BI891" s="188"/>
      <c r="BJ891" s="188"/>
      <c r="BK891" s="188"/>
      <c r="BL891" s="188"/>
      <c r="BM891" s="188"/>
      <c r="BN891" s="188"/>
      <c r="BO891" s="188"/>
      <c r="BP891" s="188"/>
      <c r="BQ891" s="188"/>
      <c r="BR891" s="188"/>
      <c r="BS891" s="188"/>
    </row>
    <row r="892" spans="45:71" x14ac:dyDescent="0.3">
      <c r="AV892" s="123"/>
      <c r="AW892" s="123"/>
      <c r="AX892" s="188"/>
      <c r="AY892" s="188"/>
      <c r="AZ892" s="188"/>
      <c r="BA892" s="236"/>
      <c r="BB892" s="188"/>
      <c r="BC892" s="188"/>
      <c r="BD892" s="188"/>
      <c r="BE892" s="236"/>
      <c r="BG892" s="188"/>
      <c r="BH892" s="188"/>
      <c r="BI892" s="188"/>
      <c r="BJ892" s="188"/>
      <c r="BK892" s="188"/>
      <c r="BL892" s="188"/>
      <c r="BM892" s="188"/>
      <c r="BN892" s="188"/>
      <c r="BO892" s="188"/>
      <c r="BP892" s="188"/>
      <c r="BQ892" s="188"/>
      <c r="BR892" s="188"/>
      <c r="BS892" s="188"/>
    </row>
    <row r="893" spans="45:71" x14ac:dyDescent="0.3">
      <c r="AV893" s="123"/>
      <c r="AW893" s="123"/>
      <c r="AX893" s="188"/>
      <c r="AY893" s="188"/>
      <c r="AZ893" s="188"/>
      <c r="BA893" s="236"/>
      <c r="BB893" s="188"/>
      <c r="BC893" s="188"/>
      <c r="BD893" s="188"/>
      <c r="BE893" s="236"/>
      <c r="BG893" s="188"/>
      <c r="BH893" s="188"/>
      <c r="BI893" s="188"/>
      <c r="BJ893" s="188"/>
      <c r="BK893" s="188"/>
      <c r="BL893" s="188"/>
      <c r="BM893" s="188"/>
      <c r="BN893" s="188"/>
      <c r="BO893" s="188"/>
      <c r="BP893" s="188"/>
      <c r="BQ893" s="188"/>
      <c r="BR893" s="188"/>
      <c r="BS893" s="188"/>
    </row>
    <row r="894" spans="45:71" x14ac:dyDescent="0.3">
      <c r="AV894" s="123"/>
      <c r="AW894" s="123"/>
      <c r="AX894" s="188"/>
      <c r="AY894" s="188"/>
      <c r="AZ894" s="188"/>
      <c r="BA894" s="236"/>
      <c r="BB894" s="188"/>
      <c r="BC894" s="188"/>
      <c r="BD894" s="188"/>
      <c r="BE894" s="236"/>
      <c r="BG894" s="188"/>
      <c r="BH894" s="188"/>
      <c r="BI894" s="188"/>
      <c r="BJ894" s="188"/>
      <c r="BK894" s="188"/>
      <c r="BL894" s="188"/>
      <c r="BM894" s="188"/>
      <c r="BN894" s="188"/>
      <c r="BO894" s="188"/>
      <c r="BP894" s="188"/>
      <c r="BQ894" s="188"/>
      <c r="BR894" s="188"/>
      <c r="BS894" s="188"/>
    </row>
    <row r="895" spans="45:71" x14ac:dyDescent="0.3">
      <c r="AV895" s="123"/>
      <c r="AW895" s="123"/>
      <c r="AX895" s="188"/>
      <c r="AY895" s="188"/>
      <c r="AZ895" s="188"/>
      <c r="BA895" s="236"/>
      <c r="BB895" s="188"/>
      <c r="BC895" s="188"/>
      <c r="BD895" s="188"/>
      <c r="BE895" s="236"/>
      <c r="BG895" s="188"/>
      <c r="BH895" s="188"/>
      <c r="BI895" s="188"/>
      <c r="BJ895" s="188"/>
      <c r="BK895" s="188"/>
      <c r="BL895" s="188"/>
      <c r="BM895" s="188"/>
      <c r="BN895" s="188"/>
      <c r="BO895" s="188"/>
      <c r="BP895" s="188"/>
      <c r="BQ895" s="188"/>
      <c r="BR895" s="188"/>
      <c r="BS895" s="188"/>
    </row>
    <row r="896" spans="45:71" x14ac:dyDescent="0.3">
      <c r="AV896" s="123"/>
      <c r="AW896" s="123"/>
      <c r="AX896" s="188"/>
      <c r="AY896" s="188"/>
      <c r="AZ896" s="188"/>
      <c r="BA896" s="236"/>
      <c r="BB896" s="188"/>
      <c r="BC896" s="188"/>
      <c r="BD896" s="188"/>
      <c r="BE896" s="236"/>
      <c r="BG896" s="188"/>
      <c r="BH896" s="188"/>
      <c r="BI896" s="188"/>
      <c r="BJ896" s="188"/>
      <c r="BK896" s="188"/>
      <c r="BL896" s="188"/>
      <c r="BM896" s="188"/>
      <c r="BN896" s="188"/>
      <c r="BO896" s="188"/>
      <c r="BP896" s="188"/>
      <c r="BQ896" s="188"/>
      <c r="BR896" s="188"/>
      <c r="BS896" s="188"/>
    </row>
    <row r="897" spans="46:71" x14ac:dyDescent="0.3">
      <c r="AV897" s="123"/>
      <c r="AW897" s="123"/>
      <c r="AX897" s="188"/>
      <c r="AY897" s="188"/>
      <c r="AZ897" s="188"/>
      <c r="BA897" s="236"/>
      <c r="BB897" s="188"/>
      <c r="BC897" s="188"/>
      <c r="BD897" s="188"/>
      <c r="BE897" s="236"/>
      <c r="BG897" s="188"/>
      <c r="BH897" s="188"/>
      <c r="BI897" s="188"/>
      <c r="BJ897" s="188"/>
      <c r="BK897" s="188"/>
      <c r="BL897" s="188"/>
      <c r="BM897" s="188"/>
      <c r="BN897" s="188"/>
      <c r="BO897" s="188"/>
      <c r="BP897" s="188"/>
      <c r="BQ897" s="188"/>
      <c r="BR897" s="188"/>
      <c r="BS897" s="188"/>
    </row>
    <row r="898" spans="46:71" x14ac:dyDescent="0.3">
      <c r="AV898" s="123"/>
      <c r="AW898" s="123"/>
      <c r="AX898" s="188"/>
      <c r="AY898" s="188"/>
      <c r="AZ898" s="188"/>
      <c r="BA898" s="236"/>
      <c r="BB898" s="188"/>
      <c r="BC898" s="188"/>
      <c r="BD898" s="188"/>
      <c r="BE898" s="236"/>
      <c r="BG898" s="188"/>
      <c r="BH898" s="188"/>
      <c r="BI898" s="188"/>
      <c r="BJ898" s="188"/>
      <c r="BK898" s="188"/>
      <c r="BL898" s="188"/>
      <c r="BM898" s="188"/>
      <c r="BN898" s="188"/>
      <c r="BO898" s="188"/>
      <c r="BP898" s="188"/>
      <c r="BQ898" s="188"/>
      <c r="BR898" s="188"/>
      <c r="BS898" s="188"/>
    </row>
    <row r="899" spans="46:71" x14ac:dyDescent="0.3">
      <c r="AV899" s="123"/>
      <c r="AW899" s="123"/>
      <c r="AX899" s="188"/>
      <c r="AY899" s="188"/>
      <c r="AZ899" s="188"/>
      <c r="BA899" s="236"/>
      <c r="BB899" s="188"/>
      <c r="BC899" s="188"/>
      <c r="BD899" s="188"/>
      <c r="BE899" s="236"/>
      <c r="BG899" s="188"/>
      <c r="BH899" s="188"/>
      <c r="BI899" s="188"/>
      <c r="BJ899" s="188"/>
      <c r="BK899" s="188"/>
      <c r="BL899" s="188"/>
      <c r="BM899" s="188"/>
      <c r="BN899" s="188"/>
      <c r="BO899" s="188"/>
      <c r="BP899" s="188"/>
      <c r="BQ899" s="188"/>
      <c r="BR899" s="188"/>
      <c r="BS899" s="188"/>
    </row>
    <row r="900" spans="46:71" x14ac:dyDescent="0.3">
      <c r="AV900" s="123"/>
      <c r="AW900" s="123"/>
      <c r="AX900" s="188"/>
      <c r="AY900" s="188"/>
      <c r="AZ900" s="188"/>
      <c r="BA900" s="236"/>
      <c r="BB900" s="188"/>
      <c r="BC900" s="188"/>
      <c r="BD900" s="188"/>
      <c r="BE900" s="236"/>
      <c r="BG900" s="188"/>
      <c r="BH900" s="188"/>
      <c r="BI900" s="188"/>
      <c r="BJ900" s="188"/>
      <c r="BK900" s="188"/>
      <c r="BL900" s="188"/>
      <c r="BM900" s="188"/>
      <c r="BN900" s="188"/>
      <c r="BO900" s="188"/>
      <c r="BP900" s="188"/>
      <c r="BQ900" s="188"/>
      <c r="BR900" s="188"/>
      <c r="BS900" s="188"/>
    </row>
    <row r="901" spans="46:71" x14ac:dyDescent="0.3">
      <c r="AV901" s="123"/>
      <c r="AW901" s="123"/>
      <c r="AX901" s="188"/>
      <c r="AY901" s="188"/>
      <c r="AZ901" s="188"/>
      <c r="BA901" s="236"/>
      <c r="BB901" s="188"/>
      <c r="BC901" s="188"/>
      <c r="BD901" s="188"/>
      <c r="BE901" s="236"/>
      <c r="BG901" s="188"/>
      <c r="BH901" s="188"/>
      <c r="BI901" s="188"/>
      <c r="BJ901" s="188"/>
      <c r="BK901" s="188"/>
      <c r="BL901" s="188"/>
      <c r="BM901" s="188"/>
      <c r="BN901" s="188"/>
      <c r="BO901" s="188"/>
      <c r="BP901" s="188"/>
      <c r="BQ901" s="188"/>
      <c r="BR901" s="188"/>
      <c r="BS901" s="188"/>
    </row>
    <row r="902" spans="46:71" x14ac:dyDescent="0.3">
      <c r="AZ902" s="188"/>
      <c r="BB902" s="188"/>
      <c r="BC902" s="188"/>
      <c r="BD902" s="188"/>
      <c r="BG902" s="188"/>
      <c r="BH902" s="188"/>
      <c r="BI902" s="188"/>
      <c r="BJ902" s="188"/>
      <c r="BK902" s="188"/>
      <c r="BL902" s="188"/>
      <c r="BM902" s="188"/>
      <c r="BN902" s="188"/>
      <c r="BO902" s="188"/>
      <c r="BP902" s="188"/>
      <c r="BQ902" s="188"/>
      <c r="BR902" s="188"/>
      <c r="BS902" s="188"/>
    </row>
    <row r="903" spans="46:71" x14ac:dyDescent="0.3">
      <c r="AT903" s="42"/>
      <c r="AV903" s="123"/>
      <c r="AW903" s="123"/>
      <c r="AX903" s="188"/>
      <c r="AY903" s="188"/>
      <c r="AZ903" s="188"/>
      <c r="BA903" s="236"/>
      <c r="BB903" s="188"/>
      <c r="BC903" s="188"/>
      <c r="BD903" s="188"/>
      <c r="BE903" s="236"/>
    </row>
    <row r="904" spans="46:71" x14ac:dyDescent="0.3">
      <c r="AV904" s="123"/>
      <c r="AW904" s="123"/>
      <c r="AX904" s="188"/>
      <c r="AY904" s="188"/>
      <c r="AZ904" s="188"/>
      <c r="BA904" s="236"/>
      <c r="BB904" s="188"/>
      <c r="BC904" s="188"/>
      <c r="BD904" s="188"/>
      <c r="BE904" s="236"/>
    </row>
    <row r="905" spans="46:71" x14ac:dyDescent="0.3">
      <c r="AV905" s="123"/>
      <c r="AW905" s="123"/>
      <c r="AX905" s="188"/>
      <c r="AY905" s="188"/>
      <c r="AZ905" s="188"/>
      <c r="BA905" s="236"/>
      <c r="BB905" s="188"/>
      <c r="BC905" s="188"/>
      <c r="BD905" s="188"/>
      <c r="BE905" s="236"/>
    </row>
    <row r="906" spans="46:71" x14ac:dyDescent="0.3">
      <c r="AV906" s="123"/>
      <c r="AW906" s="123"/>
      <c r="AX906" s="188"/>
      <c r="AY906" s="188"/>
      <c r="AZ906" s="188"/>
      <c r="BA906" s="236"/>
      <c r="BB906" s="188"/>
      <c r="BC906" s="188"/>
      <c r="BD906" s="188"/>
      <c r="BE906" s="236"/>
    </row>
    <row r="907" spans="46:71" x14ac:dyDescent="0.3">
      <c r="AV907" s="123"/>
      <c r="AW907" s="123"/>
      <c r="AX907" s="188"/>
      <c r="AY907" s="188"/>
      <c r="AZ907" s="188"/>
      <c r="BA907" s="236"/>
      <c r="BB907" s="188"/>
      <c r="BC907" s="188"/>
      <c r="BD907" s="188"/>
      <c r="BE907" s="236"/>
    </row>
    <row r="908" spans="46:71" x14ac:dyDescent="0.3">
      <c r="AV908" s="123"/>
      <c r="AW908" s="123"/>
      <c r="AX908" s="188"/>
      <c r="AY908" s="188"/>
      <c r="AZ908" s="188"/>
      <c r="BA908" s="236"/>
      <c r="BB908" s="188"/>
      <c r="BC908" s="188"/>
      <c r="BD908" s="188"/>
      <c r="BE908" s="236"/>
    </row>
    <row r="909" spans="46:71" x14ac:dyDescent="0.3">
      <c r="AV909" s="123"/>
      <c r="AW909" s="123"/>
      <c r="AX909" s="188"/>
      <c r="AY909" s="188"/>
      <c r="AZ909" s="188"/>
      <c r="BA909" s="236"/>
      <c r="BB909" s="188"/>
      <c r="BC909" s="188"/>
      <c r="BD909" s="188"/>
      <c r="BE909" s="236"/>
    </row>
    <row r="910" spans="46:71" x14ac:dyDescent="0.3">
      <c r="AV910" s="123"/>
      <c r="AW910" s="123"/>
      <c r="AX910" s="188"/>
      <c r="AY910" s="188"/>
      <c r="AZ910" s="188"/>
      <c r="BA910" s="236"/>
      <c r="BB910" s="188"/>
      <c r="BC910" s="188"/>
      <c r="BD910" s="188"/>
      <c r="BE910" s="236"/>
    </row>
    <row r="911" spans="46:71" x14ac:dyDescent="0.3">
      <c r="AV911" s="123"/>
      <c r="AW911" s="123"/>
      <c r="AX911" s="188"/>
      <c r="AY911" s="188"/>
      <c r="AZ911" s="188"/>
      <c r="BA911" s="236"/>
      <c r="BB911" s="188"/>
      <c r="BC911" s="188"/>
      <c r="BD911" s="188"/>
      <c r="BE911" s="236"/>
    </row>
    <row r="912" spans="46:71" x14ac:dyDescent="0.3">
      <c r="AV912" s="123"/>
      <c r="AW912" s="123"/>
      <c r="AX912" s="188"/>
      <c r="AY912" s="188"/>
      <c r="AZ912" s="188"/>
      <c r="BA912" s="236"/>
      <c r="BB912" s="188"/>
      <c r="BC912" s="188"/>
      <c r="BD912" s="188"/>
      <c r="BE912" s="236"/>
    </row>
    <row r="913" spans="45:57" x14ac:dyDescent="0.3">
      <c r="AV913" s="123"/>
      <c r="AW913" s="123"/>
      <c r="AX913" s="188"/>
      <c r="AY913" s="188"/>
      <c r="AZ913" s="188"/>
      <c r="BA913" s="236"/>
      <c r="BB913" s="188"/>
      <c r="BC913" s="188"/>
      <c r="BD913" s="188"/>
      <c r="BE913" s="236"/>
    </row>
    <row r="914" spans="45:57" x14ac:dyDescent="0.3">
      <c r="AV914" s="123"/>
      <c r="AW914" s="123"/>
      <c r="AX914" s="188"/>
      <c r="AY914" s="188"/>
      <c r="AZ914" s="188"/>
      <c r="BA914" s="236"/>
      <c r="BB914" s="188"/>
      <c r="BC914" s="188"/>
      <c r="BD914" s="188"/>
      <c r="BE914" s="236"/>
    </row>
    <row r="915" spans="45:57" x14ac:dyDescent="0.3">
      <c r="AV915" s="123"/>
      <c r="AW915" s="123"/>
      <c r="AX915" s="188"/>
      <c r="AY915" s="188"/>
      <c r="AZ915" s="188"/>
      <c r="BA915" s="236"/>
      <c r="BB915" s="188"/>
      <c r="BC915" s="188"/>
      <c r="BD915" s="188"/>
      <c r="BE915" s="236"/>
    </row>
    <row r="916" spans="45:57" x14ac:dyDescent="0.3">
      <c r="AV916" s="123"/>
      <c r="AW916" s="123"/>
      <c r="AX916" s="188"/>
      <c r="AY916" s="188"/>
      <c r="AZ916" s="188"/>
      <c r="BA916" s="236"/>
      <c r="BB916" s="188"/>
      <c r="BC916" s="188"/>
      <c r="BD916" s="188"/>
      <c r="BE916" s="236"/>
    </row>
    <row r="917" spans="45:57" x14ac:dyDescent="0.3">
      <c r="AV917" s="123"/>
      <c r="AW917" s="123"/>
      <c r="AX917" s="188"/>
      <c r="AY917" s="188"/>
      <c r="AZ917" s="188"/>
      <c r="BA917" s="236"/>
      <c r="BB917" s="188"/>
      <c r="BC917" s="188"/>
      <c r="BD917" s="188"/>
      <c r="BE917" s="236"/>
    </row>
    <row r="918" spans="45:57" x14ac:dyDescent="0.3">
      <c r="AV918" s="123"/>
      <c r="AW918" s="123"/>
      <c r="AX918" s="188"/>
      <c r="AY918" s="188"/>
      <c r="AZ918" s="188"/>
      <c r="BA918" s="236"/>
      <c r="BB918" s="188"/>
      <c r="BC918" s="188"/>
      <c r="BD918" s="188"/>
      <c r="BE918" s="236"/>
    </row>
    <row r="919" spans="45:57" x14ac:dyDescent="0.3">
      <c r="AV919" s="123"/>
      <c r="AW919" s="123"/>
      <c r="AX919" s="188"/>
      <c r="AY919" s="188"/>
      <c r="AZ919" s="188"/>
      <c r="BA919" s="236"/>
      <c r="BB919" s="188"/>
      <c r="BC919" s="188"/>
      <c r="BD919" s="188"/>
      <c r="BE919" s="236"/>
    </row>
    <row r="920" spans="45:57" x14ac:dyDescent="0.3">
      <c r="AV920" s="123"/>
      <c r="AW920" s="123"/>
      <c r="AX920" s="188"/>
      <c r="AY920" s="188"/>
      <c r="AZ920" s="188"/>
      <c r="BA920" s="236"/>
      <c r="BB920" s="188"/>
      <c r="BC920" s="188"/>
      <c r="BD920" s="188"/>
      <c r="BE920" s="236"/>
    </row>
    <row r="921" spans="45:57" x14ac:dyDescent="0.3">
      <c r="BB921" s="188"/>
    </row>
    <row r="922" spans="45:57" x14ac:dyDescent="0.3">
      <c r="AU922" s="42"/>
      <c r="BB922" s="188"/>
    </row>
    <row r="923" spans="45:57" x14ac:dyDescent="0.3">
      <c r="AU923" s="42"/>
    </row>
    <row r="924" spans="45:57" x14ac:dyDescent="0.3">
      <c r="AU924" s="42"/>
      <c r="BB924" s="188"/>
    </row>
    <row r="925" spans="45:57" x14ac:dyDescent="0.3">
      <c r="AS925" s="42"/>
      <c r="AZ925" s="188"/>
      <c r="BB925" s="188"/>
    </row>
    <row r="926" spans="45:57" x14ac:dyDescent="0.3">
      <c r="AZ926" s="188"/>
      <c r="BB926" s="188"/>
    </row>
    <row r="927" spans="45:57" x14ac:dyDescent="0.3">
      <c r="AY927" s="188"/>
      <c r="AZ927" s="188"/>
      <c r="BB927" s="188"/>
    </row>
    <row r="928" spans="45:57" x14ac:dyDescent="0.3">
      <c r="AY928" s="42"/>
      <c r="AZ928" s="188"/>
      <c r="BB928" s="188"/>
    </row>
    <row r="929" spans="45:57" x14ac:dyDescent="0.3">
      <c r="AY929" s="42"/>
      <c r="AZ929" s="188"/>
      <c r="BB929" s="188"/>
    </row>
    <row r="930" spans="45:57" x14ac:dyDescent="0.3">
      <c r="AZ930" s="188"/>
      <c r="BB930" s="188"/>
      <c r="BD930" s="42"/>
    </row>
    <row r="931" spans="45:57" x14ac:dyDescent="0.3">
      <c r="AZ931" s="188"/>
      <c r="BB931" s="188"/>
      <c r="BD931" s="42"/>
    </row>
    <row r="932" spans="45:57" x14ac:dyDescent="0.3">
      <c r="AS932" s="42"/>
      <c r="AZ932" s="188"/>
      <c r="BB932" s="188"/>
      <c r="BD932" s="42"/>
    </row>
    <row r="933" spans="45:57" x14ac:dyDescent="0.3">
      <c r="AZ933" s="188"/>
      <c r="BB933" s="188"/>
    </row>
    <row r="934" spans="45:57" x14ac:dyDescent="0.3">
      <c r="AS934" s="135"/>
      <c r="AT934" s="135"/>
      <c r="AU934" s="135"/>
      <c r="AV934" s="135"/>
      <c r="AW934" s="135"/>
      <c r="AX934" s="135"/>
      <c r="AY934" s="135"/>
      <c r="AZ934" s="244"/>
      <c r="BA934" s="135"/>
      <c r="BB934" s="244"/>
      <c r="BC934" s="135"/>
      <c r="BD934" s="135"/>
      <c r="BE934" s="135"/>
    </row>
    <row r="935" spans="45:57" x14ac:dyDescent="0.3">
      <c r="AX935" s="42"/>
      <c r="AZ935" s="188"/>
      <c r="BB935" s="188"/>
    </row>
    <row r="936" spans="45:57" x14ac:dyDescent="0.3">
      <c r="AX936" s="135"/>
      <c r="AY936" s="135"/>
      <c r="AZ936" s="244"/>
      <c r="BA936" s="135"/>
      <c r="BB936" s="188"/>
      <c r="BC936" s="44"/>
      <c r="BD936" s="44"/>
    </row>
    <row r="937" spans="45:57" x14ac:dyDescent="0.3">
      <c r="AV937" s="44"/>
      <c r="AW937" s="44"/>
      <c r="AZ937" s="245"/>
      <c r="BA937" s="44"/>
      <c r="BB937" s="188"/>
      <c r="BC937" s="44"/>
      <c r="BD937" s="44"/>
      <c r="BE937" s="44"/>
    </row>
    <row r="938" spans="45:57" x14ac:dyDescent="0.3">
      <c r="AV938" s="44"/>
      <c r="AW938" s="44"/>
      <c r="AX938" s="44"/>
      <c r="AY938" s="44"/>
      <c r="AZ938" s="245"/>
      <c r="BA938" s="44"/>
      <c r="BB938" s="245"/>
      <c r="BC938" s="44"/>
      <c r="BD938" s="44"/>
      <c r="BE938" s="44"/>
    </row>
    <row r="939" spans="45:57" x14ac:dyDescent="0.3">
      <c r="AS939" s="44"/>
      <c r="AU939" s="42"/>
      <c r="AV939" s="44"/>
      <c r="AW939" s="44"/>
      <c r="AX939" s="44"/>
      <c r="AY939" s="44"/>
      <c r="AZ939" s="245"/>
      <c r="BA939" s="44"/>
      <c r="BB939" s="245"/>
      <c r="BC939" s="44"/>
      <c r="BD939" s="44"/>
      <c r="BE939" s="44"/>
    </row>
    <row r="940" spans="45:57" x14ac:dyDescent="0.3">
      <c r="AS940" s="44"/>
      <c r="AU940" s="42"/>
      <c r="AV940" s="44"/>
      <c r="AW940" s="44"/>
      <c r="AX940" s="44"/>
      <c r="AY940" s="44"/>
      <c r="AZ940" s="245"/>
      <c r="BA940" s="44"/>
      <c r="BB940" s="245"/>
      <c r="BC940" s="44"/>
      <c r="BD940" s="44"/>
      <c r="BE940" s="44"/>
    </row>
    <row r="941" spans="45:57" x14ac:dyDescent="0.3">
      <c r="AS941" s="135"/>
      <c r="AT941" s="135"/>
      <c r="AU941" s="135"/>
      <c r="AV941" s="135"/>
      <c r="AW941" s="135"/>
      <c r="AX941" s="135"/>
      <c r="AY941" s="135"/>
      <c r="AZ941" s="244"/>
      <c r="BA941" s="135"/>
      <c r="BB941" s="244"/>
      <c r="BC941" s="135"/>
      <c r="BD941" s="135"/>
      <c r="BE941" s="135"/>
    </row>
    <row r="942" spans="45:57" x14ac:dyDescent="0.3">
      <c r="AV942" s="44"/>
      <c r="AW942" s="44"/>
      <c r="AX942" s="44"/>
      <c r="AY942" s="44"/>
      <c r="AZ942" s="245"/>
      <c r="BA942" s="44"/>
      <c r="BB942" s="245"/>
      <c r="BC942" s="44"/>
      <c r="BD942" s="44"/>
      <c r="BE942" s="44"/>
    </row>
    <row r="943" spans="45:57" x14ac:dyDescent="0.3">
      <c r="AT943" s="42"/>
      <c r="AV943" s="123"/>
      <c r="AW943" s="123"/>
      <c r="AX943" s="188"/>
      <c r="AY943" s="188"/>
      <c r="AZ943" s="188"/>
      <c r="BA943" s="236"/>
      <c r="BB943" s="188"/>
      <c r="BC943" s="188"/>
      <c r="BD943" s="188"/>
      <c r="BE943" s="236"/>
    </row>
    <row r="944" spans="45:57" x14ac:dyDescent="0.3">
      <c r="AV944" s="123"/>
      <c r="AW944" s="123"/>
      <c r="AX944" s="188"/>
      <c r="AY944" s="188"/>
      <c r="AZ944" s="188"/>
      <c r="BA944" s="236"/>
      <c r="BB944" s="188"/>
      <c r="BC944" s="188"/>
      <c r="BD944" s="188"/>
      <c r="BE944" s="236"/>
    </row>
    <row r="945" spans="46:57" x14ac:dyDescent="0.3">
      <c r="AV945" s="123"/>
      <c r="AW945" s="123"/>
      <c r="AX945" s="188"/>
      <c r="AY945" s="188"/>
      <c r="AZ945" s="188"/>
      <c r="BA945" s="236"/>
      <c r="BB945" s="188"/>
      <c r="BC945" s="188"/>
      <c r="BD945" s="188"/>
      <c r="BE945" s="236"/>
    </row>
    <row r="946" spans="46:57" x14ac:dyDescent="0.3">
      <c r="AV946" s="123"/>
      <c r="AW946" s="123"/>
      <c r="AX946" s="188"/>
      <c r="AY946" s="188"/>
      <c r="AZ946" s="188"/>
      <c r="BA946" s="236"/>
      <c r="BB946" s="188"/>
      <c r="BC946" s="188"/>
      <c r="BD946" s="188"/>
      <c r="BE946" s="236"/>
    </row>
    <row r="947" spans="46:57" x14ac:dyDescent="0.3">
      <c r="AV947" s="123"/>
      <c r="AW947" s="123"/>
      <c r="AX947" s="188"/>
      <c r="AY947" s="188"/>
      <c r="AZ947" s="188"/>
      <c r="BA947" s="236"/>
      <c r="BB947" s="188"/>
      <c r="BC947" s="188"/>
      <c r="BD947" s="188"/>
      <c r="BE947" s="236"/>
    </row>
    <row r="948" spans="46:57" x14ac:dyDescent="0.3">
      <c r="AV948" s="123"/>
      <c r="AW948" s="123"/>
      <c r="AX948" s="188"/>
      <c r="AY948" s="188"/>
      <c r="AZ948" s="188"/>
      <c r="BA948" s="236"/>
      <c r="BB948" s="188"/>
      <c r="BC948" s="188"/>
      <c r="BD948" s="188"/>
      <c r="BE948" s="236"/>
    </row>
    <row r="949" spans="46:57" x14ac:dyDescent="0.3">
      <c r="AV949" s="123"/>
      <c r="AW949" s="123"/>
      <c r="AX949" s="188"/>
      <c r="AY949" s="188"/>
      <c r="AZ949" s="188"/>
      <c r="BA949" s="236"/>
      <c r="BB949" s="188"/>
      <c r="BC949" s="188"/>
      <c r="BD949" s="188"/>
      <c r="BE949" s="236"/>
    </row>
    <row r="950" spans="46:57" x14ac:dyDescent="0.3">
      <c r="AV950" s="123"/>
      <c r="AW950" s="123"/>
      <c r="AX950" s="188"/>
      <c r="AY950" s="188"/>
      <c r="AZ950" s="188"/>
      <c r="BA950" s="236"/>
      <c r="BB950" s="188"/>
      <c r="BC950" s="188"/>
      <c r="BD950" s="188"/>
      <c r="BE950" s="236"/>
    </row>
    <row r="951" spans="46:57" x14ac:dyDescent="0.3">
      <c r="AV951" s="123"/>
      <c r="AW951" s="123"/>
      <c r="AX951" s="188"/>
      <c r="AY951" s="188"/>
      <c r="AZ951" s="188"/>
      <c r="BA951" s="236"/>
      <c r="BB951" s="188"/>
      <c r="BC951" s="188"/>
      <c r="BD951" s="188"/>
      <c r="BE951" s="236"/>
    </row>
    <row r="952" spans="46:57" x14ac:dyDescent="0.3">
      <c r="AV952" s="123"/>
      <c r="AW952" s="123"/>
      <c r="AX952" s="188"/>
      <c r="AY952" s="188"/>
      <c r="AZ952" s="188"/>
      <c r="BA952" s="236"/>
      <c r="BB952" s="188"/>
      <c r="BC952" s="188"/>
      <c r="BD952" s="188"/>
      <c r="BE952" s="236"/>
    </row>
    <row r="953" spans="46:57" x14ac:dyDescent="0.3">
      <c r="AV953" s="123"/>
      <c r="AW953" s="123"/>
      <c r="BB953" s="188"/>
    </row>
    <row r="954" spans="46:57" x14ac:dyDescent="0.3">
      <c r="AT954" s="42"/>
      <c r="AV954" s="123"/>
      <c r="AW954" s="123"/>
      <c r="AX954" s="188"/>
      <c r="AY954" s="188"/>
      <c r="AZ954" s="188"/>
      <c r="BA954" s="236"/>
      <c r="BB954" s="188"/>
      <c r="BC954" s="188"/>
      <c r="BD954" s="188"/>
      <c r="BE954" s="236"/>
    </row>
    <row r="955" spans="46:57" x14ac:dyDescent="0.3">
      <c r="AV955" s="123"/>
      <c r="AW955" s="123"/>
      <c r="AX955" s="188"/>
      <c r="AY955" s="188"/>
      <c r="AZ955" s="188"/>
      <c r="BA955" s="236"/>
      <c r="BB955" s="188"/>
      <c r="BC955" s="188"/>
      <c r="BD955" s="188"/>
      <c r="BE955" s="236"/>
    </row>
    <row r="956" spans="46:57" x14ac:dyDescent="0.3">
      <c r="AV956" s="123"/>
      <c r="AW956" s="123"/>
      <c r="AX956" s="188"/>
      <c r="AY956" s="188"/>
      <c r="AZ956" s="188"/>
      <c r="BA956" s="236"/>
      <c r="BB956" s="188"/>
      <c r="BC956" s="188"/>
      <c r="BD956" s="188"/>
      <c r="BE956" s="236"/>
    </row>
    <row r="957" spans="46:57" x14ac:dyDescent="0.3">
      <c r="AV957" s="123"/>
      <c r="AW957" s="123"/>
      <c r="AX957" s="188"/>
      <c r="AY957" s="188"/>
      <c r="AZ957" s="188"/>
      <c r="BA957" s="236"/>
      <c r="BB957" s="188"/>
      <c r="BC957" s="188"/>
      <c r="BD957" s="188"/>
      <c r="BE957" s="236"/>
    </row>
    <row r="958" spans="46:57" x14ac:dyDescent="0.3">
      <c r="AV958" s="123"/>
      <c r="AW958" s="123"/>
      <c r="AX958" s="188"/>
      <c r="AY958" s="188"/>
      <c r="AZ958" s="188"/>
      <c r="BA958" s="236"/>
      <c r="BB958" s="188"/>
      <c r="BC958" s="188"/>
      <c r="BD958" s="188"/>
      <c r="BE958" s="236"/>
    </row>
    <row r="959" spans="46:57" x14ac:dyDescent="0.3">
      <c r="AV959" s="123"/>
      <c r="AW959" s="123"/>
      <c r="AX959" s="188"/>
      <c r="AY959" s="188"/>
      <c r="AZ959" s="188"/>
      <c r="BA959" s="236"/>
      <c r="BB959" s="188"/>
      <c r="BC959" s="188"/>
      <c r="BD959" s="188"/>
      <c r="BE959" s="236"/>
    </row>
    <row r="960" spans="46:57" x14ac:dyDescent="0.3">
      <c r="AV960" s="123"/>
      <c r="AW960" s="123"/>
      <c r="AX960" s="188"/>
      <c r="AY960" s="188"/>
      <c r="AZ960" s="188"/>
      <c r="BA960" s="236"/>
      <c r="BB960" s="188"/>
      <c r="BC960" s="188"/>
      <c r="BD960" s="188"/>
      <c r="BE960" s="236"/>
    </row>
    <row r="961" spans="45:57" x14ac:dyDescent="0.3">
      <c r="AV961" s="123"/>
      <c r="AW961" s="123"/>
      <c r="AX961" s="188"/>
      <c r="AY961" s="188"/>
      <c r="AZ961" s="188"/>
      <c r="BA961" s="236"/>
      <c r="BB961" s="188"/>
      <c r="BC961" s="188"/>
      <c r="BD961" s="188"/>
      <c r="BE961" s="236"/>
    </row>
    <row r="962" spans="45:57" x14ac:dyDescent="0.3">
      <c r="AV962" s="123"/>
      <c r="AW962" s="123"/>
      <c r="AX962" s="188"/>
      <c r="AY962" s="188"/>
      <c r="AZ962" s="188"/>
      <c r="BA962" s="236"/>
      <c r="BB962" s="188"/>
      <c r="BC962" s="188"/>
      <c r="BD962" s="188"/>
      <c r="BE962" s="236"/>
    </row>
    <row r="963" spans="45:57" x14ac:dyDescent="0.3">
      <c r="AV963" s="123"/>
      <c r="AW963" s="123"/>
      <c r="AX963" s="188"/>
      <c r="AY963" s="188"/>
      <c r="AZ963" s="188"/>
      <c r="BA963" s="236"/>
      <c r="BB963" s="188"/>
      <c r="BC963" s="188"/>
      <c r="BD963" s="188"/>
      <c r="BE963" s="236"/>
    </row>
    <row r="965" spans="45:57" x14ac:dyDescent="0.3">
      <c r="AU965" s="42"/>
    </row>
    <row r="966" spans="45:57" x14ac:dyDescent="0.3">
      <c r="AU966" s="42"/>
    </row>
    <row r="967" spans="45:57" x14ac:dyDescent="0.3">
      <c r="AU967" s="42"/>
    </row>
    <row r="968" spans="45:57" x14ac:dyDescent="0.3">
      <c r="AS968" s="42"/>
    </row>
    <row r="989" spans="52:71" x14ac:dyDescent="0.3">
      <c r="AZ989" s="188"/>
      <c r="BB989" s="188"/>
      <c r="BC989" s="188"/>
      <c r="BD989" s="188"/>
      <c r="BG989" s="188"/>
      <c r="BH989" s="188"/>
      <c r="BI989" s="188"/>
      <c r="BJ989" s="188"/>
      <c r="BK989" s="188"/>
      <c r="BL989" s="188"/>
      <c r="BM989" s="188"/>
      <c r="BN989" s="188"/>
      <c r="BO989" s="188"/>
      <c r="BP989" s="188"/>
      <c r="BQ989" s="188"/>
      <c r="BR989" s="188"/>
      <c r="BS989" s="188"/>
    </row>
    <row r="990" spans="52:71" x14ac:dyDescent="0.3">
      <c r="AZ990" s="188"/>
      <c r="BB990" s="188"/>
      <c r="BC990" s="188"/>
      <c r="BD990" s="188"/>
      <c r="BG990" s="188"/>
      <c r="BH990" s="188"/>
      <c r="BI990" s="188"/>
      <c r="BJ990" s="188"/>
      <c r="BK990" s="188"/>
      <c r="BL990" s="188"/>
      <c r="BM990" s="188"/>
      <c r="BN990" s="188"/>
      <c r="BO990" s="188"/>
      <c r="BP990" s="188"/>
      <c r="BQ990" s="188"/>
      <c r="BR990" s="188"/>
      <c r="BS990" s="188"/>
    </row>
    <row r="991" spans="52:71" x14ac:dyDescent="0.3">
      <c r="AZ991" s="188"/>
      <c r="BB991" s="188"/>
      <c r="BC991" s="188"/>
      <c r="BD991" s="188"/>
      <c r="BG991" s="188"/>
      <c r="BH991" s="188"/>
      <c r="BI991" s="188"/>
      <c r="BJ991" s="188"/>
      <c r="BK991" s="188"/>
      <c r="BL991" s="188"/>
      <c r="BM991" s="188"/>
      <c r="BN991" s="188"/>
      <c r="BO991" s="188"/>
      <c r="BP991" s="188"/>
      <c r="BQ991" s="188"/>
      <c r="BR991" s="188"/>
      <c r="BS991" s="188"/>
    </row>
    <row r="992" spans="52:71" x14ac:dyDescent="0.3">
      <c r="AZ992" s="188"/>
      <c r="BB992" s="188"/>
      <c r="BC992" s="188"/>
      <c r="BD992" s="188"/>
      <c r="BG992" s="188"/>
      <c r="BH992" s="188"/>
      <c r="BI992" s="188"/>
      <c r="BJ992" s="188"/>
      <c r="BK992" s="188"/>
      <c r="BL992" s="188"/>
      <c r="BM992" s="188"/>
      <c r="BN992" s="188"/>
      <c r="BO992" s="188"/>
      <c r="BP992" s="188"/>
      <c r="BQ992" s="188"/>
      <c r="BR992" s="188"/>
      <c r="BS992" s="188"/>
    </row>
    <row r="993" spans="52:71" x14ac:dyDescent="0.3">
      <c r="AZ993" s="188"/>
      <c r="BB993" s="188"/>
      <c r="BC993" s="188"/>
      <c r="BD993" s="188"/>
      <c r="BG993" s="188"/>
      <c r="BH993" s="188"/>
      <c r="BI993" s="188"/>
      <c r="BJ993" s="188"/>
      <c r="BK993" s="188"/>
      <c r="BL993" s="188"/>
      <c r="BM993" s="188"/>
      <c r="BN993" s="188"/>
      <c r="BO993" s="188"/>
      <c r="BP993" s="188"/>
      <c r="BQ993" s="188"/>
      <c r="BR993" s="188"/>
      <c r="BS993" s="188"/>
    </row>
    <row r="994" spans="52:71" x14ac:dyDescent="0.3">
      <c r="AZ994" s="188"/>
      <c r="BB994" s="188"/>
      <c r="BC994" s="188"/>
      <c r="BD994" s="188"/>
      <c r="BG994" s="188"/>
      <c r="BH994" s="188"/>
      <c r="BI994" s="188"/>
      <c r="BJ994" s="188"/>
      <c r="BK994" s="188"/>
      <c r="BL994" s="188"/>
      <c r="BM994" s="188"/>
      <c r="BN994" s="188"/>
      <c r="BO994" s="188"/>
      <c r="BP994" s="188"/>
      <c r="BQ994" s="188"/>
      <c r="BR994" s="188"/>
      <c r="BS994" s="188"/>
    </row>
    <row r="995" spans="52:71" x14ac:dyDescent="0.3">
      <c r="AZ995" s="188"/>
      <c r="BB995" s="188"/>
      <c r="BC995" s="188"/>
      <c r="BD995" s="188"/>
      <c r="BG995" s="188"/>
      <c r="BH995" s="188"/>
      <c r="BI995" s="188"/>
      <c r="BJ995" s="188"/>
      <c r="BK995" s="188"/>
      <c r="BL995" s="188"/>
      <c r="BM995" s="188"/>
      <c r="BN995" s="188"/>
      <c r="BO995" s="188"/>
      <c r="BP995" s="188"/>
      <c r="BQ995" s="188"/>
      <c r="BR995" s="188"/>
      <c r="BS995" s="188"/>
    </row>
    <row r="996" spans="52:71" x14ac:dyDescent="0.3">
      <c r="AZ996" s="188"/>
      <c r="BB996" s="188"/>
      <c r="BC996" s="188"/>
      <c r="BD996" s="188"/>
      <c r="BG996" s="188"/>
      <c r="BH996" s="188"/>
      <c r="BI996" s="188"/>
      <c r="BJ996" s="188"/>
      <c r="BK996" s="188"/>
      <c r="BL996" s="188"/>
      <c r="BM996" s="188"/>
      <c r="BN996" s="188"/>
      <c r="BO996" s="188"/>
      <c r="BP996" s="188"/>
      <c r="BQ996" s="188"/>
      <c r="BR996" s="188"/>
      <c r="BS996" s="188"/>
    </row>
    <row r="997" spans="52:71" x14ac:dyDescent="0.3">
      <c r="AZ997" s="188"/>
      <c r="BB997" s="188"/>
      <c r="BC997" s="188"/>
      <c r="BD997" s="188"/>
      <c r="BG997" s="188"/>
      <c r="BH997" s="188"/>
      <c r="BI997" s="188"/>
      <c r="BJ997" s="188"/>
      <c r="BK997" s="188"/>
      <c r="BL997" s="188"/>
      <c r="BM997" s="188"/>
      <c r="BN997" s="188"/>
      <c r="BO997" s="188"/>
      <c r="BP997" s="188"/>
      <c r="BQ997" s="188"/>
      <c r="BR997" s="188"/>
      <c r="BS997" s="188"/>
    </row>
    <row r="998" spans="52:71" x14ac:dyDescent="0.3">
      <c r="AZ998" s="188"/>
      <c r="BB998" s="188"/>
      <c r="BC998" s="188"/>
      <c r="BD998" s="188"/>
      <c r="BG998" s="188"/>
      <c r="BH998" s="188"/>
      <c r="BI998" s="188"/>
      <c r="BJ998" s="188"/>
      <c r="BK998" s="188"/>
      <c r="BL998" s="188"/>
      <c r="BM998" s="188"/>
      <c r="BN998" s="188"/>
      <c r="BO998" s="188"/>
      <c r="BP998" s="188"/>
      <c r="BQ998" s="188"/>
      <c r="BR998" s="188"/>
      <c r="BS998" s="188"/>
    </row>
    <row r="999" spans="52:71" x14ac:dyDescent="0.3">
      <c r="AZ999" s="188"/>
      <c r="BB999" s="188"/>
      <c r="BC999" s="188"/>
      <c r="BD999" s="188"/>
      <c r="BG999" s="188"/>
      <c r="BH999" s="188"/>
      <c r="BI999" s="188"/>
      <c r="BJ999" s="188"/>
      <c r="BK999" s="188"/>
      <c r="BL999" s="188"/>
      <c r="BM999" s="188"/>
      <c r="BN999" s="188"/>
      <c r="BO999" s="188"/>
      <c r="BP999" s="188"/>
      <c r="BQ999" s="188"/>
      <c r="BR999" s="188"/>
      <c r="BS999" s="188"/>
    </row>
    <row r="1000" spans="52:71" x14ac:dyDescent="0.3">
      <c r="AZ1000" s="188"/>
      <c r="BB1000" s="188"/>
      <c r="BC1000" s="188"/>
      <c r="BD1000" s="188"/>
      <c r="BG1000" s="188"/>
      <c r="BH1000" s="188"/>
      <c r="BI1000" s="188"/>
      <c r="BJ1000" s="188"/>
      <c r="BK1000" s="188"/>
      <c r="BL1000" s="188"/>
      <c r="BM1000" s="188"/>
      <c r="BN1000" s="188"/>
      <c r="BO1000" s="188"/>
      <c r="BP1000" s="188"/>
      <c r="BQ1000" s="188"/>
      <c r="BR1000" s="188"/>
      <c r="BS1000" s="188"/>
    </row>
    <row r="1001" spans="52:71" x14ac:dyDescent="0.3">
      <c r="AZ1001" s="188"/>
      <c r="BG1001" s="188"/>
      <c r="BH1001" s="188"/>
      <c r="BI1001" s="188"/>
      <c r="BJ1001" s="188"/>
      <c r="BK1001" s="188"/>
      <c r="BL1001" s="188"/>
      <c r="BM1001" s="188"/>
      <c r="BN1001" s="188"/>
      <c r="BO1001" s="188"/>
      <c r="BP1001" s="188"/>
      <c r="BQ1001" s="188"/>
      <c r="BR1001" s="188"/>
      <c r="BS1001" s="188"/>
    </row>
    <row r="1002" spans="52:71" x14ac:dyDescent="0.3">
      <c r="AZ1002" s="188"/>
      <c r="BG1002" s="188"/>
      <c r="BH1002" s="188"/>
      <c r="BI1002" s="188"/>
      <c r="BJ1002" s="188"/>
      <c r="BK1002" s="188"/>
      <c r="BL1002" s="188"/>
      <c r="BM1002" s="188"/>
      <c r="BN1002" s="188"/>
      <c r="BO1002" s="188"/>
      <c r="BP1002" s="188"/>
      <c r="BQ1002" s="188"/>
      <c r="BR1002" s="188"/>
      <c r="BS1002" s="188"/>
    </row>
    <row r="1003" spans="52:71" x14ac:dyDescent="0.3">
      <c r="AZ1003" s="188"/>
      <c r="BG1003" s="188"/>
      <c r="BH1003" s="188"/>
      <c r="BI1003" s="188"/>
      <c r="BJ1003" s="188"/>
      <c r="BK1003" s="188"/>
      <c r="BL1003" s="188"/>
      <c r="BM1003" s="188"/>
      <c r="BN1003" s="188"/>
      <c r="BO1003" s="188"/>
      <c r="BP1003" s="188"/>
      <c r="BQ1003" s="188"/>
      <c r="BR1003" s="188"/>
      <c r="BS1003" s="188"/>
    </row>
    <row r="1004" spans="52:71" x14ac:dyDescent="0.3">
      <c r="AZ1004" s="188"/>
      <c r="BG1004" s="188"/>
      <c r="BH1004" s="188"/>
      <c r="BI1004" s="188"/>
      <c r="BJ1004" s="188"/>
      <c r="BK1004" s="188"/>
      <c r="BL1004" s="188"/>
      <c r="BM1004" s="188"/>
      <c r="BN1004" s="188"/>
      <c r="BO1004" s="188"/>
      <c r="BP1004" s="188"/>
      <c r="BQ1004" s="188"/>
      <c r="BR1004" s="188"/>
      <c r="BS1004" s="188"/>
    </row>
    <row r="1005" spans="52:71" x14ac:dyDescent="0.3">
      <c r="AZ1005" s="188"/>
      <c r="BG1005" s="188"/>
      <c r="BH1005" s="188"/>
      <c r="BI1005" s="188"/>
      <c r="BJ1005" s="188"/>
      <c r="BK1005" s="188"/>
      <c r="BL1005" s="188"/>
      <c r="BM1005" s="188"/>
      <c r="BN1005" s="188"/>
      <c r="BO1005" s="188"/>
      <c r="BP1005" s="188"/>
      <c r="BQ1005" s="188"/>
      <c r="BR1005" s="188"/>
      <c r="BS1005" s="188"/>
    </row>
    <row r="1006" spans="52:71" x14ac:dyDescent="0.3">
      <c r="AZ1006" s="188"/>
      <c r="BG1006" s="188"/>
      <c r="BH1006" s="188"/>
      <c r="BI1006" s="188"/>
      <c r="BJ1006" s="188"/>
      <c r="BK1006" s="188"/>
      <c r="BL1006" s="188"/>
      <c r="BM1006" s="188"/>
      <c r="BN1006" s="188"/>
      <c r="BO1006" s="188"/>
      <c r="BP1006" s="188"/>
      <c r="BQ1006" s="188"/>
      <c r="BR1006" s="188"/>
      <c r="BS1006" s="188"/>
    </row>
    <row r="1007" spans="52:71" x14ac:dyDescent="0.3">
      <c r="AZ1007" s="188"/>
      <c r="BG1007" s="188"/>
      <c r="BH1007" s="188"/>
      <c r="BI1007" s="188"/>
      <c r="BJ1007" s="188"/>
      <c r="BK1007" s="188"/>
      <c r="BL1007" s="188"/>
      <c r="BM1007" s="188"/>
      <c r="BN1007" s="188"/>
      <c r="BO1007" s="188"/>
      <c r="BP1007" s="188"/>
      <c r="BQ1007" s="188"/>
      <c r="BR1007" s="188"/>
      <c r="BS1007" s="188"/>
    </row>
    <row r="1008" spans="52:71" x14ac:dyDescent="0.3">
      <c r="AZ1008" s="188"/>
    </row>
    <row r="1009" spans="1:52" x14ac:dyDescent="0.3">
      <c r="AZ1009" s="188"/>
    </row>
    <row r="1023" spans="1:52" x14ac:dyDescent="0.3">
      <c r="A1023" s="42"/>
    </row>
    <row r="1026" spans="1:28" x14ac:dyDescent="0.3">
      <c r="Y1026" s="42"/>
    </row>
    <row r="1027" spans="1:28" x14ac:dyDescent="0.3">
      <c r="A1027" s="42"/>
      <c r="H1027" s="42"/>
      <c r="I1027" s="42"/>
    </row>
    <row r="1028" spans="1:28" x14ac:dyDescent="0.3">
      <c r="A1028" s="42"/>
      <c r="V1028" s="44"/>
      <c r="AA1028" s="44"/>
      <c r="AB1028" s="44"/>
    </row>
    <row r="1029" spans="1:28" x14ac:dyDescent="0.3">
      <c r="A1029" s="42"/>
      <c r="V1029" s="135"/>
      <c r="AA1029" s="135"/>
      <c r="AB1029" s="135"/>
    </row>
    <row r="1030" spans="1:28" x14ac:dyDescent="0.3">
      <c r="A1030" s="42"/>
      <c r="U1030" s="42"/>
      <c r="AA1030" s="44"/>
      <c r="AB1030" s="44"/>
    </row>
    <row r="1031" spans="1:28" x14ac:dyDescent="0.3">
      <c r="A1031" s="42"/>
    </row>
    <row r="1032" spans="1:28" x14ac:dyDescent="0.3">
      <c r="A1032" s="42"/>
      <c r="U1032" s="42"/>
      <c r="AA1032" s="44"/>
      <c r="AB1032" s="44"/>
    </row>
    <row r="1033" spans="1:28" x14ac:dyDescent="0.3">
      <c r="A1033" s="42"/>
    </row>
    <row r="1034" spans="1:28" x14ac:dyDescent="0.3">
      <c r="A1034" s="42"/>
      <c r="U1034" s="42"/>
      <c r="V1034" s="247"/>
      <c r="AA1034" s="44"/>
      <c r="AB1034" s="44"/>
    </row>
    <row r="1035" spans="1:28" x14ac:dyDescent="0.3">
      <c r="A1035" s="42"/>
    </row>
    <row r="1036" spans="1:28" x14ac:dyDescent="0.3">
      <c r="A1036" s="42"/>
      <c r="U1036" s="42"/>
      <c r="AA1036" s="44"/>
      <c r="AB1036" s="44"/>
    </row>
    <row r="1037" spans="1:28" x14ac:dyDescent="0.3">
      <c r="A1037" s="42"/>
    </row>
    <row r="1038" spans="1:28" x14ac:dyDescent="0.3">
      <c r="A1038" s="42"/>
      <c r="U1038" s="42"/>
      <c r="AA1038" s="44"/>
      <c r="AB1038" s="44"/>
    </row>
    <row r="1039" spans="1:28" x14ac:dyDescent="0.3">
      <c r="A1039" s="42"/>
    </row>
    <row r="1040" spans="1:28" x14ac:dyDescent="0.3">
      <c r="A1040" s="42"/>
    </row>
    <row r="1041" spans="1:9" x14ac:dyDescent="0.3">
      <c r="A1041" s="42"/>
    </row>
    <row r="1042" spans="1:9" x14ac:dyDescent="0.3">
      <c r="A1042" s="42"/>
    </row>
    <row r="1043" spans="1:9" x14ac:dyDescent="0.3">
      <c r="A1043" s="42"/>
    </row>
    <row r="1044" spans="1:9" x14ac:dyDescent="0.3">
      <c r="A1044" s="42"/>
    </row>
    <row r="1045" spans="1:9" x14ac:dyDescent="0.3">
      <c r="A1045" s="42"/>
    </row>
    <row r="1046" spans="1:9" x14ac:dyDescent="0.3">
      <c r="A1046" s="42"/>
    </row>
    <row r="1047" spans="1:9" x14ac:dyDescent="0.3">
      <c r="A1047" s="42"/>
    </row>
    <row r="1048" spans="1:9" x14ac:dyDescent="0.3">
      <c r="A1048" s="42"/>
    </row>
    <row r="1049" spans="1:9" x14ac:dyDescent="0.3">
      <c r="A1049" s="42"/>
      <c r="H1049" s="42"/>
      <c r="I1049" s="42"/>
    </row>
    <row r="1052" spans="1:9" x14ac:dyDescent="0.3">
      <c r="A1052" s="42"/>
    </row>
    <row r="1055" spans="1:9" x14ac:dyDescent="0.3">
      <c r="A1055" s="42"/>
    </row>
    <row r="1058" spans="1:1" x14ac:dyDescent="0.3">
      <c r="A1058" s="42"/>
    </row>
    <row r="1059" spans="1:1" x14ac:dyDescent="0.3">
      <c r="A1059" s="42"/>
    </row>
    <row r="1060" spans="1:1" x14ac:dyDescent="0.3">
      <c r="A1060" s="42"/>
    </row>
    <row r="1061" spans="1:1" x14ac:dyDescent="0.3">
      <c r="A1061" s="42"/>
    </row>
    <row r="1062" spans="1:1" x14ac:dyDescent="0.3">
      <c r="A1062" s="42"/>
    </row>
    <row r="1063" spans="1:1" x14ac:dyDescent="0.3">
      <c r="A1063" s="42"/>
    </row>
    <row r="1064" spans="1:1" x14ac:dyDescent="0.3">
      <c r="A1064" s="42"/>
    </row>
    <row r="1065" spans="1:1" x14ac:dyDescent="0.3">
      <c r="A1065" s="42"/>
    </row>
    <row r="1066" spans="1:1" x14ac:dyDescent="0.3">
      <c r="A1066" s="42"/>
    </row>
    <row r="1067" spans="1:1" x14ac:dyDescent="0.3">
      <c r="A1067" s="42"/>
    </row>
    <row r="1068" spans="1:1" x14ac:dyDescent="0.3">
      <c r="A1068" s="42"/>
    </row>
    <row r="1069" spans="1:1" x14ac:dyDescent="0.3">
      <c r="A1069" s="42"/>
    </row>
    <row r="1070" spans="1:1" x14ac:dyDescent="0.3">
      <c r="A1070" s="42"/>
    </row>
    <row r="1071" spans="1:1" x14ac:dyDescent="0.3">
      <c r="A1071" s="42"/>
    </row>
    <row r="1072" spans="1:1" x14ac:dyDescent="0.3">
      <c r="A1072" s="42"/>
    </row>
    <row r="1073" spans="1:1" x14ac:dyDescent="0.3">
      <c r="A1073" s="42"/>
    </row>
    <row r="1074" spans="1:1" x14ac:dyDescent="0.3">
      <c r="A1074" s="42"/>
    </row>
    <row r="1075" spans="1:1" x14ac:dyDescent="0.3">
      <c r="A1075" s="42"/>
    </row>
    <row r="1076" spans="1:1" x14ac:dyDescent="0.3">
      <c r="A1076" s="42"/>
    </row>
    <row r="1077" spans="1:1" x14ac:dyDescent="0.3">
      <c r="A1077" s="42"/>
    </row>
    <row r="1078" spans="1:1" x14ac:dyDescent="0.3">
      <c r="A1078" s="42"/>
    </row>
    <row r="1079" spans="1:1" x14ac:dyDescent="0.3">
      <c r="A1079" s="42"/>
    </row>
    <row r="1080" spans="1:1" x14ac:dyDescent="0.3">
      <c r="A1080" s="42"/>
    </row>
    <row r="1081" spans="1:1" x14ac:dyDescent="0.3">
      <c r="A1081" s="42"/>
    </row>
    <row r="1082" spans="1:1" x14ac:dyDescent="0.3">
      <c r="A1082" s="42"/>
    </row>
    <row r="1083" spans="1:1" x14ac:dyDescent="0.3">
      <c r="A1083" s="42"/>
    </row>
    <row r="1084" spans="1:1" x14ac:dyDescent="0.3">
      <c r="A1084" s="42"/>
    </row>
    <row r="1085" spans="1:1" x14ac:dyDescent="0.3">
      <c r="A1085" s="42"/>
    </row>
    <row r="1086" spans="1:1" x14ac:dyDescent="0.3">
      <c r="A1086" s="42"/>
    </row>
    <row r="1087" spans="1:1" x14ac:dyDescent="0.3">
      <c r="A1087" s="42"/>
    </row>
    <row r="1088" spans="1:1" x14ac:dyDescent="0.3">
      <c r="A1088" s="42"/>
    </row>
    <row r="1089" spans="1:1" x14ac:dyDescent="0.3">
      <c r="A1089" s="42"/>
    </row>
    <row r="1090" spans="1:1" x14ac:dyDescent="0.3">
      <c r="A1090" s="42"/>
    </row>
    <row r="1091" spans="1:1" x14ac:dyDescent="0.3">
      <c r="A1091" s="42"/>
    </row>
    <row r="1092" spans="1:1" x14ac:dyDescent="0.3">
      <c r="A1092" s="42"/>
    </row>
    <row r="1097" spans="1:1" x14ac:dyDescent="0.3">
      <c r="A1097" s="42"/>
    </row>
    <row r="1098" spans="1:1" x14ac:dyDescent="0.3">
      <c r="A1098" s="42"/>
    </row>
    <row r="1101" spans="1:1" x14ac:dyDescent="0.3">
      <c r="A1101" s="42"/>
    </row>
    <row r="1103" spans="1:1" x14ac:dyDescent="0.3">
      <c r="A1103" s="42"/>
    </row>
    <row r="1105" spans="1:1" x14ac:dyDescent="0.3">
      <c r="A1105" s="42"/>
    </row>
    <row r="1107" spans="1:1" x14ac:dyDescent="0.3">
      <c r="A1107" s="42"/>
    </row>
    <row r="1110" spans="1:1" x14ac:dyDescent="0.3">
      <c r="A1110" s="42"/>
    </row>
    <row r="1111" spans="1:1" x14ac:dyDescent="0.3">
      <c r="A1111" s="42"/>
    </row>
    <row r="1112" spans="1:1" x14ac:dyDescent="0.3">
      <c r="A1112" s="42"/>
    </row>
    <row r="1113" spans="1:1" x14ac:dyDescent="0.3">
      <c r="A1113" s="42"/>
    </row>
    <row r="1114" spans="1:1" x14ac:dyDescent="0.3">
      <c r="A1114" s="42"/>
    </row>
    <row r="1115" spans="1:1" x14ac:dyDescent="0.3">
      <c r="A1115" s="42"/>
    </row>
    <row r="1116" spans="1:1" x14ac:dyDescent="0.3">
      <c r="A1116" s="42"/>
    </row>
    <row r="1117" spans="1:1" x14ac:dyDescent="0.3">
      <c r="A1117" s="42"/>
    </row>
  </sheetData>
  <pageMargins left="0.5" right="0.5" top="1" bottom="0" header="0" footer="0"/>
  <pageSetup scale="52" orientation="landscape" r:id="rId1"/>
  <headerFooter alignWithMargins="0"/>
  <rowBreaks count="16" manualBreakCount="16">
    <brk id="158" max="65535" man="1"/>
    <brk id="201" max="65535" man="1"/>
    <brk id="243" max="65535" man="1"/>
    <brk id="282" max="65535" man="1"/>
    <brk id="338" max="65535" man="1"/>
    <brk id="384" max="65535" man="1"/>
    <brk id="466" max="65535" man="1"/>
    <brk id="504" max="65535" man="1"/>
    <brk id="541" max="65535" man="1"/>
    <brk id="589" max="65535" man="1"/>
    <brk id="650" max="65535" man="1"/>
    <brk id="709" max="65535" man="1"/>
    <brk id="816" max="65535" man="1"/>
    <brk id="863" max="65535" man="1"/>
    <brk id="922" max="65535" man="1"/>
    <brk id="965" max="65535" man="1"/>
  </rowBreaks>
  <colBreaks count="1" manualBreakCount="1">
    <brk id="4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syncVertical="1" syncRef="A1" transitionEvaluation="1" transitionEntry="1" codeName="Sheet123">
    <pageSetUpPr fitToPage="1"/>
  </sheetPr>
  <dimension ref="A1:BW1059"/>
  <sheetViews>
    <sheetView zoomScale="75" workbookViewId="0"/>
  </sheetViews>
  <sheetFormatPr defaultColWidth="9.75" defaultRowHeight="15.6" x14ac:dyDescent="0.3"/>
  <cols>
    <col min="1" max="1" width="5.25" style="41" customWidth="1"/>
    <col min="2" max="2" width="0.4140625" style="41" customWidth="1"/>
    <col min="3" max="3" width="7.6640625" style="41" customWidth="1"/>
    <col min="4" max="4" width="38.08203125" style="41" customWidth="1"/>
    <col min="5" max="5" width="0.66406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1.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9.33203125" style="41" customWidth="1"/>
    <col min="19" max="19" width="6.75" style="41" customWidth="1"/>
    <col min="20" max="20" width="5.4140625" style="41" customWidth="1"/>
    <col min="21" max="21" width="0.58203125" style="41" customWidth="1"/>
    <col min="22" max="22" width="8.08203125" style="41" customWidth="1"/>
    <col min="23" max="23" width="38.08203125" style="41" customWidth="1"/>
    <col min="24" max="24" width="0.664062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3" style="41" customWidth="1"/>
    <col min="30" max="30" width="0.9140625" style="41" customWidth="1"/>
    <col min="31" max="31" width="12.9140625" style="41" customWidth="1"/>
    <col min="32" max="32" width="0.75" style="41" customWidth="1"/>
    <col min="33" max="33" width="13.6640625" style="165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165" customWidth="1"/>
    <col min="38" max="38" width="0.582031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165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REHEARING ORDER CALCULATED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157</v>
      </c>
      <c r="AK6" s="206"/>
      <c r="AL6" s="42"/>
    </row>
    <row r="7" spans="1:40" x14ac:dyDescent="0.3">
      <c r="A7" s="41" t="str">
        <f>TYPE</f>
        <v>TYPE OF FILING: _X_ ORIGINAL   ___UPDATED  ___ REVISED</v>
      </c>
      <c r="R7" s="45" t="str">
        <f>"PAGE 12 OF "&amp;TEXT(Page_Num_2.3,"00")</f>
        <v>PAGE 12 OF 24</v>
      </c>
      <c r="AK7" s="206"/>
      <c r="AL7" s="42"/>
    </row>
    <row r="8" spans="1:40" x14ac:dyDescent="0.3">
      <c r="A8" s="42" t="s">
        <v>171</v>
      </c>
      <c r="R8" s="42" t="s">
        <v>3</v>
      </c>
      <c r="AK8" s="206"/>
      <c r="AL8" s="42"/>
    </row>
    <row r="9" spans="1:40" x14ac:dyDescent="0.3">
      <c r="A9" s="153" t="str">
        <f>TIME</f>
        <v>12 Months Projected with Riders</v>
      </c>
      <c r="M9" s="42"/>
      <c r="R9" s="41" t="str">
        <f>WIT</f>
        <v>B. L. Sailers</v>
      </c>
      <c r="AK9" s="206"/>
      <c r="AL9" s="42"/>
    </row>
    <row r="10" spans="1:40" x14ac:dyDescent="0.3">
      <c r="A10" s="153" t="str">
        <f>INPUT!B5</f>
        <v xml:space="preserve"> </v>
      </c>
      <c r="M10" s="42"/>
      <c r="AK10" s="206"/>
      <c r="AL10" s="42"/>
    </row>
    <row r="11" spans="1:40" x14ac:dyDescent="0.3">
      <c r="A11" s="40" t="s">
        <v>130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K11" s="206"/>
      <c r="AL11" s="42"/>
    </row>
    <row r="12" spans="1:40" x14ac:dyDescent="0.3">
      <c r="A12" s="135"/>
      <c r="B12" s="135"/>
      <c r="C12" s="135"/>
      <c r="D12" s="135"/>
      <c r="E12" s="135"/>
      <c r="G12" s="135"/>
      <c r="H12" s="135"/>
      <c r="I12" s="135"/>
      <c r="J12" s="135"/>
      <c r="K12" s="135"/>
      <c r="L12" s="43"/>
      <c r="M12" s="43"/>
      <c r="N12" s="43"/>
      <c r="O12" s="43"/>
      <c r="P12" s="43"/>
      <c r="Q12" s="43"/>
      <c r="R12" s="43"/>
      <c r="AA12" s="42"/>
      <c r="AB12" s="42"/>
    </row>
    <row r="13" spans="1:40" ht="18" customHeight="1" x14ac:dyDescent="0.3">
      <c r="A13" s="191"/>
      <c r="B13" s="191"/>
      <c r="C13" s="191"/>
      <c r="D13" s="191"/>
      <c r="E13" s="191"/>
      <c r="F13" s="191"/>
      <c r="G13" s="191"/>
      <c r="H13" s="191"/>
      <c r="I13" s="191"/>
      <c r="J13" s="191"/>
      <c r="K13" s="191"/>
      <c r="L13" s="44" t="s">
        <v>6</v>
      </c>
      <c r="M13" s="44"/>
      <c r="N13" s="44" t="s">
        <v>7</v>
      </c>
      <c r="O13" s="44"/>
      <c r="R13" s="44" t="s">
        <v>6</v>
      </c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207"/>
      <c r="AH13" s="135"/>
      <c r="AI13" s="135"/>
      <c r="AJ13" s="135"/>
      <c r="AK13" s="207"/>
      <c r="AL13" s="135"/>
      <c r="AM13" s="135"/>
      <c r="AN13" s="135"/>
    </row>
    <row r="14" spans="1:40" x14ac:dyDescent="0.3">
      <c r="L14" s="44" t="s">
        <v>12</v>
      </c>
      <c r="M14" s="44"/>
      <c r="N14" s="44" t="s">
        <v>13</v>
      </c>
      <c r="O14" s="44"/>
      <c r="R14" s="44" t="s">
        <v>11</v>
      </c>
      <c r="AA14" s="44"/>
      <c r="AB14" s="44"/>
      <c r="AC14" s="44"/>
      <c r="AD14" s="44"/>
      <c r="AE14" s="44"/>
      <c r="AF14" s="44"/>
      <c r="AG14" s="168"/>
      <c r="AH14" s="44"/>
      <c r="AK14" s="168"/>
      <c r="AL14" s="44"/>
      <c r="AM14" s="44"/>
      <c r="AN14" s="44"/>
    </row>
    <row r="15" spans="1:4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842</v>
      </c>
      <c r="M15" s="44"/>
      <c r="N15" s="44" t="s">
        <v>842</v>
      </c>
      <c r="O15" s="44"/>
      <c r="P15" s="44" t="s">
        <v>842</v>
      </c>
      <c r="Q15" s="44"/>
      <c r="R15" s="44" t="s">
        <v>9</v>
      </c>
      <c r="Z15" s="44"/>
      <c r="AA15" s="44"/>
      <c r="AB15" s="44"/>
      <c r="AC15" s="44"/>
      <c r="AD15" s="44"/>
      <c r="AE15" s="44"/>
      <c r="AF15" s="44"/>
      <c r="AG15" s="168"/>
      <c r="AH15" s="44"/>
      <c r="AK15" s="168"/>
      <c r="AL15" s="44"/>
      <c r="AM15" s="44"/>
      <c r="AN15" s="44"/>
    </row>
    <row r="16" spans="1:40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324</v>
      </c>
      <c r="Q16" s="44"/>
      <c r="R16" s="141" t="s">
        <v>28</v>
      </c>
      <c r="T16" s="44"/>
      <c r="U16" s="44"/>
      <c r="V16" s="44"/>
      <c r="Z16" s="44"/>
      <c r="AA16" s="44"/>
      <c r="AB16" s="44"/>
      <c r="AC16" s="44"/>
      <c r="AD16" s="44"/>
      <c r="AE16" s="44"/>
      <c r="AF16" s="44"/>
      <c r="AG16" s="168"/>
      <c r="AH16" s="44"/>
      <c r="AI16" s="44"/>
      <c r="AJ16" s="44"/>
      <c r="AK16" s="168"/>
      <c r="AL16" s="44"/>
      <c r="AM16" s="44"/>
      <c r="AN16" s="44"/>
    </row>
    <row r="17" spans="1:40" x14ac:dyDescent="0.3">
      <c r="C17" s="141" t="s">
        <v>33</v>
      </c>
      <c r="D17" s="141" t="s">
        <v>34</v>
      </c>
      <c r="E17" s="141"/>
      <c r="F17" s="141" t="s">
        <v>35</v>
      </c>
      <c r="G17" s="153"/>
      <c r="H17" s="141" t="s">
        <v>36</v>
      </c>
      <c r="I17" s="141"/>
      <c r="J17" s="141" t="s">
        <v>37</v>
      </c>
      <c r="K17" s="141"/>
      <c r="L17" s="141" t="s">
        <v>38</v>
      </c>
      <c r="M17" s="141"/>
      <c r="N17" s="141" t="s">
        <v>39</v>
      </c>
      <c r="O17" s="141"/>
      <c r="P17" s="141" t="s">
        <v>40</v>
      </c>
      <c r="Q17" s="141"/>
      <c r="R17" s="141" t="s">
        <v>41</v>
      </c>
      <c r="T17" s="44"/>
      <c r="U17" s="44"/>
      <c r="V17" s="44"/>
      <c r="Z17" s="44"/>
      <c r="AA17" s="44"/>
      <c r="AB17" s="44"/>
      <c r="AC17" s="44"/>
      <c r="AD17" s="44"/>
      <c r="AE17" s="44"/>
      <c r="AF17" s="44"/>
      <c r="AG17" s="168"/>
      <c r="AH17" s="44"/>
      <c r="AI17" s="44"/>
      <c r="AJ17" s="44"/>
      <c r="AK17" s="168"/>
      <c r="AL17" s="44"/>
      <c r="AM17" s="44"/>
      <c r="AN17" s="44"/>
    </row>
    <row r="18" spans="1:40" x14ac:dyDescent="0.3">
      <c r="H18" s="47"/>
      <c r="I18" s="47"/>
      <c r="J18" s="47"/>
      <c r="T18" s="44"/>
      <c r="U18" s="44"/>
      <c r="V18" s="44"/>
      <c r="Y18" s="44"/>
      <c r="Z18" s="44"/>
      <c r="AA18" s="44"/>
      <c r="AB18" s="44"/>
      <c r="AC18" s="44"/>
      <c r="AD18" s="44"/>
      <c r="AE18" s="44"/>
      <c r="AF18" s="44"/>
      <c r="AG18" s="168"/>
      <c r="AH18" s="44"/>
      <c r="AI18" s="44"/>
      <c r="AJ18" s="44"/>
      <c r="AK18" s="168"/>
      <c r="AL18" s="44"/>
      <c r="AM18" s="44"/>
      <c r="AN18" s="44"/>
    </row>
    <row r="19" spans="1:40" ht="17.100000000000001" customHeight="1" x14ac:dyDescent="0.3">
      <c r="A19" s="191"/>
      <c r="B19" s="191"/>
      <c r="C19" s="191"/>
      <c r="D19" s="191"/>
      <c r="E19" s="191"/>
      <c r="F19" s="191"/>
      <c r="G19" s="191"/>
      <c r="H19" s="172" t="s">
        <v>49</v>
      </c>
      <c r="I19" s="171"/>
      <c r="J19" s="172" t="s">
        <v>313</v>
      </c>
      <c r="K19" s="271"/>
      <c r="L19" s="271" t="s">
        <v>50</v>
      </c>
      <c r="M19" s="271"/>
      <c r="N19" s="271" t="s">
        <v>51</v>
      </c>
      <c r="O19" s="271"/>
      <c r="P19" s="271" t="s">
        <v>50</v>
      </c>
      <c r="Q19" s="271"/>
      <c r="R19" s="271" t="s">
        <v>50</v>
      </c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207"/>
      <c r="AH19" s="135"/>
      <c r="AI19" s="135"/>
      <c r="AJ19" s="135"/>
      <c r="AK19" s="207"/>
      <c r="AL19" s="135"/>
      <c r="AM19" s="135"/>
      <c r="AN19" s="135"/>
    </row>
    <row r="20" spans="1:40" x14ac:dyDescent="0.3">
      <c r="A20" s="41">
        <v>1</v>
      </c>
      <c r="C20" s="132" t="s">
        <v>306</v>
      </c>
      <c r="D20" s="153" t="s">
        <v>310</v>
      </c>
      <c r="E20" s="4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Y20" s="44"/>
      <c r="Z20" s="44"/>
      <c r="AA20" s="44"/>
      <c r="AB20" s="44"/>
      <c r="AC20" s="44"/>
      <c r="AD20" s="44"/>
      <c r="AE20" s="44"/>
      <c r="AF20" s="44"/>
      <c r="AG20" s="168"/>
      <c r="AH20" s="44"/>
      <c r="AI20" s="44"/>
      <c r="AJ20" s="44"/>
      <c r="AK20" s="168"/>
      <c r="AL20" s="44"/>
      <c r="AM20" s="44"/>
      <c r="AN20" s="44"/>
    </row>
    <row r="21" spans="1:40" x14ac:dyDescent="0.3">
      <c r="A21" s="41">
        <v>2</v>
      </c>
      <c r="C21" s="132"/>
      <c r="D21" s="153" t="s">
        <v>311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  <c r="U21" s="42"/>
    </row>
    <row r="22" spans="1:40" ht="22.5" customHeight="1" x14ac:dyDescent="0.3">
      <c r="C22" s="42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T22" s="42"/>
      <c r="U22" s="42"/>
    </row>
    <row r="23" spans="1:40" x14ac:dyDescent="0.3">
      <c r="A23" s="41">
        <v>3</v>
      </c>
      <c r="C23" s="132" t="s">
        <v>134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T23" s="42"/>
      <c r="U23" s="42"/>
    </row>
    <row r="24" spans="1:40" x14ac:dyDescent="0.3">
      <c r="A24" s="41">
        <v>4</v>
      </c>
      <c r="C24" s="42" t="s">
        <v>312</v>
      </c>
      <c r="F24" s="184">
        <v>24</v>
      </c>
      <c r="G24" s="1"/>
      <c r="H24" s="159"/>
      <c r="I24" s="159"/>
      <c r="J24" s="193">
        <f>INPUT!D154</f>
        <v>183</v>
      </c>
      <c r="K24" s="194"/>
      <c r="L24" s="49">
        <f>ROUND(F24*J24,0)</f>
        <v>4392</v>
      </c>
      <c r="M24" s="3"/>
      <c r="N24" s="253">
        <f>ROUND((L24/$L$39)*100,1)</f>
        <v>0.8</v>
      </c>
      <c r="O24" s="4"/>
      <c r="P24" s="49"/>
      <c r="Q24" s="1"/>
      <c r="R24" s="49">
        <f>L24+P24</f>
        <v>4392</v>
      </c>
    </row>
    <row r="25" spans="1:40" ht="20.100000000000001" customHeight="1" x14ac:dyDescent="0.3">
      <c r="A25" s="41">
        <v>5</v>
      </c>
      <c r="C25" s="132" t="s">
        <v>137</v>
      </c>
      <c r="F25" s="159"/>
      <c r="G25" s="1"/>
      <c r="H25" s="159"/>
      <c r="I25" s="159"/>
      <c r="J25" s="193"/>
      <c r="K25" s="194"/>
      <c r="L25" s="145">
        <f>SUM(L24)</f>
        <v>4392</v>
      </c>
      <c r="M25" s="3"/>
      <c r="N25" s="253">
        <f>ROUND((L25/$L$39)*100,1)</f>
        <v>0.8</v>
      </c>
      <c r="O25" s="4"/>
      <c r="P25" s="145"/>
      <c r="Q25" s="1"/>
      <c r="R25" s="145">
        <f>SUM(R24)</f>
        <v>4392</v>
      </c>
    </row>
    <row r="26" spans="1:40" ht="25.5" customHeight="1" x14ac:dyDescent="0.3">
      <c r="C26" s="42"/>
      <c r="F26" s="159"/>
      <c r="G26" s="1"/>
      <c r="H26" s="159"/>
      <c r="I26" s="159"/>
      <c r="J26" s="193"/>
      <c r="K26" s="194"/>
      <c r="L26" s="3"/>
      <c r="M26" s="3"/>
      <c r="N26" s="4"/>
      <c r="O26" s="4"/>
      <c r="P26" s="3"/>
      <c r="Q26" s="1"/>
      <c r="R26" s="3"/>
    </row>
    <row r="27" spans="1:40" x14ac:dyDescent="0.3">
      <c r="A27" s="41">
        <v>6</v>
      </c>
      <c r="C27" s="132" t="s">
        <v>67</v>
      </c>
      <c r="F27" s="3"/>
      <c r="G27" s="1"/>
      <c r="H27" s="3"/>
      <c r="I27" s="3"/>
      <c r="J27" s="219"/>
      <c r="K27" s="7"/>
      <c r="L27" s="3"/>
      <c r="M27" s="3"/>
      <c r="N27" s="4"/>
      <c r="O27" s="4"/>
      <c r="P27" s="3"/>
      <c r="Q27" s="3"/>
      <c r="R27" s="3"/>
      <c r="S27" s="123"/>
      <c r="T27" s="42"/>
      <c r="AA27" s="123"/>
      <c r="AB27" s="123"/>
      <c r="AC27" s="123"/>
      <c r="AD27" s="123"/>
      <c r="AI27" s="123"/>
      <c r="AJ27" s="123"/>
      <c r="AL27" s="123"/>
    </row>
    <row r="28" spans="1:40" x14ac:dyDescent="0.3">
      <c r="A28" s="41">
        <v>7</v>
      </c>
      <c r="C28" s="42" t="s">
        <v>384</v>
      </c>
      <c r="F28" s="3"/>
      <c r="G28" s="1"/>
      <c r="H28" s="184">
        <v>12132774</v>
      </c>
      <c r="I28" s="3"/>
      <c r="J28" s="217">
        <f>INPUT!D158</f>
        <v>1.0373E-2</v>
      </c>
      <c r="K28" s="7"/>
      <c r="L28" s="3">
        <f>ROUND((H28*J28),0)</f>
        <v>125853</v>
      </c>
      <c r="M28" s="3"/>
      <c r="N28" s="4">
        <f>ROUND((L28/$L$39)*100,1)</f>
        <v>21.6</v>
      </c>
      <c r="O28" s="4"/>
      <c r="P28" s="3"/>
      <c r="Q28" s="3"/>
      <c r="R28" s="3">
        <f>L28+P28</f>
        <v>125853</v>
      </c>
      <c r="S28" s="123"/>
      <c r="T28" s="42"/>
      <c r="AA28" s="123"/>
      <c r="AB28" s="123"/>
      <c r="AC28" s="123"/>
      <c r="AD28" s="123"/>
      <c r="AI28" s="123"/>
      <c r="AJ28" s="123"/>
      <c r="AL28" s="123"/>
    </row>
    <row r="29" spans="1:40" x14ac:dyDescent="0.3">
      <c r="A29" s="41">
        <v>8</v>
      </c>
      <c r="C29" s="42" t="s">
        <v>373</v>
      </c>
      <c r="F29" s="3"/>
      <c r="G29" s="1"/>
      <c r="H29" s="159">
        <f>H28</f>
        <v>12132774</v>
      </c>
      <c r="I29" s="159"/>
      <c r="J29" s="205">
        <f>INPUT!D162</f>
        <v>3.4157E-2</v>
      </c>
      <c r="K29" s="199"/>
      <c r="L29" s="3">
        <f>ROUND((H29*J29),0)</f>
        <v>414419</v>
      </c>
      <c r="M29" s="3"/>
      <c r="N29" s="253">
        <f>ROUND((L29/$L$39)*100,1)</f>
        <v>71.2</v>
      </c>
      <c r="O29" s="4"/>
      <c r="P29" s="123">
        <v>0</v>
      </c>
      <c r="Q29" s="3"/>
      <c r="R29" s="3">
        <f>L29+P29</f>
        <v>414419</v>
      </c>
    </row>
    <row r="30" spans="1:40" ht="20.100000000000001" customHeight="1" x14ac:dyDescent="0.3">
      <c r="A30" s="41">
        <v>9</v>
      </c>
      <c r="C30" s="132" t="s">
        <v>143</v>
      </c>
      <c r="F30" s="49"/>
      <c r="G30" s="1"/>
      <c r="H30" s="145">
        <f>H28</f>
        <v>12132774</v>
      </c>
      <c r="I30" s="3"/>
      <c r="J30" s="257"/>
      <c r="K30" s="183"/>
      <c r="L30" s="145">
        <f>SUM(L28:L29)</f>
        <v>540272</v>
      </c>
      <c r="M30" s="3"/>
      <c r="N30" s="253">
        <f>ROUND((L30/$L$39)*100,1)</f>
        <v>92.8</v>
      </c>
      <c r="O30" s="4"/>
      <c r="P30" s="145">
        <f>P29</f>
        <v>0</v>
      </c>
      <c r="Q30" s="3"/>
      <c r="R30" s="145">
        <f>SUM(R28:R29)</f>
        <v>540272</v>
      </c>
    </row>
    <row r="31" spans="1:40" ht="20.100000000000001" customHeight="1" x14ac:dyDescent="0.3">
      <c r="A31" s="41">
        <v>10</v>
      </c>
      <c r="C31" s="178" t="s">
        <v>463</v>
      </c>
      <c r="F31" s="145">
        <f>F24</f>
        <v>24</v>
      </c>
      <c r="G31" s="1"/>
      <c r="H31" s="145">
        <f>H30</f>
        <v>12132774</v>
      </c>
      <c r="I31" s="3"/>
      <c r="J31" s="257"/>
      <c r="K31" s="183"/>
      <c r="L31" s="145">
        <f>L30+L25</f>
        <v>544664</v>
      </c>
      <c r="M31" s="3"/>
      <c r="N31" s="211">
        <f>ROUND((L31/$L$39)*100,1)</f>
        <v>93.6</v>
      </c>
      <c r="O31" s="4"/>
      <c r="P31" s="145">
        <f>SUM(P30+P25)</f>
        <v>0</v>
      </c>
      <c r="Q31" s="3"/>
      <c r="R31" s="145">
        <f>R30+R25</f>
        <v>544664</v>
      </c>
    </row>
    <row r="32" spans="1:40" ht="15.75" customHeight="1" x14ac:dyDescent="0.3">
      <c r="C32" s="42"/>
      <c r="F32" s="3"/>
      <c r="G32" s="1"/>
      <c r="H32" s="3"/>
      <c r="I32" s="3"/>
      <c r="J32" s="257"/>
      <c r="K32" s="183"/>
      <c r="L32" s="3"/>
      <c r="M32" s="3"/>
      <c r="N32" s="4"/>
      <c r="O32" s="4"/>
      <c r="P32" s="3"/>
      <c r="Q32" s="3"/>
      <c r="R32" s="3"/>
    </row>
    <row r="33" spans="1:47" ht="15.75" customHeight="1" x14ac:dyDescent="0.3">
      <c r="A33" s="41">
        <v>11</v>
      </c>
      <c r="C33" s="132" t="s">
        <v>432</v>
      </c>
      <c r="F33" s="3"/>
      <c r="G33" s="1"/>
      <c r="H33" s="3"/>
      <c r="I33" s="3"/>
      <c r="J33" s="257"/>
      <c r="K33" s="183"/>
      <c r="L33" s="3"/>
      <c r="M33" s="3"/>
      <c r="N33" s="4"/>
      <c r="O33" s="4"/>
      <c r="P33" s="3"/>
      <c r="Q33" s="3"/>
      <c r="R33" s="3"/>
    </row>
    <row r="34" spans="1:47" ht="15.75" customHeight="1" x14ac:dyDescent="0.3">
      <c r="A34" s="41">
        <v>12</v>
      </c>
      <c r="C34" s="192" t="str">
        <f>DSMR_Name</f>
        <v>DEMAND SIDE MANAGEMENT RIDER (DSMR)</v>
      </c>
      <c r="F34" s="3"/>
      <c r="G34" s="1"/>
      <c r="H34" s="3"/>
      <c r="I34" s="3"/>
      <c r="J34" s="205">
        <f>PRO_DSM_TRANS</f>
        <v>5.1400000000000003E-4</v>
      </c>
      <c r="K34" s="183"/>
      <c r="L34" s="3">
        <f>ROUND($H$31*J34,0)</f>
        <v>6236</v>
      </c>
      <c r="M34" s="3"/>
      <c r="N34" s="175">
        <f>ROUND((L34/$L$39)*100,1)</f>
        <v>1.1000000000000001</v>
      </c>
      <c r="O34" s="4"/>
      <c r="P34" s="3"/>
      <c r="Q34" s="3"/>
      <c r="R34" s="3">
        <f>L34+P34</f>
        <v>6236</v>
      </c>
    </row>
    <row r="35" spans="1:47" ht="15.75" customHeight="1" x14ac:dyDescent="0.3">
      <c r="A35" s="41">
        <v>13</v>
      </c>
      <c r="C35" s="192" t="str">
        <f>ESM_Name</f>
        <v>ENVIRONMENTAL SURCHARGE MECHANISM RIDER (ESM)</v>
      </c>
      <c r="F35" s="3"/>
      <c r="G35" s="1"/>
      <c r="H35" s="3"/>
      <c r="I35" s="3"/>
      <c r="J35" s="198">
        <f>PRO_ESM_NONRES</f>
        <v>5.7995821086186533E-3</v>
      </c>
      <c r="K35" s="183"/>
      <c r="L35" s="3">
        <f>ROUND((R31-(PRO_BASE_FUEL*H31)+R34+R36)*J35,0)</f>
        <v>992</v>
      </c>
      <c r="M35" s="3"/>
      <c r="N35" s="175">
        <f>ROUND((L35/$L$39)*100,1)</f>
        <v>0.2</v>
      </c>
      <c r="O35" s="4"/>
      <c r="P35" s="3"/>
      <c r="Q35" s="3"/>
      <c r="R35" s="3">
        <f>L35+P35</f>
        <v>992</v>
      </c>
    </row>
    <row r="36" spans="1:47" ht="15.75" customHeight="1" x14ac:dyDescent="0.3">
      <c r="A36" s="41">
        <v>14</v>
      </c>
      <c r="C36" s="192" t="str">
        <f>PSM_Name</f>
        <v>PROFIT SHARING MECHANISM (PSM)</v>
      </c>
      <c r="F36" s="3"/>
      <c r="G36" s="1"/>
      <c r="H36" s="3"/>
      <c r="I36" s="3"/>
      <c r="J36" s="205">
        <f>PRO_PSM</f>
        <v>2.4750000000000002E-3</v>
      </c>
      <c r="K36" s="183"/>
      <c r="L36" s="49">
        <f>ROUND(H31*PRO_PSM,0)</f>
        <v>30029</v>
      </c>
      <c r="M36" s="3"/>
      <c r="N36" s="177">
        <f>ROUND((L36/$L$39)*100,1)</f>
        <v>5.2</v>
      </c>
      <c r="O36" s="4"/>
      <c r="P36" s="49"/>
      <c r="Q36" s="3"/>
      <c r="R36" s="49">
        <f>L36+P36</f>
        <v>30029</v>
      </c>
    </row>
    <row r="37" spans="1:47" ht="20.100000000000001" customHeight="1" x14ac:dyDescent="0.3">
      <c r="A37" s="41">
        <v>15</v>
      </c>
      <c r="C37" s="132" t="s">
        <v>437</v>
      </c>
      <c r="F37" s="49"/>
      <c r="G37" s="1"/>
      <c r="H37" s="49"/>
      <c r="I37" s="3"/>
      <c r="J37" s="200"/>
      <c r="K37" s="183"/>
      <c r="L37" s="145">
        <f>SUM(L34:L36)</f>
        <v>37257</v>
      </c>
      <c r="M37" s="3"/>
      <c r="N37" s="180">
        <f>ROUND((L37/$L$39)*100,1)</f>
        <v>6.4</v>
      </c>
      <c r="O37" s="4"/>
      <c r="P37" s="145"/>
      <c r="Q37" s="3"/>
      <c r="R37" s="145">
        <f>SUM(R34:R36)</f>
        <v>37257</v>
      </c>
    </row>
    <row r="38" spans="1:47" ht="15.75" customHeight="1" x14ac:dyDescent="0.3">
      <c r="C38" s="132"/>
      <c r="F38" s="3"/>
      <c r="G38" s="1"/>
      <c r="H38" s="3"/>
      <c r="I38" s="3"/>
      <c r="J38" s="183"/>
      <c r="K38" s="183"/>
      <c r="L38" s="3"/>
      <c r="M38" s="3"/>
      <c r="N38" s="4"/>
      <c r="O38" s="4"/>
      <c r="P38" s="3"/>
      <c r="Q38" s="3"/>
      <c r="R38" s="3"/>
    </row>
    <row r="39" spans="1:47" ht="20.100000000000001" customHeight="1" thickBot="1" x14ac:dyDescent="0.35">
      <c r="A39" s="41">
        <v>16</v>
      </c>
      <c r="C39" s="178" t="s">
        <v>464</v>
      </c>
      <c r="F39" s="151">
        <f>F31</f>
        <v>24</v>
      </c>
      <c r="G39" s="1"/>
      <c r="H39" s="151">
        <f>H31</f>
        <v>12132774</v>
      </c>
      <c r="I39" s="3"/>
      <c r="J39" s="1"/>
      <c r="K39" s="1"/>
      <c r="L39" s="151">
        <f>L37+L31</f>
        <v>581921</v>
      </c>
      <c r="M39" s="3"/>
      <c r="N39" s="218">
        <v>100</v>
      </c>
      <c r="O39" s="4"/>
      <c r="P39" s="151">
        <f>P37+P31</f>
        <v>0</v>
      </c>
      <c r="Q39" s="159"/>
      <c r="R39" s="151">
        <f>R37+R31</f>
        <v>581921</v>
      </c>
      <c r="V39" s="44"/>
      <c r="W39" s="44"/>
      <c r="X39" s="44"/>
      <c r="Y39" s="44"/>
      <c r="AA39" s="44"/>
      <c r="AB39" s="44"/>
      <c r="AC39" s="44"/>
      <c r="AD39" s="44"/>
      <c r="AE39" s="44"/>
      <c r="AF39" s="44"/>
      <c r="AG39" s="168"/>
      <c r="AH39" s="44"/>
      <c r="AI39" s="44"/>
      <c r="AJ39" s="44"/>
      <c r="AK39" s="168"/>
      <c r="AL39" s="44"/>
      <c r="AM39" s="44"/>
      <c r="AN39" s="44"/>
      <c r="AO39" s="44"/>
      <c r="AP39" s="44"/>
      <c r="AQ39" s="168"/>
      <c r="AS39" s="123"/>
      <c r="AT39" s="123"/>
      <c r="AU39" s="160"/>
    </row>
    <row r="40" spans="1:47" ht="18.75" customHeight="1" thickTop="1" x14ac:dyDescent="0.3"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AA40" s="44"/>
      <c r="AB40" s="44"/>
      <c r="AC40" s="44"/>
      <c r="AD40" s="44"/>
      <c r="AE40" s="44"/>
      <c r="AF40" s="44"/>
      <c r="AG40" s="168"/>
      <c r="AH40" s="44"/>
      <c r="AI40" s="44"/>
      <c r="AJ40" s="44"/>
      <c r="AK40" s="168"/>
      <c r="AL40" s="44"/>
      <c r="AM40" s="44"/>
      <c r="AN40" s="44"/>
      <c r="AO40" s="44"/>
      <c r="AP40" s="44"/>
      <c r="AQ40" s="168"/>
      <c r="AS40" s="123"/>
      <c r="AT40" s="123"/>
      <c r="AU40" s="235"/>
    </row>
    <row r="41" spans="1:47" x14ac:dyDescent="0.3">
      <c r="C41" s="202" t="s">
        <v>59</v>
      </c>
      <c r="F41" s="1"/>
      <c r="G41" s="1"/>
      <c r="H41" s="1"/>
      <c r="I41" s="1"/>
      <c r="J41" s="1"/>
      <c r="K41" s="1"/>
      <c r="L41" s="3"/>
      <c r="M41" s="3"/>
      <c r="N41" s="3"/>
      <c r="O41" s="3"/>
      <c r="P41" s="3"/>
      <c r="Q41" s="3"/>
      <c r="R41" s="3"/>
      <c r="V41" s="42"/>
      <c r="W41" s="42"/>
      <c r="X41" s="42"/>
      <c r="AS41" s="123"/>
      <c r="AT41" s="123"/>
      <c r="AU41" s="160"/>
    </row>
    <row r="42" spans="1:47" ht="18" customHeight="1" x14ac:dyDescent="0.3">
      <c r="A42" s="42"/>
      <c r="C42" s="42"/>
      <c r="W42" s="42"/>
      <c r="X42" s="42"/>
      <c r="AS42" s="123"/>
      <c r="AT42" s="123"/>
      <c r="AU42" s="160"/>
    </row>
    <row r="43" spans="1:47" x14ac:dyDescent="0.3">
      <c r="C43" s="42"/>
      <c r="F43" s="123"/>
      <c r="H43" s="123"/>
      <c r="I43" s="123"/>
      <c r="J43" s="219"/>
      <c r="K43" s="219"/>
      <c r="L43" s="123"/>
      <c r="M43" s="123"/>
      <c r="N43" s="160"/>
      <c r="O43" s="160"/>
      <c r="P43" s="123"/>
      <c r="Q43" s="123"/>
      <c r="R43" s="123"/>
      <c r="AS43" s="123"/>
      <c r="AT43" s="123"/>
      <c r="AU43" s="160"/>
    </row>
    <row r="44" spans="1:47" x14ac:dyDescent="0.3">
      <c r="F44" s="210"/>
      <c r="H44" s="210"/>
      <c r="I44" s="210"/>
      <c r="J44" s="213"/>
      <c r="K44" s="213"/>
      <c r="L44" s="210"/>
      <c r="M44" s="210"/>
      <c r="N44" s="210"/>
      <c r="O44" s="210"/>
      <c r="P44" s="210"/>
      <c r="Q44" s="210"/>
      <c r="R44" s="210"/>
      <c r="V44" s="42"/>
      <c r="Y44" s="123"/>
      <c r="AC44" s="209"/>
      <c r="AD44" s="209"/>
      <c r="AE44" s="123"/>
      <c r="AF44" s="123"/>
      <c r="AO44" s="123"/>
      <c r="AP44" s="123"/>
      <c r="AS44" s="123"/>
      <c r="AT44" s="123"/>
      <c r="AU44" s="160"/>
    </row>
    <row r="45" spans="1:47" x14ac:dyDescent="0.3">
      <c r="C45" s="42"/>
      <c r="F45" s="123"/>
      <c r="H45" s="123"/>
      <c r="I45" s="123"/>
      <c r="J45" s="219"/>
      <c r="K45" s="219"/>
      <c r="L45" s="123"/>
      <c r="M45" s="123"/>
      <c r="N45" s="160"/>
      <c r="O45" s="160"/>
      <c r="P45" s="123"/>
      <c r="Q45" s="123"/>
      <c r="R45" s="123"/>
      <c r="Y45" s="123"/>
      <c r="AO45" s="123"/>
      <c r="AP45" s="123"/>
      <c r="AS45" s="123"/>
      <c r="AT45" s="123"/>
      <c r="AU45" s="160"/>
    </row>
    <row r="46" spans="1:47" x14ac:dyDescent="0.3">
      <c r="A46" s="42"/>
      <c r="F46" s="123"/>
      <c r="H46" s="123"/>
      <c r="I46" s="123"/>
      <c r="J46" s="219"/>
      <c r="K46" s="219"/>
      <c r="L46" s="123"/>
      <c r="M46" s="123"/>
      <c r="N46" s="123"/>
      <c r="O46" s="123"/>
      <c r="P46" s="123"/>
      <c r="Q46" s="123"/>
      <c r="R46" s="123"/>
      <c r="V46" s="42"/>
      <c r="Y46" s="123"/>
      <c r="AA46" s="123"/>
      <c r="AB46" s="123"/>
      <c r="AC46" s="193"/>
      <c r="AD46" s="193"/>
      <c r="AE46" s="123"/>
      <c r="AF46" s="123"/>
      <c r="AH46" s="160"/>
      <c r="AI46" s="123"/>
      <c r="AJ46" s="123"/>
      <c r="AL46" s="236"/>
      <c r="AM46" s="123"/>
      <c r="AN46" s="123"/>
      <c r="AO46" s="123"/>
      <c r="AP46" s="123"/>
      <c r="AR46" s="123"/>
      <c r="AS46" s="123"/>
      <c r="AT46" s="123"/>
      <c r="AU46" s="160"/>
    </row>
    <row r="47" spans="1:47" x14ac:dyDescent="0.3">
      <c r="L47" s="123"/>
      <c r="M47" s="123"/>
      <c r="N47" s="123"/>
      <c r="O47" s="123"/>
      <c r="P47" s="123"/>
      <c r="Q47" s="123"/>
      <c r="R47" s="123"/>
      <c r="T47" s="40" t="str">
        <f>NAME</f>
        <v>DUKE ENERGY KENTUCKY, INC.</v>
      </c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166"/>
      <c r="AH47" s="40"/>
      <c r="AI47" s="40"/>
      <c r="AJ47" s="40"/>
      <c r="AK47" s="166"/>
      <c r="AL47" s="40"/>
      <c r="AM47" s="40"/>
      <c r="AN47" s="40"/>
      <c r="AO47" s="40"/>
      <c r="AP47" s="40"/>
      <c r="AQ47" s="166"/>
      <c r="AR47" s="123"/>
      <c r="AS47" s="123"/>
      <c r="AT47" s="123"/>
      <c r="AU47" s="160"/>
    </row>
    <row r="48" spans="1:47" x14ac:dyDescent="0.3">
      <c r="L48" s="123"/>
      <c r="M48" s="123"/>
      <c r="N48" s="123"/>
      <c r="O48" s="123"/>
      <c r="P48" s="123"/>
      <c r="Q48" s="123"/>
      <c r="R48" s="123"/>
      <c r="T48" s="40" t="str">
        <f>CASE_NO</f>
        <v>CASE NO.   2024-00354</v>
      </c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166"/>
      <c r="AH48" s="40"/>
      <c r="AI48" s="40"/>
      <c r="AJ48" s="40"/>
      <c r="AK48" s="166"/>
      <c r="AL48" s="40"/>
      <c r="AM48" s="40"/>
      <c r="AN48" s="40"/>
      <c r="AO48" s="40"/>
      <c r="AP48" s="40"/>
      <c r="AQ48" s="166"/>
      <c r="AR48" s="123"/>
      <c r="AS48" s="123"/>
      <c r="AT48" s="123"/>
      <c r="AU48" s="160"/>
    </row>
    <row r="49" spans="1:44" x14ac:dyDescent="0.3">
      <c r="H49" s="42"/>
      <c r="I49" s="42"/>
      <c r="T49" s="40" t="str">
        <f>TITLE</f>
        <v>ANNUALIZED TEST YEAR REVENUES AT REHEARING ORDER CALCULATED VS. MOST CURRENT RATES</v>
      </c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166"/>
      <c r="AH49" s="40"/>
      <c r="AI49" s="40"/>
      <c r="AJ49" s="40"/>
      <c r="AK49" s="166"/>
      <c r="AL49" s="40"/>
      <c r="AM49" s="40"/>
      <c r="AN49" s="40"/>
      <c r="AO49" s="40"/>
      <c r="AP49" s="40"/>
      <c r="AQ49" s="166"/>
      <c r="AR49" s="123"/>
    </row>
    <row r="50" spans="1:44" x14ac:dyDescent="0.3">
      <c r="L50" s="42"/>
      <c r="M50" s="42"/>
      <c r="T50" s="40" t="str">
        <f>DATE</f>
        <v>FOR THE TWELVE MONTHS ENDED June 30, 2026</v>
      </c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166"/>
      <c r="AH50" s="40"/>
      <c r="AI50" s="40"/>
      <c r="AJ50" s="40"/>
      <c r="AK50" s="166"/>
      <c r="AL50" s="40"/>
      <c r="AM50" s="40"/>
      <c r="AN50" s="40"/>
      <c r="AO50" s="40"/>
      <c r="AP50" s="40"/>
      <c r="AQ50" s="166"/>
      <c r="AR50" s="184"/>
    </row>
    <row r="51" spans="1:44" x14ac:dyDescent="0.3">
      <c r="R51" s="42"/>
      <c r="T51" s="40" t="str">
        <f>SERVICE</f>
        <v>(ELECTRIC SERVICE)</v>
      </c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166"/>
      <c r="AH51" s="40"/>
      <c r="AI51" s="40"/>
      <c r="AJ51" s="40"/>
      <c r="AK51" s="166"/>
      <c r="AL51" s="40"/>
      <c r="AM51" s="40"/>
      <c r="AN51" s="40"/>
      <c r="AO51" s="40"/>
      <c r="AP51" s="40"/>
      <c r="AQ51" s="166"/>
      <c r="AR51" s="184"/>
    </row>
    <row r="52" spans="1:44" x14ac:dyDescent="0.3">
      <c r="R52" s="42"/>
      <c r="T52" s="41" t="str">
        <f>DATA_PERIOD</f>
        <v>DATA: ____ BASE PERIOD   __X__FORECASTED PERIOD</v>
      </c>
      <c r="AO52" s="42" t="s">
        <v>158</v>
      </c>
      <c r="AP52" s="42"/>
      <c r="AR52" s="123"/>
    </row>
    <row r="53" spans="1:44" x14ac:dyDescent="0.3">
      <c r="A53" s="42"/>
      <c r="R53" s="42"/>
      <c r="T53" s="41" t="str">
        <f>TYPE</f>
        <v>TYPE OF FILING: _X_ ORIGINAL   ___UPDATED  ___ REVISED</v>
      </c>
      <c r="AO53" s="45" t="str">
        <f>"PAGE 12 OF "&amp;TEXT(Page_Num_2.2,"00")</f>
        <v>PAGE 12 OF 24</v>
      </c>
      <c r="AP53" s="42"/>
      <c r="AR53" s="123"/>
    </row>
    <row r="54" spans="1:44" x14ac:dyDescent="0.3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T54" s="42" t="s">
        <v>171</v>
      </c>
      <c r="AO54" s="42" t="s">
        <v>3</v>
      </c>
      <c r="AP54" s="42"/>
    </row>
    <row r="55" spans="1:44" x14ac:dyDescent="0.3">
      <c r="L55" s="44"/>
      <c r="M55" s="44"/>
      <c r="N55" s="44"/>
      <c r="O55" s="44"/>
      <c r="R55" s="44"/>
      <c r="T55" s="153" t="str">
        <f>TIME</f>
        <v>12 Months Projected with Riders</v>
      </c>
      <c r="AF55" s="42"/>
      <c r="AO55" s="41" t="str">
        <f>WIT</f>
        <v>B. L. Sailers</v>
      </c>
    </row>
    <row r="56" spans="1:44" x14ac:dyDescent="0.3">
      <c r="L56" s="44"/>
      <c r="M56" s="44"/>
      <c r="N56" s="44"/>
      <c r="O56" s="44"/>
      <c r="R56" s="44"/>
      <c r="T56" s="153" t="str">
        <f>INPUT!B5</f>
        <v xml:space="preserve"> </v>
      </c>
      <c r="AF56" s="42"/>
    </row>
    <row r="57" spans="1:44" x14ac:dyDescent="0.3">
      <c r="L57" s="44"/>
      <c r="M57" s="44"/>
      <c r="N57" s="44"/>
      <c r="O57" s="44"/>
      <c r="R57" s="44"/>
      <c r="T57" s="40" t="s">
        <v>131</v>
      </c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66"/>
      <c r="AH57" s="40"/>
      <c r="AI57" s="40"/>
      <c r="AJ57" s="40"/>
      <c r="AK57" s="166"/>
      <c r="AL57" s="40"/>
      <c r="AM57" s="40"/>
      <c r="AN57" s="40"/>
      <c r="AO57" s="40"/>
      <c r="AP57" s="40"/>
      <c r="AQ57" s="166"/>
    </row>
    <row r="58" spans="1:44" x14ac:dyDescent="0.3">
      <c r="C58" s="44"/>
      <c r="D58" s="44"/>
      <c r="E58" s="44"/>
      <c r="F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43"/>
      <c r="AF58" s="43"/>
      <c r="AG58" s="167"/>
      <c r="AH58" s="43"/>
      <c r="AI58" s="43"/>
      <c r="AJ58" s="43"/>
      <c r="AK58" s="167"/>
      <c r="AL58" s="43"/>
      <c r="AM58" s="43"/>
      <c r="AN58" s="135"/>
      <c r="AO58" s="135"/>
      <c r="AP58" s="135"/>
      <c r="AQ58" s="207"/>
    </row>
    <row r="59" spans="1:44" ht="18" customHeight="1" x14ac:dyDescent="0.3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T59" s="191"/>
      <c r="U59" s="191"/>
      <c r="V59" s="191"/>
      <c r="W59" s="191"/>
      <c r="X59" s="191"/>
      <c r="Y59" s="191"/>
      <c r="Z59" s="191"/>
      <c r="AA59" s="191"/>
      <c r="AB59" s="191"/>
      <c r="AC59" s="191"/>
      <c r="AD59" s="191"/>
      <c r="AE59" s="44" t="s">
        <v>8</v>
      </c>
      <c r="AF59" s="44"/>
      <c r="AG59" s="168" t="s">
        <v>7</v>
      </c>
      <c r="AH59" s="44"/>
      <c r="AI59" s="44" t="s">
        <v>9</v>
      </c>
      <c r="AJ59" s="44"/>
      <c r="AK59" s="168" t="s">
        <v>10</v>
      </c>
      <c r="AL59" s="44"/>
      <c r="AN59" s="191"/>
      <c r="AO59" s="272" t="s">
        <v>8</v>
      </c>
      <c r="AP59" s="272"/>
      <c r="AQ59" s="273" t="s">
        <v>11</v>
      </c>
    </row>
    <row r="60" spans="1:44" x14ac:dyDescent="0.3"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AC60" s="44" t="s">
        <v>14</v>
      </c>
      <c r="AD60" s="44"/>
      <c r="AE60" s="44" t="s">
        <v>12</v>
      </c>
      <c r="AF60" s="44"/>
      <c r="AG60" s="168" t="s">
        <v>13</v>
      </c>
      <c r="AH60" s="44"/>
      <c r="AI60" s="44" t="s">
        <v>15</v>
      </c>
      <c r="AJ60" s="44"/>
      <c r="AK60" s="168" t="s">
        <v>16</v>
      </c>
      <c r="AL60" s="44"/>
      <c r="AO60" s="44" t="s">
        <v>11</v>
      </c>
      <c r="AP60" s="44"/>
      <c r="AQ60" s="168" t="s">
        <v>9</v>
      </c>
    </row>
    <row r="61" spans="1:44" x14ac:dyDescent="0.3">
      <c r="C61" s="42"/>
      <c r="D61" s="42"/>
      <c r="E61" s="42"/>
      <c r="T61" s="44" t="s">
        <v>17</v>
      </c>
      <c r="V61" s="44" t="s">
        <v>18</v>
      </c>
      <c r="W61" s="44" t="s">
        <v>19</v>
      </c>
      <c r="X61" s="44"/>
      <c r="Y61" s="44" t="s">
        <v>20</v>
      </c>
      <c r="AC61" s="44" t="s">
        <v>8</v>
      </c>
      <c r="AD61" s="44"/>
      <c r="AE61" s="44" t="s">
        <v>842</v>
      </c>
      <c r="AF61" s="44"/>
      <c r="AG61" s="168" t="s">
        <v>842</v>
      </c>
      <c r="AH61" s="44"/>
      <c r="AI61" s="46" t="s">
        <v>965</v>
      </c>
      <c r="AJ61" s="44"/>
      <c r="AK61" s="169" t="s">
        <v>965</v>
      </c>
      <c r="AL61" s="44"/>
      <c r="AM61" s="44" t="s">
        <v>842</v>
      </c>
      <c r="AN61" s="44"/>
      <c r="AO61" s="44" t="s">
        <v>9</v>
      </c>
      <c r="AP61" s="44"/>
      <c r="AQ61" s="168" t="s">
        <v>21</v>
      </c>
    </row>
    <row r="62" spans="1:44" x14ac:dyDescent="0.3">
      <c r="C62" s="42"/>
      <c r="T62" s="44" t="s">
        <v>22</v>
      </c>
      <c r="V62" s="44" t="s">
        <v>23</v>
      </c>
      <c r="W62" s="44" t="s">
        <v>24</v>
      </c>
      <c r="X62" s="44"/>
      <c r="Y62" s="44" t="s">
        <v>25</v>
      </c>
      <c r="AA62" s="44" t="s">
        <v>26</v>
      </c>
      <c r="AB62" s="44"/>
      <c r="AC62" s="44" t="s">
        <v>27</v>
      </c>
      <c r="AD62" s="44"/>
      <c r="AE62" s="44" t="s">
        <v>9</v>
      </c>
      <c r="AF62" s="44"/>
      <c r="AG62" s="168" t="s">
        <v>9</v>
      </c>
      <c r="AH62" s="44"/>
      <c r="AI62" s="141" t="s">
        <v>29</v>
      </c>
      <c r="AJ62" s="141"/>
      <c r="AK62" s="170" t="s">
        <v>30</v>
      </c>
      <c r="AL62" s="44"/>
      <c r="AM62" s="44" t="s">
        <v>368</v>
      </c>
      <c r="AN62" s="44"/>
      <c r="AO62" s="141" t="s">
        <v>31</v>
      </c>
      <c r="AP62" s="141"/>
      <c r="AQ62" s="170" t="s">
        <v>32</v>
      </c>
    </row>
    <row r="63" spans="1:44" x14ac:dyDescent="0.3">
      <c r="V63" s="141" t="s">
        <v>33</v>
      </c>
      <c r="W63" s="141" t="s">
        <v>34</v>
      </c>
      <c r="X63" s="141"/>
      <c r="Y63" s="141" t="s">
        <v>35</v>
      </c>
      <c r="Z63" s="153"/>
      <c r="AA63" s="141" t="s">
        <v>36</v>
      </c>
      <c r="AB63" s="141"/>
      <c r="AC63" s="141" t="s">
        <v>42</v>
      </c>
      <c r="AD63" s="141"/>
      <c r="AE63" s="141" t="s">
        <v>43</v>
      </c>
      <c r="AF63" s="141"/>
      <c r="AG63" s="170" t="s">
        <v>44</v>
      </c>
      <c r="AH63" s="141"/>
      <c r="AI63" s="141" t="s">
        <v>45</v>
      </c>
      <c r="AJ63" s="141"/>
      <c r="AK63" s="170" t="s">
        <v>46</v>
      </c>
      <c r="AL63" s="141"/>
      <c r="AM63" s="141" t="s">
        <v>40</v>
      </c>
      <c r="AN63" s="141"/>
      <c r="AO63" s="141" t="s">
        <v>47</v>
      </c>
      <c r="AP63" s="141"/>
      <c r="AQ63" s="170" t="s">
        <v>48</v>
      </c>
    </row>
    <row r="64" spans="1:44" x14ac:dyDescent="0.3">
      <c r="V64" s="44"/>
      <c r="W64" s="44"/>
      <c r="X64" s="44"/>
      <c r="Y64" s="44"/>
      <c r="AA64" s="48"/>
      <c r="AB64" s="48"/>
      <c r="AC64" s="48"/>
      <c r="AD64" s="44"/>
      <c r="AE64" s="44"/>
      <c r="AF64" s="44"/>
      <c r="AG64" s="168"/>
      <c r="AH64" s="44"/>
      <c r="AI64" s="44"/>
      <c r="AJ64" s="44"/>
      <c r="AK64" s="168"/>
      <c r="AL64" s="44"/>
      <c r="AM64" s="44"/>
      <c r="AN64" s="44"/>
      <c r="AO64" s="44"/>
      <c r="AP64" s="44"/>
      <c r="AQ64" s="168"/>
    </row>
    <row r="65" spans="3:43" ht="17.100000000000001" customHeight="1" x14ac:dyDescent="0.3">
      <c r="C65" s="42"/>
      <c r="F65" s="184"/>
      <c r="H65" s="184"/>
      <c r="I65" s="184"/>
      <c r="J65" s="193"/>
      <c r="K65" s="193"/>
      <c r="L65" s="123"/>
      <c r="M65" s="123"/>
      <c r="N65" s="160"/>
      <c r="O65" s="160"/>
      <c r="R65" s="123"/>
      <c r="T65" s="191"/>
      <c r="U65" s="191"/>
      <c r="V65" s="191"/>
      <c r="W65" s="191"/>
      <c r="X65" s="191"/>
      <c r="Y65" s="191"/>
      <c r="Z65" s="191"/>
      <c r="AA65" s="172" t="s">
        <v>49</v>
      </c>
      <c r="AB65" s="171"/>
      <c r="AC65" s="172" t="s">
        <v>313</v>
      </c>
      <c r="AD65" s="271"/>
      <c r="AE65" s="271" t="s">
        <v>50</v>
      </c>
      <c r="AF65" s="271"/>
      <c r="AG65" s="274" t="s">
        <v>51</v>
      </c>
      <c r="AH65" s="271"/>
      <c r="AI65" s="271" t="s">
        <v>50</v>
      </c>
      <c r="AJ65" s="271"/>
      <c r="AK65" s="274" t="s">
        <v>51</v>
      </c>
      <c r="AL65" s="271"/>
      <c r="AM65" s="271" t="s">
        <v>50</v>
      </c>
      <c r="AN65" s="271"/>
      <c r="AO65" s="271" t="s">
        <v>50</v>
      </c>
      <c r="AP65" s="271"/>
      <c r="AQ65" s="274" t="s">
        <v>51</v>
      </c>
    </row>
    <row r="66" spans="3:43" x14ac:dyDescent="0.3">
      <c r="C66" s="42"/>
      <c r="F66" s="184"/>
      <c r="H66" s="184"/>
      <c r="I66" s="184"/>
      <c r="J66" s="193"/>
      <c r="K66" s="193"/>
      <c r="L66" s="123"/>
      <c r="M66" s="123"/>
      <c r="N66" s="160"/>
      <c r="O66" s="160"/>
      <c r="R66" s="123"/>
      <c r="T66" s="41">
        <f>A20</f>
        <v>1</v>
      </c>
      <c r="V66" s="132" t="s">
        <v>306</v>
      </c>
      <c r="W66" s="153" t="s">
        <v>310</v>
      </c>
      <c r="X66" s="42"/>
      <c r="Y66" s="1"/>
      <c r="Z66" s="1"/>
      <c r="AA66" s="1"/>
      <c r="AB66" s="1"/>
      <c r="AC66" s="1"/>
      <c r="AD66" s="1"/>
      <c r="AE66" s="1"/>
      <c r="AF66" s="1"/>
      <c r="AG66" s="175"/>
      <c r="AH66" s="1"/>
      <c r="AI66" s="1"/>
      <c r="AJ66" s="1"/>
      <c r="AK66" s="175"/>
      <c r="AL66" s="1"/>
      <c r="AM66" s="1"/>
      <c r="AN66" s="1"/>
      <c r="AO66" s="1"/>
      <c r="AP66" s="1"/>
      <c r="AQ66" s="175"/>
    </row>
    <row r="67" spans="3:43" x14ac:dyDescent="0.3">
      <c r="C67" s="42"/>
      <c r="F67" s="184"/>
      <c r="H67" s="184"/>
      <c r="I67" s="184"/>
      <c r="J67" s="193"/>
      <c r="K67" s="193"/>
      <c r="L67" s="123"/>
      <c r="M67" s="123"/>
      <c r="N67" s="160"/>
      <c r="O67" s="160"/>
      <c r="R67" s="123"/>
      <c r="T67" s="41">
        <f>A21</f>
        <v>2</v>
      </c>
      <c r="V67" s="132"/>
      <c r="W67" s="153" t="s">
        <v>311</v>
      </c>
      <c r="Y67" s="1"/>
      <c r="Z67" s="1"/>
      <c r="AA67" s="1"/>
      <c r="AB67" s="1"/>
      <c r="AC67" s="1"/>
      <c r="AD67" s="1"/>
      <c r="AE67" s="1"/>
      <c r="AF67" s="1"/>
      <c r="AG67" s="175"/>
      <c r="AH67" s="1"/>
      <c r="AI67" s="1"/>
      <c r="AJ67" s="1"/>
      <c r="AK67" s="175"/>
      <c r="AL67" s="1"/>
      <c r="AM67" s="1"/>
      <c r="AN67" s="1"/>
      <c r="AO67" s="1"/>
      <c r="AP67" s="1"/>
      <c r="AQ67" s="175"/>
    </row>
    <row r="68" spans="3:43" ht="19.5" customHeight="1" x14ac:dyDescent="0.3">
      <c r="C68" s="42"/>
      <c r="F68" s="184"/>
      <c r="H68" s="184"/>
      <c r="I68" s="184"/>
      <c r="J68" s="193"/>
      <c r="K68" s="193"/>
      <c r="L68" s="123"/>
      <c r="M68" s="123"/>
      <c r="N68" s="160"/>
      <c r="O68" s="160"/>
      <c r="R68" s="123"/>
      <c r="V68" s="42"/>
      <c r="Y68" s="1"/>
      <c r="Z68" s="1"/>
      <c r="AA68" s="1"/>
      <c r="AB68" s="1"/>
      <c r="AC68" s="1"/>
      <c r="AD68" s="1"/>
      <c r="AE68" s="1"/>
      <c r="AF68" s="1"/>
      <c r="AG68" s="175"/>
      <c r="AH68" s="1"/>
      <c r="AI68" s="1"/>
      <c r="AJ68" s="1"/>
      <c r="AK68" s="175"/>
      <c r="AL68" s="1"/>
      <c r="AM68" s="1"/>
      <c r="AN68" s="1"/>
      <c r="AO68" s="1"/>
      <c r="AP68" s="1"/>
      <c r="AQ68" s="175"/>
    </row>
    <row r="69" spans="3:43" x14ac:dyDescent="0.3">
      <c r="C69" s="42"/>
      <c r="F69" s="184"/>
      <c r="H69" s="184"/>
      <c r="I69" s="184"/>
      <c r="J69" s="193"/>
      <c r="K69" s="193"/>
      <c r="L69" s="123"/>
      <c r="M69" s="123"/>
      <c r="N69" s="160"/>
      <c r="O69" s="160"/>
      <c r="R69" s="123"/>
      <c r="T69" s="41">
        <f>A23</f>
        <v>3</v>
      </c>
      <c r="V69" s="132" t="s">
        <v>134</v>
      </c>
      <c r="Y69" s="1"/>
      <c r="Z69" s="1"/>
      <c r="AA69" s="1"/>
      <c r="AB69" s="1"/>
      <c r="AC69" s="1"/>
      <c r="AD69" s="1"/>
      <c r="AE69" s="1"/>
      <c r="AF69" s="1"/>
      <c r="AG69" s="175"/>
      <c r="AH69" s="1"/>
      <c r="AI69" s="1"/>
      <c r="AJ69" s="1"/>
      <c r="AK69" s="175"/>
      <c r="AL69" s="1"/>
      <c r="AM69" s="1"/>
      <c r="AN69" s="1"/>
      <c r="AO69" s="1"/>
      <c r="AP69" s="1"/>
      <c r="AQ69" s="175"/>
    </row>
    <row r="70" spans="3:43" x14ac:dyDescent="0.3">
      <c r="C70" s="42"/>
      <c r="F70" s="184"/>
      <c r="H70" s="184"/>
      <c r="I70" s="184"/>
      <c r="J70" s="193"/>
      <c r="K70" s="193"/>
      <c r="L70" s="123"/>
      <c r="M70" s="123"/>
      <c r="N70" s="160"/>
      <c r="O70" s="160"/>
      <c r="R70" s="123"/>
      <c r="T70" s="41">
        <f>A24</f>
        <v>4</v>
      </c>
      <c r="V70" s="42" t="s">
        <v>312</v>
      </c>
      <c r="Y70" s="3">
        <f>F24</f>
        <v>24</v>
      </c>
      <c r="Z70" s="1"/>
      <c r="AA70" s="1"/>
      <c r="AB70" s="1"/>
      <c r="AC70" s="209">
        <f>INPUT!C154</f>
        <v>183</v>
      </c>
      <c r="AD70" s="1"/>
      <c r="AE70" s="49">
        <f>ROUND(Y70*AC70,0)</f>
        <v>4392</v>
      </c>
      <c r="AF70" s="3"/>
      <c r="AG70" s="177">
        <f>ROUND((AE70/AE$85)*100,1)</f>
        <v>0.8</v>
      </c>
      <c r="AH70" s="4"/>
      <c r="AI70" s="49">
        <f>L24-AE70</f>
        <v>0</v>
      </c>
      <c r="AJ70" s="3"/>
      <c r="AK70" s="223">
        <f>IF(AE70=0,"0.0 ",ROUND((AI70/AE70)*100,1))</f>
        <v>0</v>
      </c>
      <c r="AL70" s="6"/>
      <c r="AM70" s="8"/>
      <c r="AN70" s="1"/>
      <c r="AO70" s="49">
        <f>AE70+AM70</f>
        <v>4392</v>
      </c>
      <c r="AP70" s="3"/>
      <c r="AQ70" s="181">
        <f>IF(AO70=0,"0.0 ",ROUND((AI70/AO70)*100,1))</f>
        <v>0</v>
      </c>
    </row>
    <row r="71" spans="3:43" ht="20.100000000000001" customHeight="1" x14ac:dyDescent="0.3">
      <c r="C71" s="42"/>
      <c r="F71" s="123"/>
      <c r="H71" s="123"/>
      <c r="I71" s="123"/>
      <c r="J71" s="213"/>
      <c r="K71" s="213"/>
      <c r="L71" s="123"/>
      <c r="M71" s="123"/>
      <c r="N71" s="160"/>
      <c r="O71" s="160"/>
      <c r="P71" s="123"/>
      <c r="Q71" s="123"/>
      <c r="R71" s="123"/>
      <c r="T71" s="41">
        <f>A25</f>
        <v>5</v>
      </c>
      <c r="V71" s="42" t="s">
        <v>137</v>
      </c>
      <c r="Y71" s="3"/>
      <c r="Z71" s="1"/>
      <c r="AA71" s="159"/>
      <c r="AB71" s="159"/>
      <c r="AC71" s="193"/>
      <c r="AD71" s="194"/>
      <c r="AE71" s="145">
        <f>SUM(AE70)</f>
        <v>4392</v>
      </c>
      <c r="AG71" s="180">
        <f>ROUND((AE71/AE$85)*100,1)</f>
        <v>0.8</v>
      </c>
      <c r="AI71" s="145">
        <f>L25-AE71</f>
        <v>0</v>
      </c>
      <c r="AK71" s="224">
        <f>IF(AE71=0,"0.0 ",ROUND((AI71/AE71)*100,1))</f>
        <v>0</v>
      </c>
      <c r="AM71" s="278"/>
      <c r="AO71" s="49">
        <f>AE71+AM71</f>
        <v>4392</v>
      </c>
      <c r="AQ71" s="181">
        <f>IF(AO71=0,"0.0 ",ROUND((AI71/AO71)*100,1))</f>
        <v>0</v>
      </c>
    </row>
    <row r="72" spans="3:43" ht="24.75" customHeight="1" x14ac:dyDescent="0.3">
      <c r="C72" s="42"/>
      <c r="F72" s="123"/>
      <c r="H72" s="123"/>
      <c r="I72" s="123"/>
      <c r="J72" s="213"/>
      <c r="K72" s="213"/>
      <c r="L72" s="123"/>
      <c r="M72" s="123"/>
      <c r="N72" s="160"/>
      <c r="O72" s="160"/>
      <c r="P72" s="123"/>
      <c r="Q72" s="123"/>
      <c r="R72" s="123"/>
      <c r="V72" s="42"/>
      <c r="Y72" s="3"/>
      <c r="Z72" s="1"/>
      <c r="AA72" s="159"/>
      <c r="AB72" s="159"/>
      <c r="AC72" s="193"/>
      <c r="AD72" s="194"/>
      <c r="AE72" s="3"/>
      <c r="AF72" s="3"/>
      <c r="AG72" s="175"/>
      <c r="AH72" s="4"/>
      <c r="AI72" s="3"/>
      <c r="AJ72" s="3"/>
      <c r="AK72" s="175"/>
      <c r="AL72" s="6"/>
      <c r="AM72" s="1"/>
      <c r="AN72" s="1"/>
      <c r="AO72" s="3"/>
      <c r="AP72" s="3"/>
      <c r="AQ72" s="175"/>
    </row>
    <row r="73" spans="3:43" x14ac:dyDescent="0.3">
      <c r="C73" s="42"/>
      <c r="F73" s="123"/>
      <c r="H73" s="123"/>
      <c r="I73" s="123"/>
      <c r="J73" s="213"/>
      <c r="K73" s="213"/>
      <c r="L73" s="123"/>
      <c r="M73" s="123"/>
      <c r="N73" s="123"/>
      <c r="O73" s="123"/>
      <c r="P73" s="123"/>
      <c r="Q73" s="123"/>
      <c r="R73" s="123"/>
      <c r="T73" s="41">
        <f>A27</f>
        <v>6</v>
      </c>
      <c r="V73" s="132" t="s">
        <v>67</v>
      </c>
      <c r="Y73" s="3"/>
      <c r="Z73" s="1"/>
      <c r="AA73" s="3"/>
      <c r="AB73" s="3"/>
      <c r="AC73" s="219"/>
      <c r="AD73" s="7"/>
      <c r="AE73" s="3"/>
      <c r="AF73" s="3"/>
      <c r="AG73" s="175"/>
      <c r="AH73" s="4"/>
      <c r="AI73" s="3"/>
      <c r="AJ73" s="3"/>
      <c r="AK73" s="175"/>
      <c r="AL73" s="6"/>
      <c r="AM73" s="3"/>
      <c r="AN73" s="3"/>
      <c r="AO73" s="3"/>
      <c r="AP73" s="3"/>
      <c r="AQ73" s="175"/>
    </row>
    <row r="74" spans="3:43" x14ac:dyDescent="0.3">
      <c r="C74" s="42"/>
      <c r="F74" s="123"/>
      <c r="H74" s="123"/>
      <c r="I74" s="123"/>
      <c r="J74" s="213"/>
      <c r="K74" s="213"/>
      <c r="L74" s="123"/>
      <c r="M74" s="123"/>
      <c r="N74" s="123"/>
      <c r="O74" s="123"/>
      <c r="P74" s="123"/>
      <c r="Q74" s="123"/>
      <c r="R74" s="123"/>
      <c r="T74" s="41">
        <f>A28</f>
        <v>7</v>
      </c>
      <c r="V74" s="42" t="s">
        <v>384</v>
      </c>
      <c r="Y74" s="3"/>
      <c r="Z74" s="1"/>
      <c r="AA74" s="3">
        <f>H28</f>
        <v>12132774</v>
      </c>
      <c r="AB74" s="3"/>
      <c r="AC74" s="217">
        <f>INPUT!C158</f>
        <v>6.9150000000000001E-3</v>
      </c>
      <c r="AD74" s="7"/>
      <c r="AE74" s="3">
        <f>ROUND((AA74*AC74),0)</f>
        <v>83898</v>
      </c>
      <c r="AF74" s="3"/>
      <c r="AG74" s="175">
        <f>ROUND((AE74/AE$85)*100,1)</f>
        <v>15.6</v>
      </c>
      <c r="AH74" s="4"/>
      <c r="AI74" s="3">
        <f>L28-AE74</f>
        <v>41955</v>
      </c>
      <c r="AJ74" s="3"/>
      <c r="AK74" s="181">
        <f>IF(AE74=0,"0.0 ",ROUND((AI74/AE74)*100,1))</f>
        <v>50</v>
      </c>
      <c r="AL74" s="6"/>
      <c r="AM74" s="3"/>
      <c r="AN74" s="3"/>
      <c r="AO74" s="3">
        <f>AE74+AM74</f>
        <v>83898</v>
      </c>
      <c r="AP74" s="3"/>
      <c r="AQ74" s="181">
        <f>IF(AO74=0,"0.0 ",ROUND((AI74/AO74)*100,1))</f>
        <v>50</v>
      </c>
    </row>
    <row r="75" spans="3:43" x14ac:dyDescent="0.3">
      <c r="C75" s="42"/>
      <c r="F75" s="123"/>
      <c r="H75" s="184"/>
      <c r="I75" s="184"/>
      <c r="J75" s="238"/>
      <c r="K75" s="238"/>
      <c r="L75" s="123"/>
      <c r="M75" s="123"/>
      <c r="N75" s="160"/>
      <c r="O75" s="160"/>
      <c r="P75" s="123"/>
      <c r="Q75" s="123"/>
      <c r="R75" s="123"/>
      <c r="T75" s="41">
        <f>A29</f>
        <v>8</v>
      </c>
      <c r="V75" s="42" t="s">
        <v>373</v>
      </c>
      <c r="Y75" s="3"/>
      <c r="Z75" s="1"/>
      <c r="AA75" s="3">
        <f>H29</f>
        <v>12132774</v>
      </c>
      <c r="AB75" s="3"/>
      <c r="AC75" s="205">
        <f>INPUT!C162</f>
        <v>3.4157E-2</v>
      </c>
      <c r="AD75" s="204"/>
      <c r="AE75" s="3">
        <f>ROUND((AA75*AC75),0)</f>
        <v>414419</v>
      </c>
      <c r="AF75" s="3"/>
      <c r="AG75" s="175">
        <f>ROUND((AE75/AE$85)*100,1)</f>
        <v>76.900000000000006</v>
      </c>
      <c r="AH75" s="4"/>
      <c r="AI75" s="3">
        <f>L29-AE75</f>
        <v>0</v>
      </c>
      <c r="AJ75" s="3"/>
      <c r="AK75" s="181">
        <f>IF(AE75=0,"0.0 ",ROUND((AI75/AE75)*100,1))</f>
        <v>0</v>
      </c>
      <c r="AL75" s="6"/>
      <c r="AM75" s="123">
        <v>0</v>
      </c>
      <c r="AN75" s="3"/>
      <c r="AO75" s="3">
        <f>AE75+AM75</f>
        <v>414419</v>
      </c>
      <c r="AP75" s="3"/>
      <c r="AQ75" s="181">
        <f>IF(AO75=0,"0.0 ",ROUND((AI75/AO75)*100,1))</f>
        <v>0</v>
      </c>
    </row>
    <row r="76" spans="3:43" ht="20.100000000000001" customHeight="1" x14ac:dyDescent="0.3">
      <c r="C76" s="42"/>
      <c r="F76" s="123"/>
      <c r="H76" s="123"/>
      <c r="I76" s="123"/>
      <c r="J76" s="219"/>
      <c r="K76" s="219"/>
      <c r="L76" s="123"/>
      <c r="M76" s="123"/>
      <c r="N76" s="160"/>
      <c r="O76" s="160"/>
      <c r="P76" s="123"/>
      <c r="Q76" s="123"/>
      <c r="R76" s="123"/>
      <c r="T76" s="41">
        <f>A30</f>
        <v>9</v>
      </c>
      <c r="V76" s="132" t="s">
        <v>143</v>
      </c>
      <c r="Y76" s="49"/>
      <c r="Z76" s="1"/>
      <c r="AA76" s="145">
        <f>H30</f>
        <v>12132774</v>
      </c>
      <c r="AB76" s="3"/>
      <c r="AC76" s="257"/>
      <c r="AD76" s="183"/>
      <c r="AE76" s="145">
        <f>SUM(AE74:AE75)</f>
        <v>498317</v>
      </c>
      <c r="AF76" s="3"/>
      <c r="AG76" s="180">
        <f>ROUND((AE76/AE$85)*100,1)</f>
        <v>92.5</v>
      </c>
      <c r="AH76" s="4"/>
      <c r="AI76" s="145">
        <f>SUM(AI74:AI75)</f>
        <v>41955</v>
      </c>
      <c r="AJ76" s="3"/>
      <c r="AK76" s="224">
        <f>IF(AE76=0,"0.0 ",ROUND((AI76/AE76)*100,1))</f>
        <v>8.4</v>
      </c>
      <c r="AL76" s="4"/>
      <c r="AM76" s="145">
        <f>AM75</f>
        <v>0</v>
      </c>
      <c r="AN76" s="3"/>
      <c r="AO76" s="145">
        <f>SUM(AO74:AO75)</f>
        <v>498317</v>
      </c>
      <c r="AP76" s="3"/>
      <c r="AQ76" s="181">
        <f>IF(AO76=0,"0.0 ",ROUND((AI76/AO76)*100,1))</f>
        <v>8.4</v>
      </c>
    </row>
    <row r="77" spans="3:43" ht="20.100000000000001" customHeight="1" x14ac:dyDescent="0.3">
      <c r="C77" s="42"/>
      <c r="F77" s="123"/>
      <c r="H77" s="123"/>
      <c r="I77" s="123"/>
      <c r="J77" s="219"/>
      <c r="K77" s="219"/>
      <c r="L77" s="123"/>
      <c r="M77" s="123"/>
      <c r="N77" s="160"/>
      <c r="O77" s="160"/>
      <c r="P77" s="123"/>
      <c r="Q77" s="123"/>
      <c r="R77" s="123"/>
      <c r="T77" s="41">
        <f>A31</f>
        <v>10</v>
      </c>
      <c r="V77" s="178" t="s">
        <v>463</v>
      </c>
      <c r="Y77" s="145">
        <f>Y70</f>
        <v>24</v>
      </c>
      <c r="Z77" s="1"/>
      <c r="AA77" s="145">
        <f>AA76</f>
        <v>12132774</v>
      </c>
      <c r="AB77" s="3"/>
      <c r="AC77" s="257"/>
      <c r="AD77" s="183"/>
      <c r="AE77" s="145">
        <f>AE76+AE71</f>
        <v>502709</v>
      </c>
      <c r="AF77" s="3"/>
      <c r="AG77" s="180">
        <f>ROUND((AE77/AE$85)*100,1)</f>
        <v>93.3</v>
      </c>
      <c r="AH77" s="4"/>
      <c r="AI77" s="145">
        <f>AI76+AI71</f>
        <v>41955</v>
      </c>
      <c r="AJ77" s="3"/>
      <c r="AK77" s="224">
        <f>IF(AE77=0,"0.0 ",ROUND((AI77/AE77)*100,1))</f>
        <v>8.3000000000000007</v>
      </c>
      <c r="AL77" s="4"/>
      <c r="AM77" s="145">
        <f>AM76+AM71</f>
        <v>0</v>
      </c>
      <c r="AN77" s="3"/>
      <c r="AO77" s="145">
        <f>AO76+AO71</f>
        <v>502709</v>
      </c>
      <c r="AP77" s="3"/>
      <c r="AQ77" s="181">
        <f>IF(AO77=0,"0.0 ",ROUND((AI77/AO77)*100,1))</f>
        <v>8.3000000000000007</v>
      </c>
    </row>
    <row r="78" spans="3:43" ht="15.75" customHeight="1" x14ac:dyDescent="0.3">
      <c r="C78" s="42"/>
      <c r="F78" s="123"/>
      <c r="H78" s="123"/>
      <c r="I78" s="123"/>
      <c r="J78" s="219"/>
      <c r="K78" s="219"/>
      <c r="L78" s="123"/>
      <c r="M78" s="123"/>
      <c r="N78" s="160"/>
      <c r="O78" s="160"/>
      <c r="P78" s="123"/>
      <c r="Q78" s="123"/>
      <c r="R78" s="123"/>
      <c r="V78" s="42"/>
      <c r="Y78" s="3"/>
      <c r="Z78" s="1"/>
      <c r="AA78" s="3"/>
      <c r="AB78" s="3"/>
      <c r="AC78" s="257"/>
      <c r="AD78" s="183"/>
      <c r="AE78" s="3"/>
      <c r="AF78" s="3"/>
      <c r="AG78" s="175"/>
      <c r="AH78" s="4"/>
      <c r="AI78" s="3"/>
      <c r="AJ78" s="3"/>
      <c r="AK78" s="181"/>
      <c r="AL78" s="4"/>
      <c r="AM78" s="3"/>
      <c r="AN78" s="3"/>
      <c r="AO78" s="3"/>
      <c r="AP78" s="3"/>
      <c r="AQ78" s="181"/>
    </row>
    <row r="79" spans="3:43" ht="15.75" customHeight="1" x14ac:dyDescent="0.3">
      <c r="C79" s="42"/>
      <c r="F79" s="123"/>
      <c r="H79" s="123"/>
      <c r="I79" s="123"/>
      <c r="J79" s="219"/>
      <c r="K79" s="219"/>
      <c r="L79" s="123"/>
      <c r="M79" s="123"/>
      <c r="N79" s="160"/>
      <c r="O79" s="160"/>
      <c r="P79" s="123"/>
      <c r="Q79" s="123"/>
      <c r="R79" s="123"/>
      <c r="T79" s="41">
        <f>A33</f>
        <v>11</v>
      </c>
      <c r="V79" s="132" t="s">
        <v>432</v>
      </c>
      <c r="Y79" s="3"/>
      <c r="Z79" s="1"/>
      <c r="AA79" s="3"/>
      <c r="AB79" s="3"/>
      <c r="AC79" s="257"/>
      <c r="AD79" s="183"/>
      <c r="AE79" s="3"/>
      <c r="AF79" s="3"/>
      <c r="AG79" s="175"/>
      <c r="AH79" s="4"/>
      <c r="AI79" s="3"/>
      <c r="AJ79" s="3"/>
      <c r="AK79" s="181"/>
      <c r="AL79" s="4"/>
      <c r="AM79" s="3"/>
      <c r="AN79" s="3"/>
      <c r="AO79" s="3"/>
      <c r="AP79" s="3"/>
      <c r="AQ79" s="181"/>
    </row>
    <row r="80" spans="3:43" ht="15.75" customHeight="1" x14ac:dyDescent="0.3">
      <c r="C80" s="42"/>
      <c r="F80" s="123"/>
      <c r="H80" s="123"/>
      <c r="I80" s="123"/>
      <c r="J80" s="219"/>
      <c r="K80" s="219"/>
      <c r="L80" s="123"/>
      <c r="M80" s="123"/>
      <c r="N80" s="160"/>
      <c r="O80" s="160"/>
      <c r="P80" s="123"/>
      <c r="Q80" s="123"/>
      <c r="R80" s="123"/>
      <c r="T80" s="41">
        <f>A34</f>
        <v>12</v>
      </c>
      <c r="V80" s="192" t="str">
        <f>C34</f>
        <v>DEMAND SIDE MANAGEMENT RIDER (DSMR)</v>
      </c>
      <c r="Y80" s="3"/>
      <c r="Z80" s="1"/>
      <c r="AA80" s="3"/>
      <c r="AB80" s="3"/>
      <c r="AC80" s="205">
        <f>DSM_TRANS</f>
        <v>5.1400000000000003E-4</v>
      </c>
      <c r="AD80" s="183"/>
      <c r="AE80" s="3">
        <f>ROUND($AA$77*AC80,0)</f>
        <v>6236</v>
      </c>
      <c r="AF80" s="3"/>
      <c r="AG80" s="175">
        <f>ROUND((AE80/AE$85)*100,1)</f>
        <v>1.2</v>
      </c>
      <c r="AH80" s="4"/>
      <c r="AI80" s="3">
        <f>L34-AE80</f>
        <v>0</v>
      </c>
      <c r="AJ80" s="3"/>
      <c r="AK80" s="181">
        <f>IF(AE80=0,"0.0 ",ROUND((AI80/AE80)*100,1))</f>
        <v>0</v>
      </c>
      <c r="AL80" s="4"/>
      <c r="AM80" s="3"/>
      <c r="AN80" s="3"/>
      <c r="AO80" s="3">
        <f>AE80+AM80</f>
        <v>6236</v>
      </c>
      <c r="AP80" s="3"/>
      <c r="AQ80" s="181">
        <f>IF(AO80=0,"0.0 ",ROUND((AI80/AO80)*100,1))</f>
        <v>0</v>
      </c>
    </row>
    <row r="81" spans="3:43" ht="15.75" customHeight="1" x14ac:dyDescent="0.3">
      <c r="C81" s="42"/>
      <c r="F81" s="123"/>
      <c r="H81" s="123"/>
      <c r="I81" s="123"/>
      <c r="J81" s="219"/>
      <c r="K81" s="219"/>
      <c r="L81" s="123"/>
      <c r="M81" s="123"/>
      <c r="N81" s="160"/>
      <c r="O81" s="160"/>
      <c r="P81" s="123"/>
      <c r="Q81" s="123"/>
      <c r="R81" s="123"/>
      <c r="T81" s="41">
        <f>A35</f>
        <v>13</v>
      </c>
      <c r="V81" s="192" t="str">
        <f>C35</f>
        <v>ENVIRONMENTAL SURCHARGE MECHANISM RIDER (ESM)</v>
      </c>
      <c r="Y81" s="3"/>
      <c r="Z81" s="1"/>
      <c r="AA81" s="3"/>
      <c r="AB81" s="3"/>
      <c r="AC81" s="201">
        <f>CUR_ESM_NonRes</f>
        <v>6.4941608437496566E-3</v>
      </c>
      <c r="AD81" s="183"/>
      <c r="AE81" s="3">
        <f>ROUND(AO71*AC81,0)</f>
        <v>29</v>
      </c>
      <c r="AF81" s="3"/>
      <c r="AG81" s="175">
        <f>ROUND((AE81/AE$85)*100,1)</f>
        <v>0</v>
      </c>
      <c r="AH81" s="4"/>
      <c r="AI81" s="3">
        <f>L35-AE81</f>
        <v>963</v>
      </c>
      <c r="AJ81" s="3"/>
      <c r="AK81" s="181">
        <f>IF(AE81=0,"0.0 ",ROUND((AI81/AE81)*100,1))</f>
        <v>3320.7</v>
      </c>
      <c r="AL81" s="4"/>
      <c r="AM81" s="3"/>
      <c r="AN81" s="3"/>
      <c r="AO81" s="3">
        <f>AE81+AM81</f>
        <v>29</v>
      </c>
      <c r="AP81" s="3"/>
      <c r="AQ81" s="181">
        <f>IF(AO81=0,"0.0 ",ROUND((AI81/AO81)*100,1))</f>
        <v>3320.7</v>
      </c>
    </row>
    <row r="82" spans="3:43" ht="15.75" customHeight="1" x14ac:dyDescent="0.3">
      <c r="C82" s="42"/>
      <c r="F82" s="123"/>
      <c r="H82" s="123"/>
      <c r="I82" s="123"/>
      <c r="J82" s="219"/>
      <c r="K82" s="219"/>
      <c r="L82" s="123"/>
      <c r="M82" s="123"/>
      <c r="N82" s="160"/>
      <c r="O82" s="160"/>
      <c r="P82" s="123"/>
      <c r="Q82" s="123"/>
      <c r="R82" s="123"/>
      <c r="T82" s="41">
        <f>A36</f>
        <v>14</v>
      </c>
      <c r="V82" s="192" t="str">
        <f>C36</f>
        <v>PROFIT SHARING MECHANISM (PSM)</v>
      </c>
      <c r="Y82" s="3"/>
      <c r="Z82" s="1"/>
      <c r="AA82" s="3"/>
      <c r="AB82" s="3"/>
      <c r="AC82" s="205">
        <f>RS_PSM</f>
        <v>2.4750000000000002E-3</v>
      </c>
      <c r="AD82" s="183"/>
      <c r="AE82" s="49">
        <f>ROUND(AA77*RS_PSM,0)</f>
        <v>30029</v>
      </c>
      <c r="AF82" s="3"/>
      <c r="AG82" s="177">
        <f>ROUND((AE82/AE$85)*100,1)</f>
        <v>5.6</v>
      </c>
      <c r="AH82" s="4"/>
      <c r="AI82" s="49">
        <f>L36-AE82</f>
        <v>0</v>
      </c>
      <c r="AJ82" s="3"/>
      <c r="AK82" s="223">
        <f>IF(AE82=0,"0.0 ",ROUND((AI82/AE82)*100,1))</f>
        <v>0</v>
      </c>
      <c r="AL82" s="4"/>
      <c r="AM82" s="3"/>
      <c r="AN82" s="3"/>
      <c r="AO82" s="3">
        <f>AE82+AM82</f>
        <v>30029</v>
      </c>
      <c r="AP82" s="3"/>
      <c r="AQ82" s="181">
        <f>IF(AO82=0,"0.0 ",ROUND((AI82/AO82)*100,1))</f>
        <v>0</v>
      </c>
    </row>
    <row r="83" spans="3:43" ht="20.100000000000001" customHeight="1" x14ac:dyDescent="0.3">
      <c r="C83" s="42"/>
      <c r="F83" s="123"/>
      <c r="H83" s="123"/>
      <c r="I83" s="123"/>
      <c r="J83" s="219"/>
      <c r="K83" s="219"/>
      <c r="L83" s="123"/>
      <c r="M83" s="123"/>
      <c r="N83" s="160"/>
      <c r="O83" s="160"/>
      <c r="P83" s="123"/>
      <c r="Q83" s="123"/>
      <c r="R83" s="123"/>
      <c r="T83" s="41">
        <f>A37</f>
        <v>15</v>
      </c>
      <c r="V83" s="132" t="s">
        <v>437</v>
      </c>
      <c r="Y83" s="49"/>
      <c r="Z83" s="1"/>
      <c r="AA83" s="49"/>
      <c r="AB83" s="3"/>
      <c r="AC83" s="183"/>
      <c r="AD83" s="183"/>
      <c r="AE83" s="145">
        <f>SUM(AE80:AE82)</f>
        <v>36294</v>
      </c>
      <c r="AF83" s="3"/>
      <c r="AG83" s="180">
        <f>ROUND((AE83/AE$85)*100,1)</f>
        <v>6.7</v>
      </c>
      <c r="AH83" s="4"/>
      <c r="AI83" s="145">
        <f>SUM(AI80:AI82)</f>
        <v>963</v>
      </c>
      <c r="AJ83" s="3"/>
      <c r="AK83" s="224">
        <f>IF(AE83=0,"0.0 ",ROUND((AI83/AE83)*100,1))</f>
        <v>2.7</v>
      </c>
      <c r="AL83" s="4"/>
      <c r="AM83" s="145">
        <f>SUM(AM80:AM82)</f>
        <v>0</v>
      </c>
      <c r="AN83" s="3"/>
      <c r="AO83" s="145">
        <f>SUM(AO80:AO82)</f>
        <v>36294</v>
      </c>
      <c r="AP83" s="3"/>
      <c r="AQ83" s="181">
        <f>IF(AO83=0,"0.0 ",ROUND((AI83/AO83)*100,1))</f>
        <v>2.7</v>
      </c>
    </row>
    <row r="84" spans="3:43" ht="15.75" customHeight="1" x14ac:dyDescent="0.3">
      <c r="C84" s="42"/>
      <c r="F84" s="123"/>
      <c r="H84" s="123"/>
      <c r="I84" s="123"/>
      <c r="J84" s="219"/>
      <c r="K84" s="219"/>
      <c r="L84" s="123"/>
      <c r="M84" s="123"/>
      <c r="N84" s="160"/>
      <c r="O84" s="160"/>
      <c r="P84" s="123"/>
      <c r="Q84" s="123"/>
      <c r="R84" s="123"/>
      <c r="V84" s="132"/>
      <c r="Y84" s="3"/>
      <c r="Z84" s="1"/>
      <c r="AA84" s="3"/>
      <c r="AB84" s="3"/>
      <c r="AC84" s="183"/>
      <c r="AD84" s="183"/>
      <c r="AE84" s="3"/>
      <c r="AF84" s="3"/>
      <c r="AG84" s="175"/>
      <c r="AH84" s="4"/>
      <c r="AI84" s="3"/>
      <c r="AJ84" s="3"/>
      <c r="AK84" s="181"/>
      <c r="AL84" s="4"/>
      <c r="AM84" s="3"/>
      <c r="AN84" s="3"/>
      <c r="AO84" s="3"/>
      <c r="AP84" s="3"/>
      <c r="AQ84" s="181"/>
    </row>
    <row r="85" spans="3:43" ht="20.100000000000001" customHeight="1" thickBot="1" x14ac:dyDescent="0.35">
      <c r="F85" s="123"/>
      <c r="H85" s="210"/>
      <c r="I85" s="210"/>
      <c r="J85" s="213"/>
      <c r="K85" s="213"/>
      <c r="L85" s="210"/>
      <c r="M85" s="210"/>
      <c r="N85" s="210"/>
      <c r="O85" s="210"/>
      <c r="P85" s="210"/>
      <c r="Q85" s="210"/>
      <c r="R85" s="210"/>
      <c r="T85" s="41">
        <f>A39</f>
        <v>16</v>
      </c>
      <c r="V85" s="178" t="s">
        <v>464</v>
      </c>
      <c r="Y85" s="151">
        <f>Y77</f>
        <v>24</v>
      </c>
      <c r="Z85" s="1"/>
      <c r="AA85" s="151">
        <f>AA77</f>
        <v>12132774</v>
      </c>
      <c r="AB85" s="3"/>
      <c r="AC85" s="1"/>
      <c r="AD85" s="1"/>
      <c r="AE85" s="151">
        <f>AE83+AE77</f>
        <v>539003</v>
      </c>
      <c r="AF85" s="3"/>
      <c r="AG85" s="187">
        <v>100</v>
      </c>
      <c r="AH85" s="4"/>
      <c r="AI85" s="151">
        <f>AI83+AI77</f>
        <v>42918</v>
      </c>
      <c r="AJ85" s="3"/>
      <c r="AK85" s="232">
        <f>IF(AE85=0,"0.0 ",ROUND((AI85/AE85)*100,1))</f>
        <v>8</v>
      </c>
      <c r="AL85" s="4"/>
      <c r="AM85" s="151">
        <f>AM83+AM77</f>
        <v>0</v>
      </c>
      <c r="AN85" s="159"/>
      <c r="AO85" s="151">
        <f>AO83+AO77</f>
        <v>539003</v>
      </c>
      <c r="AP85" s="3"/>
      <c r="AQ85" s="181">
        <f>IF(AO85=0,"0.0 ",ROUND((AI85/AO85)*100,1))</f>
        <v>8</v>
      </c>
    </row>
    <row r="86" spans="3:43" ht="16.2" thickTop="1" x14ac:dyDescent="0.3">
      <c r="F86" s="123"/>
      <c r="H86" s="210"/>
      <c r="I86" s="210"/>
      <c r="J86" s="213"/>
      <c r="K86" s="213"/>
      <c r="L86" s="210"/>
      <c r="M86" s="210"/>
      <c r="N86" s="210"/>
      <c r="O86" s="210"/>
      <c r="P86" s="210"/>
      <c r="Q86" s="210"/>
      <c r="R86" s="210"/>
      <c r="Y86" s="1"/>
      <c r="Z86" s="1"/>
      <c r="AA86" s="1"/>
      <c r="AB86" s="1"/>
      <c r="AC86" s="1"/>
      <c r="AD86" s="1"/>
      <c r="AE86" s="1"/>
      <c r="AF86" s="1"/>
      <c r="AG86" s="175"/>
      <c r="AH86" s="1"/>
      <c r="AI86" s="1"/>
      <c r="AJ86" s="1"/>
      <c r="AK86" s="175"/>
      <c r="AL86" s="1"/>
      <c r="AM86" s="1"/>
      <c r="AN86" s="1"/>
      <c r="AO86" s="1"/>
      <c r="AP86" s="1"/>
      <c r="AQ86" s="175"/>
    </row>
    <row r="87" spans="3:43" x14ac:dyDescent="0.3">
      <c r="C87" s="42"/>
      <c r="F87" s="123"/>
      <c r="H87" s="123"/>
      <c r="I87" s="123"/>
      <c r="J87" s="213"/>
      <c r="K87" s="213"/>
      <c r="L87" s="123"/>
      <c r="M87" s="123"/>
      <c r="N87" s="123"/>
      <c r="O87" s="123"/>
      <c r="P87" s="123"/>
      <c r="Q87" s="123"/>
      <c r="R87" s="123"/>
      <c r="V87" s="202" t="s">
        <v>59</v>
      </c>
      <c r="AE87" s="123"/>
      <c r="AF87" s="123"/>
      <c r="AH87" s="123"/>
      <c r="AM87" s="123"/>
      <c r="AN87" s="123"/>
      <c r="AO87" s="123"/>
      <c r="AP87" s="123"/>
    </row>
    <row r="88" spans="3:43" x14ac:dyDescent="0.3">
      <c r="C88" s="42"/>
      <c r="F88" s="123"/>
      <c r="H88" s="184"/>
      <c r="I88" s="184"/>
      <c r="J88" s="238"/>
      <c r="K88" s="238"/>
      <c r="L88" s="123"/>
      <c r="M88" s="123"/>
      <c r="N88" s="160"/>
      <c r="O88" s="160"/>
      <c r="P88" s="123"/>
      <c r="Q88" s="123"/>
      <c r="R88" s="123"/>
      <c r="T88" s="42"/>
      <c r="V88" s="42"/>
    </row>
    <row r="89" spans="3:43" x14ac:dyDescent="0.3">
      <c r="C89" s="42"/>
      <c r="H89" s="184"/>
      <c r="I89" s="184"/>
      <c r="J89" s="238"/>
      <c r="K89" s="238"/>
      <c r="L89" s="123"/>
      <c r="M89" s="123"/>
      <c r="N89" s="160"/>
      <c r="O89" s="160"/>
      <c r="P89" s="123"/>
      <c r="Q89" s="123"/>
      <c r="R89" s="123"/>
      <c r="T89" s="42"/>
      <c r="V89" s="184"/>
      <c r="Y89" s="184"/>
      <c r="Z89" s="237"/>
      <c r="AA89" s="123"/>
      <c r="AB89" s="123"/>
      <c r="AC89" s="160"/>
      <c r="AD89" s="160"/>
      <c r="AE89" s="123"/>
      <c r="AF89" s="123"/>
      <c r="AH89" s="160"/>
      <c r="AI89" s="123"/>
      <c r="AJ89" s="123"/>
      <c r="AL89" s="123"/>
      <c r="AM89" s="160"/>
      <c r="AN89" s="160"/>
    </row>
    <row r="90" spans="3:43" x14ac:dyDescent="0.3">
      <c r="F90" s="123"/>
      <c r="H90" s="123"/>
      <c r="I90" s="123"/>
      <c r="J90" s="213"/>
      <c r="K90" s="213"/>
      <c r="L90" s="210"/>
      <c r="M90" s="210"/>
      <c r="N90" s="210"/>
      <c r="O90" s="210"/>
      <c r="P90" s="210"/>
      <c r="Q90" s="210"/>
      <c r="R90" s="210"/>
      <c r="T90" s="42"/>
      <c r="V90" s="184"/>
      <c r="Y90" s="123"/>
      <c r="Z90" s="193"/>
      <c r="AA90" s="123"/>
      <c r="AB90" s="123"/>
      <c r="AC90" s="160"/>
      <c r="AD90" s="160"/>
      <c r="AE90" s="123"/>
      <c r="AF90" s="123"/>
      <c r="AH90" s="236"/>
      <c r="AI90" s="123"/>
      <c r="AJ90" s="123"/>
      <c r="AL90" s="123"/>
      <c r="AM90" s="160"/>
      <c r="AN90" s="160"/>
    </row>
    <row r="91" spans="3:43" x14ac:dyDescent="0.3">
      <c r="C91" s="42"/>
      <c r="F91" s="123"/>
      <c r="H91" s="123"/>
      <c r="I91" s="123"/>
      <c r="J91" s="219"/>
      <c r="K91" s="219"/>
      <c r="L91" s="123"/>
      <c r="M91" s="123"/>
      <c r="N91" s="160"/>
      <c r="O91" s="160"/>
      <c r="P91" s="123"/>
      <c r="Q91" s="123"/>
      <c r="R91" s="123"/>
      <c r="T91" s="42"/>
      <c r="V91" s="184"/>
      <c r="Y91" s="123"/>
      <c r="Z91" s="193"/>
      <c r="AA91" s="123"/>
      <c r="AB91" s="123"/>
      <c r="AC91" s="160"/>
      <c r="AD91" s="160"/>
      <c r="AE91" s="123"/>
      <c r="AF91" s="123"/>
      <c r="AH91" s="236"/>
      <c r="AI91" s="123"/>
      <c r="AJ91" s="123"/>
      <c r="AL91" s="123"/>
      <c r="AM91" s="160"/>
      <c r="AN91" s="160"/>
    </row>
    <row r="92" spans="3:43" x14ac:dyDescent="0.3">
      <c r="F92" s="123"/>
      <c r="H92" s="123"/>
      <c r="I92" s="123"/>
      <c r="J92" s="213"/>
      <c r="K92" s="213"/>
      <c r="L92" s="210"/>
      <c r="M92" s="210"/>
      <c r="N92" s="210"/>
      <c r="O92" s="210"/>
      <c r="P92" s="210"/>
      <c r="Q92" s="210"/>
      <c r="R92" s="210"/>
      <c r="V92" s="123"/>
      <c r="Y92" s="210"/>
      <c r="Z92" s="213"/>
      <c r="AA92" s="210"/>
      <c r="AB92" s="210"/>
      <c r="AC92" s="210"/>
      <c r="AD92" s="210"/>
      <c r="AE92" s="210"/>
      <c r="AF92" s="210"/>
      <c r="AI92" s="210"/>
      <c r="AJ92" s="210"/>
      <c r="AK92" s="214"/>
      <c r="AL92" s="210"/>
      <c r="AM92" s="160"/>
      <c r="AN92" s="160"/>
    </row>
    <row r="93" spans="3:43" x14ac:dyDescent="0.3">
      <c r="C93" s="42"/>
      <c r="F93" s="123"/>
      <c r="H93" s="123"/>
      <c r="I93" s="123"/>
      <c r="J93" s="219"/>
      <c r="K93" s="219"/>
      <c r="L93" s="123"/>
      <c r="M93" s="123"/>
      <c r="N93" s="160"/>
      <c r="O93" s="160"/>
      <c r="P93" s="123"/>
      <c r="Q93" s="123"/>
      <c r="R93" s="123"/>
      <c r="T93" s="42"/>
      <c r="V93" s="123"/>
      <c r="Y93" s="123"/>
      <c r="Z93" s="213"/>
      <c r="AA93" s="123"/>
      <c r="AB93" s="123"/>
      <c r="AC93" s="160"/>
      <c r="AD93" s="160"/>
      <c r="AE93" s="123"/>
      <c r="AF93" s="123"/>
      <c r="AH93" s="236"/>
      <c r="AI93" s="123"/>
      <c r="AJ93" s="123"/>
      <c r="AL93" s="123"/>
      <c r="AM93" s="160"/>
      <c r="AN93" s="160"/>
    </row>
    <row r="94" spans="3:43" x14ac:dyDescent="0.3">
      <c r="C94" s="42"/>
      <c r="F94" s="184"/>
      <c r="H94" s="184"/>
      <c r="I94" s="184"/>
      <c r="J94" s="227"/>
      <c r="K94" s="227"/>
      <c r="L94" s="123"/>
      <c r="M94" s="123"/>
      <c r="N94" s="160"/>
      <c r="O94" s="160"/>
      <c r="P94" s="123"/>
      <c r="Q94" s="123"/>
      <c r="R94" s="123"/>
      <c r="V94" s="123"/>
      <c r="Y94" s="210"/>
      <c r="Z94" s="213"/>
      <c r="AA94" s="210"/>
      <c r="AB94" s="210"/>
      <c r="AC94" s="210"/>
      <c r="AD94" s="210"/>
      <c r="AE94" s="210"/>
      <c r="AF94" s="210"/>
      <c r="AI94" s="210"/>
      <c r="AJ94" s="210"/>
      <c r="AK94" s="214"/>
      <c r="AL94" s="210"/>
      <c r="AM94" s="160"/>
      <c r="AN94" s="160"/>
    </row>
    <row r="95" spans="3:43" x14ac:dyDescent="0.3">
      <c r="F95" s="210"/>
      <c r="H95" s="210"/>
      <c r="I95" s="210"/>
      <c r="J95" s="213"/>
      <c r="K95" s="213"/>
      <c r="L95" s="210"/>
      <c r="M95" s="210"/>
      <c r="N95" s="210"/>
      <c r="O95" s="210"/>
      <c r="P95" s="210"/>
      <c r="Q95" s="210"/>
      <c r="R95" s="210"/>
      <c r="T95" s="42"/>
      <c r="V95" s="123"/>
      <c r="Y95" s="123"/>
      <c r="Z95" s="213"/>
      <c r="AA95" s="123"/>
      <c r="AB95" s="123"/>
      <c r="AC95" s="123"/>
      <c r="AD95" s="123"/>
      <c r="AE95" s="123"/>
      <c r="AF95" s="123"/>
      <c r="AH95" s="236"/>
      <c r="AI95" s="123"/>
      <c r="AJ95" s="123"/>
      <c r="AL95" s="123"/>
      <c r="AM95" s="160"/>
      <c r="AN95" s="160"/>
    </row>
    <row r="96" spans="3:43" x14ac:dyDescent="0.3">
      <c r="C96" s="42"/>
      <c r="F96" s="123"/>
      <c r="H96" s="123"/>
      <c r="I96" s="123"/>
      <c r="J96" s="213"/>
      <c r="K96" s="213"/>
      <c r="L96" s="123"/>
      <c r="M96" s="123"/>
      <c r="N96" s="160"/>
      <c r="O96" s="160"/>
      <c r="P96" s="123"/>
      <c r="Q96" s="123"/>
      <c r="R96" s="123"/>
      <c r="S96" s="123"/>
      <c r="T96" s="42"/>
      <c r="V96" s="123"/>
      <c r="Y96" s="123"/>
      <c r="Z96" s="238"/>
      <c r="AA96" s="123"/>
      <c r="AB96" s="123"/>
      <c r="AC96" s="160"/>
      <c r="AD96" s="160"/>
      <c r="AE96" s="123"/>
      <c r="AF96" s="123"/>
      <c r="AH96" s="236"/>
      <c r="AI96" s="123"/>
      <c r="AJ96" s="123"/>
      <c r="AL96" s="123"/>
      <c r="AM96" s="160"/>
      <c r="AN96" s="160"/>
    </row>
    <row r="97" spans="1:40" x14ac:dyDescent="0.3">
      <c r="F97" s="210"/>
      <c r="H97" s="210"/>
      <c r="I97" s="210"/>
      <c r="J97" s="213"/>
      <c r="K97" s="213"/>
      <c r="L97" s="210"/>
      <c r="M97" s="210"/>
      <c r="N97" s="210"/>
      <c r="O97" s="210"/>
      <c r="P97" s="210"/>
      <c r="Q97" s="210"/>
      <c r="R97" s="210"/>
      <c r="S97" s="123"/>
      <c r="T97" s="42"/>
      <c r="Y97" s="123"/>
      <c r="Z97" s="238"/>
      <c r="AA97" s="123"/>
      <c r="AB97" s="123"/>
      <c r="AC97" s="160"/>
      <c r="AD97" s="160"/>
      <c r="AE97" s="123"/>
      <c r="AF97" s="123"/>
      <c r="AH97" s="236"/>
      <c r="AI97" s="123"/>
      <c r="AJ97" s="123"/>
      <c r="AL97" s="123"/>
      <c r="AM97" s="160"/>
      <c r="AN97" s="160"/>
    </row>
    <row r="98" spans="1:40" x14ac:dyDescent="0.3">
      <c r="C98" s="42"/>
      <c r="V98" s="123"/>
      <c r="Y98" s="123"/>
      <c r="Z98" s="213"/>
      <c r="AA98" s="210"/>
      <c r="AB98" s="210"/>
      <c r="AC98" s="210"/>
      <c r="AD98" s="210"/>
      <c r="AE98" s="210"/>
      <c r="AF98" s="210"/>
      <c r="AI98" s="210"/>
      <c r="AJ98" s="210"/>
      <c r="AK98" s="214"/>
      <c r="AL98" s="210"/>
      <c r="AM98" s="160"/>
      <c r="AN98" s="160"/>
    </row>
    <row r="99" spans="1:40" x14ac:dyDescent="0.3">
      <c r="C99" s="42"/>
      <c r="F99" s="123"/>
      <c r="H99" s="123"/>
      <c r="I99" s="123"/>
      <c r="L99" s="123"/>
      <c r="M99" s="123"/>
      <c r="N99" s="160"/>
      <c r="O99" s="160"/>
      <c r="P99" s="184"/>
      <c r="Q99" s="184"/>
      <c r="R99" s="123"/>
      <c r="T99" s="42"/>
      <c r="V99" s="123"/>
      <c r="Y99" s="123"/>
      <c r="Z99" s="219"/>
      <c r="AA99" s="123"/>
      <c r="AB99" s="123"/>
      <c r="AC99" s="160"/>
      <c r="AD99" s="160"/>
      <c r="AE99" s="123"/>
      <c r="AF99" s="123"/>
      <c r="AH99" s="236"/>
      <c r="AI99" s="123"/>
      <c r="AJ99" s="123"/>
      <c r="AL99" s="123"/>
      <c r="AM99" s="160"/>
      <c r="AN99" s="160"/>
    </row>
    <row r="100" spans="1:40" x14ac:dyDescent="0.3">
      <c r="F100" s="210"/>
      <c r="H100" s="210"/>
      <c r="I100" s="210"/>
      <c r="J100" s="213"/>
      <c r="K100" s="213"/>
      <c r="L100" s="210"/>
      <c r="M100" s="210"/>
      <c r="N100" s="210"/>
      <c r="O100" s="210"/>
      <c r="P100" s="210"/>
      <c r="Q100" s="210"/>
      <c r="R100" s="210"/>
      <c r="V100" s="123"/>
      <c r="Y100" s="123"/>
      <c r="Z100" s="213"/>
      <c r="AA100" s="210"/>
      <c r="AB100" s="210"/>
      <c r="AC100" s="210"/>
      <c r="AD100" s="210"/>
      <c r="AE100" s="210"/>
      <c r="AF100" s="210"/>
      <c r="AI100" s="210"/>
      <c r="AJ100" s="210"/>
      <c r="AK100" s="214"/>
      <c r="AL100" s="210"/>
      <c r="AM100" s="160"/>
      <c r="AN100" s="160"/>
    </row>
    <row r="101" spans="1:40" x14ac:dyDescent="0.3">
      <c r="T101" s="42"/>
      <c r="V101" s="123"/>
      <c r="Y101" s="123"/>
      <c r="Z101" s="219"/>
      <c r="AA101" s="123"/>
      <c r="AB101" s="123"/>
      <c r="AC101" s="160"/>
      <c r="AD101" s="160"/>
      <c r="AE101" s="123"/>
      <c r="AF101" s="123"/>
      <c r="AH101" s="236"/>
      <c r="AI101" s="123"/>
      <c r="AJ101" s="123"/>
      <c r="AL101" s="123"/>
      <c r="AM101" s="160"/>
      <c r="AN101" s="160"/>
    </row>
    <row r="102" spans="1:40" x14ac:dyDescent="0.3">
      <c r="C102" s="42"/>
      <c r="L102" s="123"/>
      <c r="M102" s="123"/>
      <c r="N102" s="123"/>
      <c r="O102" s="123"/>
      <c r="P102" s="123"/>
      <c r="Q102" s="123"/>
      <c r="R102" s="123"/>
      <c r="S102" s="123"/>
      <c r="T102" s="42"/>
      <c r="V102" s="184"/>
      <c r="Y102" s="123"/>
      <c r="Z102" s="227"/>
      <c r="AA102" s="123"/>
      <c r="AB102" s="123"/>
      <c r="AC102" s="160"/>
      <c r="AD102" s="160"/>
      <c r="AE102" s="123"/>
      <c r="AF102" s="123"/>
      <c r="AH102" s="236"/>
      <c r="AI102" s="123"/>
      <c r="AJ102" s="123"/>
      <c r="AL102" s="123"/>
      <c r="AM102" s="160"/>
      <c r="AN102" s="160"/>
    </row>
    <row r="103" spans="1:40" x14ac:dyDescent="0.3">
      <c r="A103" s="42"/>
      <c r="V103" s="210"/>
      <c r="Y103" s="210"/>
      <c r="Z103" s="213"/>
      <c r="AA103" s="210"/>
      <c r="AB103" s="210"/>
      <c r="AC103" s="210"/>
      <c r="AD103" s="210"/>
      <c r="AE103" s="210"/>
      <c r="AF103" s="210"/>
      <c r="AI103" s="210"/>
      <c r="AJ103" s="210"/>
      <c r="AK103" s="214"/>
      <c r="AL103" s="210"/>
      <c r="AM103" s="160"/>
      <c r="AN103" s="160"/>
    </row>
    <row r="104" spans="1:40" x14ac:dyDescent="0.3">
      <c r="T104" s="42"/>
      <c r="V104" s="123"/>
      <c r="Y104" s="123"/>
      <c r="Z104" s="213"/>
      <c r="AA104" s="123"/>
      <c r="AB104" s="123"/>
      <c r="AC104" s="160"/>
      <c r="AD104" s="160"/>
      <c r="AE104" s="123"/>
      <c r="AF104" s="123"/>
      <c r="AH104" s="160"/>
      <c r="AI104" s="123"/>
      <c r="AJ104" s="123"/>
      <c r="AL104" s="123"/>
      <c r="AM104" s="160"/>
      <c r="AN104" s="160"/>
    </row>
    <row r="105" spans="1:40" x14ac:dyDescent="0.3">
      <c r="H105" s="42"/>
      <c r="I105" s="42"/>
      <c r="V105" s="210"/>
      <c r="Y105" s="210"/>
      <c r="Z105" s="213"/>
      <c r="AA105" s="210"/>
      <c r="AB105" s="210"/>
      <c r="AC105" s="210"/>
      <c r="AD105" s="210"/>
      <c r="AE105" s="210"/>
      <c r="AF105" s="210"/>
      <c r="AI105" s="210"/>
      <c r="AJ105" s="210"/>
      <c r="AK105" s="214"/>
      <c r="AL105" s="210"/>
      <c r="AM105" s="160"/>
      <c r="AN105" s="160"/>
    </row>
    <row r="106" spans="1:40" x14ac:dyDescent="0.3">
      <c r="T106" s="42"/>
    </row>
    <row r="107" spans="1:40" x14ac:dyDescent="0.3">
      <c r="L107" s="42"/>
      <c r="M107" s="42"/>
      <c r="AA107" s="42"/>
      <c r="AB107" s="42"/>
    </row>
    <row r="108" spans="1:40" x14ac:dyDescent="0.3">
      <c r="R108" s="42"/>
      <c r="AK108" s="206"/>
      <c r="AL108" s="42"/>
    </row>
    <row r="109" spans="1:40" x14ac:dyDescent="0.3">
      <c r="R109" s="42"/>
      <c r="AK109" s="206"/>
      <c r="AL109" s="42"/>
    </row>
    <row r="110" spans="1:40" x14ac:dyDescent="0.3">
      <c r="A110" s="42"/>
      <c r="R110" s="42"/>
      <c r="AK110" s="206"/>
      <c r="AL110" s="42"/>
    </row>
    <row r="111" spans="1:40" x14ac:dyDescent="0.3">
      <c r="L111" s="42"/>
      <c r="M111" s="42"/>
      <c r="AA111" s="42"/>
      <c r="AB111" s="42"/>
    </row>
    <row r="112" spans="1:40" x14ac:dyDescent="0.3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207"/>
      <c r="AH112" s="135"/>
      <c r="AI112" s="135"/>
      <c r="AJ112" s="135"/>
      <c r="AK112" s="207"/>
      <c r="AL112" s="135"/>
      <c r="AM112" s="135"/>
      <c r="AN112" s="135"/>
    </row>
    <row r="113" spans="1:40" x14ac:dyDescent="0.3">
      <c r="L113" s="44"/>
      <c r="M113" s="44"/>
      <c r="N113" s="44"/>
      <c r="O113" s="44"/>
      <c r="R113" s="44"/>
      <c r="AA113" s="44"/>
      <c r="AB113" s="44"/>
      <c r="AC113" s="44"/>
      <c r="AD113" s="44"/>
      <c r="AE113" s="44"/>
      <c r="AF113" s="44"/>
      <c r="AG113" s="168"/>
      <c r="AH113" s="44"/>
      <c r="AK113" s="168"/>
      <c r="AL113" s="44"/>
      <c r="AM113" s="44"/>
      <c r="AN113" s="44"/>
    </row>
    <row r="114" spans="1:40" x14ac:dyDescent="0.3">
      <c r="L114" s="44"/>
      <c r="M114" s="44"/>
      <c r="N114" s="44"/>
      <c r="O114" s="44"/>
      <c r="R114" s="44"/>
      <c r="Z114" s="44"/>
      <c r="AA114" s="44"/>
      <c r="AB114" s="44"/>
      <c r="AC114" s="44"/>
      <c r="AD114" s="44"/>
      <c r="AE114" s="44"/>
      <c r="AF114" s="44"/>
      <c r="AG114" s="168"/>
      <c r="AH114" s="44"/>
      <c r="AK114" s="168"/>
      <c r="AL114" s="44"/>
      <c r="AM114" s="44"/>
      <c r="AN114" s="44"/>
    </row>
    <row r="115" spans="1:40" x14ac:dyDescent="0.3">
      <c r="A115" s="44"/>
      <c r="C115" s="44"/>
      <c r="D115" s="44"/>
      <c r="E115" s="44"/>
      <c r="F115" s="44"/>
      <c r="J115" s="44"/>
      <c r="K115" s="44"/>
      <c r="L115" s="44"/>
      <c r="M115" s="44"/>
      <c r="N115" s="44"/>
      <c r="O115" s="44"/>
      <c r="P115" s="44"/>
      <c r="Q115" s="44"/>
      <c r="R115" s="44"/>
      <c r="T115" s="44"/>
      <c r="U115" s="44"/>
      <c r="V115" s="44"/>
      <c r="Z115" s="44"/>
      <c r="AA115" s="44"/>
      <c r="AB115" s="44"/>
      <c r="AC115" s="44"/>
      <c r="AD115" s="44"/>
      <c r="AE115" s="44"/>
      <c r="AF115" s="44"/>
      <c r="AG115" s="168"/>
      <c r="AH115" s="44"/>
      <c r="AI115" s="44"/>
      <c r="AJ115" s="44"/>
      <c r="AK115" s="168"/>
      <c r="AL115" s="44"/>
      <c r="AM115" s="44"/>
      <c r="AN115" s="44"/>
    </row>
    <row r="116" spans="1:40" x14ac:dyDescent="0.3">
      <c r="A116" s="44"/>
      <c r="C116" s="44"/>
      <c r="D116" s="44"/>
      <c r="E116" s="44"/>
      <c r="F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T116" s="44"/>
      <c r="U116" s="44"/>
      <c r="V116" s="44"/>
      <c r="Y116" s="44"/>
      <c r="Z116" s="44"/>
      <c r="AA116" s="44"/>
      <c r="AB116" s="44"/>
      <c r="AC116" s="44"/>
      <c r="AD116" s="44"/>
      <c r="AE116" s="44"/>
      <c r="AF116" s="44"/>
      <c r="AG116" s="168"/>
      <c r="AH116" s="44"/>
      <c r="AI116" s="44"/>
      <c r="AJ116" s="44"/>
      <c r="AK116" s="168"/>
      <c r="AL116" s="44"/>
      <c r="AM116" s="44"/>
      <c r="AN116" s="44"/>
    </row>
    <row r="117" spans="1:40" x14ac:dyDescent="0.3">
      <c r="C117" s="44"/>
      <c r="D117" s="44"/>
      <c r="E117" s="44"/>
      <c r="F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T117" s="44"/>
      <c r="U117" s="44"/>
      <c r="V117" s="44"/>
      <c r="Y117" s="44"/>
      <c r="Z117" s="44"/>
      <c r="AA117" s="44"/>
      <c r="AB117" s="44"/>
      <c r="AC117" s="44"/>
      <c r="AD117" s="44"/>
      <c r="AE117" s="44"/>
      <c r="AF117" s="44"/>
      <c r="AG117" s="168"/>
      <c r="AH117" s="44"/>
      <c r="AI117" s="44"/>
      <c r="AJ117" s="44"/>
      <c r="AK117" s="168"/>
      <c r="AL117" s="44"/>
      <c r="AM117" s="44"/>
      <c r="AN117" s="44"/>
    </row>
    <row r="118" spans="1:40" x14ac:dyDescent="0.3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207"/>
      <c r="AH118" s="135"/>
      <c r="AI118" s="135"/>
      <c r="AJ118" s="135"/>
      <c r="AK118" s="207"/>
      <c r="AL118" s="135"/>
      <c r="AM118" s="135"/>
      <c r="AN118" s="135"/>
    </row>
    <row r="119" spans="1:40" x14ac:dyDescent="0.3"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Y119" s="44"/>
      <c r="Z119" s="44"/>
      <c r="AA119" s="44"/>
      <c r="AB119" s="44"/>
      <c r="AC119" s="44"/>
      <c r="AD119" s="44"/>
      <c r="AE119" s="44"/>
      <c r="AF119" s="44"/>
      <c r="AG119" s="168"/>
      <c r="AH119" s="44"/>
      <c r="AI119" s="44"/>
      <c r="AJ119" s="44"/>
      <c r="AK119" s="168"/>
      <c r="AL119" s="44"/>
      <c r="AM119" s="44"/>
      <c r="AN119" s="44"/>
    </row>
    <row r="120" spans="1:40" x14ac:dyDescent="0.3">
      <c r="C120" s="42"/>
      <c r="D120" s="42"/>
      <c r="E120" s="42"/>
      <c r="T120" s="42"/>
      <c r="U120" s="42"/>
    </row>
    <row r="121" spans="1:40" x14ac:dyDescent="0.3">
      <c r="D121" s="42"/>
      <c r="E121" s="42"/>
      <c r="U121" s="42"/>
    </row>
    <row r="123" spans="1:40" x14ac:dyDescent="0.3">
      <c r="C123" s="42"/>
      <c r="F123" s="184"/>
      <c r="H123" s="184"/>
      <c r="I123" s="184"/>
      <c r="J123" s="193"/>
      <c r="K123" s="193"/>
      <c r="L123" s="123"/>
      <c r="M123" s="123"/>
      <c r="N123" s="160"/>
      <c r="O123" s="160"/>
      <c r="R123" s="123"/>
      <c r="T123" s="42"/>
      <c r="V123" s="123"/>
      <c r="Y123" s="184"/>
      <c r="Z123" s="193"/>
      <c r="AA123" s="123"/>
      <c r="AB123" s="123"/>
      <c r="AC123" s="160"/>
      <c r="AD123" s="160"/>
      <c r="AE123" s="123"/>
      <c r="AF123" s="123"/>
      <c r="AG123" s="233"/>
      <c r="AH123" s="234"/>
      <c r="AL123" s="123"/>
      <c r="AM123" s="235"/>
      <c r="AN123" s="235"/>
    </row>
    <row r="124" spans="1:40" x14ac:dyDescent="0.3">
      <c r="C124" s="42"/>
      <c r="F124" s="184"/>
      <c r="H124" s="184"/>
      <c r="I124" s="184"/>
      <c r="J124" s="193"/>
      <c r="K124" s="193"/>
      <c r="L124" s="123"/>
      <c r="M124" s="123"/>
      <c r="N124" s="160"/>
      <c r="O124" s="160"/>
      <c r="R124" s="123"/>
      <c r="T124" s="42"/>
      <c r="V124" s="123"/>
      <c r="Y124" s="184"/>
      <c r="Z124" s="193"/>
      <c r="AA124" s="123"/>
      <c r="AB124" s="123"/>
      <c r="AC124" s="160"/>
      <c r="AD124" s="160"/>
      <c r="AE124" s="123"/>
      <c r="AF124" s="123"/>
      <c r="AH124" s="236"/>
      <c r="AL124" s="123"/>
      <c r="AM124" s="160"/>
      <c r="AN124" s="160"/>
    </row>
    <row r="125" spans="1:40" x14ac:dyDescent="0.3">
      <c r="F125" s="210"/>
      <c r="H125" s="123"/>
      <c r="I125" s="123"/>
      <c r="J125" s="213"/>
      <c r="K125" s="213"/>
      <c r="L125" s="210"/>
      <c r="M125" s="210"/>
      <c r="N125" s="210"/>
      <c r="O125" s="210"/>
      <c r="P125" s="210"/>
      <c r="Q125" s="210"/>
      <c r="R125" s="210"/>
      <c r="V125" s="210"/>
      <c r="Y125" s="123"/>
      <c r="Z125" s="213"/>
      <c r="AA125" s="210"/>
      <c r="AB125" s="210"/>
      <c r="AC125" s="210"/>
      <c r="AD125" s="210"/>
      <c r="AE125" s="210"/>
      <c r="AF125" s="210"/>
      <c r="AI125" s="210"/>
      <c r="AJ125" s="210"/>
      <c r="AK125" s="214"/>
      <c r="AL125" s="210"/>
      <c r="AM125" s="160"/>
      <c r="AN125" s="160"/>
    </row>
    <row r="126" spans="1:40" x14ac:dyDescent="0.3">
      <c r="C126" s="42"/>
      <c r="F126" s="123"/>
      <c r="H126" s="123"/>
      <c r="I126" s="123"/>
      <c r="J126" s="213"/>
      <c r="K126" s="213"/>
      <c r="L126" s="123"/>
      <c r="M126" s="123"/>
      <c r="N126" s="160"/>
      <c r="O126" s="160"/>
      <c r="P126" s="123"/>
      <c r="Q126" s="123"/>
      <c r="R126" s="123"/>
      <c r="T126" s="42"/>
      <c r="V126" s="123"/>
      <c r="Y126" s="123"/>
      <c r="Z126" s="219"/>
      <c r="AA126" s="123"/>
      <c r="AB126" s="123"/>
      <c r="AC126" s="160"/>
      <c r="AD126" s="160"/>
      <c r="AE126" s="123"/>
      <c r="AF126" s="123"/>
      <c r="AH126" s="236"/>
      <c r="AI126" s="123"/>
      <c r="AJ126" s="123"/>
      <c r="AL126" s="123"/>
      <c r="AM126" s="160"/>
      <c r="AN126" s="160"/>
    </row>
    <row r="127" spans="1:40" x14ac:dyDescent="0.3">
      <c r="F127" s="210"/>
      <c r="H127" s="123"/>
      <c r="I127" s="123"/>
      <c r="J127" s="213"/>
      <c r="K127" s="213"/>
      <c r="L127" s="210"/>
      <c r="M127" s="210"/>
      <c r="N127" s="210"/>
      <c r="O127" s="210"/>
      <c r="P127" s="210"/>
      <c r="Q127" s="210"/>
      <c r="R127" s="210"/>
      <c r="V127" s="210"/>
      <c r="Y127" s="123"/>
      <c r="Z127" s="213"/>
      <c r="AA127" s="210"/>
      <c r="AB127" s="210"/>
      <c r="AC127" s="210"/>
      <c r="AD127" s="210"/>
      <c r="AE127" s="210"/>
      <c r="AF127" s="210"/>
      <c r="AI127" s="210"/>
      <c r="AJ127" s="210"/>
      <c r="AK127" s="214"/>
      <c r="AL127" s="210"/>
      <c r="AM127" s="160"/>
      <c r="AN127" s="160"/>
    </row>
    <row r="128" spans="1:40" x14ac:dyDescent="0.3">
      <c r="F128" s="123"/>
      <c r="H128" s="123"/>
      <c r="I128" s="123"/>
      <c r="J128" s="213"/>
      <c r="K128" s="213"/>
      <c r="L128" s="123"/>
      <c r="M128" s="123"/>
      <c r="N128" s="160"/>
      <c r="O128" s="160"/>
      <c r="P128" s="123"/>
      <c r="Q128" s="123"/>
      <c r="R128" s="123"/>
      <c r="V128" s="123"/>
      <c r="Y128" s="123"/>
      <c r="Z128" s="219"/>
      <c r="AA128" s="123"/>
      <c r="AB128" s="123"/>
      <c r="AC128" s="160"/>
      <c r="AD128" s="160"/>
      <c r="AE128" s="123"/>
      <c r="AF128" s="123"/>
      <c r="AH128" s="236"/>
      <c r="AI128" s="123"/>
      <c r="AJ128" s="123"/>
      <c r="AL128" s="123"/>
      <c r="AM128" s="160"/>
      <c r="AN128" s="160"/>
    </row>
    <row r="129" spans="3:40" x14ac:dyDescent="0.3">
      <c r="C129" s="42"/>
      <c r="F129" s="184"/>
      <c r="H129" s="184"/>
      <c r="I129" s="184"/>
      <c r="J129" s="193"/>
      <c r="K129" s="193"/>
      <c r="L129" s="123"/>
      <c r="M129" s="123"/>
      <c r="N129" s="160"/>
      <c r="O129" s="160"/>
      <c r="P129" s="123"/>
      <c r="Q129" s="123"/>
      <c r="R129" s="123"/>
      <c r="T129" s="42"/>
      <c r="V129" s="184"/>
      <c r="Y129" s="123"/>
      <c r="Z129" s="193"/>
      <c r="AA129" s="123"/>
      <c r="AB129" s="123"/>
      <c r="AC129" s="160"/>
      <c r="AD129" s="160"/>
      <c r="AE129" s="123"/>
      <c r="AF129" s="123"/>
      <c r="AG129" s="233"/>
      <c r="AH129" s="234"/>
      <c r="AI129" s="123"/>
      <c r="AJ129" s="123"/>
      <c r="AL129" s="123"/>
      <c r="AM129" s="235"/>
      <c r="AN129" s="235"/>
    </row>
    <row r="130" spans="3:40" x14ac:dyDescent="0.3">
      <c r="C130" s="42"/>
      <c r="F130" s="184"/>
      <c r="H130" s="184"/>
      <c r="I130" s="184"/>
      <c r="J130" s="193"/>
      <c r="K130" s="193"/>
      <c r="L130" s="123"/>
      <c r="M130" s="123"/>
      <c r="N130" s="160"/>
      <c r="O130" s="160"/>
      <c r="P130" s="123"/>
      <c r="Q130" s="123"/>
      <c r="R130" s="123"/>
      <c r="T130" s="42"/>
      <c r="V130" s="184"/>
      <c r="Y130" s="123"/>
      <c r="Z130" s="193"/>
      <c r="AA130" s="123"/>
      <c r="AB130" s="123"/>
      <c r="AC130" s="160"/>
      <c r="AD130" s="160"/>
      <c r="AE130" s="123"/>
      <c r="AF130" s="123"/>
      <c r="AH130" s="236"/>
      <c r="AI130" s="123"/>
      <c r="AJ130" s="123"/>
      <c r="AL130" s="123"/>
      <c r="AM130" s="160"/>
      <c r="AN130" s="160"/>
    </row>
    <row r="131" spans="3:40" x14ac:dyDescent="0.3">
      <c r="F131" s="123"/>
      <c r="H131" s="210"/>
      <c r="I131" s="210"/>
      <c r="J131" s="213"/>
      <c r="K131" s="213"/>
      <c r="L131" s="210"/>
      <c r="M131" s="210"/>
      <c r="N131" s="210"/>
      <c r="O131" s="210"/>
      <c r="P131" s="210"/>
      <c r="Q131" s="210"/>
      <c r="R131" s="210"/>
      <c r="V131" s="123"/>
      <c r="Y131" s="210"/>
      <c r="Z131" s="213"/>
      <c r="AA131" s="210"/>
      <c r="AB131" s="210"/>
      <c r="AC131" s="210"/>
      <c r="AD131" s="210"/>
      <c r="AE131" s="210"/>
      <c r="AF131" s="210"/>
      <c r="AI131" s="210"/>
      <c r="AJ131" s="210"/>
      <c r="AK131" s="214"/>
      <c r="AL131" s="210"/>
      <c r="AM131" s="160"/>
      <c r="AN131" s="160"/>
    </row>
    <row r="132" spans="3:40" x14ac:dyDescent="0.3">
      <c r="C132" s="42"/>
      <c r="F132" s="123"/>
      <c r="H132" s="123"/>
      <c r="I132" s="123"/>
      <c r="J132" s="213"/>
      <c r="K132" s="213"/>
      <c r="L132" s="123"/>
      <c r="M132" s="123"/>
      <c r="N132" s="160"/>
      <c r="O132" s="160"/>
      <c r="P132" s="123"/>
      <c r="Q132" s="123"/>
      <c r="R132" s="123"/>
      <c r="T132" s="42"/>
      <c r="V132" s="123"/>
      <c r="Y132" s="123"/>
      <c r="Z132" s="213"/>
      <c r="AA132" s="123"/>
      <c r="AB132" s="123"/>
      <c r="AC132" s="160"/>
      <c r="AD132" s="160"/>
      <c r="AE132" s="123"/>
      <c r="AF132" s="123"/>
      <c r="AH132" s="236"/>
      <c r="AI132" s="123"/>
      <c r="AJ132" s="123"/>
      <c r="AL132" s="123"/>
      <c r="AM132" s="160"/>
      <c r="AN132" s="160"/>
    </row>
    <row r="133" spans="3:40" x14ac:dyDescent="0.3">
      <c r="F133" s="123"/>
      <c r="H133" s="210"/>
      <c r="I133" s="210"/>
      <c r="J133" s="213"/>
      <c r="K133" s="213"/>
      <c r="L133" s="210"/>
      <c r="M133" s="210"/>
      <c r="N133" s="210"/>
      <c r="O133" s="210"/>
      <c r="P133" s="210"/>
      <c r="Q133" s="210"/>
      <c r="R133" s="210"/>
      <c r="V133" s="123"/>
      <c r="Y133" s="210"/>
      <c r="Z133" s="213"/>
      <c r="AA133" s="210"/>
      <c r="AB133" s="210"/>
      <c r="AC133" s="210"/>
      <c r="AD133" s="210"/>
      <c r="AE133" s="210"/>
      <c r="AF133" s="210"/>
      <c r="AI133" s="210"/>
      <c r="AJ133" s="210"/>
      <c r="AK133" s="214"/>
      <c r="AL133" s="210"/>
      <c r="AM133" s="160"/>
      <c r="AN133" s="160"/>
    </row>
    <row r="134" spans="3:40" x14ac:dyDescent="0.3">
      <c r="F134" s="123"/>
      <c r="H134" s="123"/>
      <c r="I134" s="123"/>
      <c r="J134" s="213"/>
      <c r="K134" s="213"/>
      <c r="L134" s="123"/>
      <c r="M134" s="123"/>
      <c r="N134" s="123"/>
      <c r="O134" s="123"/>
      <c r="P134" s="123"/>
      <c r="Q134" s="123"/>
      <c r="R134" s="123"/>
      <c r="V134" s="123"/>
      <c r="Y134" s="123"/>
      <c r="Z134" s="213"/>
      <c r="AA134" s="123"/>
      <c r="AB134" s="123"/>
      <c r="AC134" s="123"/>
      <c r="AD134" s="123"/>
      <c r="AE134" s="123"/>
      <c r="AF134" s="123"/>
      <c r="AH134" s="236"/>
      <c r="AI134" s="123"/>
      <c r="AJ134" s="123"/>
      <c r="AL134" s="123"/>
      <c r="AM134" s="160"/>
      <c r="AN134" s="160"/>
    </row>
    <row r="135" spans="3:40" x14ac:dyDescent="0.3">
      <c r="C135" s="42"/>
      <c r="F135" s="184"/>
      <c r="H135" s="184"/>
      <c r="I135" s="184"/>
      <c r="J135" s="227"/>
      <c r="K135" s="227"/>
      <c r="L135" s="123"/>
      <c r="M135" s="123"/>
      <c r="N135" s="160"/>
      <c r="O135" s="160"/>
      <c r="P135" s="184"/>
      <c r="Q135" s="184"/>
      <c r="R135" s="123"/>
      <c r="T135" s="42"/>
      <c r="V135" s="184"/>
      <c r="Y135" s="184"/>
      <c r="Z135" s="237"/>
      <c r="AA135" s="123"/>
      <c r="AB135" s="123"/>
      <c r="AC135" s="160"/>
      <c r="AD135" s="160"/>
      <c r="AE135" s="123"/>
      <c r="AF135" s="123"/>
      <c r="AH135" s="236"/>
      <c r="AI135" s="184"/>
      <c r="AJ135" s="184"/>
      <c r="AL135" s="123"/>
      <c r="AM135" s="160"/>
      <c r="AN135" s="160"/>
    </row>
    <row r="136" spans="3:40" x14ac:dyDescent="0.3">
      <c r="C136" s="42"/>
      <c r="F136" s="184"/>
      <c r="H136" s="184"/>
      <c r="I136" s="184"/>
      <c r="J136" s="227"/>
      <c r="K136" s="227"/>
      <c r="L136" s="123"/>
      <c r="M136" s="123"/>
      <c r="N136" s="160"/>
      <c r="O136" s="160"/>
      <c r="P136" s="184"/>
      <c r="Q136" s="184"/>
      <c r="R136" s="123"/>
      <c r="T136" s="42"/>
      <c r="V136" s="184"/>
      <c r="Y136" s="123"/>
      <c r="Z136" s="212"/>
      <c r="AA136" s="123"/>
      <c r="AB136" s="123"/>
      <c r="AC136" s="160"/>
      <c r="AD136" s="160"/>
      <c r="AE136" s="123"/>
      <c r="AF136" s="123"/>
      <c r="AH136" s="236"/>
      <c r="AI136" s="184"/>
      <c r="AJ136" s="184"/>
      <c r="AL136" s="123"/>
      <c r="AM136" s="160"/>
      <c r="AN136" s="160"/>
    </row>
    <row r="137" spans="3:40" x14ac:dyDescent="0.3">
      <c r="C137" s="42"/>
      <c r="F137" s="184"/>
      <c r="H137" s="184"/>
      <c r="I137" s="184"/>
      <c r="J137" s="227"/>
      <c r="K137" s="227"/>
      <c r="L137" s="123"/>
      <c r="M137" s="123"/>
      <c r="N137" s="160"/>
      <c r="O137" s="160"/>
      <c r="P137" s="184"/>
      <c r="Q137" s="184"/>
      <c r="R137" s="123"/>
      <c r="T137" s="42"/>
      <c r="V137" s="184"/>
      <c r="Y137" s="123"/>
      <c r="Z137" s="212"/>
      <c r="AA137" s="123"/>
      <c r="AB137" s="123"/>
      <c r="AC137" s="160"/>
      <c r="AD137" s="160"/>
      <c r="AE137" s="123"/>
      <c r="AF137" s="123"/>
      <c r="AH137" s="236"/>
      <c r="AI137" s="184"/>
      <c r="AJ137" s="184"/>
      <c r="AL137" s="123"/>
      <c r="AM137" s="160"/>
      <c r="AN137" s="160"/>
    </row>
    <row r="138" spans="3:40" x14ac:dyDescent="0.3">
      <c r="F138" s="210"/>
      <c r="H138" s="210"/>
      <c r="I138" s="210"/>
      <c r="J138" s="213"/>
      <c r="K138" s="213"/>
      <c r="L138" s="210"/>
      <c r="M138" s="210"/>
      <c r="N138" s="210"/>
      <c r="O138" s="210"/>
      <c r="P138" s="210"/>
      <c r="Q138" s="210"/>
      <c r="R138" s="210"/>
      <c r="V138" s="210"/>
      <c r="Y138" s="210"/>
      <c r="Z138" s="213"/>
      <c r="AA138" s="210"/>
      <c r="AB138" s="210"/>
      <c r="AC138" s="210"/>
      <c r="AD138" s="210"/>
      <c r="AE138" s="210"/>
      <c r="AF138" s="210"/>
      <c r="AI138" s="210"/>
      <c r="AJ138" s="210"/>
      <c r="AK138" s="214"/>
      <c r="AL138" s="210"/>
      <c r="AM138" s="160"/>
      <c r="AN138" s="160"/>
    </row>
    <row r="139" spans="3:40" x14ac:dyDescent="0.3">
      <c r="C139" s="42"/>
      <c r="F139" s="123"/>
      <c r="H139" s="123"/>
      <c r="I139" s="123"/>
      <c r="J139" s="219"/>
      <c r="K139" s="219"/>
      <c r="L139" s="123"/>
      <c r="M139" s="123"/>
      <c r="N139" s="160"/>
      <c r="O139" s="160"/>
      <c r="P139" s="123"/>
      <c r="Q139" s="123"/>
      <c r="R139" s="123"/>
      <c r="T139" s="42"/>
      <c r="V139" s="123"/>
      <c r="Y139" s="123"/>
      <c r="Z139" s="219"/>
      <c r="AA139" s="123"/>
      <c r="AB139" s="123"/>
      <c r="AC139" s="160"/>
      <c r="AD139" s="160"/>
      <c r="AE139" s="123"/>
      <c r="AF139" s="123"/>
      <c r="AH139" s="236"/>
      <c r="AI139" s="123"/>
      <c r="AJ139" s="123"/>
      <c r="AL139" s="123"/>
      <c r="AM139" s="160"/>
      <c r="AN139" s="160"/>
    </row>
    <row r="140" spans="3:40" x14ac:dyDescent="0.3">
      <c r="F140" s="210"/>
      <c r="H140" s="210"/>
      <c r="I140" s="210"/>
      <c r="J140" s="213"/>
      <c r="K140" s="213"/>
      <c r="L140" s="210"/>
      <c r="M140" s="210"/>
      <c r="N140" s="210"/>
      <c r="O140" s="210"/>
      <c r="P140" s="210"/>
      <c r="Q140" s="210"/>
      <c r="R140" s="210"/>
      <c r="V140" s="210"/>
      <c r="Y140" s="210"/>
      <c r="Z140" s="213"/>
      <c r="AA140" s="210"/>
      <c r="AB140" s="210"/>
      <c r="AC140" s="210"/>
      <c r="AD140" s="210"/>
      <c r="AE140" s="210"/>
      <c r="AF140" s="210"/>
      <c r="AI140" s="210"/>
      <c r="AJ140" s="210"/>
      <c r="AK140" s="214"/>
      <c r="AL140" s="210"/>
      <c r="AM140" s="160"/>
      <c r="AN140" s="160"/>
    </row>
    <row r="141" spans="3:40" x14ac:dyDescent="0.3">
      <c r="C141" s="42"/>
      <c r="F141" s="123"/>
      <c r="H141" s="123"/>
      <c r="I141" s="123"/>
      <c r="J141" s="219"/>
      <c r="K141" s="219"/>
      <c r="L141" s="123"/>
      <c r="M141" s="123"/>
      <c r="N141" s="160"/>
      <c r="O141" s="160"/>
      <c r="P141" s="123"/>
      <c r="Q141" s="123"/>
      <c r="R141" s="123"/>
      <c r="T141" s="42"/>
      <c r="V141" s="123"/>
      <c r="Y141" s="123"/>
      <c r="Z141" s="219"/>
      <c r="AA141" s="123"/>
      <c r="AB141" s="123"/>
      <c r="AC141" s="160"/>
      <c r="AD141" s="160"/>
      <c r="AE141" s="123"/>
      <c r="AF141" s="123"/>
      <c r="AH141" s="236"/>
      <c r="AI141" s="123"/>
      <c r="AJ141" s="123"/>
      <c r="AL141" s="123"/>
      <c r="AM141" s="160"/>
      <c r="AN141" s="160"/>
    </row>
    <row r="142" spans="3:40" x14ac:dyDescent="0.3">
      <c r="C142" s="42"/>
      <c r="F142" s="123"/>
      <c r="H142" s="123"/>
      <c r="I142" s="123"/>
      <c r="J142" s="219"/>
      <c r="K142" s="219"/>
      <c r="L142" s="123"/>
      <c r="M142" s="123"/>
      <c r="N142" s="160"/>
      <c r="O142" s="160"/>
      <c r="P142" s="123"/>
      <c r="Q142" s="123"/>
      <c r="R142" s="123"/>
      <c r="T142" s="42"/>
      <c r="V142" s="123"/>
      <c r="Y142" s="123"/>
      <c r="Z142" s="219"/>
      <c r="AA142" s="123"/>
      <c r="AB142" s="123"/>
      <c r="AC142" s="160"/>
      <c r="AD142" s="160"/>
      <c r="AE142" s="123"/>
      <c r="AF142" s="123"/>
      <c r="AH142" s="236"/>
      <c r="AI142" s="123"/>
      <c r="AJ142" s="123"/>
      <c r="AL142" s="123"/>
      <c r="AM142" s="160"/>
      <c r="AN142" s="160"/>
    </row>
    <row r="143" spans="3:40" x14ac:dyDescent="0.3">
      <c r="F143" s="210"/>
      <c r="H143" s="210"/>
      <c r="I143" s="210"/>
      <c r="J143" s="213"/>
      <c r="K143" s="213"/>
      <c r="L143" s="210"/>
      <c r="M143" s="210"/>
      <c r="N143" s="210"/>
      <c r="O143" s="210"/>
      <c r="P143" s="210"/>
      <c r="Q143" s="210"/>
      <c r="R143" s="210"/>
      <c r="V143" s="210"/>
      <c r="Y143" s="210"/>
      <c r="Z143" s="213"/>
      <c r="AA143" s="210"/>
      <c r="AB143" s="210"/>
      <c r="AC143" s="210"/>
      <c r="AD143" s="210"/>
      <c r="AE143" s="210"/>
      <c r="AF143" s="210"/>
      <c r="AI143" s="210"/>
      <c r="AJ143" s="210"/>
      <c r="AK143" s="214"/>
      <c r="AL143" s="210"/>
      <c r="AM143" s="123"/>
      <c r="AN143" s="123"/>
    </row>
    <row r="144" spans="3:40" x14ac:dyDescent="0.3">
      <c r="F144" s="123"/>
      <c r="H144" s="123"/>
      <c r="I144" s="123"/>
      <c r="J144" s="219"/>
      <c r="K144" s="219"/>
      <c r="L144" s="123"/>
      <c r="M144" s="123"/>
      <c r="N144" s="123"/>
      <c r="O144" s="123"/>
      <c r="P144" s="123"/>
      <c r="Q144" s="123"/>
      <c r="R144" s="123"/>
      <c r="V144" s="123"/>
      <c r="Y144" s="123"/>
      <c r="Z144" s="219"/>
      <c r="AA144" s="123"/>
      <c r="AB144" s="123"/>
      <c r="AC144" s="123"/>
      <c r="AD144" s="123"/>
    </row>
    <row r="145" spans="1:40" x14ac:dyDescent="0.3">
      <c r="C145" s="42"/>
      <c r="F145" s="123"/>
      <c r="H145" s="123"/>
      <c r="I145" s="123"/>
      <c r="J145" s="219"/>
      <c r="K145" s="219"/>
      <c r="L145" s="123"/>
      <c r="M145" s="123"/>
      <c r="N145" s="123"/>
      <c r="O145" s="123"/>
      <c r="P145" s="123"/>
      <c r="Q145" s="123"/>
      <c r="R145" s="123"/>
      <c r="T145" s="42"/>
      <c r="V145" s="123"/>
      <c r="Y145" s="123"/>
      <c r="Z145" s="219"/>
      <c r="AA145" s="123"/>
      <c r="AB145" s="123"/>
      <c r="AC145" s="123"/>
      <c r="AD145" s="123"/>
    </row>
    <row r="146" spans="1:40" x14ac:dyDescent="0.3">
      <c r="A146" s="42"/>
    </row>
    <row r="148" spans="1:40" x14ac:dyDescent="0.3">
      <c r="H148" s="42"/>
      <c r="I148" s="42"/>
      <c r="Y148" s="42"/>
    </row>
    <row r="150" spans="1:40" x14ac:dyDescent="0.3">
      <c r="L150" s="42"/>
      <c r="M150" s="42"/>
      <c r="AA150" s="42"/>
      <c r="AB150" s="42"/>
    </row>
    <row r="151" spans="1:40" x14ac:dyDescent="0.3">
      <c r="R151" s="42"/>
      <c r="AK151" s="206"/>
      <c r="AL151" s="42"/>
    </row>
    <row r="152" spans="1:40" x14ac:dyDescent="0.3">
      <c r="R152" s="42"/>
      <c r="AK152" s="206"/>
      <c r="AL152" s="42"/>
    </row>
    <row r="153" spans="1:40" x14ac:dyDescent="0.3">
      <c r="A153" s="42"/>
      <c r="R153" s="42"/>
      <c r="AK153" s="206"/>
      <c r="AL153" s="42"/>
    </row>
    <row r="154" spans="1:40" x14ac:dyDescent="0.3">
      <c r="L154" s="42"/>
      <c r="M154" s="42"/>
      <c r="AA154" s="42"/>
      <c r="AB154" s="42"/>
    </row>
    <row r="155" spans="1:40" x14ac:dyDescent="0.3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207"/>
      <c r="AH155" s="135"/>
      <c r="AI155" s="135"/>
      <c r="AJ155" s="135"/>
      <c r="AK155" s="207"/>
      <c r="AL155" s="135"/>
      <c r="AM155" s="135"/>
      <c r="AN155" s="135"/>
    </row>
    <row r="156" spans="1:40" x14ac:dyDescent="0.3">
      <c r="L156" s="44"/>
      <c r="M156" s="44"/>
      <c r="N156" s="44"/>
      <c r="O156" s="44"/>
      <c r="R156" s="44"/>
      <c r="AA156" s="44"/>
      <c r="AB156" s="44"/>
      <c r="AC156" s="44"/>
      <c r="AD156" s="44"/>
      <c r="AE156" s="44"/>
      <c r="AF156" s="44"/>
      <c r="AG156" s="168"/>
      <c r="AH156" s="44"/>
      <c r="AK156" s="168"/>
      <c r="AL156" s="44"/>
      <c r="AM156" s="44"/>
      <c r="AN156" s="44"/>
    </row>
    <row r="157" spans="1:40" x14ac:dyDescent="0.3">
      <c r="L157" s="44"/>
      <c r="M157" s="44"/>
      <c r="N157" s="44"/>
      <c r="O157" s="44"/>
      <c r="R157" s="44"/>
      <c r="Z157" s="44"/>
      <c r="AA157" s="44"/>
      <c r="AB157" s="44"/>
      <c r="AC157" s="44"/>
      <c r="AD157" s="44"/>
      <c r="AE157" s="44"/>
      <c r="AF157" s="44"/>
      <c r="AG157" s="168"/>
      <c r="AH157" s="44"/>
      <c r="AK157" s="168"/>
      <c r="AL157" s="44"/>
      <c r="AM157" s="44"/>
      <c r="AN157" s="44"/>
    </row>
    <row r="158" spans="1:40" x14ac:dyDescent="0.3">
      <c r="A158" s="44"/>
      <c r="C158" s="44"/>
      <c r="D158" s="44"/>
      <c r="E158" s="44"/>
      <c r="F158" s="44"/>
      <c r="J158" s="44"/>
      <c r="K158" s="44"/>
      <c r="L158" s="44"/>
      <c r="M158" s="44"/>
      <c r="N158" s="44"/>
      <c r="O158" s="44"/>
      <c r="P158" s="44"/>
      <c r="Q158" s="44"/>
      <c r="R158" s="44"/>
      <c r="T158" s="44"/>
      <c r="U158" s="44"/>
      <c r="V158" s="44"/>
      <c r="Z158" s="44"/>
      <c r="AA158" s="44"/>
      <c r="AB158" s="44"/>
      <c r="AC158" s="44"/>
      <c r="AD158" s="44"/>
      <c r="AE158" s="44"/>
      <c r="AF158" s="44"/>
      <c r="AG158" s="168"/>
      <c r="AH158" s="44"/>
      <c r="AI158" s="44"/>
      <c r="AJ158" s="44"/>
      <c r="AK158" s="168"/>
      <c r="AL158" s="44"/>
      <c r="AM158" s="44"/>
      <c r="AN158" s="44"/>
    </row>
    <row r="159" spans="1:40" x14ac:dyDescent="0.3">
      <c r="A159" s="44"/>
      <c r="C159" s="44"/>
      <c r="D159" s="44"/>
      <c r="E159" s="44"/>
      <c r="F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T159" s="44"/>
      <c r="U159" s="44"/>
      <c r="V159" s="44"/>
      <c r="Y159" s="44"/>
      <c r="Z159" s="44"/>
      <c r="AA159" s="44"/>
      <c r="AB159" s="44"/>
      <c r="AC159" s="44"/>
      <c r="AD159" s="44"/>
      <c r="AE159" s="44"/>
      <c r="AF159" s="44"/>
      <c r="AG159" s="168"/>
      <c r="AH159" s="44"/>
      <c r="AI159" s="44"/>
      <c r="AJ159" s="44"/>
      <c r="AK159" s="168"/>
      <c r="AL159" s="44"/>
      <c r="AM159" s="44"/>
      <c r="AN159" s="44"/>
    </row>
    <row r="160" spans="1:40" x14ac:dyDescent="0.3">
      <c r="C160" s="44"/>
      <c r="D160" s="44"/>
      <c r="E160" s="44"/>
      <c r="F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T160" s="44"/>
      <c r="U160" s="44"/>
      <c r="V160" s="44"/>
      <c r="Y160" s="44"/>
      <c r="Z160" s="44"/>
      <c r="AA160" s="44"/>
      <c r="AB160" s="44"/>
      <c r="AC160" s="44"/>
      <c r="AD160" s="44"/>
      <c r="AE160" s="44"/>
      <c r="AF160" s="44"/>
      <c r="AG160" s="168"/>
      <c r="AH160" s="44"/>
      <c r="AI160" s="44"/>
      <c r="AJ160" s="44"/>
      <c r="AK160" s="168"/>
      <c r="AL160" s="44"/>
      <c r="AM160" s="44"/>
      <c r="AN160" s="44"/>
    </row>
    <row r="161" spans="1:40" x14ac:dyDescent="0.3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207"/>
      <c r="AH161" s="135"/>
      <c r="AI161" s="135"/>
      <c r="AJ161" s="135"/>
      <c r="AK161" s="207"/>
      <c r="AL161" s="135"/>
      <c r="AM161" s="135"/>
      <c r="AN161" s="135"/>
    </row>
    <row r="162" spans="1:40" x14ac:dyDescent="0.3"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Y162" s="44"/>
      <c r="Z162" s="44"/>
      <c r="AA162" s="44"/>
      <c r="AB162" s="44"/>
      <c r="AC162" s="44"/>
      <c r="AD162" s="44"/>
      <c r="AE162" s="44"/>
      <c r="AF162" s="44"/>
      <c r="AG162" s="168"/>
      <c r="AH162" s="44"/>
      <c r="AI162" s="44"/>
      <c r="AJ162" s="44"/>
      <c r="AK162" s="168"/>
      <c r="AL162" s="44"/>
      <c r="AM162" s="44"/>
      <c r="AN162" s="44"/>
    </row>
    <row r="163" spans="1:40" x14ac:dyDescent="0.3">
      <c r="C163" s="42"/>
      <c r="D163" s="42"/>
      <c r="E163" s="42"/>
      <c r="T163" s="42"/>
      <c r="U163" s="42"/>
    </row>
    <row r="165" spans="1:40" x14ac:dyDescent="0.3">
      <c r="C165" s="42"/>
      <c r="F165" s="184"/>
      <c r="H165" s="222"/>
      <c r="I165" s="222"/>
      <c r="J165" s="193"/>
      <c r="K165" s="193"/>
      <c r="L165" s="123"/>
      <c r="M165" s="123"/>
      <c r="R165" s="123"/>
      <c r="T165" s="42"/>
      <c r="V165" s="123"/>
      <c r="Z165" s="193"/>
      <c r="AA165" s="123"/>
      <c r="AB165" s="123"/>
      <c r="AE165" s="123"/>
      <c r="AF165" s="123"/>
      <c r="AG165" s="233"/>
      <c r="AH165" s="234"/>
      <c r="AI165" s="123"/>
      <c r="AJ165" s="123"/>
      <c r="AL165" s="123"/>
      <c r="AM165" s="235"/>
      <c r="AN165" s="235"/>
    </row>
    <row r="166" spans="1:40" x14ac:dyDescent="0.3">
      <c r="F166" s="184"/>
      <c r="H166" s="222"/>
      <c r="I166" s="222"/>
      <c r="J166" s="222"/>
      <c r="K166" s="222"/>
      <c r="R166" s="123"/>
      <c r="V166" s="123"/>
      <c r="Z166" s="222"/>
    </row>
    <row r="167" spans="1:40" x14ac:dyDescent="0.3">
      <c r="C167" s="42"/>
      <c r="F167" s="184"/>
      <c r="H167" s="184"/>
      <c r="I167" s="184"/>
      <c r="J167" s="227"/>
      <c r="K167" s="227"/>
      <c r="L167" s="123"/>
      <c r="M167" s="123"/>
      <c r="N167" s="160"/>
      <c r="O167" s="160"/>
      <c r="P167" s="184"/>
      <c r="Q167" s="184"/>
      <c r="R167" s="123"/>
      <c r="T167" s="42"/>
      <c r="V167" s="123"/>
      <c r="Y167" s="123"/>
      <c r="Z167" s="212"/>
      <c r="AA167" s="123"/>
      <c r="AB167" s="123"/>
      <c r="AC167" s="160"/>
      <c r="AD167" s="160"/>
      <c r="AE167" s="123"/>
      <c r="AF167" s="123"/>
      <c r="AH167" s="236"/>
      <c r="AI167" s="184"/>
      <c r="AJ167" s="184"/>
      <c r="AL167" s="123"/>
      <c r="AM167" s="160"/>
      <c r="AN167" s="160"/>
    </row>
    <row r="168" spans="1:40" x14ac:dyDescent="0.3">
      <c r="F168" s="210"/>
      <c r="H168" s="210"/>
      <c r="I168" s="210"/>
      <c r="J168" s="213"/>
      <c r="K168" s="213"/>
      <c r="L168" s="210"/>
      <c r="M168" s="210"/>
      <c r="N168" s="210"/>
      <c r="O168" s="210"/>
      <c r="P168" s="210"/>
      <c r="Q168" s="210"/>
      <c r="R168" s="210"/>
      <c r="V168" s="210"/>
      <c r="Y168" s="210"/>
      <c r="Z168" s="213"/>
      <c r="AA168" s="210"/>
      <c r="AB168" s="210"/>
      <c r="AC168" s="210"/>
      <c r="AD168" s="210"/>
      <c r="AE168" s="210"/>
      <c r="AF168" s="210"/>
      <c r="AI168" s="210"/>
      <c r="AJ168" s="210"/>
      <c r="AK168" s="214"/>
      <c r="AL168" s="210"/>
    </row>
    <row r="169" spans="1:40" x14ac:dyDescent="0.3">
      <c r="D169" s="42"/>
      <c r="E169" s="42"/>
      <c r="F169" s="123"/>
      <c r="H169" s="123"/>
      <c r="I169" s="123"/>
      <c r="J169" s="219"/>
      <c r="K169" s="219"/>
      <c r="L169" s="123"/>
      <c r="M169" s="123"/>
      <c r="N169" s="160"/>
      <c r="O169" s="160"/>
      <c r="P169" s="123"/>
      <c r="Q169" s="123"/>
      <c r="R169" s="123"/>
      <c r="U169" s="42"/>
      <c r="V169" s="123"/>
      <c r="Y169" s="123"/>
      <c r="Z169" s="219"/>
      <c r="AA169" s="123"/>
      <c r="AB169" s="123"/>
      <c r="AC169" s="160"/>
      <c r="AD169" s="160"/>
      <c r="AE169" s="123"/>
      <c r="AF169" s="123"/>
      <c r="AH169" s="236"/>
      <c r="AI169" s="123"/>
      <c r="AJ169" s="123"/>
      <c r="AL169" s="123"/>
      <c r="AM169" s="160"/>
      <c r="AN169" s="160"/>
    </row>
    <row r="170" spans="1:40" x14ac:dyDescent="0.3">
      <c r="F170" s="210"/>
      <c r="H170" s="210"/>
      <c r="I170" s="210"/>
      <c r="J170" s="213"/>
      <c r="K170" s="213"/>
      <c r="L170" s="210"/>
      <c r="M170" s="210"/>
      <c r="N170" s="210"/>
      <c r="O170" s="210"/>
      <c r="P170" s="210"/>
      <c r="Q170" s="210"/>
      <c r="R170" s="210"/>
      <c r="V170" s="210"/>
      <c r="Y170" s="210"/>
      <c r="Z170" s="213"/>
      <c r="AA170" s="210"/>
      <c r="AB170" s="210"/>
      <c r="AC170" s="210"/>
      <c r="AD170" s="210"/>
      <c r="AE170" s="210"/>
      <c r="AF170" s="210"/>
      <c r="AI170" s="210"/>
      <c r="AJ170" s="210"/>
      <c r="AK170" s="214"/>
      <c r="AL170" s="210"/>
    </row>
    <row r="171" spans="1:40" x14ac:dyDescent="0.3">
      <c r="R171" s="123"/>
    </row>
    <row r="172" spans="1:40" x14ac:dyDescent="0.3">
      <c r="R172" s="123"/>
    </row>
    <row r="173" spans="1:40" x14ac:dyDescent="0.3">
      <c r="R173" s="123"/>
    </row>
    <row r="174" spans="1:40" x14ac:dyDescent="0.3">
      <c r="C174" s="42"/>
      <c r="D174" s="42"/>
      <c r="E174" s="42"/>
      <c r="H174" s="123"/>
      <c r="I174" s="123"/>
      <c r="J174" s="219"/>
      <c r="K174" s="219"/>
      <c r="L174" s="123"/>
      <c r="M174" s="123"/>
      <c r="N174" s="160"/>
      <c r="O174" s="160"/>
      <c r="P174" s="123"/>
      <c r="Q174" s="123"/>
      <c r="R174" s="123"/>
      <c r="T174" s="42"/>
      <c r="U174" s="42"/>
      <c r="Y174" s="123"/>
      <c r="Z174" s="219"/>
      <c r="AA174" s="123"/>
      <c r="AB174" s="123"/>
      <c r="AC174" s="160"/>
      <c r="AD174" s="160"/>
    </row>
    <row r="175" spans="1:40" x14ac:dyDescent="0.3">
      <c r="H175" s="123"/>
      <c r="I175" s="123"/>
      <c r="J175" s="219"/>
      <c r="K175" s="219"/>
      <c r="L175" s="123"/>
      <c r="M175" s="123"/>
      <c r="N175" s="160"/>
      <c r="O175" s="160"/>
      <c r="P175" s="123"/>
      <c r="Q175" s="123"/>
      <c r="R175" s="123"/>
      <c r="Y175" s="123"/>
      <c r="Z175" s="219"/>
      <c r="AA175" s="123"/>
      <c r="AB175" s="123"/>
      <c r="AC175" s="160"/>
      <c r="AD175" s="160"/>
    </row>
    <row r="176" spans="1:40" x14ac:dyDescent="0.3">
      <c r="C176" s="42"/>
      <c r="F176" s="184"/>
      <c r="H176" s="184"/>
      <c r="I176" s="184"/>
      <c r="J176" s="240"/>
      <c r="K176" s="240"/>
      <c r="L176" s="184"/>
      <c r="M176" s="184"/>
      <c r="N176" s="160"/>
      <c r="O176" s="160"/>
      <c r="P176" s="123"/>
      <c r="Q176" s="123"/>
      <c r="R176" s="123"/>
      <c r="T176" s="42"/>
      <c r="V176" s="123"/>
      <c r="Y176" s="123"/>
      <c r="Z176" s="240"/>
      <c r="AA176" s="123"/>
      <c r="AB176" s="123"/>
      <c r="AC176" s="160"/>
      <c r="AD176" s="160"/>
      <c r="AE176" s="123"/>
      <c r="AF176" s="123"/>
      <c r="AH176" s="236"/>
      <c r="AI176" s="123"/>
      <c r="AJ176" s="123"/>
      <c r="AL176" s="123"/>
      <c r="AM176" s="160"/>
      <c r="AN176" s="160"/>
    </row>
    <row r="177" spans="1:40" x14ac:dyDescent="0.3">
      <c r="F177" s="184"/>
      <c r="H177" s="222"/>
      <c r="I177" s="222"/>
      <c r="J177" s="222"/>
      <c r="K177" s="222"/>
      <c r="R177" s="123"/>
      <c r="V177" s="123"/>
      <c r="Z177" s="222"/>
    </row>
    <row r="178" spans="1:40" x14ac:dyDescent="0.3">
      <c r="C178" s="42"/>
      <c r="F178" s="184"/>
      <c r="H178" s="184"/>
      <c r="I178" s="184"/>
      <c r="J178" s="193"/>
      <c r="K178" s="193"/>
      <c r="L178" s="123"/>
      <c r="M178" s="123"/>
      <c r="N178" s="160"/>
      <c r="O178" s="160"/>
      <c r="P178" s="123"/>
      <c r="Q178" s="123"/>
      <c r="R178" s="123"/>
      <c r="T178" s="42"/>
      <c r="V178" s="123"/>
      <c r="Y178" s="123"/>
      <c r="Z178" s="193"/>
      <c r="AA178" s="123"/>
      <c r="AB178" s="123"/>
      <c r="AC178" s="160"/>
      <c r="AD178" s="160"/>
      <c r="AE178" s="123"/>
      <c r="AF178" s="123"/>
      <c r="AH178" s="236"/>
      <c r="AI178" s="123"/>
      <c r="AJ178" s="123"/>
      <c r="AL178" s="123"/>
      <c r="AM178" s="160"/>
      <c r="AN178" s="160"/>
    </row>
    <row r="179" spans="1:40" x14ac:dyDescent="0.3">
      <c r="F179" s="184"/>
      <c r="H179" s="222"/>
      <c r="I179" s="222"/>
      <c r="J179" s="222"/>
      <c r="K179" s="222"/>
      <c r="R179" s="123"/>
      <c r="V179" s="123"/>
      <c r="Z179" s="222"/>
    </row>
    <row r="180" spans="1:40" x14ac:dyDescent="0.3">
      <c r="C180" s="42"/>
      <c r="F180" s="184"/>
      <c r="H180" s="184"/>
      <c r="I180" s="184"/>
      <c r="J180" s="227"/>
      <c r="K180" s="227"/>
      <c r="L180" s="123"/>
      <c r="M180" s="123"/>
      <c r="N180" s="160"/>
      <c r="O180" s="160"/>
      <c r="P180" s="123"/>
      <c r="Q180" s="123"/>
      <c r="R180" s="123"/>
      <c r="T180" s="42"/>
      <c r="V180" s="123"/>
      <c r="Y180" s="123"/>
      <c r="Z180" s="212"/>
      <c r="AA180" s="123"/>
      <c r="AB180" s="123"/>
      <c r="AC180" s="160"/>
      <c r="AD180" s="160"/>
      <c r="AE180" s="123"/>
      <c r="AF180" s="123"/>
      <c r="AH180" s="236"/>
      <c r="AI180" s="123"/>
      <c r="AJ180" s="123"/>
      <c r="AL180" s="123"/>
      <c r="AM180" s="160"/>
      <c r="AN180" s="160"/>
    </row>
    <row r="181" spans="1:40" x14ac:dyDescent="0.3">
      <c r="F181" s="210"/>
      <c r="H181" s="210"/>
      <c r="I181" s="210"/>
      <c r="J181" s="213"/>
      <c r="K181" s="213"/>
      <c r="L181" s="210"/>
      <c r="M181" s="210"/>
      <c r="N181" s="210"/>
      <c r="O181" s="210"/>
      <c r="P181" s="210"/>
      <c r="Q181" s="210"/>
      <c r="R181" s="210"/>
      <c r="S181" s="123"/>
      <c r="V181" s="210"/>
      <c r="Y181" s="210"/>
      <c r="Z181" s="213"/>
      <c r="AA181" s="210"/>
      <c r="AB181" s="210"/>
      <c r="AC181" s="210"/>
      <c r="AD181" s="210"/>
      <c r="AE181" s="210"/>
      <c r="AF181" s="210"/>
      <c r="AI181" s="210"/>
      <c r="AJ181" s="210"/>
      <c r="AK181" s="214"/>
      <c r="AL181" s="210"/>
    </row>
    <row r="182" spans="1:40" x14ac:dyDescent="0.3">
      <c r="D182" s="42"/>
      <c r="E182" s="42"/>
      <c r="F182" s="123"/>
      <c r="H182" s="123"/>
      <c r="I182" s="123"/>
      <c r="J182" s="219"/>
      <c r="K182" s="219"/>
      <c r="L182" s="123"/>
      <c r="M182" s="123"/>
      <c r="N182" s="160"/>
      <c r="O182" s="160"/>
      <c r="P182" s="184"/>
      <c r="Q182" s="184"/>
      <c r="R182" s="123"/>
      <c r="S182" s="123"/>
      <c r="U182" s="42"/>
      <c r="V182" s="123"/>
      <c r="Y182" s="123"/>
      <c r="Z182" s="219"/>
      <c r="AA182" s="123"/>
      <c r="AB182" s="123"/>
      <c r="AC182" s="160"/>
      <c r="AD182" s="160"/>
      <c r="AE182" s="123"/>
      <c r="AF182" s="123"/>
      <c r="AH182" s="236"/>
      <c r="AI182" s="184"/>
      <c r="AJ182" s="184"/>
      <c r="AL182" s="123"/>
      <c r="AM182" s="160"/>
      <c r="AN182" s="160"/>
    </row>
    <row r="183" spans="1:40" x14ac:dyDescent="0.3">
      <c r="F183" s="210"/>
      <c r="H183" s="210"/>
      <c r="I183" s="210"/>
      <c r="J183" s="213"/>
      <c r="K183" s="213"/>
      <c r="L183" s="210"/>
      <c r="M183" s="210"/>
      <c r="N183" s="210"/>
      <c r="O183" s="210"/>
      <c r="P183" s="210"/>
      <c r="Q183" s="210"/>
      <c r="R183" s="210"/>
      <c r="S183" s="123"/>
      <c r="V183" s="210"/>
      <c r="Y183" s="210"/>
      <c r="Z183" s="213"/>
      <c r="AA183" s="210"/>
      <c r="AB183" s="210"/>
      <c r="AC183" s="210"/>
      <c r="AD183" s="210"/>
      <c r="AE183" s="210"/>
      <c r="AF183" s="210"/>
      <c r="AI183" s="210"/>
      <c r="AJ183" s="210"/>
      <c r="AK183" s="214"/>
      <c r="AL183" s="210"/>
    </row>
    <row r="184" spans="1:40" x14ac:dyDescent="0.3">
      <c r="R184" s="123"/>
    </row>
    <row r="185" spans="1:40" x14ac:dyDescent="0.3">
      <c r="F185" s="123"/>
      <c r="H185" s="123"/>
      <c r="I185" s="123"/>
      <c r="J185" s="219"/>
      <c r="K185" s="219"/>
      <c r="L185" s="123"/>
      <c r="M185" s="123"/>
      <c r="N185" s="123"/>
      <c r="O185" s="123"/>
      <c r="P185" s="123"/>
      <c r="Q185" s="123"/>
      <c r="R185" s="123"/>
      <c r="V185" s="123"/>
      <c r="Y185" s="123"/>
      <c r="Z185" s="219"/>
      <c r="AA185" s="123"/>
      <c r="AB185" s="123"/>
      <c r="AC185" s="123"/>
      <c r="AD185" s="123"/>
    </row>
    <row r="186" spans="1:40" x14ac:dyDescent="0.3">
      <c r="C186" s="42"/>
      <c r="F186" s="123"/>
      <c r="H186" s="123"/>
      <c r="I186" s="123"/>
      <c r="J186" s="219"/>
      <c r="K186" s="219"/>
      <c r="L186" s="123"/>
      <c r="M186" s="123"/>
      <c r="N186" s="123"/>
      <c r="O186" s="123"/>
      <c r="P186" s="123"/>
      <c r="Q186" s="123"/>
      <c r="R186" s="123"/>
      <c r="T186" s="42"/>
      <c r="V186" s="123"/>
      <c r="Y186" s="123"/>
      <c r="Z186" s="219"/>
      <c r="AA186" s="123"/>
      <c r="AB186" s="123"/>
      <c r="AC186" s="123"/>
      <c r="AD186" s="123"/>
    </row>
    <row r="187" spans="1:40" x14ac:dyDescent="0.3">
      <c r="C187" s="42"/>
      <c r="T187" s="42"/>
    </row>
    <row r="188" spans="1:40" x14ac:dyDescent="0.3">
      <c r="A188" s="42"/>
    </row>
    <row r="191" spans="1:40" x14ac:dyDescent="0.3">
      <c r="H191" s="42"/>
      <c r="I191" s="42"/>
      <c r="Y191" s="42"/>
    </row>
    <row r="193" spans="1:40" x14ac:dyDescent="0.3">
      <c r="L193" s="42"/>
      <c r="M193" s="42"/>
      <c r="AA193" s="42"/>
      <c r="AB193" s="42"/>
    </row>
    <row r="194" spans="1:40" x14ac:dyDescent="0.3">
      <c r="R194" s="42"/>
      <c r="AK194" s="206"/>
      <c r="AL194" s="42"/>
    </row>
    <row r="195" spans="1:40" x14ac:dyDescent="0.3">
      <c r="R195" s="42"/>
      <c r="AK195" s="206"/>
      <c r="AL195" s="42"/>
    </row>
    <row r="196" spans="1:40" x14ac:dyDescent="0.3">
      <c r="A196" s="42"/>
      <c r="R196" s="42"/>
      <c r="AK196" s="206"/>
      <c r="AL196" s="42"/>
    </row>
    <row r="197" spans="1:40" x14ac:dyDescent="0.3">
      <c r="L197" s="42"/>
      <c r="M197" s="42"/>
      <c r="AA197" s="42"/>
      <c r="AB197" s="42"/>
    </row>
    <row r="198" spans="1:40" x14ac:dyDescent="0.3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207"/>
      <c r="AH198" s="135"/>
      <c r="AI198" s="135"/>
      <c r="AJ198" s="135"/>
      <c r="AK198" s="207"/>
      <c r="AL198" s="135"/>
      <c r="AM198" s="135"/>
      <c r="AN198" s="135"/>
    </row>
    <row r="199" spans="1:40" x14ac:dyDescent="0.3">
      <c r="L199" s="44"/>
      <c r="M199" s="44"/>
      <c r="N199" s="44"/>
      <c r="O199" s="44"/>
      <c r="R199" s="44"/>
      <c r="AA199" s="44"/>
      <c r="AB199" s="44"/>
      <c r="AC199" s="44"/>
      <c r="AD199" s="44"/>
      <c r="AE199" s="44"/>
      <c r="AF199" s="44"/>
      <c r="AG199" s="168"/>
      <c r="AH199" s="44"/>
      <c r="AK199" s="168"/>
      <c r="AL199" s="44"/>
      <c r="AM199" s="44"/>
      <c r="AN199" s="44"/>
    </row>
    <row r="200" spans="1:40" x14ac:dyDescent="0.3">
      <c r="L200" s="44"/>
      <c r="M200" s="44"/>
      <c r="N200" s="44"/>
      <c r="O200" s="44"/>
      <c r="R200" s="44"/>
      <c r="Z200" s="44"/>
      <c r="AA200" s="44"/>
      <c r="AB200" s="44"/>
      <c r="AC200" s="44"/>
      <c r="AD200" s="44"/>
      <c r="AE200" s="44"/>
      <c r="AF200" s="44"/>
      <c r="AG200" s="168"/>
      <c r="AH200" s="44"/>
      <c r="AK200" s="168"/>
      <c r="AL200" s="44"/>
      <c r="AM200" s="44"/>
      <c r="AN200" s="44"/>
    </row>
    <row r="201" spans="1:40" x14ac:dyDescent="0.3">
      <c r="A201" s="44"/>
      <c r="C201" s="44"/>
      <c r="D201" s="44"/>
      <c r="E201" s="44"/>
      <c r="F201" s="44"/>
      <c r="J201" s="44"/>
      <c r="K201" s="44"/>
      <c r="L201" s="44"/>
      <c r="M201" s="44"/>
      <c r="N201" s="44"/>
      <c r="O201" s="44"/>
      <c r="P201" s="44"/>
      <c r="Q201" s="44"/>
      <c r="R201" s="44"/>
      <c r="T201" s="44"/>
      <c r="U201" s="44"/>
      <c r="V201" s="44"/>
      <c r="Z201" s="44"/>
      <c r="AA201" s="44"/>
      <c r="AB201" s="44"/>
      <c r="AC201" s="44"/>
      <c r="AD201" s="44"/>
      <c r="AE201" s="44"/>
      <c r="AF201" s="44"/>
      <c r="AG201" s="168"/>
      <c r="AH201" s="44"/>
      <c r="AI201" s="44"/>
      <c r="AJ201" s="44"/>
      <c r="AK201" s="168"/>
      <c r="AL201" s="44"/>
      <c r="AM201" s="44"/>
      <c r="AN201" s="44"/>
    </row>
    <row r="202" spans="1:40" x14ac:dyDescent="0.3">
      <c r="A202" s="44"/>
      <c r="C202" s="44"/>
      <c r="D202" s="44"/>
      <c r="E202" s="44"/>
      <c r="F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T202" s="44"/>
      <c r="U202" s="44"/>
      <c r="V202" s="44"/>
      <c r="Y202" s="44"/>
      <c r="Z202" s="44"/>
      <c r="AA202" s="44"/>
      <c r="AB202" s="44"/>
      <c r="AC202" s="44"/>
      <c r="AD202" s="44"/>
      <c r="AE202" s="44"/>
      <c r="AF202" s="44"/>
      <c r="AG202" s="168"/>
      <c r="AH202" s="44"/>
      <c r="AI202" s="44"/>
      <c r="AJ202" s="44"/>
      <c r="AK202" s="168"/>
      <c r="AL202" s="44"/>
      <c r="AM202" s="44"/>
      <c r="AN202" s="44"/>
    </row>
    <row r="203" spans="1:40" x14ac:dyDescent="0.3">
      <c r="C203" s="44"/>
      <c r="D203" s="44"/>
      <c r="E203" s="44"/>
      <c r="F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T203" s="44"/>
      <c r="U203" s="44"/>
      <c r="V203" s="44"/>
      <c r="Y203" s="44"/>
      <c r="Z203" s="44"/>
      <c r="AA203" s="44"/>
      <c r="AB203" s="44"/>
      <c r="AC203" s="44"/>
      <c r="AD203" s="44"/>
      <c r="AE203" s="44"/>
      <c r="AF203" s="44"/>
      <c r="AG203" s="168"/>
      <c r="AH203" s="44"/>
      <c r="AI203" s="44"/>
      <c r="AJ203" s="44"/>
      <c r="AK203" s="168"/>
      <c r="AL203" s="44"/>
      <c r="AM203" s="44"/>
      <c r="AN203" s="44"/>
    </row>
    <row r="204" spans="1:40" x14ac:dyDescent="0.3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207"/>
      <c r="AH204" s="135"/>
      <c r="AI204" s="135"/>
      <c r="AJ204" s="135"/>
      <c r="AK204" s="207"/>
      <c r="AL204" s="135"/>
      <c r="AM204" s="135"/>
      <c r="AN204" s="135"/>
    </row>
    <row r="205" spans="1:40" x14ac:dyDescent="0.3"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Y205" s="44"/>
      <c r="Z205" s="44"/>
      <c r="AA205" s="44"/>
      <c r="AB205" s="44"/>
      <c r="AC205" s="44"/>
      <c r="AD205" s="44"/>
      <c r="AE205" s="44"/>
      <c r="AF205" s="44"/>
      <c r="AG205" s="168"/>
      <c r="AH205" s="44"/>
      <c r="AI205" s="44"/>
      <c r="AJ205" s="44"/>
      <c r="AK205" s="168"/>
      <c r="AL205" s="44"/>
      <c r="AM205" s="44"/>
      <c r="AN205" s="44"/>
    </row>
    <row r="206" spans="1:40" x14ac:dyDescent="0.3">
      <c r="C206" s="42"/>
      <c r="D206" s="42"/>
      <c r="E206" s="42"/>
      <c r="T206" s="42"/>
      <c r="U206" s="42"/>
    </row>
    <row r="207" spans="1:40" x14ac:dyDescent="0.3">
      <c r="D207" s="42"/>
      <c r="E207" s="42"/>
      <c r="U207" s="42"/>
    </row>
    <row r="209" spans="3:40" x14ac:dyDescent="0.3">
      <c r="C209" s="42"/>
      <c r="F209" s="123"/>
      <c r="J209" s="209"/>
      <c r="K209" s="209"/>
      <c r="L209" s="123"/>
      <c r="M209" s="123"/>
      <c r="R209" s="123"/>
      <c r="T209" s="42"/>
      <c r="V209" s="123"/>
      <c r="Z209" s="209"/>
      <c r="AA209" s="123"/>
      <c r="AB209" s="123"/>
      <c r="AL209" s="123"/>
    </row>
    <row r="210" spans="3:40" x14ac:dyDescent="0.3">
      <c r="F210" s="123"/>
      <c r="R210" s="123"/>
      <c r="V210" s="123"/>
      <c r="AL210" s="123"/>
    </row>
    <row r="211" spans="3:40" x14ac:dyDescent="0.3">
      <c r="C211" s="42"/>
      <c r="F211" s="184"/>
      <c r="H211" s="184"/>
      <c r="I211" s="184"/>
      <c r="J211" s="193"/>
      <c r="K211" s="193"/>
      <c r="L211" s="123"/>
      <c r="M211" s="123"/>
      <c r="N211" s="160"/>
      <c r="O211" s="160"/>
      <c r="P211" s="123"/>
      <c r="Q211" s="123"/>
      <c r="R211" s="123"/>
      <c r="T211" s="42"/>
      <c r="V211" s="123"/>
      <c r="Y211" s="123"/>
      <c r="Z211" s="193"/>
      <c r="AA211" s="123"/>
      <c r="AB211" s="123"/>
      <c r="AC211" s="160"/>
      <c r="AD211" s="160"/>
      <c r="AE211" s="123"/>
      <c r="AF211" s="123"/>
      <c r="AH211" s="236"/>
      <c r="AI211" s="123"/>
      <c r="AJ211" s="123"/>
      <c r="AL211" s="123"/>
      <c r="AM211" s="160"/>
      <c r="AN211" s="160"/>
    </row>
    <row r="212" spans="3:40" x14ac:dyDescent="0.3">
      <c r="C212" s="42"/>
      <c r="F212" s="184"/>
      <c r="H212" s="222"/>
      <c r="I212" s="222"/>
      <c r="J212" s="193"/>
      <c r="K212" s="193"/>
      <c r="L212" s="123"/>
      <c r="M212" s="123"/>
      <c r="N212" s="160"/>
      <c r="O212" s="160"/>
      <c r="P212" s="123"/>
      <c r="Q212" s="123"/>
      <c r="R212" s="123"/>
      <c r="T212" s="42"/>
      <c r="V212" s="123"/>
      <c r="Y212" s="123"/>
      <c r="Z212" s="193"/>
      <c r="AA212" s="123"/>
      <c r="AB212" s="123"/>
      <c r="AC212" s="160"/>
      <c r="AD212" s="160"/>
      <c r="AE212" s="123"/>
      <c r="AF212" s="123"/>
      <c r="AH212" s="236"/>
      <c r="AI212" s="123"/>
      <c r="AJ212" s="123"/>
      <c r="AL212" s="123"/>
      <c r="AM212" s="160"/>
      <c r="AN212" s="160"/>
    </row>
    <row r="213" spans="3:40" x14ac:dyDescent="0.3">
      <c r="F213" s="210"/>
      <c r="H213" s="123"/>
      <c r="I213" s="123"/>
      <c r="J213" s="213"/>
      <c r="K213" s="213"/>
      <c r="L213" s="210"/>
      <c r="M213" s="210"/>
      <c r="N213" s="210"/>
      <c r="O213" s="210"/>
      <c r="P213" s="210"/>
      <c r="Q213" s="210"/>
      <c r="R213" s="210"/>
      <c r="V213" s="210"/>
      <c r="Y213" s="123"/>
      <c r="Z213" s="213"/>
      <c r="AA213" s="210"/>
      <c r="AB213" s="210"/>
      <c r="AC213" s="210"/>
      <c r="AD213" s="210"/>
      <c r="AE213" s="210"/>
      <c r="AF213" s="210"/>
      <c r="AI213" s="210"/>
      <c r="AJ213" s="210"/>
      <c r="AK213" s="214"/>
      <c r="AL213" s="210"/>
    </row>
    <row r="214" spans="3:40" x14ac:dyDescent="0.3">
      <c r="C214" s="42"/>
      <c r="F214" s="123"/>
      <c r="H214" s="123"/>
      <c r="I214" s="123"/>
      <c r="J214" s="219"/>
      <c r="K214" s="219"/>
      <c r="L214" s="123"/>
      <c r="M214" s="123"/>
      <c r="N214" s="160"/>
      <c r="O214" s="160"/>
      <c r="P214" s="123"/>
      <c r="Q214" s="123"/>
      <c r="R214" s="123"/>
      <c r="T214" s="42"/>
      <c r="V214" s="123"/>
      <c r="Y214" s="123"/>
      <c r="Z214" s="219"/>
      <c r="AA214" s="123"/>
      <c r="AB214" s="123"/>
      <c r="AC214" s="160"/>
      <c r="AD214" s="160"/>
      <c r="AE214" s="123"/>
      <c r="AF214" s="123"/>
      <c r="AH214" s="236"/>
      <c r="AI214" s="123"/>
      <c r="AJ214" s="123"/>
      <c r="AL214" s="123"/>
      <c r="AM214" s="160"/>
      <c r="AN214" s="160"/>
    </row>
    <row r="215" spans="3:40" x14ac:dyDescent="0.3">
      <c r="F215" s="210"/>
      <c r="H215" s="123"/>
      <c r="I215" s="123"/>
      <c r="J215" s="213"/>
      <c r="K215" s="213"/>
      <c r="L215" s="210"/>
      <c r="M215" s="210"/>
      <c r="N215" s="210"/>
      <c r="O215" s="210"/>
      <c r="P215" s="210"/>
      <c r="Q215" s="210"/>
      <c r="R215" s="210"/>
      <c r="V215" s="210"/>
      <c r="Y215" s="123"/>
      <c r="Z215" s="213"/>
      <c r="AA215" s="210"/>
      <c r="AB215" s="210"/>
      <c r="AC215" s="210"/>
      <c r="AD215" s="210"/>
      <c r="AE215" s="210"/>
      <c r="AF215" s="210"/>
      <c r="AI215" s="210"/>
      <c r="AJ215" s="210"/>
      <c r="AK215" s="214"/>
      <c r="AL215" s="210"/>
    </row>
    <row r="216" spans="3:40" x14ac:dyDescent="0.3">
      <c r="F216" s="123"/>
      <c r="R216" s="123"/>
      <c r="V216" s="123"/>
      <c r="AL216" s="123"/>
    </row>
    <row r="217" spans="3:40" x14ac:dyDescent="0.3">
      <c r="C217" s="42"/>
      <c r="F217" s="123"/>
      <c r="R217" s="123"/>
      <c r="T217" s="42"/>
      <c r="V217" s="123"/>
      <c r="AL217" s="123"/>
    </row>
    <row r="218" spans="3:40" x14ac:dyDescent="0.3">
      <c r="F218" s="123"/>
      <c r="R218" s="123"/>
      <c r="V218" s="123"/>
      <c r="AL218" s="123"/>
    </row>
    <row r="219" spans="3:40" x14ac:dyDescent="0.3">
      <c r="C219" s="42"/>
      <c r="F219" s="123"/>
      <c r="H219" s="184"/>
      <c r="I219" s="184"/>
      <c r="J219" s="227"/>
      <c r="K219" s="227"/>
      <c r="L219" s="123"/>
      <c r="M219" s="123"/>
      <c r="N219" s="160"/>
      <c r="O219" s="160"/>
      <c r="P219" s="184"/>
      <c r="Q219" s="184"/>
      <c r="R219" s="123"/>
      <c r="T219" s="42"/>
      <c r="V219" s="123"/>
      <c r="Y219" s="123"/>
      <c r="Z219" s="212"/>
      <c r="AA219" s="123"/>
      <c r="AB219" s="123"/>
      <c r="AC219" s="160"/>
      <c r="AD219" s="160"/>
      <c r="AE219" s="123"/>
      <c r="AF219" s="123"/>
      <c r="AH219" s="236"/>
      <c r="AI219" s="184"/>
      <c r="AJ219" s="184"/>
      <c r="AL219" s="123"/>
      <c r="AM219" s="160"/>
      <c r="AN219" s="160"/>
    </row>
    <row r="220" spans="3:40" x14ac:dyDescent="0.3">
      <c r="H220" s="210"/>
      <c r="I220" s="210"/>
      <c r="J220" s="213"/>
      <c r="K220" s="213"/>
      <c r="L220" s="210"/>
      <c r="M220" s="210"/>
      <c r="N220" s="210"/>
      <c r="O220" s="210"/>
      <c r="P220" s="210"/>
      <c r="Q220" s="210"/>
      <c r="R220" s="210"/>
      <c r="V220" s="210"/>
      <c r="Y220" s="210"/>
      <c r="Z220" s="213"/>
      <c r="AA220" s="210"/>
      <c r="AB220" s="210"/>
      <c r="AC220" s="210"/>
      <c r="AD220" s="210"/>
      <c r="AE220" s="210"/>
      <c r="AF220" s="210"/>
      <c r="AI220" s="210"/>
      <c r="AJ220" s="210"/>
      <c r="AK220" s="214"/>
      <c r="AL220" s="210"/>
    </row>
    <row r="221" spans="3:40" x14ac:dyDescent="0.3">
      <c r="F221" s="210"/>
    </row>
    <row r="222" spans="3:40" x14ac:dyDescent="0.3">
      <c r="C222" s="42"/>
      <c r="F222" s="123"/>
      <c r="H222" s="123"/>
      <c r="I222" s="123"/>
      <c r="J222" s="209"/>
      <c r="K222" s="209"/>
      <c r="L222" s="123"/>
      <c r="M222" s="123"/>
      <c r="N222" s="160"/>
      <c r="O222" s="160"/>
      <c r="P222" s="123"/>
      <c r="Q222" s="123"/>
      <c r="R222" s="123"/>
      <c r="T222" s="42"/>
      <c r="V222" s="123"/>
      <c r="Y222" s="123"/>
      <c r="Z222" s="209"/>
      <c r="AA222" s="123"/>
      <c r="AB222" s="123"/>
      <c r="AC222" s="160"/>
      <c r="AD222" s="160"/>
      <c r="AE222" s="123"/>
      <c r="AF222" s="123"/>
      <c r="AH222" s="236"/>
      <c r="AI222" s="123"/>
      <c r="AJ222" s="123"/>
      <c r="AL222" s="123"/>
      <c r="AM222" s="160"/>
      <c r="AN222" s="160"/>
    </row>
    <row r="223" spans="3:40" x14ac:dyDescent="0.3">
      <c r="F223" s="210"/>
      <c r="H223" s="210"/>
      <c r="I223" s="210"/>
      <c r="J223" s="213"/>
      <c r="K223" s="213"/>
      <c r="L223" s="210"/>
      <c r="M223" s="210"/>
      <c r="N223" s="210"/>
      <c r="O223" s="210"/>
      <c r="P223" s="210"/>
      <c r="Q223" s="210"/>
      <c r="R223" s="210"/>
      <c r="V223" s="210"/>
      <c r="Y223" s="210"/>
      <c r="Z223" s="213"/>
      <c r="AA223" s="210"/>
      <c r="AB223" s="210"/>
      <c r="AC223" s="210"/>
      <c r="AD223" s="210"/>
      <c r="AE223" s="210"/>
      <c r="AF223" s="210"/>
      <c r="AI223" s="210"/>
      <c r="AJ223" s="210"/>
      <c r="AK223" s="214"/>
      <c r="AL223" s="210"/>
    </row>
    <row r="224" spans="3:40" x14ac:dyDescent="0.3">
      <c r="R224" s="123"/>
      <c r="AH224" s="123"/>
    </row>
    <row r="225" spans="1:40" x14ac:dyDescent="0.3">
      <c r="F225" s="123"/>
      <c r="H225" s="123"/>
      <c r="I225" s="123"/>
      <c r="J225" s="219"/>
      <c r="K225" s="219"/>
      <c r="L225" s="123"/>
      <c r="M225" s="123"/>
      <c r="N225" s="123"/>
      <c r="O225" s="123"/>
      <c r="P225" s="123"/>
      <c r="Q225" s="123"/>
      <c r="R225" s="123"/>
      <c r="V225" s="123"/>
      <c r="Y225" s="123"/>
      <c r="Z225" s="219"/>
      <c r="AA225" s="123"/>
      <c r="AB225" s="123"/>
      <c r="AC225" s="123"/>
      <c r="AD225" s="123"/>
      <c r="AE225" s="123"/>
      <c r="AF225" s="123"/>
      <c r="AH225" s="123"/>
    </row>
    <row r="226" spans="1:40" x14ac:dyDescent="0.3">
      <c r="C226" s="42"/>
      <c r="F226" s="123"/>
      <c r="H226" s="123"/>
      <c r="I226" s="123"/>
      <c r="J226" s="219"/>
      <c r="K226" s="219"/>
      <c r="L226" s="123"/>
      <c r="M226" s="123"/>
      <c r="N226" s="123"/>
      <c r="O226" s="123"/>
      <c r="P226" s="123"/>
      <c r="Q226" s="123"/>
      <c r="R226" s="123"/>
      <c r="T226" s="42"/>
      <c r="V226" s="123"/>
      <c r="Y226" s="123"/>
      <c r="Z226" s="219"/>
      <c r="AA226" s="123"/>
      <c r="AB226" s="123"/>
      <c r="AC226" s="123"/>
      <c r="AD226" s="123"/>
      <c r="AE226" s="123"/>
      <c r="AF226" s="123"/>
      <c r="AH226" s="123"/>
    </row>
    <row r="227" spans="1:40" x14ac:dyDescent="0.3">
      <c r="A227" s="42"/>
    </row>
    <row r="230" spans="1:40" x14ac:dyDescent="0.3">
      <c r="H230" s="42"/>
      <c r="I230" s="42"/>
      <c r="Y230" s="42"/>
    </row>
    <row r="232" spans="1:40" x14ac:dyDescent="0.3">
      <c r="L232" s="42"/>
      <c r="M232" s="42"/>
      <c r="AA232" s="42"/>
      <c r="AB232" s="42"/>
    </row>
    <row r="233" spans="1:40" x14ac:dyDescent="0.3">
      <c r="R233" s="42"/>
      <c r="AK233" s="206"/>
      <c r="AL233" s="42"/>
    </row>
    <row r="234" spans="1:40" x14ac:dyDescent="0.3">
      <c r="R234" s="42"/>
      <c r="AK234" s="206"/>
      <c r="AL234" s="42"/>
    </row>
    <row r="235" spans="1:40" x14ac:dyDescent="0.3">
      <c r="A235" s="42"/>
      <c r="R235" s="42"/>
      <c r="AK235" s="206"/>
      <c r="AL235" s="42"/>
    </row>
    <row r="236" spans="1:40" x14ac:dyDescent="0.3">
      <c r="L236" s="42"/>
      <c r="M236" s="42"/>
      <c r="AA236" s="42"/>
      <c r="AB236" s="42"/>
    </row>
    <row r="237" spans="1:40" x14ac:dyDescent="0.3">
      <c r="A237" s="135"/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207"/>
      <c r="AH237" s="135"/>
      <c r="AI237" s="135"/>
      <c r="AJ237" s="135"/>
      <c r="AK237" s="207"/>
      <c r="AL237" s="135"/>
      <c r="AM237" s="135"/>
      <c r="AN237" s="135"/>
    </row>
    <row r="238" spans="1:40" x14ac:dyDescent="0.3">
      <c r="L238" s="44"/>
      <c r="M238" s="44"/>
      <c r="N238" s="44"/>
      <c r="O238" s="44"/>
      <c r="R238" s="44"/>
      <c r="AA238" s="44"/>
      <c r="AB238" s="44"/>
      <c r="AC238" s="44"/>
      <c r="AD238" s="44"/>
      <c r="AE238" s="44"/>
      <c r="AF238" s="44"/>
      <c r="AG238" s="168"/>
      <c r="AH238" s="44"/>
      <c r="AK238" s="168"/>
      <c r="AL238" s="44"/>
      <c r="AM238" s="44"/>
      <c r="AN238" s="44"/>
    </row>
    <row r="239" spans="1:40" x14ac:dyDescent="0.3">
      <c r="L239" s="44"/>
      <c r="M239" s="44"/>
      <c r="N239" s="44"/>
      <c r="O239" s="44"/>
      <c r="R239" s="44"/>
      <c r="Z239" s="44"/>
      <c r="AA239" s="44"/>
      <c r="AB239" s="44"/>
      <c r="AC239" s="44"/>
      <c r="AD239" s="44"/>
      <c r="AE239" s="44"/>
      <c r="AF239" s="44"/>
      <c r="AG239" s="168"/>
      <c r="AH239" s="44"/>
      <c r="AK239" s="168"/>
      <c r="AL239" s="44"/>
      <c r="AM239" s="44"/>
      <c r="AN239" s="44"/>
    </row>
    <row r="240" spans="1:40" x14ac:dyDescent="0.3">
      <c r="A240" s="44"/>
      <c r="C240" s="44"/>
      <c r="D240" s="44"/>
      <c r="E240" s="44"/>
      <c r="F240" s="44"/>
      <c r="J240" s="44"/>
      <c r="K240" s="44"/>
      <c r="L240" s="44"/>
      <c r="M240" s="44"/>
      <c r="N240" s="44"/>
      <c r="O240" s="44"/>
      <c r="P240" s="44"/>
      <c r="Q240" s="44"/>
      <c r="R240" s="44"/>
      <c r="T240" s="44"/>
      <c r="U240" s="44"/>
      <c r="V240" s="44"/>
      <c r="Z240" s="44"/>
      <c r="AA240" s="44"/>
      <c r="AB240" s="44"/>
      <c r="AC240" s="44"/>
      <c r="AD240" s="44"/>
      <c r="AE240" s="44"/>
      <c r="AF240" s="44"/>
      <c r="AG240" s="168"/>
      <c r="AH240" s="44"/>
      <c r="AI240" s="44"/>
      <c r="AJ240" s="44"/>
      <c r="AK240" s="168"/>
      <c r="AL240" s="44"/>
      <c r="AM240" s="44"/>
      <c r="AN240" s="44"/>
    </row>
    <row r="241" spans="1:40" x14ac:dyDescent="0.3">
      <c r="A241" s="44"/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T241" s="44"/>
      <c r="U241" s="44"/>
      <c r="V241" s="44"/>
      <c r="Y241" s="44"/>
      <c r="Z241" s="44"/>
      <c r="AA241" s="44"/>
      <c r="AB241" s="44"/>
      <c r="AC241" s="44"/>
      <c r="AD241" s="44"/>
      <c r="AE241" s="44"/>
      <c r="AF241" s="44"/>
      <c r="AG241" s="168"/>
      <c r="AH241" s="44"/>
      <c r="AI241" s="44"/>
      <c r="AJ241" s="44"/>
      <c r="AK241" s="168"/>
      <c r="AL241" s="44"/>
      <c r="AM241" s="44"/>
      <c r="AN241" s="44"/>
    </row>
    <row r="242" spans="1:40" x14ac:dyDescent="0.3">
      <c r="C242" s="44"/>
      <c r="D242" s="44"/>
      <c r="E242" s="44"/>
      <c r="F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T242" s="44"/>
      <c r="U242" s="44"/>
      <c r="V242" s="44"/>
      <c r="Y242" s="44"/>
      <c r="Z242" s="44"/>
      <c r="AA242" s="44"/>
      <c r="AB242" s="44"/>
      <c r="AC242" s="44"/>
      <c r="AD242" s="44"/>
      <c r="AE242" s="44"/>
      <c r="AF242" s="44"/>
      <c r="AG242" s="168"/>
      <c r="AH242" s="44"/>
      <c r="AI242" s="44"/>
      <c r="AJ242" s="44"/>
      <c r="AK242" s="168"/>
      <c r="AL242" s="44"/>
      <c r="AM242" s="44"/>
      <c r="AN242" s="44"/>
    </row>
    <row r="243" spans="1:40" x14ac:dyDescent="0.3">
      <c r="A243" s="135"/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207"/>
      <c r="AH243" s="135"/>
      <c r="AI243" s="135"/>
      <c r="AJ243" s="135"/>
      <c r="AK243" s="207"/>
      <c r="AL243" s="135"/>
      <c r="AM243" s="135"/>
      <c r="AN243" s="135"/>
    </row>
    <row r="244" spans="1:40" x14ac:dyDescent="0.3"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Y244" s="44"/>
      <c r="Z244" s="44"/>
      <c r="AA244" s="44"/>
      <c r="AB244" s="44"/>
      <c r="AC244" s="44"/>
      <c r="AD244" s="44"/>
      <c r="AE244" s="44"/>
      <c r="AF244" s="44"/>
      <c r="AG244" s="168"/>
      <c r="AH244" s="44"/>
      <c r="AI244" s="44"/>
      <c r="AJ244" s="44"/>
      <c r="AK244" s="168"/>
      <c r="AL244" s="44"/>
      <c r="AM244" s="44"/>
      <c r="AN244" s="44"/>
    </row>
    <row r="245" spans="1:40" x14ac:dyDescent="0.3">
      <c r="C245" s="42"/>
      <c r="D245" s="42"/>
      <c r="E245" s="42"/>
      <c r="T245" s="42"/>
      <c r="U245" s="42"/>
    </row>
    <row r="246" spans="1:40" x14ac:dyDescent="0.3">
      <c r="C246" s="42"/>
      <c r="T246" s="42"/>
    </row>
    <row r="248" spans="1:40" x14ac:dyDescent="0.3">
      <c r="C248" s="42"/>
      <c r="F248" s="184"/>
      <c r="H248" s="184"/>
      <c r="I248" s="184"/>
      <c r="J248" s="193"/>
      <c r="K248" s="193"/>
      <c r="L248" s="123"/>
      <c r="M248" s="123"/>
      <c r="N248" s="160"/>
      <c r="O248" s="160"/>
      <c r="R248" s="123"/>
      <c r="T248" s="42"/>
      <c r="V248" s="123"/>
      <c r="Y248" s="184"/>
      <c r="Z248" s="193"/>
      <c r="AA248" s="123"/>
      <c r="AB248" s="123"/>
      <c r="AC248" s="160"/>
      <c r="AD248" s="160"/>
      <c r="AE248" s="123"/>
      <c r="AF248" s="123"/>
      <c r="AH248" s="236"/>
      <c r="AL248" s="123"/>
      <c r="AM248" s="160"/>
      <c r="AN248" s="160"/>
    </row>
    <row r="249" spans="1:40" x14ac:dyDescent="0.3">
      <c r="F249" s="210"/>
      <c r="H249" s="123"/>
      <c r="I249" s="123"/>
      <c r="J249" s="213"/>
      <c r="K249" s="213"/>
      <c r="L249" s="210"/>
      <c r="M249" s="210"/>
      <c r="N249" s="210"/>
      <c r="O249" s="210"/>
      <c r="P249" s="210"/>
      <c r="Q249" s="210"/>
      <c r="R249" s="210"/>
      <c r="V249" s="210"/>
      <c r="Y249" s="123"/>
      <c r="Z249" s="213"/>
      <c r="AA249" s="210"/>
      <c r="AB249" s="210"/>
      <c r="AC249" s="210"/>
      <c r="AD249" s="210"/>
      <c r="AE249" s="210"/>
      <c r="AF249" s="210"/>
      <c r="AI249" s="210"/>
      <c r="AJ249" s="210"/>
      <c r="AK249" s="214"/>
      <c r="AL249" s="210"/>
      <c r="AM249" s="160"/>
      <c r="AN249" s="160"/>
    </row>
    <row r="250" spans="1:40" x14ac:dyDescent="0.3">
      <c r="C250" s="42"/>
      <c r="F250" s="184"/>
      <c r="H250" s="184"/>
      <c r="I250" s="184"/>
      <c r="J250" s="237"/>
      <c r="K250" s="237"/>
      <c r="L250" s="123"/>
      <c r="M250" s="123"/>
      <c r="N250" s="160"/>
      <c r="O250" s="160"/>
      <c r="P250" s="123"/>
      <c r="Q250" s="123"/>
      <c r="R250" s="123"/>
      <c r="S250" s="123"/>
      <c r="T250" s="42"/>
      <c r="V250" s="184"/>
      <c r="Y250" s="184"/>
      <c r="Z250" s="237"/>
      <c r="AA250" s="123"/>
      <c r="AB250" s="123"/>
      <c r="AC250" s="160"/>
      <c r="AD250" s="160"/>
      <c r="AE250" s="123"/>
      <c r="AF250" s="123"/>
      <c r="AH250" s="160"/>
      <c r="AI250" s="123"/>
      <c r="AJ250" s="123"/>
      <c r="AL250" s="123"/>
      <c r="AM250" s="160"/>
      <c r="AN250" s="160"/>
    </row>
    <row r="251" spans="1:40" x14ac:dyDescent="0.3">
      <c r="C251" s="42"/>
      <c r="F251" s="184"/>
      <c r="H251" s="184"/>
      <c r="I251" s="184"/>
      <c r="J251" s="193"/>
      <c r="K251" s="193"/>
      <c r="L251" s="123"/>
      <c r="M251" s="123"/>
      <c r="N251" s="160"/>
      <c r="O251" s="160"/>
      <c r="P251" s="123"/>
      <c r="Q251" s="123"/>
      <c r="R251" s="123"/>
      <c r="T251" s="42"/>
      <c r="V251" s="184"/>
      <c r="Y251" s="123"/>
      <c r="Z251" s="193"/>
      <c r="AA251" s="123"/>
      <c r="AB251" s="123"/>
      <c r="AC251" s="160"/>
      <c r="AD251" s="160"/>
      <c r="AE251" s="123"/>
      <c r="AF251" s="123"/>
      <c r="AH251" s="236"/>
      <c r="AI251" s="123"/>
      <c r="AJ251" s="123"/>
      <c r="AL251" s="123"/>
      <c r="AM251" s="160"/>
      <c r="AN251" s="160"/>
    </row>
    <row r="252" spans="1:40" x14ac:dyDescent="0.3">
      <c r="C252" s="42"/>
      <c r="F252" s="184"/>
      <c r="H252" s="184"/>
      <c r="I252" s="184"/>
      <c r="J252" s="193"/>
      <c r="K252" s="193"/>
      <c r="L252" s="123"/>
      <c r="M252" s="123"/>
      <c r="N252" s="160"/>
      <c r="O252" s="160"/>
      <c r="P252" s="123"/>
      <c r="Q252" s="123"/>
      <c r="R252" s="123"/>
      <c r="T252" s="42"/>
      <c r="V252" s="184"/>
      <c r="Y252" s="123"/>
      <c r="Z252" s="193"/>
      <c r="AA252" s="123"/>
      <c r="AB252" s="123"/>
      <c r="AC252" s="160"/>
      <c r="AD252" s="160"/>
      <c r="AE252" s="123"/>
      <c r="AF252" s="123"/>
      <c r="AH252" s="236"/>
      <c r="AI252" s="123"/>
      <c r="AJ252" s="123"/>
      <c r="AL252" s="123"/>
      <c r="AM252" s="160"/>
      <c r="AN252" s="160"/>
    </row>
    <row r="253" spans="1:40" x14ac:dyDescent="0.3">
      <c r="F253" s="210"/>
      <c r="H253" s="210"/>
      <c r="I253" s="210"/>
      <c r="J253" s="213"/>
      <c r="K253" s="213"/>
      <c r="L253" s="210"/>
      <c r="M253" s="210"/>
      <c r="N253" s="210"/>
      <c r="O253" s="210"/>
      <c r="P253" s="210"/>
      <c r="Q253" s="210"/>
      <c r="R253" s="210"/>
      <c r="V253" s="210"/>
      <c r="Y253" s="210"/>
      <c r="Z253" s="213"/>
      <c r="AA253" s="210"/>
      <c r="AB253" s="210"/>
      <c r="AC253" s="210"/>
      <c r="AD253" s="210"/>
      <c r="AE253" s="210"/>
      <c r="AF253" s="210"/>
      <c r="AI253" s="210"/>
      <c r="AJ253" s="210"/>
      <c r="AK253" s="214"/>
      <c r="AL253" s="210"/>
      <c r="AM253" s="160"/>
      <c r="AN253" s="160"/>
    </row>
    <row r="254" spans="1:40" x14ac:dyDescent="0.3">
      <c r="C254" s="42"/>
      <c r="F254" s="123"/>
      <c r="H254" s="123"/>
      <c r="I254" s="123"/>
      <c r="J254" s="219"/>
      <c r="K254" s="219"/>
      <c r="L254" s="123"/>
      <c r="M254" s="123"/>
      <c r="N254" s="160"/>
      <c r="O254" s="160"/>
      <c r="P254" s="123"/>
      <c r="Q254" s="123"/>
      <c r="R254" s="123"/>
      <c r="T254" s="42"/>
      <c r="V254" s="123"/>
      <c r="Y254" s="123"/>
      <c r="Z254" s="219"/>
      <c r="AA254" s="123"/>
      <c r="AB254" s="123"/>
      <c r="AC254" s="160"/>
      <c r="AD254" s="160"/>
      <c r="AE254" s="123"/>
      <c r="AF254" s="123"/>
      <c r="AH254" s="236"/>
      <c r="AI254" s="123"/>
      <c r="AJ254" s="123"/>
      <c r="AL254" s="123"/>
      <c r="AM254" s="160"/>
      <c r="AN254" s="160"/>
    </row>
    <row r="255" spans="1:40" x14ac:dyDescent="0.3">
      <c r="F255" s="210"/>
      <c r="H255" s="210"/>
      <c r="I255" s="210"/>
      <c r="J255" s="213"/>
      <c r="K255" s="213"/>
      <c r="L255" s="210"/>
      <c r="M255" s="210"/>
      <c r="N255" s="210"/>
      <c r="O255" s="210"/>
      <c r="P255" s="210"/>
      <c r="Q255" s="210"/>
      <c r="R255" s="210"/>
      <c r="V255" s="210"/>
      <c r="Y255" s="210"/>
      <c r="Z255" s="213"/>
      <c r="AA255" s="210"/>
      <c r="AB255" s="210"/>
      <c r="AC255" s="210"/>
      <c r="AD255" s="210"/>
      <c r="AE255" s="210"/>
      <c r="AF255" s="210"/>
      <c r="AI255" s="210"/>
      <c r="AJ255" s="210"/>
      <c r="AK255" s="214"/>
      <c r="AL255" s="210"/>
      <c r="AM255" s="160"/>
      <c r="AN255" s="160"/>
    </row>
    <row r="256" spans="1:40" x14ac:dyDescent="0.3">
      <c r="C256" s="42"/>
      <c r="F256" s="123"/>
      <c r="H256" s="123"/>
      <c r="I256" s="123"/>
      <c r="J256" s="219"/>
      <c r="K256" s="219"/>
      <c r="L256" s="123"/>
      <c r="M256" s="123"/>
      <c r="N256" s="160"/>
      <c r="O256" s="160"/>
      <c r="P256" s="123"/>
      <c r="Q256" s="123"/>
      <c r="R256" s="123"/>
      <c r="T256" s="42"/>
      <c r="V256" s="123"/>
      <c r="Y256" s="123"/>
      <c r="Z256" s="219"/>
      <c r="AA256" s="123"/>
      <c r="AB256" s="123"/>
      <c r="AC256" s="160"/>
      <c r="AD256" s="160"/>
      <c r="AE256" s="123"/>
      <c r="AF256" s="123"/>
      <c r="AH256" s="236"/>
      <c r="AI256" s="123"/>
      <c r="AJ256" s="123"/>
      <c r="AL256" s="123"/>
      <c r="AM256" s="160"/>
      <c r="AN256" s="160"/>
    </row>
    <row r="257" spans="3:40" x14ac:dyDescent="0.3">
      <c r="C257" s="42"/>
      <c r="F257" s="123"/>
      <c r="H257" s="184"/>
      <c r="I257" s="184"/>
      <c r="J257" s="227"/>
      <c r="K257" s="227"/>
      <c r="L257" s="123"/>
      <c r="M257" s="123"/>
      <c r="N257" s="160"/>
      <c r="O257" s="160"/>
      <c r="P257" s="123"/>
      <c r="Q257" s="123"/>
      <c r="R257" s="123"/>
      <c r="T257" s="42"/>
      <c r="V257" s="123"/>
      <c r="Y257" s="123"/>
      <c r="Z257" s="212"/>
      <c r="AA257" s="123"/>
      <c r="AB257" s="123"/>
      <c r="AC257" s="160"/>
      <c r="AD257" s="160"/>
      <c r="AE257" s="123"/>
      <c r="AF257" s="123"/>
      <c r="AH257" s="236"/>
      <c r="AI257" s="123"/>
      <c r="AJ257" s="123"/>
      <c r="AL257" s="123"/>
      <c r="AM257" s="160"/>
      <c r="AN257" s="160"/>
    </row>
    <row r="258" spans="3:40" x14ac:dyDescent="0.3">
      <c r="H258" s="210"/>
      <c r="I258" s="210"/>
      <c r="J258" s="213"/>
      <c r="K258" s="213"/>
      <c r="L258" s="210"/>
      <c r="M258" s="210"/>
      <c r="N258" s="210"/>
      <c r="O258" s="210"/>
      <c r="P258" s="210"/>
      <c r="Q258" s="210"/>
      <c r="R258" s="210"/>
      <c r="V258" s="210"/>
      <c r="Y258" s="210"/>
      <c r="Z258" s="213"/>
      <c r="AA258" s="210"/>
      <c r="AB258" s="210"/>
      <c r="AC258" s="210"/>
      <c r="AD258" s="210"/>
      <c r="AE258" s="210"/>
      <c r="AF258" s="210"/>
      <c r="AI258" s="210"/>
      <c r="AJ258" s="210"/>
      <c r="AK258" s="214"/>
      <c r="AL258" s="210"/>
      <c r="AM258" s="160"/>
      <c r="AN258" s="160"/>
    </row>
    <row r="259" spans="3:40" x14ac:dyDescent="0.3">
      <c r="F259" s="210"/>
    </row>
    <row r="260" spans="3:40" x14ac:dyDescent="0.3">
      <c r="C260" s="42"/>
      <c r="F260" s="123"/>
      <c r="H260" s="123"/>
      <c r="I260" s="123"/>
      <c r="J260" s="213"/>
      <c r="K260" s="213"/>
      <c r="L260" s="123"/>
      <c r="M260" s="123"/>
      <c r="N260" s="160"/>
      <c r="O260" s="160"/>
      <c r="P260" s="123"/>
      <c r="Q260" s="123"/>
      <c r="R260" s="123"/>
      <c r="S260" s="123"/>
      <c r="T260" s="42"/>
      <c r="V260" s="123"/>
      <c r="Y260" s="123"/>
      <c r="Z260" s="213"/>
      <c r="AA260" s="123"/>
      <c r="AB260" s="123"/>
      <c r="AC260" s="160"/>
      <c r="AD260" s="160"/>
      <c r="AE260" s="123"/>
      <c r="AF260" s="123"/>
      <c r="AH260" s="160"/>
      <c r="AI260" s="123"/>
      <c r="AJ260" s="123"/>
      <c r="AL260" s="123"/>
      <c r="AM260" s="160"/>
      <c r="AN260" s="160"/>
    </row>
    <row r="261" spans="3:40" x14ac:dyDescent="0.3">
      <c r="F261" s="210"/>
      <c r="H261" s="210"/>
      <c r="I261" s="210"/>
      <c r="J261" s="213"/>
      <c r="K261" s="213"/>
      <c r="L261" s="210"/>
      <c r="M261" s="210"/>
      <c r="N261" s="210"/>
      <c r="O261" s="210"/>
      <c r="P261" s="210"/>
      <c r="Q261" s="210"/>
      <c r="R261" s="210"/>
      <c r="S261" s="123"/>
      <c r="V261" s="210"/>
      <c r="Y261" s="210"/>
      <c r="Z261" s="213"/>
      <c r="AA261" s="210"/>
      <c r="AB261" s="210"/>
      <c r="AC261" s="210"/>
      <c r="AD261" s="210"/>
      <c r="AE261" s="210"/>
      <c r="AF261" s="210"/>
      <c r="AI261" s="210"/>
      <c r="AJ261" s="210"/>
      <c r="AK261" s="214"/>
      <c r="AL261" s="210"/>
      <c r="AM261" s="160"/>
      <c r="AN261" s="160"/>
    </row>
    <row r="262" spans="3:40" x14ac:dyDescent="0.3">
      <c r="C262" s="42"/>
      <c r="H262" s="184"/>
      <c r="I262" s="184"/>
      <c r="J262" s="213"/>
      <c r="K262" s="213"/>
      <c r="L262" s="123"/>
      <c r="M262" s="123"/>
      <c r="N262" s="160"/>
      <c r="O262" s="160"/>
      <c r="P262" s="123"/>
      <c r="Q262" s="123"/>
      <c r="R262" s="123"/>
      <c r="S262" s="123"/>
      <c r="T262" s="42"/>
      <c r="V262" s="184"/>
      <c r="Y262" s="184"/>
      <c r="Z262" s="213"/>
      <c r="AA262" s="123"/>
      <c r="AB262" s="123"/>
      <c r="AC262" s="160"/>
      <c r="AD262" s="160"/>
      <c r="AE262" s="123"/>
      <c r="AF262" s="123"/>
      <c r="AI262" s="123"/>
      <c r="AJ262" s="123"/>
      <c r="AL262" s="123"/>
      <c r="AM262" s="160"/>
      <c r="AN262" s="160"/>
    </row>
    <row r="263" spans="3:40" x14ac:dyDescent="0.3">
      <c r="F263" s="184"/>
    </row>
    <row r="264" spans="3:40" x14ac:dyDescent="0.3">
      <c r="C264" s="42"/>
      <c r="F264" s="184"/>
      <c r="H264" s="184"/>
      <c r="I264" s="184"/>
      <c r="J264" s="193"/>
      <c r="K264" s="193"/>
      <c r="L264" s="123"/>
      <c r="M264" s="123"/>
      <c r="N264" s="160"/>
      <c r="O264" s="160"/>
      <c r="R264" s="123"/>
      <c r="T264" s="42"/>
      <c r="V264" s="123"/>
      <c r="Y264" s="184"/>
      <c r="Z264" s="193"/>
      <c r="AA264" s="123"/>
      <c r="AB264" s="123"/>
      <c r="AC264" s="160"/>
      <c r="AD264" s="160"/>
      <c r="AE264" s="123"/>
      <c r="AF264" s="123"/>
      <c r="AH264" s="236"/>
      <c r="AL264" s="123"/>
      <c r="AM264" s="160"/>
      <c r="AN264" s="160"/>
    </row>
    <row r="265" spans="3:40" x14ac:dyDescent="0.3">
      <c r="F265" s="210"/>
      <c r="H265" s="123"/>
      <c r="I265" s="123"/>
      <c r="J265" s="213"/>
      <c r="K265" s="213"/>
      <c r="L265" s="210"/>
      <c r="M265" s="210"/>
      <c r="N265" s="210"/>
      <c r="O265" s="210"/>
      <c r="P265" s="210"/>
      <c r="Q265" s="210"/>
      <c r="R265" s="210"/>
      <c r="V265" s="210"/>
      <c r="Y265" s="123"/>
      <c r="Z265" s="213"/>
      <c r="AA265" s="210"/>
      <c r="AB265" s="210"/>
      <c r="AC265" s="210"/>
      <c r="AD265" s="210"/>
      <c r="AE265" s="210"/>
      <c r="AF265" s="210"/>
      <c r="AI265" s="210"/>
      <c r="AJ265" s="210"/>
      <c r="AK265" s="214"/>
      <c r="AL265" s="210"/>
      <c r="AM265" s="160"/>
      <c r="AN265" s="160"/>
    </row>
    <row r="266" spans="3:40" x14ac:dyDescent="0.3">
      <c r="C266" s="42"/>
      <c r="F266" s="184"/>
      <c r="H266" s="184"/>
      <c r="I266" s="184"/>
      <c r="J266" s="237"/>
      <c r="K266" s="237"/>
      <c r="L266" s="123"/>
      <c r="M266" s="123"/>
      <c r="N266" s="160"/>
      <c r="O266" s="160"/>
      <c r="P266" s="123"/>
      <c r="Q266" s="123"/>
      <c r="R266" s="123"/>
      <c r="S266" s="123"/>
      <c r="T266" s="42"/>
      <c r="V266" s="184"/>
      <c r="Y266" s="184"/>
      <c r="Z266" s="237"/>
      <c r="AA266" s="123"/>
      <c r="AB266" s="123"/>
      <c r="AC266" s="160"/>
      <c r="AD266" s="160"/>
      <c r="AE266" s="123"/>
      <c r="AF266" s="123"/>
      <c r="AH266" s="160"/>
      <c r="AI266" s="123"/>
      <c r="AJ266" s="123"/>
      <c r="AL266" s="123"/>
      <c r="AM266" s="160"/>
      <c r="AN266" s="160"/>
    </row>
    <row r="267" spans="3:40" x14ac:dyDescent="0.3">
      <c r="C267" s="42"/>
      <c r="F267" s="184"/>
      <c r="H267" s="184"/>
      <c r="I267" s="184"/>
      <c r="J267" s="193"/>
      <c r="K267" s="193"/>
      <c r="L267" s="123"/>
      <c r="M267" s="123"/>
      <c r="N267" s="160"/>
      <c r="O267" s="160"/>
      <c r="P267" s="123"/>
      <c r="Q267" s="123"/>
      <c r="R267" s="123"/>
      <c r="T267" s="42"/>
      <c r="V267" s="184"/>
      <c r="Y267" s="123"/>
      <c r="Z267" s="193"/>
      <c r="AA267" s="123"/>
      <c r="AB267" s="123"/>
      <c r="AC267" s="160"/>
      <c r="AD267" s="160"/>
      <c r="AE267" s="123"/>
      <c r="AF267" s="123"/>
      <c r="AH267" s="236"/>
      <c r="AI267" s="123"/>
      <c r="AJ267" s="123"/>
      <c r="AL267" s="123"/>
      <c r="AM267" s="160"/>
      <c r="AN267" s="160"/>
    </row>
    <row r="268" spans="3:40" x14ac:dyDescent="0.3">
      <c r="C268" s="42"/>
      <c r="F268" s="184"/>
      <c r="H268" s="184"/>
      <c r="I268" s="184"/>
      <c r="J268" s="193"/>
      <c r="K268" s="193"/>
      <c r="L268" s="123"/>
      <c r="M268" s="123"/>
      <c r="N268" s="160"/>
      <c r="O268" s="160"/>
      <c r="P268" s="123"/>
      <c r="Q268" s="123"/>
      <c r="R268" s="123"/>
      <c r="T268" s="42"/>
      <c r="V268" s="184"/>
      <c r="Y268" s="123"/>
      <c r="Z268" s="193"/>
      <c r="AA268" s="123"/>
      <c r="AB268" s="123"/>
      <c r="AC268" s="160"/>
      <c r="AD268" s="160"/>
      <c r="AE268" s="123"/>
      <c r="AF268" s="123"/>
      <c r="AH268" s="236"/>
      <c r="AI268" s="123"/>
      <c r="AJ268" s="123"/>
      <c r="AL268" s="123"/>
      <c r="AM268" s="160"/>
      <c r="AN268" s="160"/>
    </row>
    <row r="269" spans="3:40" x14ac:dyDescent="0.3">
      <c r="F269" s="210"/>
      <c r="H269" s="210"/>
      <c r="I269" s="210"/>
      <c r="J269" s="213"/>
      <c r="K269" s="213"/>
      <c r="L269" s="210"/>
      <c r="M269" s="210"/>
      <c r="N269" s="210"/>
      <c r="O269" s="210"/>
      <c r="P269" s="210"/>
      <c r="Q269" s="210"/>
      <c r="R269" s="210"/>
      <c r="V269" s="210"/>
      <c r="Y269" s="210"/>
      <c r="Z269" s="213"/>
      <c r="AA269" s="210"/>
      <c r="AB269" s="210"/>
      <c r="AC269" s="210"/>
      <c r="AD269" s="210"/>
      <c r="AE269" s="210"/>
      <c r="AF269" s="210"/>
      <c r="AI269" s="210"/>
      <c r="AJ269" s="210"/>
      <c r="AK269" s="214"/>
      <c r="AL269" s="210"/>
      <c r="AM269" s="160"/>
      <c r="AN269" s="160"/>
    </row>
    <row r="270" spans="3:40" x14ac:dyDescent="0.3">
      <c r="C270" s="42"/>
      <c r="F270" s="123"/>
      <c r="H270" s="123"/>
      <c r="I270" s="123"/>
      <c r="J270" s="219"/>
      <c r="K270" s="219"/>
      <c r="L270" s="123"/>
      <c r="M270" s="123"/>
      <c r="N270" s="160"/>
      <c r="O270" s="160"/>
      <c r="P270" s="123"/>
      <c r="Q270" s="123"/>
      <c r="R270" s="123"/>
      <c r="T270" s="42"/>
      <c r="V270" s="123"/>
      <c r="Y270" s="123"/>
      <c r="Z270" s="219"/>
      <c r="AA270" s="123"/>
      <c r="AB270" s="123"/>
      <c r="AC270" s="160"/>
      <c r="AD270" s="160"/>
      <c r="AE270" s="123"/>
      <c r="AF270" s="123"/>
      <c r="AH270" s="236"/>
      <c r="AI270" s="123"/>
      <c r="AJ270" s="123"/>
      <c r="AL270" s="123"/>
      <c r="AM270" s="160"/>
      <c r="AN270" s="160"/>
    </row>
    <row r="271" spans="3:40" x14ac:dyDescent="0.3">
      <c r="F271" s="210"/>
      <c r="H271" s="210"/>
      <c r="I271" s="210"/>
      <c r="J271" s="213"/>
      <c r="K271" s="213"/>
      <c r="L271" s="210"/>
      <c r="M271" s="210"/>
      <c r="N271" s="210"/>
      <c r="O271" s="210"/>
      <c r="P271" s="210"/>
      <c r="Q271" s="210"/>
      <c r="R271" s="210"/>
      <c r="V271" s="210"/>
      <c r="Y271" s="210"/>
      <c r="Z271" s="213"/>
      <c r="AA271" s="210"/>
      <c r="AB271" s="210"/>
      <c r="AC271" s="210"/>
      <c r="AD271" s="210"/>
      <c r="AE271" s="210"/>
      <c r="AF271" s="210"/>
      <c r="AI271" s="210"/>
      <c r="AJ271" s="210"/>
      <c r="AK271" s="214"/>
      <c r="AL271" s="210"/>
      <c r="AM271" s="160"/>
      <c r="AN271" s="160"/>
    </row>
    <row r="272" spans="3:40" x14ac:dyDescent="0.3">
      <c r="C272" s="42"/>
      <c r="F272" s="123"/>
      <c r="H272" s="123"/>
      <c r="I272" s="123"/>
      <c r="J272" s="219"/>
      <c r="K272" s="219"/>
      <c r="L272" s="123"/>
      <c r="M272" s="123"/>
      <c r="N272" s="160"/>
      <c r="O272" s="160"/>
      <c r="P272" s="123"/>
      <c r="Q272" s="123"/>
      <c r="R272" s="123"/>
      <c r="T272" s="42"/>
      <c r="V272" s="123"/>
      <c r="Y272" s="123"/>
      <c r="Z272" s="219"/>
      <c r="AA272" s="123"/>
      <c r="AB272" s="123"/>
      <c r="AC272" s="160"/>
      <c r="AD272" s="160"/>
      <c r="AE272" s="123"/>
      <c r="AF272" s="123"/>
      <c r="AH272" s="236"/>
      <c r="AI272" s="123"/>
      <c r="AJ272" s="123"/>
      <c r="AL272" s="123"/>
      <c r="AM272" s="160"/>
      <c r="AN272" s="160"/>
    </row>
    <row r="273" spans="1:40" x14ac:dyDescent="0.3">
      <c r="C273" s="42"/>
      <c r="F273" s="123"/>
      <c r="H273" s="184"/>
      <c r="I273" s="184"/>
      <c r="J273" s="227"/>
      <c r="K273" s="227"/>
      <c r="L273" s="123"/>
      <c r="M273" s="123"/>
      <c r="N273" s="160"/>
      <c r="O273" s="160"/>
      <c r="P273" s="123"/>
      <c r="Q273" s="123"/>
      <c r="R273" s="123"/>
      <c r="T273" s="42"/>
      <c r="V273" s="123"/>
      <c r="Y273" s="123"/>
      <c r="Z273" s="212"/>
      <c r="AA273" s="123"/>
      <c r="AB273" s="123"/>
      <c r="AC273" s="160"/>
      <c r="AD273" s="160"/>
      <c r="AE273" s="123"/>
      <c r="AF273" s="123"/>
      <c r="AH273" s="236"/>
      <c r="AI273" s="123"/>
      <c r="AJ273" s="123"/>
      <c r="AL273" s="123"/>
      <c r="AM273" s="160"/>
      <c r="AN273" s="160"/>
    </row>
    <row r="274" spans="1:40" x14ac:dyDescent="0.3">
      <c r="H274" s="210"/>
      <c r="I274" s="210"/>
      <c r="J274" s="213"/>
      <c r="K274" s="213"/>
      <c r="L274" s="210"/>
      <c r="M274" s="210"/>
      <c r="N274" s="210"/>
      <c r="O274" s="210"/>
      <c r="P274" s="210"/>
      <c r="Q274" s="210"/>
      <c r="R274" s="210"/>
      <c r="V274" s="210"/>
      <c r="Y274" s="210"/>
      <c r="Z274" s="213"/>
      <c r="AA274" s="210"/>
      <c r="AB274" s="210"/>
      <c r="AC274" s="210"/>
      <c r="AD274" s="210"/>
      <c r="AE274" s="210"/>
      <c r="AF274" s="210"/>
      <c r="AI274" s="210"/>
      <c r="AJ274" s="210"/>
      <c r="AK274" s="214"/>
      <c r="AL274" s="210"/>
      <c r="AM274" s="160"/>
      <c r="AN274" s="160"/>
    </row>
    <row r="275" spans="1:40" x14ac:dyDescent="0.3">
      <c r="F275" s="210"/>
    </row>
    <row r="276" spans="1:40" x14ac:dyDescent="0.3">
      <c r="C276" s="42"/>
      <c r="F276" s="123"/>
      <c r="H276" s="123"/>
      <c r="I276" s="123"/>
      <c r="J276" s="213"/>
      <c r="K276" s="213"/>
      <c r="L276" s="123"/>
      <c r="M276" s="123"/>
      <c r="N276" s="160"/>
      <c r="O276" s="160"/>
      <c r="P276" s="123"/>
      <c r="Q276" s="123"/>
      <c r="R276" s="123"/>
      <c r="S276" s="123"/>
      <c r="T276" s="42"/>
      <c r="V276" s="123"/>
      <c r="Y276" s="123"/>
      <c r="Z276" s="213"/>
      <c r="AA276" s="123"/>
      <c r="AB276" s="123"/>
      <c r="AC276" s="160"/>
      <c r="AD276" s="160"/>
      <c r="AE276" s="123"/>
      <c r="AF276" s="123"/>
      <c r="AH276" s="160"/>
      <c r="AI276" s="123"/>
      <c r="AJ276" s="123"/>
      <c r="AL276" s="123"/>
      <c r="AM276" s="160"/>
      <c r="AN276" s="160"/>
    </row>
    <row r="277" spans="1:40" x14ac:dyDescent="0.3">
      <c r="F277" s="210"/>
      <c r="H277" s="210"/>
      <c r="I277" s="210"/>
      <c r="J277" s="213"/>
      <c r="K277" s="213"/>
      <c r="L277" s="210"/>
      <c r="M277" s="210"/>
      <c r="N277" s="210"/>
      <c r="O277" s="210"/>
      <c r="P277" s="210"/>
      <c r="Q277" s="210"/>
      <c r="R277" s="210"/>
      <c r="S277" s="123"/>
      <c r="V277" s="210"/>
      <c r="Y277" s="210"/>
      <c r="Z277" s="213"/>
      <c r="AA277" s="210"/>
      <c r="AB277" s="210"/>
      <c r="AC277" s="210"/>
      <c r="AD277" s="210"/>
      <c r="AE277" s="210"/>
      <c r="AF277" s="210"/>
      <c r="AI277" s="210"/>
      <c r="AJ277" s="210"/>
      <c r="AK277" s="214"/>
      <c r="AL277" s="210"/>
      <c r="AM277" s="160"/>
      <c r="AN277" s="160"/>
    </row>
    <row r="278" spans="1:40" x14ac:dyDescent="0.3">
      <c r="C278" s="42"/>
      <c r="T278" s="42"/>
    </row>
    <row r="279" spans="1:40" x14ac:dyDescent="0.3">
      <c r="C279" s="42"/>
      <c r="F279" s="123"/>
      <c r="H279" s="123"/>
      <c r="I279" s="123"/>
      <c r="L279" s="123"/>
      <c r="M279" s="123"/>
      <c r="N279" s="160"/>
      <c r="O279" s="160"/>
      <c r="P279" s="184"/>
      <c r="Q279" s="184"/>
      <c r="R279" s="123"/>
      <c r="T279" s="42"/>
      <c r="V279" s="123"/>
      <c r="Y279" s="123"/>
      <c r="AA279" s="123"/>
      <c r="AB279" s="123"/>
      <c r="AC279" s="160"/>
      <c r="AD279" s="160"/>
      <c r="AE279" s="123"/>
      <c r="AF279" s="123"/>
      <c r="AH279" s="160"/>
      <c r="AI279" s="184"/>
      <c r="AJ279" s="184"/>
      <c r="AL279" s="123"/>
      <c r="AM279" s="160"/>
      <c r="AN279" s="160"/>
    </row>
    <row r="280" spans="1:40" x14ac:dyDescent="0.3">
      <c r="H280" s="210"/>
      <c r="I280" s="210"/>
      <c r="J280" s="213"/>
      <c r="K280" s="213"/>
      <c r="L280" s="210"/>
      <c r="M280" s="210"/>
      <c r="N280" s="210"/>
      <c r="O280" s="210"/>
      <c r="P280" s="210"/>
      <c r="Q280" s="210"/>
      <c r="R280" s="210"/>
      <c r="V280" s="210"/>
      <c r="Y280" s="210"/>
      <c r="Z280" s="213"/>
      <c r="AA280" s="210"/>
      <c r="AB280" s="210"/>
      <c r="AC280" s="210"/>
      <c r="AD280" s="210"/>
      <c r="AE280" s="210"/>
      <c r="AF280" s="210"/>
      <c r="AI280" s="210"/>
      <c r="AJ280" s="210"/>
      <c r="AK280" s="214"/>
      <c r="AL280" s="210"/>
    </row>
    <row r="281" spans="1:40" x14ac:dyDescent="0.3">
      <c r="F281" s="210"/>
    </row>
    <row r="282" spans="1:40" x14ac:dyDescent="0.3">
      <c r="C282" s="42"/>
      <c r="L282" s="123"/>
      <c r="M282" s="123"/>
      <c r="N282" s="123"/>
      <c r="O282" s="123"/>
      <c r="P282" s="123"/>
      <c r="Q282" s="123"/>
      <c r="R282" s="123"/>
      <c r="S282" s="123"/>
      <c r="T282" s="42"/>
      <c r="AA282" s="123"/>
      <c r="AB282" s="123"/>
      <c r="AC282" s="123"/>
      <c r="AD282" s="123"/>
      <c r="AI282" s="123"/>
      <c r="AJ282" s="123"/>
      <c r="AL282" s="123"/>
    </row>
    <row r="283" spans="1:40" x14ac:dyDescent="0.3">
      <c r="A283" s="42"/>
    </row>
    <row r="285" spans="1:40" x14ac:dyDescent="0.3">
      <c r="H285" s="42"/>
      <c r="I285" s="42"/>
      <c r="Y285" s="42"/>
    </row>
    <row r="287" spans="1:40" x14ac:dyDescent="0.3">
      <c r="L287" s="42"/>
      <c r="M287" s="42"/>
      <c r="AA287" s="42"/>
      <c r="AB287" s="42"/>
    </row>
    <row r="288" spans="1:40" x14ac:dyDescent="0.3">
      <c r="R288" s="42"/>
      <c r="AK288" s="206"/>
      <c r="AL288" s="42"/>
    </row>
    <row r="289" spans="1:40" x14ac:dyDescent="0.3">
      <c r="R289" s="42"/>
      <c r="AK289" s="206"/>
      <c r="AL289" s="42"/>
    </row>
    <row r="290" spans="1:40" x14ac:dyDescent="0.3">
      <c r="A290" s="42"/>
      <c r="R290" s="42"/>
      <c r="AK290" s="206"/>
      <c r="AL290" s="42"/>
    </row>
    <row r="291" spans="1:40" x14ac:dyDescent="0.3">
      <c r="L291" s="42"/>
      <c r="M291" s="42"/>
      <c r="AA291" s="42"/>
      <c r="AB291" s="42"/>
    </row>
    <row r="292" spans="1:40" x14ac:dyDescent="0.3">
      <c r="A292" s="135"/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207"/>
      <c r="AH292" s="135"/>
      <c r="AI292" s="135"/>
      <c r="AJ292" s="135"/>
      <c r="AK292" s="207"/>
      <c r="AL292" s="135"/>
      <c r="AM292" s="135"/>
      <c r="AN292" s="135"/>
    </row>
    <row r="293" spans="1:40" x14ac:dyDescent="0.3">
      <c r="L293" s="44"/>
      <c r="M293" s="44"/>
      <c r="N293" s="44"/>
      <c r="O293" s="44"/>
      <c r="R293" s="44"/>
      <c r="AA293" s="44"/>
      <c r="AB293" s="44"/>
      <c r="AC293" s="44"/>
      <c r="AD293" s="44"/>
      <c r="AE293" s="44"/>
      <c r="AF293" s="44"/>
      <c r="AG293" s="168"/>
      <c r="AH293" s="44"/>
      <c r="AK293" s="168"/>
      <c r="AL293" s="44"/>
      <c r="AM293" s="44"/>
      <c r="AN293" s="44"/>
    </row>
    <row r="294" spans="1:40" x14ac:dyDescent="0.3">
      <c r="L294" s="44"/>
      <c r="M294" s="44"/>
      <c r="N294" s="44"/>
      <c r="O294" s="44"/>
      <c r="R294" s="44"/>
      <c r="Z294" s="44"/>
      <c r="AA294" s="44"/>
      <c r="AB294" s="44"/>
      <c r="AC294" s="44"/>
      <c r="AD294" s="44"/>
      <c r="AE294" s="44"/>
      <c r="AF294" s="44"/>
      <c r="AG294" s="168"/>
      <c r="AH294" s="44"/>
      <c r="AK294" s="168"/>
      <c r="AL294" s="44"/>
      <c r="AM294" s="44"/>
      <c r="AN294" s="44"/>
    </row>
    <row r="295" spans="1:40" x14ac:dyDescent="0.3">
      <c r="A295" s="44"/>
      <c r="C295" s="44"/>
      <c r="D295" s="44"/>
      <c r="E295" s="44"/>
      <c r="F295" s="44"/>
      <c r="J295" s="44"/>
      <c r="K295" s="44"/>
      <c r="L295" s="44"/>
      <c r="M295" s="44"/>
      <c r="N295" s="44"/>
      <c r="O295" s="44"/>
      <c r="P295" s="44"/>
      <c r="Q295" s="44"/>
      <c r="R295" s="44"/>
      <c r="T295" s="44"/>
      <c r="U295" s="44"/>
      <c r="V295" s="44"/>
      <c r="Z295" s="44"/>
      <c r="AA295" s="44"/>
      <c r="AB295" s="44"/>
      <c r="AC295" s="44"/>
      <c r="AD295" s="44"/>
      <c r="AE295" s="44"/>
      <c r="AF295" s="44"/>
      <c r="AG295" s="168"/>
      <c r="AH295" s="44"/>
      <c r="AI295" s="44"/>
      <c r="AJ295" s="44"/>
      <c r="AK295" s="168"/>
      <c r="AL295" s="44"/>
      <c r="AM295" s="44"/>
      <c r="AN295" s="44"/>
    </row>
    <row r="296" spans="1:40" x14ac:dyDescent="0.3">
      <c r="A296" s="44"/>
      <c r="C296" s="44"/>
      <c r="D296" s="44"/>
      <c r="E296" s="44"/>
      <c r="F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T296" s="44"/>
      <c r="U296" s="44"/>
      <c r="V296" s="44"/>
      <c r="Y296" s="44"/>
      <c r="Z296" s="44"/>
      <c r="AA296" s="44"/>
      <c r="AB296" s="44"/>
      <c r="AC296" s="44"/>
      <c r="AD296" s="44"/>
      <c r="AE296" s="44"/>
      <c r="AF296" s="44"/>
      <c r="AG296" s="168"/>
      <c r="AH296" s="44"/>
      <c r="AI296" s="44"/>
      <c r="AJ296" s="44"/>
      <c r="AK296" s="168"/>
      <c r="AL296" s="44"/>
      <c r="AM296" s="44"/>
      <c r="AN296" s="44"/>
    </row>
    <row r="297" spans="1:40" x14ac:dyDescent="0.3">
      <c r="C297" s="44"/>
      <c r="D297" s="44"/>
      <c r="E297" s="44"/>
      <c r="F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T297" s="44"/>
      <c r="U297" s="44"/>
      <c r="V297" s="44"/>
      <c r="Y297" s="44"/>
      <c r="Z297" s="44"/>
      <c r="AA297" s="44"/>
      <c r="AB297" s="44"/>
      <c r="AC297" s="44"/>
      <c r="AD297" s="44"/>
      <c r="AE297" s="44"/>
      <c r="AF297" s="44"/>
      <c r="AG297" s="168"/>
      <c r="AH297" s="44"/>
      <c r="AI297" s="44"/>
      <c r="AJ297" s="44"/>
      <c r="AK297" s="168"/>
      <c r="AL297" s="44"/>
      <c r="AM297" s="44"/>
      <c r="AN297" s="44"/>
    </row>
    <row r="298" spans="1:40" x14ac:dyDescent="0.3">
      <c r="A298" s="135"/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207"/>
      <c r="AH298" s="135"/>
      <c r="AI298" s="135"/>
      <c r="AJ298" s="135"/>
      <c r="AK298" s="207"/>
      <c r="AL298" s="135"/>
      <c r="AM298" s="135"/>
      <c r="AN298" s="135"/>
    </row>
    <row r="299" spans="1:40" x14ac:dyDescent="0.3"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Y299" s="44"/>
      <c r="Z299" s="44"/>
      <c r="AA299" s="44"/>
      <c r="AB299" s="44"/>
      <c r="AC299" s="44"/>
      <c r="AD299" s="44"/>
      <c r="AE299" s="44"/>
      <c r="AF299" s="44"/>
      <c r="AG299" s="168"/>
      <c r="AH299" s="44"/>
      <c r="AI299" s="44"/>
      <c r="AJ299" s="44"/>
      <c r="AK299" s="168"/>
      <c r="AL299" s="44"/>
      <c r="AM299" s="44"/>
      <c r="AN299" s="44"/>
    </row>
    <row r="300" spans="1:40" x14ac:dyDescent="0.3">
      <c r="C300" s="42"/>
      <c r="D300" s="42"/>
      <c r="E300" s="42"/>
      <c r="T300" s="42"/>
      <c r="U300" s="42"/>
    </row>
    <row r="301" spans="1:40" x14ac:dyDescent="0.3">
      <c r="D301" s="42"/>
      <c r="E301" s="42"/>
      <c r="U301" s="42"/>
    </row>
    <row r="303" spans="1:40" x14ac:dyDescent="0.3">
      <c r="C303" s="42"/>
      <c r="T303" s="42"/>
    </row>
    <row r="304" spans="1:40" x14ac:dyDescent="0.3">
      <c r="C304" s="42"/>
      <c r="F304" s="184"/>
      <c r="H304" s="184"/>
      <c r="I304" s="184"/>
      <c r="J304" s="238"/>
      <c r="K304" s="238"/>
      <c r="L304" s="123"/>
      <c r="M304" s="123"/>
      <c r="N304" s="160"/>
      <c r="O304" s="160"/>
      <c r="P304" s="123"/>
      <c r="Q304" s="123"/>
      <c r="R304" s="123"/>
      <c r="T304" s="42"/>
      <c r="V304" s="184"/>
      <c r="W304" s="123"/>
      <c r="X304" s="123"/>
      <c r="Y304" s="184"/>
      <c r="Z304" s="238"/>
      <c r="AA304" s="123"/>
      <c r="AB304" s="123"/>
      <c r="AC304" s="160"/>
      <c r="AD304" s="160"/>
      <c r="AE304" s="123"/>
      <c r="AF304" s="123"/>
      <c r="AH304" s="236"/>
      <c r="AI304" s="123"/>
      <c r="AJ304" s="123"/>
      <c r="AL304" s="123"/>
      <c r="AM304" s="160"/>
      <c r="AN304" s="160"/>
    </row>
    <row r="305" spans="3:40" x14ac:dyDescent="0.3">
      <c r="C305" s="42"/>
      <c r="F305" s="123"/>
      <c r="H305" s="123"/>
      <c r="I305" s="123"/>
      <c r="J305" s="213"/>
      <c r="K305" s="213"/>
      <c r="L305" s="123"/>
      <c r="M305" s="123"/>
      <c r="N305" s="160"/>
      <c r="O305" s="160"/>
      <c r="P305" s="123"/>
      <c r="Q305" s="123"/>
      <c r="R305" s="123"/>
      <c r="T305" s="42"/>
      <c r="V305" s="184"/>
      <c r="W305" s="123"/>
      <c r="X305" s="123"/>
      <c r="Y305" s="184"/>
      <c r="Z305" s="213"/>
      <c r="AA305" s="123"/>
      <c r="AB305" s="123"/>
      <c r="AC305" s="160"/>
      <c r="AD305" s="160"/>
      <c r="AE305" s="123"/>
      <c r="AF305" s="123"/>
      <c r="AH305" s="236"/>
      <c r="AI305" s="123"/>
      <c r="AJ305" s="123"/>
      <c r="AL305" s="123"/>
      <c r="AM305" s="160"/>
      <c r="AN305" s="160"/>
    </row>
    <row r="306" spans="3:40" x14ac:dyDescent="0.3">
      <c r="C306" s="42"/>
      <c r="F306" s="184"/>
      <c r="H306" s="184"/>
      <c r="I306" s="184"/>
      <c r="J306" s="238"/>
      <c r="K306" s="238"/>
      <c r="L306" s="123"/>
      <c r="M306" s="123"/>
      <c r="N306" s="160"/>
      <c r="O306" s="160"/>
      <c r="P306" s="123"/>
      <c r="Q306" s="123"/>
      <c r="R306" s="123"/>
      <c r="T306" s="42"/>
      <c r="V306" s="184"/>
      <c r="W306" s="123"/>
      <c r="X306" s="123"/>
      <c r="Y306" s="184"/>
      <c r="Z306" s="238"/>
      <c r="AA306" s="123"/>
      <c r="AB306" s="123"/>
      <c r="AC306" s="160"/>
      <c r="AD306" s="160"/>
      <c r="AE306" s="123"/>
      <c r="AF306" s="123"/>
      <c r="AH306" s="236"/>
      <c r="AI306" s="123"/>
      <c r="AJ306" s="123"/>
      <c r="AL306" s="123"/>
      <c r="AM306" s="160"/>
      <c r="AN306" s="160"/>
    </row>
    <row r="307" spans="3:40" x14ac:dyDescent="0.3">
      <c r="C307" s="42"/>
      <c r="F307" s="184"/>
      <c r="H307" s="184"/>
      <c r="I307" s="184"/>
      <c r="J307" s="238"/>
      <c r="K307" s="238"/>
      <c r="L307" s="123"/>
      <c r="M307" s="123"/>
      <c r="N307" s="160"/>
      <c r="O307" s="160"/>
      <c r="P307" s="123"/>
      <c r="Q307" s="123"/>
      <c r="R307" s="123"/>
      <c r="T307" s="42"/>
      <c r="V307" s="184"/>
      <c r="W307" s="123"/>
      <c r="X307" s="123"/>
      <c r="Y307" s="184"/>
      <c r="Z307" s="238"/>
      <c r="AA307" s="123"/>
      <c r="AB307" s="123"/>
      <c r="AC307" s="160"/>
      <c r="AD307" s="160"/>
      <c r="AE307" s="123"/>
      <c r="AF307" s="123"/>
      <c r="AH307" s="236"/>
      <c r="AI307" s="123"/>
      <c r="AJ307" s="123"/>
      <c r="AL307" s="123"/>
      <c r="AM307" s="160"/>
      <c r="AN307" s="160"/>
    </row>
    <row r="308" spans="3:40" x14ac:dyDescent="0.3">
      <c r="C308" s="42"/>
      <c r="F308" s="184"/>
      <c r="H308" s="184"/>
      <c r="I308" s="184"/>
      <c r="J308" s="238"/>
      <c r="K308" s="238"/>
      <c r="L308" s="123"/>
      <c r="M308" s="123"/>
      <c r="N308" s="160"/>
      <c r="O308" s="160"/>
      <c r="P308" s="123"/>
      <c r="Q308" s="123"/>
      <c r="R308" s="123"/>
      <c r="T308" s="42"/>
      <c r="V308" s="184"/>
      <c r="W308" s="123"/>
      <c r="X308" s="123"/>
      <c r="Y308" s="184"/>
      <c r="Z308" s="238"/>
      <c r="AA308" s="123"/>
      <c r="AB308" s="123"/>
      <c r="AC308" s="160"/>
      <c r="AD308" s="160"/>
      <c r="AE308" s="123"/>
      <c r="AF308" s="123"/>
      <c r="AH308" s="236"/>
      <c r="AI308" s="123"/>
      <c r="AJ308" s="123"/>
      <c r="AL308" s="123"/>
      <c r="AM308" s="160"/>
      <c r="AN308" s="160"/>
    </row>
    <row r="309" spans="3:40" x14ac:dyDescent="0.3">
      <c r="C309" s="42"/>
      <c r="F309" s="123"/>
      <c r="H309" s="123"/>
      <c r="I309" s="123"/>
      <c r="J309" s="238"/>
      <c r="K309" s="238"/>
      <c r="L309" s="123"/>
      <c r="M309" s="123"/>
      <c r="N309" s="160"/>
      <c r="O309" s="160"/>
      <c r="P309" s="123"/>
      <c r="Q309" s="123"/>
      <c r="R309" s="123"/>
      <c r="T309" s="42"/>
      <c r="V309" s="184"/>
      <c r="W309" s="123"/>
      <c r="X309" s="123"/>
      <c r="Y309" s="184"/>
      <c r="Z309" s="238"/>
      <c r="AA309" s="123"/>
      <c r="AB309" s="123"/>
      <c r="AC309" s="160"/>
      <c r="AD309" s="160"/>
      <c r="AE309" s="123"/>
      <c r="AF309" s="123"/>
      <c r="AH309" s="236"/>
      <c r="AI309" s="123"/>
      <c r="AJ309" s="123"/>
      <c r="AL309" s="123"/>
      <c r="AM309" s="160"/>
      <c r="AN309" s="160"/>
    </row>
    <row r="310" spans="3:40" x14ac:dyDescent="0.3">
      <c r="C310" s="42"/>
      <c r="F310" s="123"/>
      <c r="H310" s="123"/>
      <c r="I310" s="123"/>
      <c r="J310" s="238"/>
      <c r="K310" s="238"/>
      <c r="L310" s="123"/>
      <c r="M310" s="123"/>
      <c r="N310" s="160"/>
      <c r="O310" s="160"/>
      <c r="P310" s="123"/>
      <c r="Q310" s="123"/>
      <c r="R310" s="123"/>
      <c r="T310" s="42"/>
      <c r="V310" s="184"/>
      <c r="W310" s="123"/>
      <c r="X310" s="123"/>
      <c r="Y310" s="184"/>
      <c r="Z310" s="238"/>
      <c r="AA310" s="123"/>
      <c r="AB310" s="123"/>
      <c r="AC310" s="160"/>
      <c r="AD310" s="160"/>
      <c r="AE310" s="123"/>
      <c r="AF310" s="123"/>
      <c r="AH310" s="236"/>
      <c r="AI310" s="123"/>
      <c r="AJ310" s="123"/>
      <c r="AL310" s="123"/>
      <c r="AM310" s="160"/>
      <c r="AN310" s="160"/>
    </row>
    <row r="311" spans="3:40" x14ac:dyDescent="0.3">
      <c r="F311" s="241"/>
      <c r="H311" s="242"/>
      <c r="I311" s="242"/>
      <c r="J311" s="238"/>
      <c r="K311" s="238"/>
      <c r="L311" s="241"/>
      <c r="M311" s="241"/>
      <c r="N311" s="210"/>
      <c r="O311" s="210"/>
      <c r="P311" s="241"/>
      <c r="Q311" s="241"/>
      <c r="R311" s="241"/>
      <c r="V311" s="241"/>
      <c r="W311" s="123"/>
      <c r="X311" s="123"/>
      <c r="Y311" s="241"/>
      <c r="Z311" s="238"/>
      <c r="AA311" s="241"/>
      <c r="AB311" s="241"/>
      <c r="AC311" s="243"/>
      <c r="AD311" s="243"/>
      <c r="AE311" s="241"/>
      <c r="AF311" s="241"/>
      <c r="AH311" s="236"/>
      <c r="AI311" s="241"/>
      <c r="AJ311" s="241"/>
      <c r="AK311" s="207"/>
      <c r="AL311" s="241"/>
      <c r="AM311" s="160"/>
      <c r="AN311" s="160"/>
    </row>
    <row r="312" spans="3:40" x14ac:dyDescent="0.3">
      <c r="C312" s="42"/>
      <c r="F312" s="123"/>
      <c r="H312" s="123"/>
      <c r="I312" s="123"/>
      <c r="J312" s="238"/>
      <c r="K312" s="238"/>
      <c r="L312" s="123"/>
      <c r="M312" s="123"/>
      <c r="N312" s="236"/>
      <c r="O312" s="236"/>
      <c r="P312" s="123"/>
      <c r="Q312" s="123"/>
      <c r="R312" s="123"/>
      <c r="T312" s="44"/>
      <c r="V312" s="123"/>
      <c r="W312" s="123"/>
      <c r="X312" s="123"/>
      <c r="Y312" s="123"/>
      <c r="Z312" s="238"/>
      <c r="AA312" s="123"/>
      <c r="AB312" s="123"/>
      <c r="AC312" s="236"/>
      <c r="AD312" s="236"/>
      <c r="AE312" s="123"/>
      <c r="AF312" s="123"/>
      <c r="AH312" s="236"/>
      <c r="AI312" s="123"/>
      <c r="AJ312" s="123"/>
      <c r="AL312" s="123"/>
      <c r="AM312" s="160"/>
      <c r="AN312" s="160"/>
    </row>
    <row r="313" spans="3:40" x14ac:dyDescent="0.3">
      <c r="F313" s="135"/>
      <c r="H313" s="135"/>
      <c r="I313" s="135"/>
      <c r="L313" s="135"/>
      <c r="M313" s="135"/>
      <c r="N313" s="243"/>
      <c r="O313" s="243"/>
      <c r="P313" s="241"/>
      <c r="Q313" s="241"/>
      <c r="R313" s="241"/>
      <c r="V313" s="241"/>
      <c r="Y313" s="241"/>
      <c r="Z313" s="213"/>
      <c r="AA313" s="241"/>
      <c r="AB313" s="241"/>
      <c r="AC313" s="241"/>
      <c r="AD313" s="241"/>
      <c r="AE313" s="241"/>
      <c r="AF313" s="241"/>
      <c r="AI313" s="241"/>
      <c r="AJ313" s="241"/>
      <c r="AK313" s="207"/>
      <c r="AL313" s="241"/>
      <c r="AM313" s="243"/>
      <c r="AN313" s="243"/>
    </row>
    <row r="318" spans="3:40" x14ac:dyDescent="0.3">
      <c r="N318" s="123"/>
      <c r="O318" s="123"/>
      <c r="P318" s="123"/>
      <c r="Q318" s="123"/>
      <c r="R318" s="123"/>
      <c r="V318" s="123"/>
      <c r="Y318" s="123"/>
      <c r="Z318" s="219"/>
      <c r="AA318" s="123"/>
      <c r="AB318" s="123"/>
      <c r="AC318" s="160"/>
      <c r="AD318" s="160"/>
      <c r="AE318" s="123"/>
      <c r="AF318" s="123"/>
      <c r="AH318" s="236"/>
      <c r="AI318" s="123"/>
      <c r="AJ318" s="123"/>
      <c r="AL318" s="123"/>
      <c r="AM318" s="160"/>
      <c r="AN318" s="160"/>
    </row>
    <row r="319" spans="3:40" x14ac:dyDescent="0.3">
      <c r="C319" s="42"/>
      <c r="D319" s="42"/>
      <c r="E319" s="42"/>
      <c r="J319" s="188"/>
      <c r="K319" s="188"/>
      <c r="T319" s="42"/>
      <c r="U319" s="42"/>
      <c r="Z319" s="188"/>
      <c r="AE319" s="123"/>
      <c r="AF319" s="123"/>
      <c r="AI319" s="123"/>
      <c r="AJ319" s="123"/>
      <c r="AL319" s="123"/>
      <c r="AM319" s="160"/>
      <c r="AN319" s="160"/>
    </row>
    <row r="320" spans="3:40" x14ac:dyDescent="0.3">
      <c r="D320" s="42"/>
      <c r="E320" s="42"/>
      <c r="F320" s="123"/>
      <c r="H320" s="123"/>
      <c r="I320" s="123"/>
      <c r="J320" s="238"/>
      <c r="K320" s="238"/>
      <c r="L320" s="123"/>
      <c r="M320" s="123"/>
      <c r="N320" s="160"/>
      <c r="O320" s="160"/>
      <c r="P320" s="123"/>
      <c r="Q320" s="123"/>
      <c r="R320" s="123"/>
      <c r="U320" s="42"/>
      <c r="V320" s="123"/>
      <c r="Y320" s="123"/>
      <c r="Z320" s="238"/>
      <c r="AA320" s="123"/>
      <c r="AB320" s="123"/>
      <c r="AC320" s="160"/>
      <c r="AD320" s="160"/>
      <c r="AE320" s="123"/>
      <c r="AF320" s="123"/>
      <c r="AH320" s="236"/>
      <c r="AI320" s="123"/>
      <c r="AJ320" s="123"/>
      <c r="AL320" s="123"/>
      <c r="AM320" s="160"/>
      <c r="AN320" s="160"/>
    </row>
    <row r="321" spans="1:40" x14ac:dyDescent="0.3">
      <c r="F321" s="123"/>
      <c r="H321" s="123"/>
      <c r="I321" s="123"/>
      <c r="J321" s="213"/>
      <c r="K321" s="213"/>
      <c r="L321" s="123"/>
      <c r="M321" s="123"/>
      <c r="N321" s="123"/>
      <c r="O321" s="123"/>
      <c r="P321" s="123"/>
      <c r="Q321" s="123"/>
      <c r="R321" s="123"/>
      <c r="V321" s="123"/>
      <c r="Y321" s="123"/>
      <c r="Z321" s="213"/>
      <c r="AA321" s="123"/>
      <c r="AB321" s="123"/>
      <c r="AC321" s="123"/>
      <c r="AD321" s="123"/>
      <c r="AE321" s="123"/>
      <c r="AF321" s="123"/>
      <c r="AH321" s="236"/>
      <c r="AI321" s="184"/>
      <c r="AJ321" s="184"/>
      <c r="AL321" s="123"/>
      <c r="AM321" s="160"/>
      <c r="AN321" s="160"/>
    </row>
    <row r="322" spans="1:40" x14ac:dyDescent="0.3">
      <c r="C322" s="42"/>
      <c r="F322" s="184"/>
      <c r="H322" s="184"/>
      <c r="I322" s="184"/>
      <c r="J322" s="212"/>
      <c r="K322" s="212"/>
      <c r="L322" s="123"/>
      <c r="M322" s="123"/>
      <c r="N322" s="160"/>
      <c r="O322" s="160"/>
      <c r="P322" s="123"/>
      <c r="Q322" s="123"/>
      <c r="R322" s="123"/>
      <c r="T322" s="42"/>
      <c r="V322" s="184"/>
      <c r="Y322" s="184"/>
      <c r="Z322" s="212"/>
      <c r="AA322" s="123"/>
      <c r="AB322" s="123"/>
      <c r="AC322" s="160"/>
      <c r="AD322" s="160"/>
      <c r="AE322" s="123"/>
      <c r="AF322" s="123"/>
      <c r="AH322" s="236"/>
      <c r="AI322" s="123"/>
      <c r="AJ322" s="123"/>
      <c r="AL322" s="123"/>
      <c r="AM322" s="160"/>
      <c r="AN322" s="160"/>
    </row>
    <row r="323" spans="1:40" x14ac:dyDescent="0.3">
      <c r="F323" s="135"/>
      <c r="H323" s="135"/>
      <c r="I323" s="135"/>
      <c r="L323" s="135"/>
      <c r="M323" s="135"/>
      <c r="N323" s="135"/>
      <c r="O323" s="135"/>
      <c r="P323" s="135"/>
      <c r="Q323" s="135"/>
      <c r="R323" s="135"/>
      <c r="V323" s="135"/>
      <c r="Y323" s="135"/>
      <c r="AA323" s="135"/>
      <c r="AB323" s="135"/>
      <c r="AC323" s="135"/>
      <c r="AD323" s="135"/>
      <c r="AE323" s="135"/>
      <c r="AF323" s="135"/>
      <c r="AG323" s="207"/>
      <c r="AH323" s="135"/>
      <c r="AI323" s="135"/>
      <c r="AJ323" s="135"/>
      <c r="AK323" s="207"/>
      <c r="AL323" s="135"/>
      <c r="AM323" s="135"/>
      <c r="AN323" s="135"/>
    </row>
    <row r="324" spans="1:40" x14ac:dyDescent="0.3">
      <c r="C324" s="44"/>
      <c r="F324" s="184"/>
      <c r="H324" s="184"/>
      <c r="I324" s="184"/>
      <c r="J324" s="193"/>
      <c r="K324" s="193"/>
      <c r="L324" s="184"/>
      <c r="M324" s="184"/>
      <c r="N324" s="160"/>
      <c r="O324" s="160"/>
      <c r="P324" s="184"/>
      <c r="Q324" s="184"/>
      <c r="R324" s="184"/>
      <c r="T324" s="44"/>
      <c r="V324" s="123"/>
      <c r="Y324" s="123"/>
      <c r="Z324" s="219"/>
      <c r="AA324" s="123"/>
      <c r="AB324" s="123"/>
      <c r="AC324" s="160"/>
      <c r="AD324" s="160"/>
      <c r="AH324" s="236"/>
      <c r="AI324" s="123"/>
      <c r="AJ324" s="123"/>
      <c r="AL324" s="123"/>
      <c r="AM324" s="160"/>
      <c r="AN324" s="160"/>
    </row>
    <row r="325" spans="1:40" x14ac:dyDescent="0.3">
      <c r="F325" s="241"/>
      <c r="H325" s="241"/>
      <c r="I325" s="241"/>
      <c r="J325" s="213"/>
      <c r="K325" s="213"/>
      <c r="L325" s="241"/>
      <c r="M325" s="241"/>
      <c r="N325" s="241"/>
      <c r="O325" s="241"/>
      <c r="P325" s="241"/>
      <c r="Q325" s="241"/>
      <c r="R325" s="241"/>
      <c r="V325" s="135"/>
      <c r="Y325" s="135"/>
      <c r="AA325" s="135"/>
      <c r="AB325" s="135"/>
      <c r="AC325" s="135"/>
      <c r="AD325" s="135"/>
      <c r="AE325" s="135"/>
      <c r="AF325" s="135"/>
      <c r="AG325" s="207"/>
      <c r="AH325" s="135"/>
      <c r="AI325" s="135"/>
      <c r="AJ325" s="135"/>
      <c r="AK325" s="207"/>
      <c r="AL325" s="135"/>
      <c r="AM325" s="135"/>
      <c r="AN325" s="135"/>
    </row>
    <row r="326" spans="1:40" x14ac:dyDescent="0.3">
      <c r="F326" s="184"/>
      <c r="H326" s="184"/>
      <c r="I326" s="184"/>
      <c r="J326" s="237"/>
      <c r="K326" s="237"/>
      <c r="L326" s="123"/>
      <c r="M326" s="123"/>
      <c r="N326" s="160"/>
      <c r="O326" s="160"/>
      <c r="P326" s="123"/>
      <c r="Q326" s="123"/>
      <c r="R326" s="123"/>
    </row>
    <row r="327" spans="1:40" x14ac:dyDescent="0.3">
      <c r="A327" s="42"/>
      <c r="F327" s="184"/>
      <c r="H327" s="184"/>
      <c r="I327" s="184"/>
      <c r="J327" s="193"/>
      <c r="K327" s="193"/>
      <c r="L327" s="123"/>
      <c r="M327" s="123"/>
      <c r="N327" s="160"/>
      <c r="O327" s="160"/>
      <c r="P327" s="123"/>
      <c r="Q327" s="123"/>
      <c r="R327" s="123"/>
    </row>
    <row r="328" spans="1:40" x14ac:dyDescent="0.3">
      <c r="F328" s="184"/>
      <c r="H328" s="184"/>
      <c r="I328" s="184"/>
      <c r="J328" s="193"/>
      <c r="K328" s="193"/>
      <c r="L328" s="123"/>
      <c r="M328" s="123"/>
      <c r="N328" s="160"/>
      <c r="O328" s="160"/>
      <c r="P328" s="123"/>
      <c r="Q328" s="123"/>
      <c r="R328" s="123"/>
    </row>
    <row r="329" spans="1:40" x14ac:dyDescent="0.3">
      <c r="A329" s="42"/>
    </row>
    <row r="332" spans="1:40" x14ac:dyDescent="0.3">
      <c r="H332" s="42"/>
      <c r="I332" s="42"/>
      <c r="Y332" s="42"/>
    </row>
    <row r="334" spans="1:40" x14ac:dyDescent="0.3">
      <c r="L334" s="42"/>
      <c r="M334" s="42"/>
      <c r="AA334" s="42"/>
      <c r="AB334" s="42"/>
    </row>
    <row r="335" spans="1:40" x14ac:dyDescent="0.3">
      <c r="R335" s="42"/>
      <c r="AK335" s="206"/>
      <c r="AL335" s="42"/>
    </row>
    <row r="336" spans="1:40" x14ac:dyDescent="0.3">
      <c r="R336" s="42"/>
      <c r="AK336" s="206"/>
      <c r="AL336" s="42"/>
    </row>
    <row r="337" spans="1:40" x14ac:dyDescent="0.3">
      <c r="A337" s="42"/>
      <c r="R337" s="42"/>
      <c r="AK337" s="206"/>
      <c r="AL337" s="42"/>
    </row>
    <row r="338" spans="1:40" x14ac:dyDescent="0.3">
      <c r="L338" s="42"/>
      <c r="M338" s="42"/>
      <c r="AA338" s="42"/>
      <c r="AB338" s="42"/>
    </row>
    <row r="339" spans="1:40" x14ac:dyDescent="0.3">
      <c r="A339" s="135"/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207"/>
      <c r="AH339" s="135"/>
      <c r="AI339" s="135"/>
      <c r="AJ339" s="135"/>
      <c r="AK339" s="207"/>
      <c r="AL339" s="135"/>
      <c r="AM339" s="135"/>
      <c r="AN339" s="135"/>
    </row>
    <row r="340" spans="1:40" x14ac:dyDescent="0.3">
      <c r="L340" s="44"/>
      <c r="M340" s="44"/>
      <c r="N340" s="44"/>
      <c r="O340" s="44"/>
      <c r="R340" s="44"/>
      <c r="AA340" s="44"/>
      <c r="AB340" s="44"/>
      <c r="AC340" s="44"/>
      <c r="AD340" s="44"/>
      <c r="AE340" s="44"/>
      <c r="AF340" s="44"/>
      <c r="AG340" s="168"/>
      <c r="AH340" s="44"/>
      <c r="AK340" s="168"/>
      <c r="AL340" s="44"/>
      <c r="AM340" s="44"/>
      <c r="AN340" s="44"/>
    </row>
    <row r="341" spans="1:40" x14ac:dyDescent="0.3">
      <c r="L341" s="44"/>
      <c r="M341" s="44"/>
      <c r="N341" s="44"/>
      <c r="O341" s="44"/>
      <c r="R341" s="44"/>
      <c r="Z341" s="44"/>
      <c r="AA341" s="44"/>
      <c r="AB341" s="44"/>
      <c r="AC341" s="44"/>
      <c r="AD341" s="44"/>
      <c r="AE341" s="44"/>
      <c r="AF341" s="44"/>
      <c r="AG341" s="168"/>
      <c r="AH341" s="44"/>
      <c r="AK341" s="168"/>
      <c r="AL341" s="44"/>
      <c r="AM341" s="44"/>
      <c r="AN341" s="44"/>
    </row>
    <row r="342" spans="1:40" x14ac:dyDescent="0.3">
      <c r="A342" s="44"/>
      <c r="C342" s="44"/>
      <c r="D342" s="44"/>
      <c r="E342" s="44"/>
      <c r="F342" s="44"/>
      <c r="J342" s="44"/>
      <c r="K342" s="44"/>
      <c r="L342" s="44"/>
      <c r="M342" s="44"/>
      <c r="N342" s="44"/>
      <c r="O342" s="44"/>
      <c r="P342" s="44"/>
      <c r="Q342" s="44"/>
      <c r="R342" s="44"/>
      <c r="T342" s="44"/>
      <c r="U342" s="44"/>
      <c r="V342" s="44"/>
      <c r="Z342" s="44"/>
      <c r="AA342" s="44"/>
      <c r="AB342" s="44"/>
      <c r="AC342" s="44"/>
      <c r="AD342" s="44"/>
      <c r="AE342" s="44"/>
      <c r="AF342" s="44"/>
      <c r="AG342" s="168"/>
      <c r="AH342" s="44"/>
      <c r="AI342" s="44"/>
      <c r="AJ342" s="44"/>
      <c r="AK342" s="168"/>
      <c r="AL342" s="44"/>
      <c r="AM342" s="44"/>
      <c r="AN342" s="44"/>
    </row>
    <row r="343" spans="1:40" x14ac:dyDescent="0.3">
      <c r="A343" s="44"/>
      <c r="C343" s="44"/>
      <c r="D343" s="44"/>
      <c r="E343" s="44"/>
      <c r="F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T343" s="44"/>
      <c r="U343" s="44"/>
      <c r="V343" s="44"/>
      <c r="Y343" s="44"/>
      <c r="Z343" s="44"/>
      <c r="AA343" s="44"/>
      <c r="AB343" s="44"/>
      <c r="AC343" s="44"/>
      <c r="AD343" s="44"/>
      <c r="AE343" s="44"/>
      <c r="AF343" s="44"/>
      <c r="AG343" s="168"/>
      <c r="AH343" s="44"/>
      <c r="AI343" s="44"/>
      <c r="AJ343" s="44"/>
      <c r="AK343" s="168"/>
      <c r="AL343" s="44"/>
      <c r="AM343" s="44"/>
      <c r="AN343" s="44"/>
    </row>
    <row r="344" spans="1:40" x14ac:dyDescent="0.3">
      <c r="C344" s="44"/>
      <c r="D344" s="44"/>
      <c r="E344" s="44"/>
      <c r="F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T344" s="44"/>
      <c r="U344" s="44"/>
      <c r="V344" s="44"/>
      <c r="Y344" s="44"/>
      <c r="Z344" s="44"/>
      <c r="AA344" s="44"/>
      <c r="AB344" s="44"/>
      <c r="AC344" s="44"/>
      <c r="AD344" s="44"/>
      <c r="AE344" s="44"/>
      <c r="AF344" s="44"/>
      <c r="AG344" s="168"/>
      <c r="AH344" s="44"/>
      <c r="AI344" s="44"/>
      <c r="AJ344" s="44"/>
      <c r="AK344" s="168"/>
      <c r="AL344" s="44"/>
      <c r="AM344" s="44"/>
      <c r="AN344" s="44"/>
    </row>
    <row r="345" spans="1:40" x14ac:dyDescent="0.3">
      <c r="A345" s="135"/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207"/>
      <c r="AH345" s="135"/>
      <c r="AI345" s="135"/>
      <c r="AJ345" s="135"/>
      <c r="AK345" s="207"/>
      <c r="AL345" s="135"/>
      <c r="AM345" s="135"/>
      <c r="AN345" s="135"/>
    </row>
    <row r="346" spans="1:40" x14ac:dyDescent="0.3"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Y346" s="44"/>
      <c r="Z346" s="44"/>
      <c r="AA346" s="44"/>
      <c r="AB346" s="44"/>
      <c r="AC346" s="44"/>
      <c r="AD346" s="44"/>
      <c r="AE346" s="44"/>
      <c r="AF346" s="44"/>
      <c r="AG346" s="168"/>
      <c r="AH346" s="44"/>
      <c r="AI346" s="44"/>
      <c r="AJ346" s="44"/>
      <c r="AK346" s="168"/>
      <c r="AL346" s="44"/>
      <c r="AM346" s="44"/>
      <c r="AN346" s="44"/>
    </row>
    <row r="347" spans="1:40" x14ac:dyDescent="0.3">
      <c r="C347" s="42"/>
      <c r="D347" s="42"/>
      <c r="E347" s="42"/>
      <c r="T347" s="42"/>
      <c r="U347" s="42"/>
    </row>
    <row r="349" spans="1:40" x14ac:dyDescent="0.3">
      <c r="C349" s="42"/>
      <c r="T349" s="42"/>
    </row>
    <row r="350" spans="1:40" x14ac:dyDescent="0.3">
      <c r="C350" s="42"/>
      <c r="F350" s="184"/>
      <c r="H350" s="184"/>
      <c r="I350" s="184"/>
      <c r="J350" s="213"/>
      <c r="K350" s="213"/>
      <c r="L350" s="123"/>
      <c r="M350" s="123"/>
      <c r="N350" s="160"/>
      <c r="O350" s="160"/>
      <c r="P350" s="123"/>
      <c r="Q350" s="123"/>
      <c r="R350" s="123"/>
      <c r="T350" s="42"/>
      <c r="V350" s="184"/>
      <c r="Y350" s="184"/>
      <c r="Z350" s="213"/>
      <c r="AA350" s="123"/>
      <c r="AB350" s="123"/>
      <c r="AC350" s="160"/>
      <c r="AD350" s="160"/>
      <c r="AE350" s="123"/>
      <c r="AF350" s="123"/>
      <c r="AH350" s="236"/>
      <c r="AI350" s="123"/>
      <c r="AJ350" s="123"/>
      <c r="AL350" s="123"/>
      <c r="AM350" s="160"/>
      <c r="AN350" s="160"/>
    </row>
    <row r="351" spans="1:40" x14ac:dyDescent="0.3">
      <c r="C351" s="42"/>
      <c r="T351" s="42"/>
    </row>
    <row r="352" spans="1:40" x14ac:dyDescent="0.3">
      <c r="C352" s="42"/>
      <c r="F352" s="184"/>
      <c r="H352" s="184"/>
      <c r="I352" s="184"/>
      <c r="J352" s="238"/>
      <c r="K352" s="238"/>
      <c r="L352" s="123"/>
      <c r="M352" s="123"/>
      <c r="N352" s="160"/>
      <c r="O352" s="160"/>
      <c r="P352" s="123"/>
      <c r="Q352" s="123"/>
      <c r="R352" s="123"/>
      <c r="T352" s="42"/>
      <c r="V352" s="123"/>
      <c r="Y352" s="123"/>
      <c r="Z352" s="238"/>
      <c r="AA352" s="123"/>
      <c r="AB352" s="123"/>
      <c r="AC352" s="160"/>
      <c r="AD352" s="160"/>
      <c r="AE352" s="123"/>
      <c r="AF352" s="123"/>
      <c r="AH352" s="236"/>
      <c r="AI352" s="123"/>
      <c r="AJ352" s="123"/>
      <c r="AL352" s="123"/>
      <c r="AM352" s="160"/>
      <c r="AN352" s="160"/>
    </row>
    <row r="353" spans="3:40" x14ac:dyDescent="0.3">
      <c r="C353" s="42"/>
      <c r="F353" s="184"/>
      <c r="H353" s="184"/>
      <c r="I353" s="184"/>
      <c r="J353" s="238"/>
      <c r="K353" s="238"/>
      <c r="L353" s="123"/>
      <c r="M353" s="123"/>
      <c r="N353" s="160"/>
      <c r="O353" s="160"/>
      <c r="P353" s="123"/>
      <c r="Q353" s="123"/>
      <c r="R353" s="123"/>
      <c r="T353" s="42"/>
      <c r="V353" s="123"/>
      <c r="Y353" s="123"/>
      <c r="Z353" s="238"/>
      <c r="AA353" s="123"/>
      <c r="AB353" s="123"/>
      <c r="AC353" s="160"/>
      <c r="AD353" s="160"/>
      <c r="AE353" s="123"/>
      <c r="AF353" s="123"/>
      <c r="AH353" s="236"/>
      <c r="AI353" s="123"/>
      <c r="AJ353" s="123"/>
      <c r="AL353" s="123"/>
      <c r="AM353" s="160"/>
      <c r="AN353" s="160"/>
    </row>
    <row r="354" spans="3:40" x14ac:dyDescent="0.3">
      <c r="C354" s="42"/>
      <c r="F354" s="184"/>
      <c r="H354" s="184"/>
      <c r="I354" s="184"/>
      <c r="J354" s="238"/>
      <c r="K354" s="238"/>
      <c r="L354" s="123"/>
      <c r="M354" s="123"/>
      <c r="N354" s="160"/>
      <c r="O354" s="160"/>
      <c r="P354" s="123"/>
      <c r="Q354" s="123"/>
      <c r="R354" s="123"/>
      <c r="T354" s="42"/>
      <c r="V354" s="123"/>
      <c r="Y354" s="123"/>
      <c r="Z354" s="238"/>
      <c r="AA354" s="123"/>
      <c r="AB354" s="123"/>
      <c r="AC354" s="160"/>
      <c r="AD354" s="160"/>
      <c r="AE354" s="123"/>
      <c r="AF354" s="123"/>
      <c r="AH354" s="236"/>
      <c r="AI354" s="123"/>
      <c r="AJ354" s="123"/>
      <c r="AL354" s="123"/>
      <c r="AM354" s="160"/>
      <c r="AN354" s="160"/>
    </row>
    <row r="355" spans="3:40" x14ac:dyDescent="0.3">
      <c r="C355" s="42"/>
      <c r="F355" s="184"/>
      <c r="H355" s="184"/>
      <c r="I355" s="184"/>
      <c r="J355" s="238"/>
      <c r="K355" s="238"/>
      <c r="L355" s="123"/>
      <c r="M355" s="123"/>
      <c r="N355" s="160"/>
      <c r="O355" s="160"/>
      <c r="P355" s="123"/>
      <c r="Q355" s="123"/>
      <c r="R355" s="123"/>
      <c r="T355" s="42"/>
      <c r="V355" s="123"/>
      <c r="Y355" s="123"/>
      <c r="Z355" s="238"/>
      <c r="AA355" s="123"/>
      <c r="AB355" s="123"/>
      <c r="AC355" s="160"/>
      <c r="AD355" s="160"/>
      <c r="AE355" s="123"/>
      <c r="AF355" s="123"/>
      <c r="AH355" s="236"/>
      <c r="AI355" s="123"/>
      <c r="AJ355" s="123"/>
      <c r="AL355" s="123"/>
      <c r="AM355" s="160"/>
      <c r="AN355" s="160"/>
    </row>
    <row r="356" spans="3:40" x14ac:dyDescent="0.3">
      <c r="C356" s="42"/>
      <c r="J356" s="188"/>
      <c r="K356" s="188"/>
      <c r="T356" s="42"/>
      <c r="Z356" s="188"/>
    </row>
    <row r="357" spans="3:40" x14ac:dyDescent="0.3">
      <c r="C357" s="42"/>
      <c r="F357" s="184"/>
      <c r="H357" s="184"/>
      <c r="I357" s="184"/>
      <c r="J357" s="238"/>
      <c r="K357" s="238"/>
      <c r="L357" s="123"/>
      <c r="M357" s="123"/>
      <c r="N357" s="160"/>
      <c r="O357" s="160"/>
      <c r="P357" s="123"/>
      <c r="Q357" s="123"/>
      <c r="R357" s="123"/>
      <c r="T357" s="42"/>
      <c r="V357" s="123"/>
      <c r="Y357" s="123"/>
      <c r="Z357" s="238"/>
      <c r="AA357" s="123"/>
      <c r="AB357" s="123"/>
      <c r="AC357" s="160"/>
      <c r="AD357" s="160"/>
      <c r="AE357" s="123"/>
      <c r="AF357" s="123"/>
      <c r="AH357" s="236"/>
      <c r="AI357" s="123"/>
      <c r="AJ357" s="123"/>
      <c r="AL357" s="123"/>
      <c r="AM357" s="160"/>
      <c r="AN357" s="160"/>
    </row>
    <row r="358" spans="3:40" x14ac:dyDescent="0.3">
      <c r="C358" s="42"/>
      <c r="F358" s="184"/>
      <c r="H358" s="184"/>
      <c r="I358" s="184"/>
      <c r="J358" s="238"/>
      <c r="K358" s="238"/>
      <c r="L358" s="123"/>
      <c r="M358" s="123"/>
      <c r="N358" s="160"/>
      <c r="O358" s="160"/>
      <c r="P358" s="123"/>
      <c r="Q358" s="123"/>
      <c r="R358" s="123"/>
      <c r="T358" s="42"/>
      <c r="V358" s="123"/>
      <c r="Y358" s="123"/>
      <c r="Z358" s="238"/>
      <c r="AA358" s="123"/>
      <c r="AB358" s="123"/>
      <c r="AC358" s="160"/>
      <c r="AD358" s="160"/>
      <c r="AE358" s="123"/>
      <c r="AF358" s="123"/>
      <c r="AH358" s="236"/>
      <c r="AI358" s="123"/>
      <c r="AJ358" s="123"/>
      <c r="AL358" s="123"/>
      <c r="AM358" s="160"/>
      <c r="AN358" s="160"/>
    </row>
    <row r="359" spans="3:40" x14ac:dyDescent="0.3">
      <c r="C359" s="42"/>
      <c r="F359" s="184"/>
      <c r="H359" s="184"/>
      <c r="I359" s="184"/>
      <c r="J359" s="238"/>
      <c r="K359" s="238"/>
      <c r="L359" s="123"/>
      <c r="M359" s="123"/>
      <c r="N359" s="160"/>
      <c r="O359" s="160"/>
      <c r="P359" s="123"/>
      <c r="Q359" s="123"/>
      <c r="R359" s="123"/>
      <c r="T359" s="42"/>
      <c r="V359" s="123"/>
      <c r="Y359" s="123"/>
      <c r="Z359" s="238"/>
      <c r="AA359" s="123"/>
      <c r="AB359" s="123"/>
      <c r="AC359" s="160"/>
      <c r="AD359" s="160"/>
      <c r="AE359" s="123"/>
      <c r="AF359" s="123"/>
      <c r="AH359" s="236"/>
      <c r="AI359" s="123"/>
      <c r="AJ359" s="123"/>
      <c r="AL359" s="123"/>
      <c r="AM359" s="160"/>
      <c r="AN359" s="160"/>
    </row>
    <row r="360" spans="3:40" x14ac:dyDescent="0.3">
      <c r="C360" s="42"/>
      <c r="J360" s="188"/>
      <c r="K360" s="188"/>
      <c r="T360" s="42"/>
      <c r="Z360" s="188"/>
    </row>
    <row r="361" spans="3:40" x14ac:dyDescent="0.3">
      <c r="C361" s="42"/>
      <c r="F361" s="184"/>
      <c r="H361" s="184"/>
      <c r="I361" s="184"/>
      <c r="J361" s="238"/>
      <c r="K361" s="238"/>
      <c r="L361" s="123"/>
      <c r="M361" s="123"/>
      <c r="N361" s="160"/>
      <c r="O361" s="160"/>
      <c r="P361" s="123"/>
      <c r="Q361" s="123"/>
      <c r="R361" s="123"/>
      <c r="T361" s="42"/>
      <c r="V361" s="123"/>
      <c r="Y361" s="123"/>
      <c r="Z361" s="238"/>
      <c r="AA361" s="123"/>
      <c r="AB361" s="123"/>
      <c r="AC361" s="160"/>
      <c r="AD361" s="160"/>
      <c r="AE361" s="123"/>
      <c r="AF361" s="123"/>
      <c r="AH361" s="236"/>
      <c r="AI361" s="123"/>
      <c r="AJ361" s="123"/>
      <c r="AL361" s="123"/>
      <c r="AM361" s="160"/>
      <c r="AN361" s="160"/>
    </row>
    <row r="362" spans="3:40" x14ac:dyDescent="0.3">
      <c r="C362" s="42"/>
      <c r="F362" s="184"/>
      <c r="H362" s="184"/>
      <c r="I362" s="184"/>
      <c r="J362" s="238"/>
      <c r="K362" s="238"/>
      <c r="L362" s="123"/>
      <c r="M362" s="123"/>
      <c r="N362" s="160"/>
      <c r="O362" s="160"/>
      <c r="P362" s="123"/>
      <c r="Q362" s="123"/>
      <c r="R362" s="123"/>
      <c r="T362" s="42"/>
      <c r="V362" s="123"/>
      <c r="Y362" s="123"/>
      <c r="Z362" s="238"/>
      <c r="AA362" s="123"/>
      <c r="AB362" s="123"/>
      <c r="AC362" s="160"/>
      <c r="AD362" s="160"/>
      <c r="AE362" s="123"/>
      <c r="AF362" s="123"/>
      <c r="AH362" s="236"/>
      <c r="AI362" s="123"/>
      <c r="AJ362" s="123"/>
      <c r="AL362" s="123"/>
      <c r="AM362" s="160"/>
      <c r="AN362" s="160"/>
    </row>
    <row r="363" spans="3:40" x14ac:dyDescent="0.3">
      <c r="C363" s="42"/>
      <c r="J363" s="188"/>
      <c r="K363" s="188"/>
      <c r="T363" s="42"/>
      <c r="Z363" s="188"/>
    </row>
    <row r="364" spans="3:40" x14ac:dyDescent="0.3">
      <c r="C364" s="42"/>
      <c r="F364" s="184"/>
      <c r="H364" s="184"/>
      <c r="I364" s="184"/>
      <c r="J364" s="238"/>
      <c r="K364" s="238"/>
      <c r="L364" s="123"/>
      <c r="M364" s="123"/>
      <c r="N364" s="160"/>
      <c r="O364" s="160"/>
      <c r="P364" s="123"/>
      <c r="Q364" s="123"/>
      <c r="R364" s="123"/>
      <c r="T364" s="42"/>
      <c r="V364" s="123"/>
      <c r="Y364" s="123"/>
      <c r="Z364" s="238"/>
      <c r="AA364" s="123"/>
      <c r="AB364" s="123"/>
      <c r="AC364" s="160"/>
      <c r="AD364" s="160"/>
      <c r="AE364" s="123"/>
      <c r="AF364" s="123"/>
      <c r="AH364" s="236"/>
      <c r="AI364" s="123"/>
      <c r="AJ364" s="123"/>
      <c r="AL364" s="123"/>
      <c r="AM364" s="160"/>
      <c r="AN364" s="160"/>
    </row>
    <row r="365" spans="3:40" x14ac:dyDescent="0.3">
      <c r="C365" s="42"/>
      <c r="F365" s="184"/>
      <c r="H365" s="184"/>
      <c r="I365" s="184"/>
      <c r="J365" s="238"/>
      <c r="K365" s="238"/>
      <c r="L365" s="123"/>
      <c r="M365" s="123"/>
      <c r="N365" s="160"/>
      <c r="O365" s="160"/>
      <c r="P365" s="123"/>
      <c r="Q365" s="123"/>
      <c r="R365" s="123"/>
      <c r="T365" s="42"/>
      <c r="V365" s="123"/>
      <c r="Y365" s="123"/>
      <c r="Z365" s="238"/>
      <c r="AA365" s="123"/>
      <c r="AB365" s="123"/>
      <c r="AC365" s="160"/>
      <c r="AD365" s="160"/>
      <c r="AE365" s="123"/>
      <c r="AF365" s="123"/>
      <c r="AH365" s="236"/>
      <c r="AI365" s="123"/>
      <c r="AJ365" s="123"/>
      <c r="AL365" s="123"/>
      <c r="AM365" s="160"/>
      <c r="AN365" s="160"/>
    </row>
    <row r="366" spans="3:40" x14ac:dyDescent="0.3">
      <c r="C366" s="42"/>
      <c r="F366" s="184"/>
      <c r="H366" s="184"/>
      <c r="I366" s="184"/>
      <c r="J366" s="238"/>
      <c r="K366" s="238"/>
      <c r="L366" s="123"/>
      <c r="M366" s="123"/>
      <c r="N366" s="160"/>
      <c r="O366" s="160"/>
      <c r="P366" s="123"/>
      <c r="Q366" s="123"/>
      <c r="R366" s="123"/>
      <c r="T366" s="42"/>
      <c r="V366" s="123"/>
      <c r="Y366" s="123"/>
      <c r="Z366" s="238"/>
      <c r="AA366" s="123"/>
      <c r="AB366" s="123"/>
      <c r="AC366" s="160"/>
      <c r="AD366" s="160"/>
      <c r="AE366" s="123"/>
      <c r="AF366" s="123"/>
      <c r="AH366" s="236"/>
      <c r="AI366" s="123"/>
      <c r="AJ366" s="123"/>
      <c r="AL366" s="123"/>
      <c r="AM366" s="160"/>
      <c r="AN366" s="160"/>
    </row>
    <row r="367" spans="3:40" x14ac:dyDescent="0.3">
      <c r="F367" s="210"/>
      <c r="H367" s="210"/>
      <c r="I367" s="210"/>
      <c r="J367" s="238"/>
      <c r="K367" s="238"/>
      <c r="L367" s="210"/>
      <c r="M367" s="210"/>
      <c r="N367" s="210"/>
      <c r="O367" s="210"/>
      <c r="P367" s="210"/>
      <c r="Q367" s="210"/>
      <c r="R367" s="210"/>
      <c r="V367" s="210"/>
      <c r="Y367" s="210"/>
      <c r="Z367" s="238"/>
      <c r="AA367" s="210"/>
      <c r="AB367" s="210"/>
      <c r="AC367" s="210"/>
      <c r="AD367" s="210"/>
      <c r="AE367" s="210"/>
      <c r="AF367" s="210"/>
      <c r="AI367" s="210"/>
      <c r="AJ367" s="210"/>
      <c r="AK367" s="214"/>
      <c r="AL367" s="210"/>
    </row>
    <row r="368" spans="3:40" x14ac:dyDescent="0.3">
      <c r="C368" s="44"/>
      <c r="F368" s="123"/>
      <c r="H368" s="123"/>
      <c r="I368" s="123"/>
      <c r="J368" s="188"/>
      <c r="K368" s="188"/>
      <c r="L368" s="123"/>
      <c r="M368" s="123"/>
      <c r="N368" s="236"/>
      <c r="O368" s="236"/>
      <c r="P368" s="123"/>
      <c r="Q368" s="123"/>
      <c r="R368" s="123"/>
      <c r="T368" s="44"/>
      <c r="V368" s="123"/>
      <c r="Y368" s="123"/>
      <c r="Z368" s="188"/>
      <c r="AA368" s="123"/>
      <c r="AB368" s="123"/>
      <c r="AC368" s="123"/>
      <c r="AD368" s="123"/>
      <c r="AE368" s="123"/>
      <c r="AF368" s="123"/>
      <c r="AH368" s="236"/>
      <c r="AI368" s="123"/>
      <c r="AJ368" s="123"/>
      <c r="AL368" s="123"/>
      <c r="AM368" s="160"/>
      <c r="AN368" s="160"/>
    </row>
    <row r="369" spans="3:40" x14ac:dyDescent="0.3">
      <c r="F369" s="210"/>
      <c r="H369" s="210"/>
      <c r="I369" s="210"/>
      <c r="J369" s="238"/>
      <c r="K369" s="238"/>
      <c r="L369" s="210"/>
      <c r="M369" s="210"/>
      <c r="N369" s="210"/>
      <c r="O369" s="210"/>
      <c r="P369" s="210"/>
      <c r="Q369" s="210"/>
      <c r="R369" s="210"/>
      <c r="V369" s="210"/>
      <c r="Y369" s="210"/>
      <c r="Z369" s="238"/>
      <c r="AA369" s="210"/>
      <c r="AB369" s="210"/>
      <c r="AC369" s="210"/>
      <c r="AD369" s="210"/>
      <c r="AE369" s="210"/>
      <c r="AF369" s="210"/>
      <c r="AI369" s="210"/>
      <c r="AJ369" s="210"/>
      <c r="AK369" s="214"/>
      <c r="AL369" s="210"/>
    </row>
    <row r="370" spans="3:40" x14ac:dyDescent="0.3">
      <c r="C370" s="42"/>
      <c r="J370" s="188"/>
      <c r="K370" s="188"/>
      <c r="T370" s="42"/>
      <c r="Z370" s="188"/>
    </row>
    <row r="371" spans="3:40" x14ac:dyDescent="0.3">
      <c r="C371" s="42"/>
      <c r="J371" s="188"/>
      <c r="K371" s="188"/>
      <c r="T371" s="42"/>
      <c r="Z371" s="188"/>
    </row>
    <row r="372" spans="3:40" x14ac:dyDescent="0.3">
      <c r="C372" s="42"/>
      <c r="F372" s="184"/>
      <c r="H372" s="184"/>
      <c r="I372" s="184"/>
      <c r="J372" s="238"/>
      <c r="K372" s="238"/>
      <c r="L372" s="123"/>
      <c r="M372" s="123"/>
      <c r="N372" s="160"/>
      <c r="O372" s="160"/>
      <c r="P372" s="123"/>
      <c r="Q372" s="123"/>
      <c r="R372" s="123"/>
      <c r="T372" s="42"/>
      <c r="V372" s="123"/>
      <c r="Y372" s="123"/>
      <c r="Z372" s="238"/>
      <c r="AA372" s="123"/>
      <c r="AB372" s="123"/>
      <c r="AC372" s="160"/>
      <c r="AD372" s="160"/>
      <c r="AE372" s="123"/>
      <c r="AF372" s="123"/>
      <c r="AH372" s="236"/>
      <c r="AI372" s="123"/>
      <c r="AJ372" s="123"/>
      <c r="AL372" s="123"/>
      <c r="AM372" s="160"/>
      <c r="AN372" s="160"/>
    </row>
    <row r="373" spans="3:40" x14ac:dyDescent="0.3">
      <c r="C373" s="42"/>
      <c r="F373" s="184"/>
      <c r="H373" s="184"/>
      <c r="I373" s="184"/>
      <c r="J373" s="238"/>
      <c r="K373" s="238"/>
      <c r="L373" s="123"/>
      <c r="M373" s="123"/>
      <c r="N373" s="160"/>
      <c r="O373" s="160"/>
      <c r="P373" s="123"/>
      <c r="Q373" s="123"/>
      <c r="R373" s="123"/>
      <c r="T373" s="42"/>
      <c r="V373" s="123"/>
      <c r="Y373" s="123"/>
      <c r="Z373" s="238"/>
      <c r="AA373" s="123"/>
      <c r="AB373" s="123"/>
      <c r="AC373" s="160"/>
      <c r="AD373" s="160"/>
      <c r="AE373" s="123"/>
      <c r="AF373" s="123"/>
      <c r="AH373" s="236"/>
      <c r="AI373" s="123"/>
      <c r="AJ373" s="123"/>
      <c r="AL373" s="123"/>
      <c r="AM373" s="160"/>
      <c r="AN373" s="160"/>
    </row>
    <row r="374" spans="3:40" x14ac:dyDescent="0.3">
      <c r="C374" s="42"/>
      <c r="F374" s="184"/>
      <c r="H374" s="184"/>
      <c r="I374" s="184"/>
      <c r="J374" s="238"/>
      <c r="K374" s="238"/>
      <c r="L374" s="123"/>
      <c r="M374" s="123"/>
      <c r="N374" s="160"/>
      <c r="O374" s="160"/>
      <c r="P374" s="123"/>
      <c r="Q374" s="123"/>
      <c r="R374" s="123"/>
      <c r="T374" s="42"/>
      <c r="V374" s="123"/>
      <c r="Y374" s="123"/>
      <c r="Z374" s="238"/>
      <c r="AA374" s="123"/>
      <c r="AB374" s="123"/>
      <c r="AC374" s="160"/>
      <c r="AD374" s="160"/>
      <c r="AE374" s="123"/>
      <c r="AF374" s="123"/>
      <c r="AH374" s="236"/>
      <c r="AI374" s="123"/>
      <c r="AJ374" s="123"/>
      <c r="AL374" s="123"/>
      <c r="AM374" s="160"/>
      <c r="AN374" s="160"/>
    </row>
    <row r="375" spans="3:40" x14ac:dyDescent="0.3">
      <c r="C375" s="42"/>
      <c r="F375" s="184"/>
      <c r="H375" s="184"/>
      <c r="I375" s="184"/>
      <c r="J375" s="238"/>
      <c r="K375" s="238"/>
      <c r="L375" s="123"/>
      <c r="M375" s="123"/>
      <c r="N375" s="160"/>
      <c r="O375" s="160"/>
      <c r="P375" s="123"/>
      <c r="Q375" s="123"/>
      <c r="R375" s="123"/>
      <c r="T375" s="42"/>
      <c r="V375" s="123"/>
      <c r="Y375" s="123"/>
      <c r="Z375" s="238"/>
      <c r="AA375" s="123"/>
      <c r="AB375" s="123"/>
      <c r="AC375" s="160"/>
      <c r="AD375" s="160"/>
      <c r="AE375" s="123"/>
      <c r="AF375" s="123"/>
      <c r="AH375" s="236"/>
      <c r="AI375" s="123"/>
      <c r="AJ375" s="123"/>
      <c r="AL375" s="123"/>
      <c r="AM375" s="160"/>
      <c r="AN375" s="160"/>
    </row>
    <row r="376" spans="3:40" x14ac:dyDescent="0.3">
      <c r="C376" s="42"/>
      <c r="F376" s="184"/>
      <c r="H376" s="184"/>
      <c r="I376" s="184"/>
      <c r="J376" s="238"/>
      <c r="K376" s="238"/>
      <c r="L376" s="123"/>
      <c r="M376" s="123"/>
      <c r="N376" s="160"/>
      <c r="O376" s="160"/>
      <c r="P376" s="123"/>
      <c r="Q376" s="123"/>
      <c r="R376" s="123"/>
      <c r="T376" s="42"/>
      <c r="V376" s="123"/>
      <c r="Y376" s="123"/>
      <c r="Z376" s="238"/>
      <c r="AA376" s="123"/>
      <c r="AB376" s="123"/>
      <c r="AC376" s="160"/>
      <c r="AD376" s="160"/>
      <c r="AE376" s="123"/>
      <c r="AF376" s="123"/>
      <c r="AH376" s="236"/>
      <c r="AI376" s="123"/>
      <c r="AJ376" s="123"/>
      <c r="AL376" s="123"/>
      <c r="AM376" s="160"/>
      <c r="AN376" s="160"/>
    </row>
    <row r="377" spans="3:40" x14ac:dyDescent="0.3">
      <c r="C377" s="42"/>
      <c r="F377" s="184"/>
      <c r="H377" s="184"/>
      <c r="I377" s="184"/>
      <c r="J377" s="238"/>
      <c r="K377" s="238"/>
      <c r="L377" s="123"/>
      <c r="M377" s="123"/>
      <c r="N377" s="160"/>
      <c r="O377" s="160"/>
      <c r="P377" s="123"/>
      <c r="Q377" s="123"/>
      <c r="R377" s="123"/>
      <c r="T377" s="42"/>
      <c r="V377" s="123"/>
      <c r="Y377" s="123"/>
      <c r="Z377" s="238"/>
      <c r="AA377" s="123"/>
      <c r="AB377" s="123"/>
      <c r="AC377" s="160"/>
      <c r="AD377" s="160"/>
      <c r="AE377" s="123"/>
      <c r="AF377" s="123"/>
      <c r="AH377" s="236"/>
      <c r="AI377" s="123"/>
      <c r="AJ377" s="123"/>
      <c r="AL377" s="123"/>
      <c r="AM377" s="160"/>
      <c r="AN377" s="160"/>
    </row>
    <row r="378" spans="3:40" x14ac:dyDescent="0.3">
      <c r="C378" s="42"/>
      <c r="F378" s="184"/>
      <c r="H378" s="184"/>
      <c r="I378" s="184"/>
      <c r="J378" s="238"/>
      <c r="K378" s="238"/>
      <c r="L378" s="123"/>
      <c r="M378" s="123"/>
      <c r="N378" s="160"/>
      <c r="O378" s="160"/>
      <c r="P378" s="123"/>
      <c r="Q378" s="123"/>
      <c r="R378" s="123"/>
      <c r="T378" s="42"/>
      <c r="V378" s="123"/>
      <c r="Y378" s="123"/>
      <c r="Z378" s="238"/>
      <c r="AA378" s="123"/>
      <c r="AB378" s="123"/>
      <c r="AC378" s="160"/>
      <c r="AD378" s="160"/>
      <c r="AE378" s="123"/>
      <c r="AF378" s="123"/>
      <c r="AH378" s="236"/>
      <c r="AI378" s="123"/>
      <c r="AJ378" s="123"/>
      <c r="AL378" s="123"/>
      <c r="AM378" s="160"/>
      <c r="AN378" s="160"/>
    </row>
    <row r="379" spans="3:40" x14ac:dyDescent="0.3">
      <c r="C379" s="42"/>
      <c r="J379" s="188"/>
      <c r="K379" s="188"/>
      <c r="T379" s="42"/>
      <c r="Z379" s="188"/>
    </row>
    <row r="380" spans="3:40" x14ac:dyDescent="0.3">
      <c r="C380" s="42"/>
      <c r="F380" s="184"/>
      <c r="H380" s="184"/>
      <c r="I380" s="184"/>
      <c r="J380" s="238"/>
      <c r="K380" s="238"/>
      <c r="L380" s="123"/>
      <c r="M380" s="123"/>
      <c r="N380" s="160"/>
      <c r="O380" s="160"/>
      <c r="P380" s="123"/>
      <c r="Q380" s="123"/>
      <c r="R380" s="123"/>
      <c r="T380" s="42"/>
      <c r="V380" s="123"/>
      <c r="Y380" s="123"/>
      <c r="Z380" s="238"/>
      <c r="AA380" s="123"/>
      <c r="AB380" s="123"/>
      <c r="AC380" s="160"/>
      <c r="AD380" s="160"/>
      <c r="AE380" s="123"/>
      <c r="AF380" s="123"/>
      <c r="AH380" s="236"/>
      <c r="AI380" s="123"/>
      <c r="AJ380" s="123"/>
      <c r="AL380" s="123"/>
      <c r="AM380" s="160"/>
      <c r="AN380" s="160"/>
    </row>
    <row r="381" spans="3:40" x14ac:dyDescent="0.3">
      <c r="C381" s="42"/>
      <c r="F381" s="184"/>
      <c r="H381" s="184"/>
      <c r="I381" s="184"/>
      <c r="J381" s="238"/>
      <c r="K381" s="238"/>
      <c r="L381" s="123"/>
      <c r="M381" s="123"/>
      <c r="N381" s="160"/>
      <c r="O381" s="160"/>
      <c r="P381" s="123"/>
      <c r="Q381" s="123"/>
      <c r="R381" s="123"/>
      <c r="T381" s="42"/>
      <c r="V381" s="123"/>
      <c r="Y381" s="123"/>
      <c r="Z381" s="238"/>
      <c r="AA381" s="123"/>
      <c r="AB381" s="123"/>
      <c r="AC381" s="160"/>
      <c r="AD381" s="160"/>
      <c r="AE381" s="123"/>
      <c r="AF381" s="123"/>
      <c r="AH381" s="236"/>
      <c r="AI381" s="123"/>
      <c r="AJ381" s="123"/>
      <c r="AL381" s="123"/>
      <c r="AM381" s="160"/>
      <c r="AN381" s="160"/>
    </row>
    <row r="382" spans="3:40" x14ac:dyDescent="0.3">
      <c r="C382" s="42"/>
      <c r="F382" s="184"/>
      <c r="H382" s="184"/>
      <c r="I382" s="184"/>
      <c r="J382" s="238"/>
      <c r="K382" s="238"/>
      <c r="L382" s="123"/>
      <c r="M382" s="123"/>
      <c r="N382" s="160"/>
      <c r="O382" s="160"/>
      <c r="P382" s="123"/>
      <c r="Q382" s="123"/>
      <c r="R382" s="123"/>
      <c r="T382" s="42"/>
      <c r="V382" s="123"/>
      <c r="Y382" s="123"/>
      <c r="Z382" s="238"/>
      <c r="AA382" s="123"/>
      <c r="AB382" s="123"/>
      <c r="AC382" s="160"/>
      <c r="AD382" s="160"/>
      <c r="AE382" s="123"/>
      <c r="AF382" s="123"/>
      <c r="AH382" s="236"/>
      <c r="AI382" s="123"/>
      <c r="AJ382" s="123"/>
      <c r="AL382" s="123"/>
      <c r="AM382" s="160"/>
      <c r="AN382" s="160"/>
    </row>
    <row r="383" spans="3:40" x14ac:dyDescent="0.3">
      <c r="C383" s="42"/>
      <c r="F383" s="184"/>
      <c r="H383" s="184"/>
      <c r="I383" s="184"/>
      <c r="J383" s="238"/>
      <c r="K383" s="238"/>
      <c r="L383" s="123"/>
      <c r="M383" s="123"/>
      <c r="N383" s="160"/>
      <c r="O383" s="160"/>
      <c r="P383" s="123"/>
      <c r="Q383" s="123"/>
      <c r="R383" s="123"/>
      <c r="T383" s="42"/>
      <c r="V383" s="123"/>
      <c r="Y383" s="123"/>
      <c r="Z383" s="238"/>
      <c r="AA383" s="123"/>
      <c r="AB383" s="123"/>
      <c r="AC383" s="160"/>
      <c r="AD383" s="160"/>
      <c r="AE383" s="123"/>
      <c r="AF383" s="123"/>
      <c r="AH383" s="236"/>
      <c r="AI383" s="123"/>
      <c r="AJ383" s="123"/>
      <c r="AL383" s="123"/>
      <c r="AM383" s="160"/>
      <c r="AN383" s="160"/>
    </row>
    <row r="384" spans="3:40" x14ac:dyDescent="0.3">
      <c r="C384" s="42"/>
      <c r="J384" s="188"/>
      <c r="K384" s="188"/>
      <c r="T384" s="42"/>
      <c r="Z384" s="188"/>
    </row>
    <row r="385" spans="3:40" x14ac:dyDescent="0.3">
      <c r="C385" s="42"/>
      <c r="F385" s="184"/>
      <c r="H385" s="184"/>
      <c r="I385" s="184"/>
      <c r="J385" s="238"/>
      <c r="K385" s="238"/>
      <c r="L385" s="123"/>
      <c r="M385" s="123"/>
      <c r="N385" s="160"/>
      <c r="O385" s="160"/>
      <c r="P385" s="123"/>
      <c r="Q385" s="123"/>
      <c r="R385" s="123"/>
      <c r="T385" s="42"/>
      <c r="V385" s="123"/>
      <c r="Y385" s="123"/>
      <c r="Z385" s="238"/>
      <c r="AA385" s="123"/>
      <c r="AB385" s="123"/>
      <c r="AC385" s="160"/>
      <c r="AD385" s="160"/>
      <c r="AE385" s="123"/>
      <c r="AF385" s="123"/>
      <c r="AH385" s="236"/>
      <c r="AI385" s="123"/>
      <c r="AJ385" s="123"/>
      <c r="AL385" s="123"/>
      <c r="AM385" s="160"/>
      <c r="AN385" s="160"/>
    </row>
    <row r="386" spans="3:40" x14ac:dyDescent="0.3">
      <c r="C386" s="42"/>
      <c r="F386" s="184"/>
      <c r="H386" s="184"/>
      <c r="I386" s="184"/>
      <c r="J386" s="238"/>
      <c r="K386" s="238"/>
      <c r="L386" s="123"/>
      <c r="M386" s="123"/>
      <c r="N386" s="160"/>
      <c r="O386" s="160"/>
      <c r="P386" s="123"/>
      <c r="Q386" s="123"/>
      <c r="R386" s="123"/>
      <c r="T386" s="42"/>
      <c r="V386" s="123"/>
      <c r="Y386" s="123"/>
      <c r="Z386" s="238"/>
      <c r="AA386" s="123"/>
      <c r="AB386" s="123"/>
      <c r="AC386" s="160"/>
      <c r="AD386" s="160"/>
      <c r="AE386" s="123"/>
      <c r="AF386" s="123"/>
      <c r="AH386" s="236"/>
      <c r="AI386" s="123"/>
      <c r="AJ386" s="123"/>
      <c r="AL386" s="123"/>
      <c r="AM386" s="160"/>
      <c r="AN386" s="160"/>
    </row>
    <row r="387" spans="3:40" x14ac:dyDescent="0.3">
      <c r="C387" s="42"/>
      <c r="F387" s="184"/>
      <c r="H387" s="184"/>
      <c r="I387" s="184"/>
      <c r="J387" s="238"/>
      <c r="K387" s="238"/>
      <c r="L387" s="123"/>
      <c r="M387" s="123"/>
      <c r="N387" s="160"/>
      <c r="O387" s="160"/>
      <c r="P387" s="123"/>
      <c r="Q387" s="123"/>
      <c r="R387" s="123"/>
      <c r="T387" s="42"/>
      <c r="V387" s="123"/>
      <c r="Y387" s="123"/>
      <c r="Z387" s="238"/>
      <c r="AA387" s="123"/>
      <c r="AB387" s="123"/>
      <c r="AC387" s="160"/>
      <c r="AD387" s="160"/>
      <c r="AE387" s="123"/>
      <c r="AF387" s="123"/>
      <c r="AH387" s="236"/>
      <c r="AI387" s="123"/>
      <c r="AJ387" s="123"/>
      <c r="AL387" s="123"/>
      <c r="AM387" s="160"/>
      <c r="AN387" s="160"/>
    </row>
    <row r="388" spans="3:40" x14ac:dyDescent="0.3">
      <c r="C388" s="42"/>
      <c r="F388" s="184"/>
      <c r="H388" s="184"/>
      <c r="I388" s="184"/>
      <c r="J388" s="238"/>
      <c r="K388" s="238"/>
      <c r="L388" s="123"/>
      <c r="M388" s="123"/>
      <c r="N388" s="160"/>
      <c r="O388" s="160"/>
      <c r="P388" s="123"/>
      <c r="Q388" s="123"/>
      <c r="R388" s="123"/>
      <c r="T388" s="42"/>
      <c r="V388" s="123"/>
      <c r="Y388" s="123"/>
      <c r="Z388" s="238"/>
      <c r="AA388" s="123"/>
      <c r="AB388" s="123"/>
      <c r="AC388" s="160"/>
      <c r="AD388" s="160"/>
      <c r="AE388" s="123"/>
      <c r="AF388" s="123"/>
      <c r="AH388" s="236"/>
      <c r="AI388" s="123"/>
      <c r="AJ388" s="123"/>
      <c r="AL388" s="123"/>
      <c r="AM388" s="160"/>
      <c r="AN388" s="160"/>
    </row>
    <row r="389" spans="3:40" x14ac:dyDescent="0.3">
      <c r="C389" s="42"/>
      <c r="F389" s="184"/>
      <c r="H389" s="184"/>
      <c r="I389" s="184"/>
      <c r="J389" s="238"/>
      <c r="K389" s="238"/>
      <c r="L389" s="123"/>
      <c r="M389" s="123"/>
      <c r="N389" s="160"/>
      <c r="O389" s="160"/>
      <c r="P389" s="123"/>
      <c r="Q389" s="123"/>
      <c r="R389" s="123"/>
      <c r="T389" s="42"/>
      <c r="V389" s="123"/>
      <c r="Y389" s="123"/>
      <c r="Z389" s="238"/>
      <c r="AA389" s="123"/>
      <c r="AB389" s="123"/>
      <c r="AC389" s="160"/>
      <c r="AD389" s="160"/>
      <c r="AE389" s="123"/>
      <c r="AF389" s="123"/>
      <c r="AH389" s="236"/>
      <c r="AI389" s="123"/>
      <c r="AJ389" s="123"/>
      <c r="AL389" s="123"/>
      <c r="AM389" s="160"/>
      <c r="AN389" s="160"/>
    </row>
    <row r="390" spans="3:40" x14ac:dyDescent="0.3">
      <c r="F390" s="210"/>
      <c r="H390" s="210"/>
      <c r="I390" s="210"/>
      <c r="J390" s="213"/>
      <c r="K390" s="213"/>
      <c r="L390" s="210"/>
      <c r="M390" s="210"/>
      <c r="N390" s="210"/>
      <c r="O390" s="210"/>
      <c r="P390" s="210"/>
      <c r="Q390" s="210"/>
      <c r="R390" s="210"/>
      <c r="V390" s="210"/>
      <c r="Y390" s="210"/>
      <c r="Z390" s="238"/>
      <c r="AA390" s="210"/>
      <c r="AB390" s="210"/>
      <c r="AC390" s="210"/>
      <c r="AD390" s="210"/>
      <c r="AE390" s="210"/>
      <c r="AF390" s="210"/>
      <c r="AI390" s="210"/>
      <c r="AJ390" s="210"/>
      <c r="AK390" s="214"/>
      <c r="AL390" s="210"/>
    </row>
    <row r="391" spans="3:40" x14ac:dyDescent="0.3">
      <c r="C391" s="42"/>
      <c r="F391" s="123"/>
      <c r="H391" s="123"/>
      <c r="I391" s="123"/>
      <c r="L391" s="123"/>
      <c r="M391" s="123"/>
      <c r="N391" s="236"/>
      <c r="O391" s="236"/>
      <c r="P391" s="123"/>
      <c r="Q391" s="123"/>
      <c r="R391" s="123"/>
      <c r="T391" s="42"/>
      <c r="V391" s="123"/>
      <c r="Y391" s="123"/>
      <c r="AA391" s="123"/>
      <c r="AB391" s="123"/>
      <c r="AC391" s="160"/>
      <c r="AD391" s="160"/>
      <c r="AE391" s="123"/>
      <c r="AF391" s="123"/>
      <c r="AH391" s="236"/>
      <c r="AI391" s="123"/>
      <c r="AJ391" s="123"/>
      <c r="AL391" s="123"/>
      <c r="AM391" s="160"/>
      <c r="AN391" s="160"/>
    </row>
    <row r="392" spans="3:40" x14ac:dyDescent="0.3">
      <c r="F392" s="210"/>
      <c r="H392" s="210"/>
      <c r="I392" s="210"/>
      <c r="J392" s="213"/>
      <c r="K392" s="213"/>
      <c r="L392" s="210"/>
      <c r="M392" s="210"/>
      <c r="N392" s="210"/>
      <c r="O392" s="210"/>
      <c r="P392" s="210"/>
      <c r="Q392" s="210"/>
      <c r="R392" s="210"/>
      <c r="V392" s="210"/>
      <c r="Y392" s="210"/>
      <c r="Z392" s="213"/>
      <c r="AA392" s="210"/>
      <c r="AB392" s="210"/>
      <c r="AC392" s="210"/>
      <c r="AD392" s="210"/>
      <c r="AE392" s="210"/>
      <c r="AF392" s="210"/>
      <c r="AI392" s="210"/>
      <c r="AJ392" s="210"/>
      <c r="AK392" s="214"/>
      <c r="AL392" s="210"/>
    </row>
    <row r="393" spans="3:40" x14ac:dyDescent="0.3">
      <c r="C393" s="42"/>
      <c r="T393" s="42"/>
    </row>
    <row r="394" spans="3:40" x14ac:dyDescent="0.3">
      <c r="C394" s="42"/>
      <c r="F394" s="184"/>
      <c r="H394" s="184"/>
      <c r="I394" s="184"/>
      <c r="J394" s="193"/>
      <c r="K394" s="193"/>
      <c r="L394" s="123"/>
      <c r="M394" s="123"/>
      <c r="N394" s="160"/>
      <c r="O394" s="160"/>
      <c r="P394" s="123"/>
      <c r="Q394" s="123"/>
      <c r="R394" s="123"/>
      <c r="T394" s="42"/>
      <c r="V394" s="123"/>
      <c r="Y394" s="123"/>
      <c r="Z394" s="193"/>
      <c r="AA394" s="123"/>
      <c r="AB394" s="123"/>
      <c r="AC394" s="160"/>
      <c r="AD394" s="160"/>
      <c r="AE394" s="123"/>
      <c r="AF394" s="123"/>
      <c r="AH394" s="236"/>
      <c r="AI394" s="123"/>
      <c r="AJ394" s="123"/>
      <c r="AL394" s="123"/>
      <c r="AM394" s="160"/>
      <c r="AN394" s="160"/>
    </row>
    <row r="395" spans="3:40" x14ac:dyDescent="0.3">
      <c r="C395" s="42"/>
      <c r="F395" s="184"/>
      <c r="H395" s="184"/>
      <c r="I395" s="184"/>
      <c r="J395" s="193"/>
      <c r="K395" s="193"/>
      <c r="L395" s="123"/>
      <c r="M395" s="123"/>
      <c r="N395" s="160"/>
      <c r="O395" s="160"/>
      <c r="P395" s="123"/>
      <c r="Q395" s="123"/>
      <c r="R395" s="123"/>
      <c r="T395" s="42"/>
      <c r="V395" s="123"/>
      <c r="Y395" s="123"/>
      <c r="Z395" s="193"/>
      <c r="AA395" s="123"/>
      <c r="AB395" s="123"/>
      <c r="AC395" s="160"/>
      <c r="AD395" s="160"/>
      <c r="AE395" s="123"/>
      <c r="AF395" s="123"/>
      <c r="AH395" s="236"/>
      <c r="AI395" s="123"/>
      <c r="AJ395" s="123"/>
      <c r="AL395" s="123"/>
      <c r="AM395" s="160"/>
      <c r="AN395" s="160"/>
    </row>
    <row r="396" spans="3:40" x14ac:dyDescent="0.3">
      <c r="F396" s="210"/>
      <c r="H396" s="123"/>
      <c r="I396" s="123"/>
      <c r="J396" s="213"/>
      <c r="K396" s="213"/>
      <c r="L396" s="210"/>
      <c r="M396" s="210"/>
      <c r="N396" s="210"/>
      <c r="O396" s="210"/>
      <c r="P396" s="210"/>
      <c r="Q396" s="210"/>
      <c r="R396" s="210"/>
      <c r="V396" s="210"/>
      <c r="Y396" s="123"/>
      <c r="Z396" s="213"/>
      <c r="AA396" s="210"/>
      <c r="AB396" s="210"/>
      <c r="AC396" s="210"/>
      <c r="AD396" s="210"/>
      <c r="AE396" s="210"/>
      <c r="AF396" s="210"/>
      <c r="AI396" s="210"/>
      <c r="AJ396" s="210"/>
      <c r="AK396" s="214"/>
      <c r="AL396" s="210"/>
    </row>
    <row r="397" spans="3:40" x14ac:dyDescent="0.3">
      <c r="F397" s="123"/>
      <c r="H397" s="123"/>
      <c r="I397" s="123"/>
      <c r="J397" s="213"/>
      <c r="K397" s="213"/>
      <c r="L397" s="123"/>
      <c r="M397" s="123"/>
      <c r="N397" s="123"/>
      <c r="O397" s="123"/>
      <c r="P397" s="123"/>
      <c r="Q397" s="123"/>
      <c r="R397" s="123"/>
      <c r="V397" s="123"/>
      <c r="Y397" s="123"/>
      <c r="Z397" s="213"/>
      <c r="AA397" s="123"/>
      <c r="AB397" s="123"/>
      <c r="AC397" s="123"/>
      <c r="AD397" s="123"/>
      <c r="AE397" s="123"/>
      <c r="AF397" s="123"/>
      <c r="AI397" s="123"/>
      <c r="AJ397" s="123"/>
      <c r="AL397" s="123"/>
    </row>
    <row r="398" spans="3:40" x14ac:dyDescent="0.3">
      <c r="C398" s="42"/>
      <c r="F398" s="123"/>
      <c r="H398" s="123"/>
      <c r="I398" s="123"/>
      <c r="L398" s="123"/>
      <c r="M398" s="123"/>
      <c r="N398" s="160"/>
      <c r="O398" s="160"/>
      <c r="P398" s="123"/>
      <c r="Q398" s="123"/>
      <c r="R398" s="123"/>
      <c r="T398" s="42"/>
      <c r="V398" s="123"/>
      <c r="Y398" s="123"/>
      <c r="AA398" s="123"/>
      <c r="AB398" s="123"/>
      <c r="AC398" s="160"/>
      <c r="AD398" s="160"/>
      <c r="AE398" s="123"/>
      <c r="AF398" s="123"/>
      <c r="AH398" s="236"/>
      <c r="AI398" s="184"/>
      <c r="AJ398" s="184"/>
      <c r="AL398" s="123"/>
      <c r="AM398" s="160"/>
      <c r="AN398" s="160"/>
    </row>
    <row r="399" spans="3:40" x14ac:dyDescent="0.3">
      <c r="H399" s="210"/>
      <c r="I399" s="210"/>
      <c r="J399" s="213"/>
      <c r="K399" s="213"/>
      <c r="L399" s="210"/>
      <c r="M399" s="210"/>
      <c r="N399" s="210"/>
      <c r="O399" s="210"/>
      <c r="P399" s="210"/>
      <c r="Q399" s="210"/>
      <c r="R399" s="210"/>
      <c r="V399" s="210"/>
      <c r="Y399" s="210"/>
      <c r="Z399" s="213"/>
      <c r="AA399" s="210"/>
      <c r="AB399" s="210"/>
      <c r="AC399" s="210"/>
      <c r="AD399" s="210"/>
      <c r="AE399" s="210"/>
      <c r="AF399" s="210"/>
      <c r="AI399" s="210"/>
      <c r="AJ399" s="210"/>
      <c r="AK399" s="214"/>
      <c r="AL399" s="210"/>
    </row>
    <row r="400" spans="3:40" x14ac:dyDescent="0.3">
      <c r="F400" s="210"/>
    </row>
    <row r="401" spans="1:38" x14ac:dyDescent="0.3">
      <c r="A401" s="42"/>
      <c r="T401" s="42"/>
    </row>
    <row r="402" spans="1:38" x14ac:dyDescent="0.3">
      <c r="A402" s="42"/>
      <c r="T402" s="42"/>
    </row>
    <row r="403" spans="1:38" x14ac:dyDescent="0.3">
      <c r="A403" s="42"/>
      <c r="T403" s="42"/>
    </row>
    <row r="404" spans="1:38" x14ac:dyDescent="0.3">
      <c r="A404" s="42"/>
      <c r="T404" s="42"/>
    </row>
    <row r="405" spans="1:38" x14ac:dyDescent="0.3">
      <c r="A405" s="42"/>
      <c r="T405" s="42"/>
    </row>
    <row r="406" spans="1:38" x14ac:dyDescent="0.3">
      <c r="A406" s="42"/>
      <c r="T406" s="42"/>
    </row>
    <row r="407" spans="1:38" x14ac:dyDescent="0.3">
      <c r="A407" s="42"/>
      <c r="T407" s="42"/>
    </row>
    <row r="408" spans="1:38" x14ac:dyDescent="0.3">
      <c r="A408" s="42"/>
      <c r="T408" s="42"/>
    </row>
    <row r="409" spans="1:38" x14ac:dyDescent="0.3">
      <c r="A409" s="42"/>
      <c r="T409" s="42"/>
    </row>
    <row r="411" spans="1:38" x14ac:dyDescent="0.3">
      <c r="A411" s="42"/>
    </row>
    <row r="413" spans="1:38" x14ac:dyDescent="0.3">
      <c r="H413" s="42"/>
      <c r="I413" s="42"/>
      <c r="Y413" s="42"/>
    </row>
    <row r="415" spans="1:38" x14ac:dyDescent="0.3">
      <c r="L415" s="42"/>
      <c r="M415" s="42"/>
      <c r="AA415" s="42"/>
      <c r="AB415" s="42"/>
    </row>
    <row r="416" spans="1:38" x14ac:dyDescent="0.3">
      <c r="R416" s="42"/>
      <c r="AK416" s="206"/>
      <c r="AL416" s="42"/>
    </row>
    <row r="417" spans="1:40" x14ac:dyDescent="0.3">
      <c r="R417" s="42"/>
      <c r="AK417" s="206"/>
      <c r="AL417" s="42"/>
    </row>
    <row r="418" spans="1:40" x14ac:dyDescent="0.3">
      <c r="A418" s="42"/>
      <c r="R418" s="42"/>
      <c r="AK418" s="206"/>
      <c r="AL418" s="42"/>
    </row>
    <row r="419" spans="1:40" x14ac:dyDescent="0.3">
      <c r="L419" s="42"/>
      <c r="M419" s="42"/>
      <c r="AA419" s="42"/>
      <c r="AB419" s="42"/>
    </row>
    <row r="420" spans="1:40" x14ac:dyDescent="0.3">
      <c r="A420" s="135"/>
      <c r="B420" s="135"/>
      <c r="C420" s="135"/>
      <c r="D420" s="135"/>
      <c r="E420" s="135"/>
      <c r="F420" s="135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207"/>
      <c r="AH420" s="135"/>
      <c r="AI420" s="135"/>
      <c r="AJ420" s="135"/>
      <c r="AK420" s="207"/>
      <c r="AL420" s="135"/>
      <c r="AM420" s="135"/>
      <c r="AN420" s="135"/>
    </row>
    <row r="421" spans="1:40" x14ac:dyDescent="0.3">
      <c r="L421" s="44"/>
      <c r="M421" s="44"/>
      <c r="N421" s="44"/>
      <c r="O421" s="44"/>
      <c r="R421" s="44"/>
      <c r="AA421" s="44"/>
      <c r="AB421" s="44"/>
      <c r="AC421" s="44"/>
      <c r="AD421" s="44"/>
      <c r="AE421" s="44"/>
      <c r="AF421" s="44"/>
      <c r="AG421" s="168"/>
      <c r="AH421" s="44"/>
      <c r="AK421" s="168"/>
      <c r="AL421" s="44"/>
      <c r="AM421" s="44"/>
      <c r="AN421" s="44"/>
    </row>
    <row r="422" spans="1:40" x14ac:dyDescent="0.3">
      <c r="L422" s="44"/>
      <c r="M422" s="44"/>
      <c r="N422" s="44"/>
      <c r="O422" s="44"/>
      <c r="R422" s="44"/>
      <c r="Z422" s="44"/>
      <c r="AA422" s="44"/>
      <c r="AB422" s="44"/>
      <c r="AC422" s="44"/>
      <c r="AD422" s="44"/>
      <c r="AE422" s="44"/>
      <c r="AF422" s="44"/>
      <c r="AG422" s="168"/>
      <c r="AH422" s="44"/>
      <c r="AK422" s="168"/>
      <c r="AL422" s="44"/>
      <c r="AM422" s="44"/>
      <c r="AN422" s="44"/>
    </row>
    <row r="423" spans="1:40" x14ac:dyDescent="0.3">
      <c r="A423" s="44"/>
      <c r="C423" s="44"/>
      <c r="D423" s="44"/>
      <c r="E423" s="44"/>
      <c r="F423" s="44"/>
      <c r="J423" s="44"/>
      <c r="K423" s="44"/>
      <c r="L423" s="44"/>
      <c r="M423" s="44"/>
      <c r="N423" s="44"/>
      <c r="O423" s="44"/>
      <c r="P423" s="44"/>
      <c r="Q423" s="44"/>
      <c r="R423" s="44"/>
      <c r="T423" s="44"/>
      <c r="U423" s="44"/>
      <c r="V423" s="44"/>
      <c r="Z423" s="44"/>
      <c r="AA423" s="44"/>
      <c r="AB423" s="44"/>
      <c r="AC423" s="44"/>
      <c r="AD423" s="44"/>
      <c r="AE423" s="44"/>
      <c r="AF423" s="44"/>
      <c r="AG423" s="168"/>
      <c r="AH423" s="44"/>
      <c r="AI423" s="44"/>
      <c r="AJ423" s="44"/>
      <c r="AK423" s="168"/>
      <c r="AL423" s="44"/>
      <c r="AM423" s="44"/>
      <c r="AN423" s="44"/>
    </row>
    <row r="424" spans="1:40" x14ac:dyDescent="0.3">
      <c r="A424" s="44"/>
      <c r="C424" s="44"/>
      <c r="D424" s="44"/>
      <c r="E424" s="44"/>
      <c r="F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T424" s="44"/>
      <c r="U424" s="44"/>
      <c r="V424" s="44"/>
      <c r="Y424" s="44"/>
      <c r="Z424" s="44"/>
      <c r="AA424" s="44"/>
      <c r="AB424" s="44"/>
      <c r="AC424" s="44"/>
      <c r="AD424" s="44"/>
      <c r="AE424" s="44"/>
      <c r="AF424" s="44"/>
      <c r="AG424" s="168"/>
      <c r="AH424" s="44"/>
      <c r="AI424" s="44"/>
      <c r="AJ424" s="44"/>
      <c r="AK424" s="168"/>
      <c r="AL424" s="44"/>
      <c r="AM424" s="44"/>
      <c r="AN424" s="44"/>
    </row>
    <row r="425" spans="1:40" x14ac:dyDescent="0.3">
      <c r="C425" s="44"/>
      <c r="D425" s="44"/>
      <c r="E425" s="44"/>
      <c r="F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T425" s="44"/>
      <c r="U425" s="44"/>
      <c r="V425" s="44"/>
      <c r="Y425" s="44"/>
      <c r="Z425" s="44"/>
      <c r="AA425" s="44"/>
      <c r="AB425" s="44"/>
      <c r="AC425" s="44"/>
      <c r="AD425" s="44"/>
      <c r="AE425" s="44"/>
      <c r="AF425" s="44"/>
      <c r="AG425" s="168"/>
      <c r="AH425" s="44"/>
      <c r="AI425" s="44"/>
      <c r="AJ425" s="44"/>
      <c r="AK425" s="168"/>
      <c r="AL425" s="44"/>
      <c r="AM425" s="44"/>
      <c r="AN425" s="44"/>
    </row>
    <row r="426" spans="1:40" x14ac:dyDescent="0.3">
      <c r="A426" s="135"/>
      <c r="B426" s="135"/>
      <c r="C426" s="135"/>
      <c r="D426" s="135"/>
      <c r="E426" s="135"/>
      <c r="F426" s="135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207"/>
      <c r="AH426" s="135"/>
      <c r="AI426" s="135"/>
      <c r="AJ426" s="135"/>
      <c r="AK426" s="207"/>
      <c r="AL426" s="135"/>
      <c r="AM426" s="135"/>
      <c r="AN426" s="135"/>
    </row>
    <row r="427" spans="1:40" x14ac:dyDescent="0.3"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Y427" s="44"/>
      <c r="Z427" s="44"/>
      <c r="AA427" s="44"/>
      <c r="AB427" s="44"/>
      <c r="AC427" s="44"/>
      <c r="AD427" s="44"/>
      <c r="AE427" s="44"/>
      <c r="AF427" s="44"/>
      <c r="AG427" s="168"/>
      <c r="AH427" s="44"/>
      <c r="AI427" s="44"/>
      <c r="AJ427" s="44"/>
      <c r="AK427" s="168"/>
      <c r="AL427" s="44"/>
      <c r="AM427" s="44"/>
      <c r="AN427" s="44"/>
    </row>
    <row r="428" spans="1:40" x14ac:dyDescent="0.3">
      <c r="C428" s="42"/>
      <c r="D428" s="42"/>
      <c r="E428" s="42"/>
      <c r="T428" s="42"/>
      <c r="U428" s="42"/>
    </row>
    <row r="429" spans="1:40" x14ac:dyDescent="0.3">
      <c r="D429" s="42"/>
      <c r="E429" s="42"/>
      <c r="U429" s="42"/>
    </row>
    <row r="431" spans="1:40" x14ac:dyDescent="0.3">
      <c r="C431" s="42"/>
      <c r="F431" s="123"/>
      <c r="J431" s="209"/>
      <c r="K431" s="209"/>
      <c r="L431" s="123"/>
      <c r="M431" s="123"/>
      <c r="R431" s="123"/>
      <c r="T431" s="42"/>
      <c r="V431" s="123"/>
      <c r="Z431" s="209"/>
      <c r="AA431" s="123"/>
      <c r="AB431" s="123"/>
      <c r="AH431" s="123"/>
      <c r="AL431" s="123"/>
    </row>
    <row r="432" spans="1:40" x14ac:dyDescent="0.3">
      <c r="C432" s="42"/>
      <c r="F432" s="123"/>
      <c r="R432" s="123"/>
      <c r="T432" s="42"/>
      <c r="V432" s="123"/>
      <c r="AH432" s="123"/>
      <c r="AL432" s="123"/>
    </row>
    <row r="433" spans="3:40" x14ac:dyDescent="0.3">
      <c r="AI433" s="123"/>
      <c r="AJ433" s="123"/>
      <c r="AL433" s="123"/>
      <c r="AM433" s="160"/>
      <c r="AN433" s="160"/>
    </row>
    <row r="434" spans="3:40" x14ac:dyDescent="0.3">
      <c r="C434" s="42"/>
      <c r="F434" s="184"/>
      <c r="H434" s="184"/>
      <c r="I434" s="184"/>
      <c r="J434" s="237"/>
      <c r="K434" s="237"/>
      <c r="L434" s="123"/>
      <c r="M434" s="123"/>
      <c r="N434" s="160"/>
      <c r="O434" s="160"/>
      <c r="P434" s="123"/>
      <c r="Q434" s="123"/>
      <c r="R434" s="123"/>
      <c r="T434" s="42"/>
      <c r="V434" s="123"/>
      <c r="Y434" s="123"/>
      <c r="Z434" s="237"/>
      <c r="AA434" s="123"/>
      <c r="AB434" s="123"/>
      <c r="AC434" s="160"/>
      <c r="AD434" s="160"/>
      <c r="AE434" s="123"/>
      <c r="AF434" s="123"/>
      <c r="AH434" s="236"/>
      <c r="AI434" s="123"/>
      <c r="AJ434" s="123"/>
      <c r="AL434" s="123"/>
      <c r="AM434" s="160"/>
      <c r="AN434" s="160"/>
    </row>
    <row r="435" spans="3:40" x14ac:dyDescent="0.3">
      <c r="F435" s="123"/>
      <c r="H435" s="123"/>
      <c r="I435" s="123"/>
      <c r="J435" s="219"/>
      <c r="K435" s="219"/>
      <c r="L435" s="123"/>
      <c r="M435" s="123"/>
      <c r="P435" s="123"/>
      <c r="Q435" s="123"/>
      <c r="R435" s="123"/>
      <c r="V435" s="123"/>
      <c r="Y435" s="123"/>
      <c r="Z435" s="219"/>
      <c r="AA435" s="123"/>
      <c r="AB435" s="123"/>
      <c r="AI435" s="123"/>
      <c r="AJ435" s="123"/>
      <c r="AL435" s="123"/>
      <c r="AM435" s="160"/>
      <c r="AN435" s="160"/>
    </row>
    <row r="436" spans="3:40" x14ac:dyDescent="0.3">
      <c r="F436" s="123"/>
      <c r="R436" s="123"/>
      <c r="V436" s="123"/>
      <c r="AL436" s="123"/>
      <c r="AM436" s="160"/>
      <c r="AN436" s="160"/>
    </row>
    <row r="437" spans="3:40" x14ac:dyDescent="0.3">
      <c r="C437" s="42"/>
      <c r="F437" s="123"/>
      <c r="J437" s="209"/>
      <c r="K437" s="209"/>
      <c r="L437" s="123"/>
      <c r="M437" s="123"/>
      <c r="N437" s="160"/>
      <c r="O437" s="160"/>
      <c r="R437" s="123"/>
      <c r="T437" s="42"/>
      <c r="V437" s="123"/>
      <c r="Z437" s="209"/>
      <c r="AA437" s="123"/>
      <c r="AB437" s="123"/>
      <c r="AC437" s="160"/>
      <c r="AD437" s="160"/>
      <c r="AL437" s="123"/>
      <c r="AM437" s="160"/>
      <c r="AN437" s="160"/>
    </row>
    <row r="438" spans="3:40" x14ac:dyDescent="0.3">
      <c r="C438" s="42"/>
      <c r="F438" s="123"/>
      <c r="H438" s="123"/>
      <c r="I438" s="123"/>
      <c r="J438" s="209"/>
      <c r="K438" s="209"/>
      <c r="L438" s="123"/>
      <c r="M438" s="123"/>
      <c r="N438" s="160"/>
      <c r="O438" s="160"/>
      <c r="P438" s="123"/>
      <c r="Q438" s="123"/>
      <c r="R438" s="123"/>
      <c r="T438" s="42"/>
      <c r="V438" s="123"/>
      <c r="Y438" s="123"/>
      <c r="Z438" s="209"/>
      <c r="AA438" s="123"/>
      <c r="AB438" s="123"/>
      <c r="AC438" s="160"/>
      <c r="AD438" s="160"/>
      <c r="AI438" s="123"/>
      <c r="AJ438" s="123"/>
      <c r="AL438" s="123"/>
      <c r="AM438" s="160"/>
      <c r="AN438" s="160"/>
    </row>
    <row r="439" spans="3:40" x14ac:dyDescent="0.3">
      <c r="C439" s="42"/>
      <c r="T439" s="42"/>
      <c r="AM439" s="160"/>
      <c r="AN439" s="160"/>
    </row>
    <row r="440" spans="3:40" x14ac:dyDescent="0.3">
      <c r="C440" s="42"/>
      <c r="T440" s="42"/>
      <c r="AM440" s="160"/>
      <c r="AN440" s="160"/>
    </row>
    <row r="441" spans="3:40" x14ac:dyDescent="0.3">
      <c r="AM441" s="160"/>
      <c r="AN441" s="160"/>
    </row>
    <row r="442" spans="3:40" x14ac:dyDescent="0.3">
      <c r="C442" s="42"/>
      <c r="F442" s="184"/>
      <c r="H442" s="184"/>
      <c r="I442" s="184"/>
      <c r="J442" s="237"/>
      <c r="K442" s="237"/>
      <c r="L442" s="123"/>
      <c r="M442" s="123"/>
      <c r="N442" s="160"/>
      <c r="O442" s="160"/>
      <c r="P442" s="123"/>
      <c r="Q442" s="123"/>
      <c r="R442" s="123"/>
      <c r="T442" s="42"/>
      <c r="V442" s="123"/>
      <c r="Y442" s="123"/>
      <c r="Z442" s="237"/>
      <c r="AA442" s="123"/>
      <c r="AB442" s="123"/>
      <c r="AC442" s="160"/>
      <c r="AD442" s="160"/>
      <c r="AE442" s="123"/>
      <c r="AF442" s="123"/>
      <c r="AH442" s="236"/>
      <c r="AI442" s="123"/>
      <c r="AJ442" s="123"/>
      <c r="AL442" s="123"/>
      <c r="AM442" s="160"/>
      <c r="AN442" s="160"/>
    </row>
    <row r="443" spans="3:40" x14ac:dyDescent="0.3">
      <c r="F443" s="210"/>
      <c r="H443" s="210"/>
      <c r="I443" s="210"/>
      <c r="J443" s="213"/>
      <c r="K443" s="213"/>
      <c r="L443" s="210"/>
      <c r="M443" s="210"/>
      <c r="N443" s="210"/>
      <c r="O443" s="210"/>
      <c r="P443" s="210"/>
      <c r="Q443" s="210"/>
      <c r="R443" s="210"/>
      <c r="V443" s="210"/>
      <c r="Y443" s="210"/>
      <c r="Z443" s="213"/>
      <c r="AA443" s="210"/>
      <c r="AB443" s="210"/>
      <c r="AC443" s="210"/>
      <c r="AD443" s="210"/>
      <c r="AE443" s="210"/>
      <c r="AF443" s="210"/>
      <c r="AI443" s="210"/>
      <c r="AJ443" s="210"/>
      <c r="AK443" s="214"/>
      <c r="AL443" s="210"/>
      <c r="AM443" s="160"/>
      <c r="AN443" s="160"/>
    </row>
    <row r="444" spans="3:40" x14ac:dyDescent="0.3">
      <c r="H444" s="123"/>
      <c r="I444" s="123"/>
      <c r="Y444" s="123"/>
      <c r="AM444" s="160"/>
      <c r="AN444" s="160"/>
    </row>
    <row r="445" spans="3:40" x14ac:dyDescent="0.3">
      <c r="C445" s="42"/>
      <c r="F445" s="123"/>
      <c r="H445" s="123"/>
      <c r="I445" s="123"/>
      <c r="L445" s="123"/>
      <c r="M445" s="123"/>
      <c r="N445" s="160"/>
      <c r="O445" s="160"/>
      <c r="P445" s="184"/>
      <c r="Q445" s="184"/>
      <c r="R445" s="123"/>
      <c r="T445" s="42"/>
      <c r="V445" s="123"/>
      <c r="Y445" s="123"/>
      <c r="AA445" s="123"/>
      <c r="AB445" s="123"/>
      <c r="AC445" s="160"/>
      <c r="AD445" s="160"/>
      <c r="AE445" s="123"/>
      <c r="AF445" s="123"/>
      <c r="AH445" s="236"/>
      <c r="AI445" s="184"/>
      <c r="AJ445" s="184"/>
      <c r="AL445" s="123"/>
      <c r="AM445" s="160"/>
      <c r="AN445" s="160"/>
    </row>
    <row r="446" spans="3:40" x14ac:dyDescent="0.3">
      <c r="H446" s="210"/>
      <c r="I446" s="210"/>
      <c r="J446" s="213"/>
      <c r="K446" s="213"/>
      <c r="L446" s="210"/>
      <c r="M446" s="210"/>
      <c r="N446" s="210"/>
      <c r="O446" s="210"/>
      <c r="P446" s="210"/>
      <c r="Q446" s="210"/>
      <c r="R446" s="210"/>
      <c r="V446" s="210"/>
      <c r="Y446" s="210"/>
      <c r="Z446" s="213"/>
      <c r="AA446" s="210"/>
      <c r="AB446" s="210"/>
      <c r="AC446" s="210"/>
      <c r="AD446" s="210"/>
      <c r="AE446" s="210"/>
      <c r="AF446" s="210"/>
      <c r="AI446" s="210"/>
      <c r="AJ446" s="210"/>
      <c r="AK446" s="214"/>
      <c r="AL446" s="210"/>
      <c r="AM446" s="160"/>
      <c r="AN446" s="160"/>
    </row>
    <row r="447" spans="3:40" x14ac:dyDescent="0.3">
      <c r="F447" s="210"/>
    </row>
    <row r="448" spans="3:40" x14ac:dyDescent="0.3">
      <c r="F448" s="123"/>
      <c r="H448" s="123"/>
      <c r="I448" s="123"/>
      <c r="J448" s="219"/>
      <c r="K448" s="219"/>
      <c r="L448" s="123"/>
      <c r="M448" s="123"/>
      <c r="N448" s="123"/>
      <c r="O448" s="123"/>
      <c r="P448" s="123"/>
      <c r="Q448" s="123"/>
      <c r="R448" s="123"/>
      <c r="V448" s="123"/>
      <c r="Y448" s="123"/>
      <c r="Z448" s="219"/>
      <c r="AA448" s="123"/>
      <c r="AB448" s="123"/>
      <c r="AC448" s="123"/>
      <c r="AD448" s="123"/>
      <c r="AE448" s="123"/>
      <c r="AF448" s="123"/>
      <c r="AH448" s="123"/>
      <c r="AI448" s="123"/>
      <c r="AJ448" s="123"/>
      <c r="AL448" s="123"/>
    </row>
    <row r="449" spans="1:40" x14ac:dyDescent="0.3">
      <c r="A449" s="42"/>
    </row>
    <row r="451" spans="1:40" x14ac:dyDescent="0.3">
      <c r="H451" s="42"/>
      <c r="I451" s="42"/>
      <c r="Y451" s="42"/>
    </row>
    <row r="453" spans="1:40" x14ac:dyDescent="0.3">
      <c r="L453" s="42"/>
      <c r="M453" s="42"/>
      <c r="AA453" s="42"/>
      <c r="AB453" s="42"/>
    </row>
    <row r="454" spans="1:40" x14ac:dyDescent="0.3">
      <c r="R454" s="42"/>
      <c r="AK454" s="206"/>
      <c r="AL454" s="42"/>
    </row>
    <row r="455" spans="1:40" x14ac:dyDescent="0.3">
      <c r="R455" s="42"/>
      <c r="AK455" s="206"/>
      <c r="AL455" s="42"/>
    </row>
    <row r="456" spans="1:40" x14ac:dyDescent="0.3">
      <c r="A456" s="42"/>
      <c r="R456" s="42"/>
      <c r="AK456" s="206"/>
      <c r="AL456" s="42"/>
    </row>
    <row r="457" spans="1:40" x14ac:dyDescent="0.3">
      <c r="L457" s="42"/>
      <c r="M457" s="42"/>
      <c r="AA457" s="42"/>
      <c r="AB457" s="42"/>
    </row>
    <row r="458" spans="1:40" x14ac:dyDescent="0.3">
      <c r="A458" s="135"/>
      <c r="B458" s="135"/>
      <c r="C458" s="135"/>
      <c r="D458" s="135"/>
      <c r="E458" s="135"/>
      <c r="F458" s="135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207"/>
      <c r="AH458" s="135"/>
      <c r="AI458" s="135"/>
      <c r="AJ458" s="135"/>
      <c r="AK458" s="207"/>
      <c r="AL458" s="135"/>
      <c r="AM458" s="135"/>
      <c r="AN458" s="135"/>
    </row>
    <row r="459" spans="1:40" x14ac:dyDescent="0.3">
      <c r="L459" s="44"/>
      <c r="M459" s="44"/>
      <c r="N459" s="44"/>
      <c r="O459" s="44"/>
      <c r="R459" s="44"/>
      <c r="AA459" s="44"/>
      <c r="AB459" s="44"/>
      <c r="AC459" s="44"/>
      <c r="AD459" s="44"/>
      <c r="AE459" s="44"/>
      <c r="AF459" s="44"/>
      <c r="AG459" s="168"/>
      <c r="AH459" s="44"/>
      <c r="AK459" s="168"/>
      <c r="AL459" s="44"/>
      <c r="AM459" s="44"/>
      <c r="AN459" s="44"/>
    </row>
    <row r="460" spans="1:40" x14ac:dyDescent="0.3">
      <c r="L460" s="44"/>
      <c r="M460" s="44"/>
      <c r="N460" s="44"/>
      <c r="O460" s="44"/>
      <c r="R460" s="44"/>
      <c r="Z460" s="44"/>
      <c r="AA460" s="44"/>
      <c r="AB460" s="44"/>
      <c r="AC460" s="44"/>
      <c r="AD460" s="44"/>
      <c r="AE460" s="44"/>
      <c r="AF460" s="44"/>
      <c r="AG460" s="168"/>
      <c r="AH460" s="44"/>
      <c r="AK460" s="168"/>
      <c r="AL460" s="44"/>
      <c r="AM460" s="44"/>
      <c r="AN460" s="44"/>
    </row>
    <row r="461" spans="1:40" x14ac:dyDescent="0.3">
      <c r="A461" s="44"/>
      <c r="C461" s="44"/>
      <c r="D461" s="44"/>
      <c r="E461" s="44"/>
      <c r="F461" s="44"/>
      <c r="J461" s="44"/>
      <c r="K461" s="44"/>
      <c r="L461" s="44"/>
      <c r="M461" s="44"/>
      <c r="N461" s="44"/>
      <c r="O461" s="44"/>
      <c r="P461" s="44"/>
      <c r="Q461" s="44"/>
      <c r="R461" s="44"/>
      <c r="T461" s="44"/>
      <c r="U461" s="44"/>
      <c r="V461" s="44"/>
      <c r="Z461" s="44"/>
      <c r="AA461" s="44"/>
      <c r="AB461" s="44"/>
      <c r="AC461" s="44"/>
      <c r="AD461" s="44"/>
      <c r="AE461" s="44"/>
      <c r="AF461" s="44"/>
      <c r="AG461" s="168"/>
      <c r="AH461" s="44"/>
      <c r="AI461" s="44"/>
      <c r="AJ461" s="44"/>
      <c r="AK461" s="168"/>
      <c r="AL461" s="44"/>
      <c r="AM461" s="44"/>
      <c r="AN461" s="44"/>
    </row>
    <row r="462" spans="1:40" x14ac:dyDescent="0.3">
      <c r="A462" s="44"/>
      <c r="C462" s="44"/>
      <c r="D462" s="44"/>
      <c r="E462" s="44"/>
      <c r="F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T462" s="44"/>
      <c r="U462" s="44"/>
      <c r="V462" s="44"/>
      <c r="Y462" s="44"/>
      <c r="Z462" s="44"/>
      <c r="AA462" s="44"/>
      <c r="AB462" s="44"/>
      <c r="AC462" s="44"/>
      <c r="AD462" s="44"/>
      <c r="AE462" s="44"/>
      <c r="AF462" s="44"/>
      <c r="AG462" s="168"/>
      <c r="AH462" s="44"/>
      <c r="AI462" s="44"/>
      <c r="AJ462" s="44"/>
      <c r="AK462" s="168"/>
      <c r="AL462" s="44"/>
      <c r="AM462" s="44"/>
      <c r="AN462" s="44"/>
    </row>
    <row r="463" spans="1:40" x14ac:dyDescent="0.3">
      <c r="C463" s="44"/>
      <c r="D463" s="44"/>
      <c r="E463" s="44"/>
      <c r="F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T463" s="44"/>
      <c r="U463" s="44"/>
      <c r="V463" s="44"/>
      <c r="Y463" s="44"/>
      <c r="Z463" s="44"/>
      <c r="AA463" s="44"/>
      <c r="AB463" s="44"/>
      <c r="AC463" s="44"/>
      <c r="AD463" s="44"/>
      <c r="AE463" s="44"/>
      <c r="AF463" s="44"/>
      <c r="AG463" s="168"/>
      <c r="AH463" s="44"/>
      <c r="AI463" s="44"/>
      <c r="AJ463" s="44"/>
      <c r="AK463" s="168"/>
      <c r="AL463" s="44"/>
      <c r="AM463" s="44"/>
      <c r="AN463" s="44"/>
    </row>
    <row r="464" spans="1:40" x14ac:dyDescent="0.3">
      <c r="A464" s="135"/>
      <c r="B464" s="135"/>
      <c r="C464" s="135"/>
      <c r="D464" s="135"/>
      <c r="E464" s="135"/>
      <c r="F464" s="135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207"/>
      <c r="AH464" s="135"/>
      <c r="AI464" s="135"/>
      <c r="AJ464" s="135"/>
      <c r="AK464" s="207"/>
      <c r="AL464" s="135"/>
      <c r="AM464" s="135"/>
      <c r="AN464" s="135"/>
    </row>
    <row r="465" spans="3:40" x14ac:dyDescent="0.3"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Y465" s="44"/>
      <c r="Z465" s="44"/>
      <c r="AA465" s="44"/>
      <c r="AB465" s="44"/>
      <c r="AC465" s="44"/>
      <c r="AD465" s="44"/>
      <c r="AE465" s="44"/>
      <c r="AF465" s="44"/>
      <c r="AG465" s="168"/>
      <c r="AH465" s="44"/>
      <c r="AI465" s="44"/>
      <c r="AJ465" s="44"/>
      <c r="AK465" s="168"/>
      <c r="AL465" s="44"/>
      <c r="AM465" s="44"/>
      <c r="AN465" s="44"/>
    </row>
    <row r="466" spans="3:40" x14ac:dyDescent="0.3">
      <c r="C466" s="42"/>
      <c r="D466" s="42"/>
      <c r="E466" s="42"/>
      <c r="T466" s="42"/>
      <c r="U466" s="42"/>
      <c r="V466" s="123"/>
      <c r="W466" s="123"/>
      <c r="X466" s="123"/>
      <c r="Y466" s="123"/>
      <c r="Z466" s="237"/>
    </row>
    <row r="468" spans="3:40" x14ac:dyDescent="0.3">
      <c r="C468" s="42"/>
      <c r="T468" s="42"/>
      <c r="V468" s="123"/>
      <c r="W468" s="123"/>
      <c r="X468" s="123"/>
      <c r="Y468" s="123"/>
      <c r="Z468" s="237"/>
    </row>
    <row r="469" spans="3:40" x14ac:dyDescent="0.3">
      <c r="C469" s="42"/>
      <c r="F469" s="184"/>
      <c r="H469" s="184"/>
      <c r="I469" s="184"/>
      <c r="J469" s="238"/>
      <c r="K469" s="238"/>
      <c r="L469" s="123"/>
      <c r="M469" s="123"/>
      <c r="N469" s="160"/>
      <c r="O469" s="160"/>
      <c r="P469" s="123"/>
      <c r="Q469" s="123"/>
      <c r="R469" s="123"/>
      <c r="T469" s="42"/>
      <c r="V469" s="123"/>
      <c r="W469" s="123"/>
      <c r="X469" s="123"/>
      <c r="Y469" s="123"/>
      <c r="Z469" s="238"/>
      <c r="AA469" s="123"/>
      <c r="AB469" s="123"/>
      <c r="AC469" s="160"/>
      <c r="AD469" s="160"/>
      <c r="AE469" s="123"/>
      <c r="AF469" s="123"/>
      <c r="AH469" s="236"/>
      <c r="AI469" s="123"/>
      <c r="AJ469" s="123"/>
      <c r="AL469" s="123"/>
      <c r="AM469" s="160"/>
      <c r="AN469" s="160"/>
    </row>
    <row r="470" spans="3:40" x14ac:dyDescent="0.3">
      <c r="C470" s="42"/>
      <c r="F470" s="184"/>
      <c r="H470" s="184"/>
      <c r="I470" s="184"/>
      <c r="J470" s="238"/>
      <c r="K470" s="238"/>
      <c r="L470" s="123"/>
      <c r="M470" s="123"/>
      <c r="N470" s="160"/>
      <c r="O470" s="160"/>
      <c r="P470" s="123"/>
      <c r="Q470" s="123"/>
      <c r="R470" s="123"/>
      <c r="T470" s="42"/>
      <c r="V470" s="123"/>
      <c r="W470" s="123"/>
      <c r="X470" s="123"/>
      <c r="Y470" s="123"/>
      <c r="Z470" s="238"/>
      <c r="AA470" s="123"/>
      <c r="AB470" s="123"/>
      <c r="AC470" s="160"/>
      <c r="AD470" s="160"/>
      <c r="AE470" s="123"/>
      <c r="AF470" s="123"/>
      <c r="AH470" s="236"/>
      <c r="AI470" s="123"/>
      <c r="AJ470" s="123"/>
      <c r="AL470" s="123"/>
      <c r="AM470" s="160"/>
      <c r="AN470" s="160"/>
    </row>
    <row r="471" spans="3:40" x14ac:dyDescent="0.3">
      <c r="C471" s="42"/>
      <c r="F471" s="184"/>
      <c r="H471" s="184"/>
      <c r="I471" s="184"/>
      <c r="J471" s="238"/>
      <c r="K471" s="238"/>
      <c r="L471" s="123"/>
      <c r="M471" s="123"/>
      <c r="N471" s="160"/>
      <c r="O471" s="160"/>
      <c r="P471" s="123"/>
      <c r="Q471" s="123"/>
      <c r="R471" s="123"/>
      <c r="T471" s="42"/>
      <c r="V471" s="123"/>
      <c r="W471" s="123"/>
      <c r="X471" s="123"/>
      <c r="Y471" s="123"/>
      <c r="Z471" s="238"/>
      <c r="AA471" s="123"/>
      <c r="AB471" s="123"/>
      <c r="AC471" s="160"/>
      <c r="AD471" s="160"/>
      <c r="AE471" s="123"/>
      <c r="AF471" s="123"/>
      <c r="AH471" s="236"/>
      <c r="AI471" s="123"/>
      <c r="AJ471" s="123"/>
      <c r="AL471" s="123"/>
      <c r="AM471" s="160"/>
      <c r="AN471" s="160"/>
    </row>
    <row r="472" spans="3:40" x14ac:dyDescent="0.3">
      <c r="C472" s="42"/>
      <c r="F472" s="184"/>
      <c r="H472" s="184"/>
      <c r="I472" s="184"/>
      <c r="J472" s="238"/>
      <c r="K472" s="238"/>
      <c r="L472" s="123"/>
      <c r="M472" s="123"/>
      <c r="N472" s="160"/>
      <c r="O472" s="160"/>
      <c r="P472" s="123"/>
      <c r="Q472" s="123"/>
      <c r="R472" s="123"/>
      <c r="T472" s="42"/>
      <c r="V472" s="123"/>
      <c r="W472" s="123"/>
      <c r="X472" s="123"/>
      <c r="Y472" s="123"/>
      <c r="Z472" s="238"/>
      <c r="AA472" s="123"/>
      <c r="AB472" s="123"/>
      <c r="AC472" s="160"/>
      <c r="AD472" s="160"/>
      <c r="AE472" s="123"/>
      <c r="AF472" s="123"/>
      <c r="AH472" s="236"/>
      <c r="AI472" s="123"/>
      <c r="AJ472" s="123"/>
      <c r="AL472" s="123"/>
      <c r="AM472" s="160"/>
      <c r="AN472" s="160"/>
    </row>
    <row r="473" spans="3:40" x14ac:dyDescent="0.3">
      <c r="J473" s="188"/>
      <c r="K473" s="188"/>
      <c r="V473" s="123"/>
      <c r="W473" s="123"/>
      <c r="X473" s="123"/>
      <c r="Y473" s="123"/>
      <c r="Z473" s="238"/>
    </row>
    <row r="474" spans="3:40" x14ac:dyDescent="0.3">
      <c r="C474" s="42"/>
      <c r="F474" s="184"/>
      <c r="H474" s="184"/>
      <c r="I474" s="184"/>
      <c r="J474" s="238"/>
      <c r="K474" s="238"/>
      <c r="L474" s="123"/>
      <c r="M474" s="123"/>
      <c r="N474" s="160"/>
      <c r="O474" s="160"/>
      <c r="P474" s="123"/>
      <c r="Q474" s="123"/>
      <c r="R474" s="123"/>
      <c r="T474" s="42"/>
      <c r="V474" s="123"/>
      <c r="W474" s="123"/>
      <c r="X474" s="123"/>
      <c r="Y474" s="123"/>
      <c r="Z474" s="238"/>
      <c r="AA474" s="123"/>
      <c r="AB474" s="123"/>
      <c r="AC474" s="160"/>
      <c r="AD474" s="160"/>
      <c r="AE474" s="123"/>
      <c r="AF474" s="123"/>
      <c r="AH474" s="236"/>
      <c r="AI474" s="123"/>
      <c r="AJ474" s="123"/>
      <c r="AL474" s="123"/>
      <c r="AM474" s="236"/>
      <c r="AN474" s="236"/>
    </row>
    <row r="475" spans="3:40" x14ac:dyDescent="0.3">
      <c r="C475" s="42"/>
      <c r="J475" s="188"/>
      <c r="K475" s="188"/>
      <c r="T475" s="42"/>
      <c r="V475" s="123"/>
      <c r="W475" s="123"/>
      <c r="X475" s="123"/>
      <c r="Y475" s="123"/>
      <c r="Z475" s="238"/>
    </row>
    <row r="476" spans="3:40" x14ac:dyDescent="0.3">
      <c r="C476" s="42"/>
      <c r="F476" s="184"/>
      <c r="H476" s="184"/>
      <c r="I476" s="184"/>
      <c r="J476" s="238"/>
      <c r="K476" s="238"/>
      <c r="L476" s="123"/>
      <c r="M476" s="123"/>
      <c r="N476" s="160"/>
      <c r="O476" s="160"/>
      <c r="P476" s="123"/>
      <c r="Q476" s="123"/>
      <c r="R476" s="123"/>
      <c r="T476" s="42"/>
      <c r="V476" s="123"/>
      <c r="W476" s="123"/>
      <c r="X476" s="123"/>
      <c r="Y476" s="123"/>
      <c r="Z476" s="238"/>
      <c r="AA476" s="123"/>
      <c r="AB476" s="123"/>
      <c r="AC476" s="160"/>
      <c r="AD476" s="160"/>
      <c r="AE476" s="123"/>
      <c r="AF476" s="123"/>
      <c r="AH476" s="236"/>
      <c r="AI476" s="123"/>
      <c r="AJ476" s="123"/>
      <c r="AL476" s="123"/>
      <c r="AM476" s="236"/>
      <c r="AN476" s="236"/>
    </row>
    <row r="477" spans="3:40" x14ac:dyDescent="0.3">
      <c r="J477" s="188"/>
      <c r="K477" s="188"/>
      <c r="Z477" s="188"/>
    </row>
    <row r="478" spans="3:40" x14ac:dyDescent="0.3">
      <c r="C478" s="42"/>
      <c r="J478" s="188"/>
      <c r="K478" s="188"/>
      <c r="T478" s="42"/>
      <c r="V478" s="123"/>
      <c r="W478" s="123"/>
      <c r="X478" s="123"/>
      <c r="Y478" s="123"/>
      <c r="Z478" s="238"/>
    </row>
    <row r="479" spans="3:40" x14ac:dyDescent="0.3">
      <c r="C479" s="42"/>
      <c r="F479" s="184"/>
      <c r="H479" s="184"/>
      <c r="I479" s="184"/>
      <c r="J479" s="238"/>
      <c r="K479" s="238"/>
      <c r="L479" s="123"/>
      <c r="M479" s="123"/>
      <c r="N479" s="160"/>
      <c r="O479" s="160"/>
      <c r="P479" s="123"/>
      <c r="Q479" s="123"/>
      <c r="R479" s="123"/>
      <c r="T479" s="42"/>
      <c r="V479" s="123"/>
      <c r="W479" s="123"/>
      <c r="X479" s="123"/>
      <c r="Y479" s="123"/>
      <c r="Z479" s="238"/>
      <c r="AA479" s="123"/>
      <c r="AB479" s="123"/>
      <c r="AC479" s="160"/>
      <c r="AD479" s="160"/>
      <c r="AE479" s="123"/>
      <c r="AF479" s="123"/>
      <c r="AH479" s="236"/>
      <c r="AI479" s="123"/>
      <c r="AJ479" s="123"/>
      <c r="AL479" s="123"/>
      <c r="AM479" s="236"/>
      <c r="AN479" s="236"/>
    </row>
    <row r="480" spans="3:40" x14ac:dyDescent="0.3">
      <c r="C480" s="42"/>
      <c r="F480" s="184"/>
      <c r="H480" s="184"/>
      <c r="I480" s="184"/>
      <c r="J480" s="238"/>
      <c r="K480" s="238"/>
      <c r="L480" s="123"/>
      <c r="M480" s="123"/>
      <c r="N480" s="160"/>
      <c r="O480" s="160"/>
      <c r="P480" s="123"/>
      <c r="Q480" s="123"/>
      <c r="R480" s="123"/>
      <c r="T480" s="42"/>
      <c r="V480" s="123"/>
      <c r="W480" s="123"/>
      <c r="X480" s="123"/>
      <c r="Y480" s="123"/>
      <c r="Z480" s="238"/>
      <c r="AA480" s="123"/>
      <c r="AB480" s="123"/>
      <c r="AC480" s="160"/>
      <c r="AD480" s="160"/>
      <c r="AE480" s="123"/>
      <c r="AF480" s="123"/>
      <c r="AH480" s="236"/>
      <c r="AI480" s="123"/>
      <c r="AJ480" s="123"/>
      <c r="AL480" s="123"/>
      <c r="AM480" s="236"/>
      <c r="AN480" s="236"/>
    </row>
    <row r="481" spans="1:40" x14ac:dyDescent="0.3">
      <c r="F481" s="210"/>
      <c r="H481" s="210"/>
      <c r="I481" s="210"/>
      <c r="J481" s="238"/>
      <c r="K481" s="238"/>
      <c r="L481" s="210"/>
      <c r="M481" s="210"/>
      <c r="N481" s="210"/>
      <c r="O481" s="210"/>
      <c r="P481" s="210"/>
      <c r="Q481" s="210"/>
      <c r="R481" s="210"/>
      <c r="V481" s="210"/>
      <c r="Y481" s="210"/>
      <c r="Z481" s="213"/>
      <c r="AA481" s="210"/>
      <c r="AB481" s="210"/>
      <c r="AC481" s="210"/>
      <c r="AD481" s="210"/>
      <c r="AE481" s="210"/>
      <c r="AF481" s="210"/>
      <c r="AI481" s="210"/>
      <c r="AJ481" s="210"/>
      <c r="AK481" s="214"/>
      <c r="AL481" s="210"/>
    </row>
    <row r="482" spans="1:40" x14ac:dyDescent="0.3">
      <c r="C482" s="42"/>
      <c r="F482" s="123"/>
      <c r="H482" s="123"/>
      <c r="I482" s="123"/>
      <c r="L482" s="123"/>
      <c r="M482" s="123"/>
      <c r="N482" s="160"/>
      <c r="O482" s="160"/>
      <c r="P482" s="184"/>
      <c r="Q482" s="184"/>
      <c r="R482" s="123"/>
      <c r="T482" s="42"/>
      <c r="V482" s="123"/>
      <c r="W482" s="123"/>
      <c r="X482" s="123"/>
      <c r="Y482" s="123"/>
      <c r="Z482" s="237"/>
      <c r="AA482" s="123"/>
      <c r="AB482" s="123"/>
      <c r="AC482" s="160"/>
      <c r="AD482" s="160"/>
      <c r="AE482" s="123"/>
      <c r="AF482" s="123"/>
      <c r="AH482" s="236"/>
      <c r="AI482" s="184"/>
      <c r="AJ482" s="184"/>
      <c r="AL482" s="123"/>
      <c r="AM482" s="236"/>
      <c r="AN482" s="236"/>
    </row>
    <row r="483" spans="1:40" x14ac:dyDescent="0.3">
      <c r="H483" s="210"/>
      <c r="I483" s="210"/>
      <c r="J483" s="213"/>
      <c r="K483" s="213"/>
      <c r="L483" s="210"/>
      <c r="M483" s="210"/>
      <c r="N483" s="210"/>
      <c r="O483" s="210"/>
      <c r="P483" s="210"/>
      <c r="Q483" s="210"/>
      <c r="R483" s="210"/>
      <c r="V483" s="210"/>
      <c r="Y483" s="210"/>
      <c r="Z483" s="213"/>
      <c r="AA483" s="210"/>
      <c r="AB483" s="210"/>
      <c r="AC483" s="210"/>
      <c r="AD483" s="210"/>
      <c r="AE483" s="210"/>
      <c r="AF483" s="210"/>
      <c r="AI483" s="210"/>
      <c r="AJ483" s="210"/>
      <c r="AK483" s="214"/>
      <c r="AL483" s="210"/>
    </row>
    <row r="484" spans="1:40" x14ac:dyDescent="0.3">
      <c r="F484" s="210"/>
    </row>
    <row r="486" spans="1:40" x14ac:dyDescent="0.3">
      <c r="A486" s="42"/>
    </row>
    <row r="488" spans="1:40" x14ac:dyDescent="0.3">
      <c r="H488" s="42"/>
      <c r="I488" s="42"/>
      <c r="Y488" s="42"/>
    </row>
    <row r="490" spans="1:40" x14ac:dyDescent="0.3">
      <c r="L490" s="42"/>
      <c r="M490" s="42"/>
      <c r="AA490" s="42"/>
      <c r="AB490" s="42"/>
    </row>
    <row r="491" spans="1:40" x14ac:dyDescent="0.3">
      <c r="R491" s="42"/>
      <c r="AK491" s="206"/>
      <c r="AL491" s="42"/>
    </row>
    <row r="492" spans="1:40" x14ac:dyDescent="0.3">
      <c r="R492" s="42"/>
      <c r="AK492" s="206"/>
      <c r="AL492" s="42"/>
    </row>
    <row r="493" spans="1:40" x14ac:dyDescent="0.3">
      <c r="A493" s="42"/>
      <c r="R493" s="42"/>
      <c r="AK493" s="206"/>
      <c r="AL493" s="42"/>
    </row>
    <row r="494" spans="1:40" x14ac:dyDescent="0.3">
      <c r="L494" s="42"/>
      <c r="M494" s="42"/>
      <c r="AA494" s="42"/>
      <c r="AB494" s="42"/>
    </row>
    <row r="495" spans="1:40" x14ac:dyDescent="0.3">
      <c r="A495" s="135"/>
      <c r="B495" s="135"/>
      <c r="C495" s="135"/>
      <c r="D495" s="135"/>
      <c r="E495" s="135"/>
      <c r="F495" s="135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207"/>
      <c r="AH495" s="135"/>
      <c r="AI495" s="135"/>
      <c r="AJ495" s="135"/>
      <c r="AK495" s="207"/>
      <c r="AL495" s="135"/>
      <c r="AM495" s="135"/>
      <c r="AN495" s="135"/>
    </row>
    <row r="496" spans="1:40" x14ac:dyDescent="0.3">
      <c r="L496" s="44"/>
      <c r="M496" s="44"/>
      <c r="N496" s="44"/>
      <c r="O496" s="44"/>
      <c r="R496" s="44"/>
      <c r="AA496" s="44"/>
      <c r="AB496" s="44"/>
      <c r="AC496" s="44"/>
      <c r="AD496" s="44"/>
      <c r="AE496" s="44"/>
      <c r="AF496" s="44"/>
      <c r="AG496" s="168"/>
      <c r="AH496" s="44"/>
      <c r="AK496" s="168"/>
      <c r="AL496" s="44"/>
      <c r="AM496" s="44"/>
      <c r="AN496" s="44"/>
    </row>
    <row r="497" spans="1:40" x14ac:dyDescent="0.3">
      <c r="L497" s="44"/>
      <c r="M497" s="44"/>
      <c r="N497" s="44"/>
      <c r="O497" s="44"/>
      <c r="R497" s="44"/>
      <c r="Z497" s="44"/>
      <c r="AA497" s="44"/>
      <c r="AB497" s="44"/>
      <c r="AC497" s="44"/>
      <c r="AD497" s="44"/>
      <c r="AE497" s="44"/>
      <c r="AF497" s="44"/>
      <c r="AG497" s="168"/>
      <c r="AH497" s="44"/>
      <c r="AK497" s="168"/>
      <c r="AL497" s="44"/>
      <c r="AM497" s="44"/>
      <c r="AN497" s="44"/>
    </row>
    <row r="498" spans="1:40" x14ac:dyDescent="0.3">
      <c r="A498" s="44"/>
      <c r="C498" s="44"/>
      <c r="D498" s="44"/>
      <c r="E498" s="44"/>
      <c r="F498" s="44"/>
      <c r="J498" s="44"/>
      <c r="K498" s="44"/>
      <c r="L498" s="44"/>
      <c r="M498" s="44"/>
      <c r="N498" s="44"/>
      <c r="O498" s="44"/>
      <c r="P498" s="44"/>
      <c r="Q498" s="44"/>
      <c r="R498" s="44"/>
      <c r="T498" s="44"/>
      <c r="U498" s="44"/>
      <c r="V498" s="44"/>
      <c r="Z498" s="44"/>
      <c r="AA498" s="44"/>
      <c r="AB498" s="44"/>
      <c r="AC498" s="44"/>
      <c r="AD498" s="44"/>
      <c r="AE498" s="44"/>
      <c r="AF498" s="44"/>
      <c r="AG498" s="168"/>
      <c r="AH498" s="44"/>
      <c r="AI498" s="44"/>
      <c r="AJ498" s="44"/>
      <c r="AK498" s="168"/>
      <c r="AL498" s="44"/>
      <c r="AM498" s="44"/>
      <c r="AN498" s="44"/>
    </row>
    <row r="499" spans="1:40" x14ac:dyDescent="0.3">
      <c r="A499" s="44"/>
      <c r="C499" s="44"/>
      <c r="D499" s="44"/>
      <c r="E499" s="44"/>
      <c r="F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T499" s="44"/>
      <c r="U499" s="44"/>
      <c r="V499" s="44"/>
      <c r="Y499" s="44"/>
      <c r="Z499" s="44"/>
      <c r="AA499" s="44"/>
      <c r="AB499" s="44"/>
      <c r="AC499" s="44"/>
      <c r="AD499" s="44"/>
      <c r="AE499" s="44"/>
      <c r="AF499" s="44"/>
      <c r="AG499" s="168"/>
      <c r="AH499" s="44"/>
      <c r="AI499" s="44"/>
      <c r="AJ499" s="44"/>
      <c r="AK499" s="168"/>
      <c r="AL499" s="44"/>
      <c r="AM499" s="44"/>
      <c r="AN499" s="44"/>
    </row>
    <row r="500" spans="1:40" x14ac:dyDescent="0.3">
      <c r="C500" s="44"/>
      <c r="D500" s="44"/>
      <c r="E500" s="44"/>
      <c r="F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T500" s="44"/>
      <c r="U500" s="44"/>
      <c r="V500" s="44"/>
      <c r="Y500" s="44"/>
      <c r="Z500" s="44"/>
      <c r="AA500" s="44"/>
      <c r="AB500" s="44"/>
      <c r="AC500" s="44"/>
      <c r="AD500" s="44"/>
      <c r="AE500" s="44"/>
      <c r="AF500" s="44"/>
      <c r="AG500" s="168"/>
      <c r="AH500" s="44"/>
      <c r="AI500" s="44"/>
      <c r="AJ500" s="44"/>
      <c r="AK500" s="168"/>
      <c r="AL500" s="44"/>
      <c r="AM500" s="44"/>
      <c r="AN500" s="44"/>
    </row>
    <row r="501" spans="1:40" x14ac:dyDescent="0.3">
      <c r="A501" s="135"/>
      <c r="B501" s="135"/>
      <c r="C501" s="135"/>
      <c r="D501" s="135"/>
      <c r="E501" s="135"/>
      <c r="F501" s="135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207"/>
      <c r="AH501" s="135"/>
      <c r="AI501" s="135"/>
      <c r="AJ501" s="135"/>
      <c r="AK501" s="207"/>
      <c r="AL501" s="135"/>
      <c r="AM501" s="135"/>
      <c r="AN501" s="135"/>
    </row>
    <row r="502" spans="1:40" x14ac:dyDescent="0.3"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Y502" s="44"/>
      <c r="Z502" s="44"/>
      <c r="AA502" s="44"/>
      <c r="AB502" s="44"/>
      <c r="AC502" s="44"/>
      <c r="AD502" s="44"/>
      <c r="AE502" s="44"/>
      <c r="AF502" s="44"/>
      <c r="AG502" s="168"/>
      <c r="AH502" s="44"/>
      <c r="AI502" s="44"/>
      <c r="AJ502" s="44"/>
      <c r="AK502" s="168"/>
      <c r="AL502" s="44"/>
      <c r="AM502" s="44"/>
      <c r="AN502" s="44"/>
    </row>
    <row r="503" spans="1:40" x14ac:dyDescent="0.3">
      <c r="C503" s="42"/>
      <c r="D503" s="42"/>
      <c r="E503" s="42"/>
      <c r="T503" s="42"/>
      <c r="U503" s="42"/>
    </row>
    <row r="505" spans="1:40" x14ac:dyDescent="0.3">
      <c r="C505" s="42"/>
      <c r="T505" s="42"/>
    </row>
    <row r="506" spans="1:40" x14ac:dyDescent="0.3">
      <c r="C506" s="42"/>
      <c r="T506" s="42"/>
    </row>
    <row r="507" spans="1:40" x14ac:dyDescent="0.3">
      <c r="C507" s="42"/>
      <c r="F507" s="184"/>
      <c r="H507" s="184"/>
      <c r="I507" s="184"/>
      <c r="J507" s="238"/>
      <c r="K507" s="238"/>
      <c r="L507" s="123"/>
      <c r="M507" s="123"/>
      <c r="N507" s="160"/>
      <c r="O507" s="160"/>
      <c r="P507" s="123"/>
      <c r="Q507" s="123"/>
      <c r="R507" s="123"/>
      <c r="T507" s="42"/>
      <c r="V507" s="123"/>
      <c r="W507" s="123"/>
      <c r="X507" s="123"/>
      <c r="Y507" s="123"/>
      <c r="Z507" s="238"/>
      <c r="AA507" s="123"/>
      <c r="AB507" s="123"/>
      <c r="AC507" s="160"/>
      <c r="AD507" s="160"/>
      <c r="AE507" s="123"/>
      <c r="AF507" s="123"/>
      <c r="AH507" s="236"/>
      <c r="AI507" s="123"/>
      <c r="AJ507" s="123"/>
      <c r="AL507" s="123"/>
      <c r="AM507" s="236"/>
      <c r="AN507" s="236"/>
    </row>
    <row r="508" spans="1:40" x14ac:dyDescent="0.3">
      <c r="C508" s="42"/>
      <c r="F508" s="123"/>
      <c r="H508" s="123"/>
      <c r="I508" s="123"/>
      <c r="J508" s="188"/>
      <c r="K508" s="188"/>
      <c r="L508" s="123"/>
      <c r="M508" s="123"/>
      <c r="N508" s="160"/>
      <c r="O508" s="160"/>
      <c r="P508" s="123"/>
      <c r="Q508" s="123"/>
      <c r="R508" s="123"/>
      <c r="T508" s="42"/>
      <c r="V508" s="123"/>
      <c r="W508" s="123"/>
      <c r="X508" s="123"/>
      <c r="Y508" s="123"/>
      <c r="Z508" s="188"/>
      <c r="AA508" s="123"/>
      <c r="AB508" s="123"/>
      <c r="AC508" s="160"/>
      <c r="AD508" s="160"/>
      <c r="AE508" s="123"/>
      <c r="AF508" s="123"/>
      <c r="AH508" s="236"/>
      <c r="AI508" s="123"/>
      <c r="AJ508" s="123"/>
      <c r="AL508" s="123"/>
      <c r="AM508" s="236"/>
      <c r="AN508" s="236"/>
    </row>
    <row r="509" spans="1:40" x14ac:dyDescent="0.3">
      <c r="C509" s="42"/>
      <c r="F509" s="123"/>
      <c r="H509" s="123"/>
      <c r="I509" s="123"/>
      <c r="J509" s="188"/>
      <c r="K509" s="188"/>
      <c r="L509" s="123"/>
      <c r="M509" s="123"/>
      <c r="N509" s="160"/>
      <c r="O509" s="160"/>
      <c r="P509" s="123"/>
      <c r="Q509" s="123"/>
      <c r="R509" s="123"/>
      <c r="T509" s="42"/>
      <c r="V509" s="123"/>
      <c r="W509" s="123"/>
      <c r="X509" s="123"/>
      <c r="Y509" s="123"/>
      <c r="Z509" s="188"/>
      <c r="AA509" s="123"/>
      <c r="AB509" s="123"/>
      <c r="AC509" s="160"/>
      <c r="AD509" s="160"/>
      <c r="AE509" s="123"/>
      <c r="AF509" s="123"/>
      <c r="AH509" s="236"/>
      <c r="AI509" s="123"/>
      <c r="AJ509" s="123"/>
      <c r="AL509" s="123"/>
      <c r="AM509" s="236"/>
      <c r="AN509" s="236"/>
    </row>
    <row r="510" spans="1:40" x14ac:dyDescent="0.3">
      <c r="C510" s="42"/>
      <c r="F510" s="123"/>
      <c r="H510" s="123"/>
      <c r="I510" s="123"/>
      <c r="J510" s="188"/>
      <c r="K510" s="188"/>
      <c r="T510" s="42"/>
      <c r="V510" s="123"/>
      <c r="Z510" s="188"/>
    </row>
    <row r="511" spans="1:40" x14ac:dyDescent="0.3">
      <c r="C511" s="42"/>
      <c r="F511" s="184"/>
      <c r="H511" s="184"/>
      <c r="I511" s="184"/>
      <c r="J511" s="238"/>
      <c r="K511" s="238"/>
      <c r="L511" s="123"/>
      <c r="M511" s="123"/>
      <c r="N511" s="160"/>
      <c r="O511" s="160"/>
      <c r="P511" s="123"/>
      <c r="Q511" s="123"/>
      <c r="R511" s="123"/>
      <c r="T511" s="42"/>
      <c r="V511" s="123"/>
      <c r="W511" s="123"/>
      <c r="X511" s="123"/>
      <c r="Y511" s="123"/>
      <c r="Z511" s="238"/>
      <c r="AA511" s="123"/>
      <c r="AB511" s="123"/>
      <c r="AC511" s="160"/>
      <c r="AD511" s="160"/>
      <c r="AE511" s="123"/>
      <c r="AF511" s="123"/>
      <c r="AH511" s="236"/>
      <c r="AI511" s="123"/>
      <c r="AJ511" s="123"/>
      <c r="AL511" s="123"/>
      <c r="AM511" s="236"/>
      <c r="AN511" s="236"/>
    </row>
    <row r="512" spans="1:40" x14ac:dyDescent="0.3">
      <c r="C512" s="42"/>
      <c r="F512" s="123"/>
      <c r="H512" s="123"/>
      <c r="I512" s="123"/>
      <c r="J512" s="188"/>
      <c r="K512" s="188"/>
      <c r="T512" s="42"/>
      <c r="V512" s="123"/>
      <c r="W512" s="123"/>
      <c r="X512" s="123"/>
      <c r="Y512" s="123"/>
      <c r="Z512" s="188"/>
      <c r="AC512" s="160"/>
      <c r="AD512" s="160"/>
      <c r="AE512" s="123"/>
      <c r="AF512" s="123"/>
      <c r="AH512" s="236"/>
      <c r="AI512" s="123"/>
      <c r="AJ512" s="123"/>
      <c r="AL512" s="123"/>
      <c r="AM512" s="236"/>
      <c r="AN512" s="236"/>
    </row>
    <row r="513" spans="3:40" x14ac:dyDescent="0.3">
      <c r="C513" s="42"/>
      <c r="F513" s="184"/>
      <c r="H513" s="184"/>
      <c r="I513" s="184"/>
      <c r="J513" s="238"/>
      <c r="K513" s="238"/>
      <c r="L513" s="123"/>
      <c r="M513" s="123"/>
      <c r="N513" s="160"/>
      <c r="O513" s="160"/>
      <c r="P513" s="123"/>
      <c r="Q513" s="123"/>
      <c r="R513" s="123"/>
      <c r="T513" s="42"/>
      <c r="V513" s="123"/>
      <c r="W513" s="123"/>
      <c r="X513" s="123"/>
      <c r="Y513" s="123"/>
      <c r="Z513" s="238"/>
      <c r="AA513" s="123"/>
      <c r="AB513" s="123"/>
      <c r="AC513" s="160"/>
      <c r="AD513" s="160"/>
      <c r="AE513" s="123"/>
      <c r="AF513" s="123"/>
      <c r="AH513" s="236"/>
      <c r="AI513" s="123"/>
      <c r="AJ513" s="123"/>
      <c r="AL513" s="123"/>
      <c r="AM513" s="236"/>
      <c r="AN513" s="236"/>
    </row>
    <row r="514" spans="3:40" x14ac:dyDescent="0.3">
      <c r="C514" s="42"/>
      <c r="F514" s="123"/>
      <c r="H514" s="123"/>
      <c r="I514" s="123"/>
      <c r="J514" s="188"/>
      <c r="K514" s="188"/>
      <c r="L514" s="123"/>
      <c r="M514" s="123"/>
      <c r="N514" s="160"/>
      <c r="O514" s="160"/>
      <c r="P514" s="123"/>
      <c r="Q514" s="123"/>
      <c r="R514" s="123"/>
      <c r="T514" s="42"/>
      <c r="V514" s="123"/>
      <c r="W514" s="123"/>
      <c r="X514" s="123"/>
      <c r="Y514" s="123"/>
      <c r="Z514" s="188"/>
      <c r="AA514" s="123"/>
      <c r="AB514" s="123"/>
      <c r="AC514" s="160"/>
      <c r="AD514" s="160"/>
      <c r="AE514" s="123"/>
      <c r="AF514" s="123"/>
      <c r="AH514" s="236"/>
      <c r="AI514" s="123"/>
      <c r="AJ514" s="123"/>
      <c r="AL514" s="123"/>
      <c r="AM514" s="236"/>
      <c r="AN514" s="236"/>
    </row>
    <row r="515" spans="3:40" x14ac:dyDescent="0.3">
      <c r="F515" s="123"/>
      <c r="H515" s="123"/>
      <c r="I515" s="123"/>
      <c r="J515" s="188"/>
      <c r="K515" s="188"/>
      <c r="Z515" s="188"/>
    </row>
    <row r="516" spans="3:40" x14ac:dyDescent="0.3">
      <c r="C516" s="42"/>
      <c r="F516" s="123"/>
      <c r="H516" s="184"/>
      <c r="I516" s="184"/>
      <c r="J516" s="238"/>
      <c r="K516" s="238"/>
      <c r="L516" s="123"/>
      <c r="M516" s="123"/>
      <c r="N516" s="160"/>
      <c r="O516" s="160"/>
      <c r="P516" s="123"/>
      <c r="Q516" s="123"/>
      <c r="R516" s="123"/>
      <c r="T516" s="42"/>
      <c r="V516" s="123"/>
      <c r="W516" s="123"/>
      <c r="X516" s="123"/>
      <c r="Y516" s="123"/>
      <c r="Z516" s="238"/>
      <c r="AA516" s="123"/>
      <c r="AB516" s="123"/>
      <c r="AC516" s="160"/>
      <c r="AD516" s="160"/>
      <c r="AE516" s="123"/>
      <c r="AF516" s="123"/>
      <c r="AH516" s="236"/>
      <c r="AI516" s="123"/>
      <c r="AJ516" s="123"/>
      <c r="AL516" s="123"/>
      <c r="AM516" s="236"/>
      <c r="AN516" s="236"/>
    </row>
    <row r="517" spans="3:40" x14ac:dyDescent="0.3">
      <c r="F517" s="210"/>
      <c r="H517" s="210"/>
      <c r="I517" s="210"/>
      <c r="J517" s="238"/>
      <c r="K517" s="238"/>
      <c r="L517" s="210"/>
      <c r="M517" s="210"/>
      <c r="N517" s="210"/>
      <c r="O517" s="210"/>
      <c r="P517" s="210"/>
      <c r="Q517" s="210"/>
      <c r="R517" s="210"/>
      <c r="V517" s="210"/>
      <c r="Y517" s="210"/>
      <c r="Z517" s="238"/>
      <c r="AA517" s="210"/>
      <c r="AB517" s="210"/>
      <c r="AC517" s="210"/>
      <c r="AD517" s="210"/>
      <c r="AE517" s="210"/>
      <c r="AF517" s="210"/>
      <c r="AI517" s="210"/>
      <c r="AJ517" s="210"/>
      <c r="AK517" s="214"/>
      <c r="AL517" s="210"/>
    </row>
    <row r="518" spans="3:40" x14ac:dyDescent="0.3">
      <c r="C518" s="42"/>
      <c r="F518" s="123"/>
      <c r="H518" s="123"/>
      <c r="I518" s="123"/>
      <c r="J518" s="188"/>
      <c r="K518" s="188"/>
      <c r="L518" s="123"/>
      <c r="M518" s="123"/>
      <c r="P518" s="123"/>
      <c r="Q518" s="123"/>
      <c r="R518" s="123"/>
      <c r="T518" s="42"/>
      <c r="V518" s="123"/>
      <c r="Y518" s="123"/>
      <c r="Z518" s="188"/>
      <c r="AA518" s="123"/>
      <c r="AB518" s="123"/>
      <c r="AC518" s="236"/>
      <c r="AD518" s="236"/>
      <c r="AE518" s="123"/>
      <c r="AF518" s="123"/>
      <c r="AH518" s="236"/>
      <c r="AI518" s="123"/>
      <c r="AJ518" s="123"/>
      <c r="AL518" s="123"/>
      <c r="AM518" s="236"/>
      <c r="AN518" s="236"/>
    </row>
    <row r="519" spans="3:40" x14ac:dyDescent="0.3">
      <c r="F519" s="210"/>
      <c r="H519" s="210"/>
      <c r="I519" s="210"/>
      <c r="J519" s="238"/>
      <c r="K519" s="238"/>
      <c r="L519" s="210"/>
      <c r="M519" s="210"/>
      <c r="N519" s="210"/>
      <c r="O519" s="210"/>
      <c r="P519" s="210"/>
      <c r="Q519" s="210"/>
      <c r="R519" s="210"/>
      <c r="V519" s="210"/>
      <c r="Y519" s="210"/>
      <c r="Z519" s="238"/>
      <c r="AA519" s="210"/>
      <c r="AB519" s="210"/>
      <c r="AC519" s="210"/>
      <c r="AD519" s="210"/>
      <c r="AE519" s="210"/>
      <c r="AF519" s="210"/>
      <c r="AI519" s="210"/>
      <c r="AJ519" s="210"/>
      <c r="AK519" s="214"/>
      <c r="AL519" s="210"/>
    </row>
    <row r="520" spans="3:40" x14ac:dyDescent="0.3">
      <c r="J520" s="188"/>
      <c r="K520" s="188"/>
      <c r="Z520" s="188"/>
    </row>
    <row r="521" spans="3:40" x14ac:dyDescent="0.3">
      <c r="C521" s="42"/>
      <c r="J521" s="188"/>
      <c r="K521" s="188"/>
      <c r="T521" s="42"/>
      <c r="Z521" s="188"/>
    </row>
    <row r="522" spans="3:40" x14ac:dyDescent="0.3">
      <c r="C522" s="42"/>
      <c r="J522" s="188"/>
      <c r="K522" s="188"/>
      <c r="T522" s="42"/>
      <c r="Z522" s="188"/>
    </row>
    <row r="523" spans="3:40" x14ac:dyDescent="0.3">
      <c r="C523" s="42"/>
      <c r="F523" s="184"/>
      <c r="H523" s="184"/>
      <c r="I523" s="184"/>
      <c r="J523" s="238"/>
      <c r="K523" s="238"/>
      <c r="L523" s="123"/>
      <c r="M523" s="123"/>
      <c r="N523" s="160"/>
      <c r="O523" s="160"/>
      <c r="P523" s="123"/>
      <c r="Q523" s="123"/>
      <c r="R523" s="123"/>
      <c r="T523" s="42"/>
      <c r="V523" s="123"/>
      <c r="W523" s="123"/>
      <c r="X523" s="123"/>
      <c r="Y523" s="123"/>
      <c r="Z523" s="238"/>
      <c r="AA523" s="123"/>
      <c r="AB523" s="123"/>
      <c r="AC523" s="160"/>
      <c r="AD523" s="160"/>
      <c r="AE523" s="123"/>
      <c r="AF523" s="123"/>
      <c r="AH523" s="236"/>
      <c r="AI523" s="123"/>
      <c r="AJ523" s="123"/>
      <c r="AL523" s="123"/>
      <c r="AM523" s="236"/>
      <c r="AN523" s="236"/>
    </row>
    <row r="524" spans="3:40" x14ac:dyDescent="0.3">
      <c r="C524" s="42"/>
      <c r="J524" s="188"/>
      <c r="K524" s="188"/>
      <c r="T524" s="42"/>
      <c r="Z524" s="188"/>
    </row>
    <row r="525" spans="3:40" x14ac:dyDescent="0.3">
      <c r="C525" s="42"/>
      <c r="F525" s="184"/>
      <c r="H525" s="184"/>
      <c r="I525" s="184"/>
      <c r="J525" s="238"/>
      <c r="K525" s="238"/>
      <c r="L525" s="123"/>
      <c r="M525" s="123"/>
      <c r="N525" s="160"/>
      <c r="O525" s="160"/>
      <c r="P525" s="123"/>
      <c r="Q525" s="123"/>
      <c r="R525" s="123"/>
      <c r="T525" s="42"/>
      <c r="V525" s="123"/>
      <c r="W525" s="123"/>
      <c r="X525" s="123"/>
      <c r="Y525" s="123"/>
      <c r="Z525" s="238"/>
      <c r="AA525" s="123"/>
      <c r="AB525" s="123"/>
      <c r="AC525" s="160"/>
      <c r="AD525" s="160"/>
      <c r="AE525" s="123"/>
      <c r="AF525" s="123"/>
      <c r="AH525" s="236"/>
      <c r="AI525" s="123"/>
      <c r="AJ525" s="123"/>
      <c r="AL525" s="123"/>
      <c r="AM525" s="236"/>
      <c r="AN525" s="236"/>
    </row>
    <row r="526" spans="3:40" x14ac:dyDescent="0.3">
      <c r="F526" s="210"/>
      <c r="H526" s="210"/>
      <c r="I526" s="210"/>
      <c r="J526" s="238"/>
      <c r="K526" s="238"/>
      <c r="L526" s="210"/>
      <c r="M526" s="210"/>
      <c r="N526" s="210"/>
      <c r="O526" s="210"/>
      <c r="P526" s="210"/>
      <c r="Q526" s="210"/>
      <c r="R526" s="210"/>
      <c r="V526" s="210"/>
      <c r="Y526" s="210"/>
      <c r="Z526" s="238"/>
      <c r="AA526" s="210"/>
      <c r="AB526" s="210"/>
      <c r="AC526" s="210"/>
      <c r="AD526" s="210"/>
      <c r="AE526" s="210"/>
      <c r="AF526" s="210"/>
      <c r="AI526" s="210"/>
      <c r="AJ526" s="210"/>
      <c r="AK526" s="214"/>
      <c r="AL526" s="210"/>
    </row>
    <row r="527" spans="3:40" x14ac:dyDescent="0.3">
      <c r="C527" s="42"/>
      <c r="F527" s="123"/>
      <c r="H527" s="123"/>
      <c r="I527" s="123"/>
      <c r="J527" s="188"/>
      <c r="K527" s="188"/>
      <c r="L527" s="123"/>
      <c r="M527" s="123"/>
      <c r="N527" s="236"/>
      <c r="O527" s="236"/>
      <c r="P527" s="123"/>
      <c r="Q527" s="123"/>
      <c r="R527" s="123"/>
      <c r="T527" s="42"/>
      <c r="V527" s="123"/>
      <c r="Y527" s="123"/>
      <c r="Z527" s="188"/>
      <c r="AA527" s="123"/>
      <c r="AB527" s="123"/>
      <c r="AC527" s="236"/>
      <c r="AD527" s="236"/>
      <c r="AE527" s="123"/>
      <c r="AF527" s="123"/>
      <c r="AH527" s="236"/>
      <c r="AI527" s="123"/>
      <c r="AJ527" s="123"/>
      <c r="AL527" s="123"/>
      <c r="AM527" s="236"/>
      <c r="AN527" s="236"/>
    </row>
    <row r="528" spans="3:40" x14ac:dyDescent="0.3">
      <c r="F528" s="210"/>
      <c r="H528" s="210"/>
      <c r="I528" s="210"/>
      <c r="J528" s="238"/>
      <c r="K528" s="238"/>
      <c r="L528" s="210"/>
      <c r="M528" s="210"/>
      <c r="N528" s="210"/>
      <c r="O528" s="210"/>
      <c r="P528" s="210"/>
      <c r="Q528" s="210"/>
      <c r="R528" s="210"/>
      <c r="V528" s="210"/>
      <c r="Y528" s="210"/>
      <c r="Z528" s="213"/>
      <c r="AA528" s="210"/>
      <c r="AB528" s="210"/>
      <c r="AC528" s="210"/>
      <c r="AD528" s="210"/>
      <c r="AE528" s="210"/>
      <c r="AF528" s="210"/>
      <c r="AI528" s="210"/>
      <c r="AJ528" s="210"/>
      <c r="AK528" s="214"/>
      <c r="AL528" s="210"/>
    </row>
    <row r="529" spans="1:40" x14ac:dyDescent="0.3">
      <c r="J529" s="188"/>
      <c r="K529" s="188"/>
    </row>
    <row r="530" spans="1:40" x14ac:dyDescent="0.3">
      <c r="C530" s="42"/>
      <c r="F530" s="123"/>
      <c r="H530" s="123"/>
      <c r="I530" s="123"/>
      <c r="J530" s="188"/>
      <c r="K530" s="188"/>
      <c r="L530" s="123"/>
      <c r="M530" s="123"/>
      <c r="N530" s="160"/>
      <c r="O530" s="160"/>
      <c r="P530" s="184"/>
      <c r="Q530" s="184"/>
      <c r="R530" s="123"/>
      <c r="T530" s="42"/>
      <c r="V530" s="123"/>
      <c r="Y530" s="123"/>
      <c r="AA530" s="123"/>
      <c r="AB530" s="123"/>
      <c r="AC530" s="236"/>
      <c r="AD530" s="236"/>
      <c r="AE530" s="123"/>
      <c r="AF530" s="123"/>
      <c r="AH530" s="236"/>
      <c r="AI530" s="184"/>
      <c r="AJ530" s="184"/>
      <c r="AL530" s="123"/>
      <c r="AM530" s="236"/>
      <c r="AN530" s="236"/>
    </row>
    <row r="531" spans="1:40" x14ac:dyDescent="0.3">
      <c r="H531" s="210"/>
      <c r="I531" s="210"/>
      <c r="J531" s="238"/>
      <c r="K531" s="238"/>
      <c r="L531" s="210"/>
      <c r="M531" s="210"/>
      <c r="N531" s="210"/>
      <c r="O531" s="210"/>
      <c r="P531" s="210"/>
      <c r="Q531" s="210"/>
      <c r="R531" s="210"/>
      <c r="V531" s="210"/>
      <c r="Y531" s="210"/>
      <c r="Z531" s="213"/>
      <c r="AA531" s="210"/>
      <c r="AB531" s="210"/>
      <c r="AC531" s="210"/>
      <c r="AD531" s="210"/>
      <c r="AE531" s="210"/>
      <c r="AF531" s="210"/>
      <c r="AI531" s="210"/>
      <c r="AJ531" s="210"/>
      <c r="AK531" s="214"/>
      <c r="AL531" s="210"/>
    </row>
    <row r="532" spans="1:40" x14ac:dyDescent="0.3">
      <c r="F532" s="210"/>
    </row>
    <row r="534" spans="1:40" x14ac:dyDescent="0.3">
      <c r="A534" s="42"/>
    </row>
    <row r="536" spans="1:40" x14ac:dyDescent="0.3">
      <c r="H536" s="42"/>
      <c r="I536" s="42"/>
      <c r="Y536" s="42"/>
    </row>
    <row r="538" spans="1:40" x14ac:dyDescent="0.3">
      <c r="L538" s="42"/>
      <c r="M538" s="42"/>
      <c r="AA538" s="42"/>
      <c r="AB538" s="42"/>
    </row>
    <row r="539" spans="1:40" x14ac:dyDescent="0.3">
      <c r="R539" s="42"/>
      <c r="AK539" s="206"/>
      <c r="AL539" s="42"/>
    </row>
    <row r="540" spans="1:40" x14ac:dyDescent="0.3">
      <c r="R540" s="42"/>
      <c r="AK540" s="206"/>
      <c r="AL540" s="42"/>
    </row>
    <row r="541" spans="1:40" x14ac:dyDescent="0.3">
      <c r="A541" s="42"/>
      <c r="R541" s="42"/>
      <c r="AK541" s="206"/>
      <c r="AL541" s="42"/>
    </row>
    <row r="542" spans="1:40" x14ac:dyDescent="0.3">
      <c r="L542" s="42"/>
      <c r="M542" s="42"/>
      <c r="AA542" s="42"/>
      <c r="AB542" s="42"/>
    </row>
    <row r="543" spans="1:40" x14ac:dyDescent="0.3">
      <c r="A543" s="135"/>
      <c r="B543" s="135"/>
      <c r="C543" s="135"/>
      <c r="D543" s="135"/>
      <c r="E543" s="135"/>
      <c r="F543" s="135"/>
      <c r="G543" s="135"/>
      <c r="H543" s="135"/>
      <c r="I543" s="135"/>
      <c r="J543" s="135"/>
      <c r="K543" s="135"/>
      <c r="L543" s="135"/>
      <c r="M543" s="135"/>
      <c r="N543" s="135"/>
      <c r="O543" s="135"/>
      <c r="P543" s="135"/>
      <c r="Q543" s="135"/>
      <c r="R543" s="135"/>
      <c r="T543" s="135"/>
      <c r="U543" s="135"/>
      <c r="V543" s="135"/>
      <c r="W543" s="135"/>
      <c r="X543" s="135"/>
      <c r="Y543" s="135"/>
      <c r="Z543" s="135"/>
      <c r="AA543" s="135"/>
      <c r="AB543" s="135"/>
      <c r="AC543" s="135"/>
      <c r="AD543" s="135"/>
      <c r="AE543" s="135"/>
      <c r="AF543" s="135"/>
      <c r="AG543" s="207"/>
      <c r="AH543" s="135"/>
      <c r="AI543" s="135"/>
      <c r="AJ543" s="135"/>
      <c r="AK543" s="207"/>
      <c r="AL543" s="135"/>
      <c r="AM543" s="135"/>
      <c r="AN543" s="135"/>
    </row>
    <row r="544" spans="1:40" x14ac:dyDescent="0.3">
      <c r="L544" s="44"/>
      <c r="M544" s="44"/>
      <c r="N544" s="44"/>
      <c r="O544" s="44"/>
      <c r="R544" s="44"/>
      <c r="AA544" s="44"/>
      <c r="AB544" s="44"/>
      <c r="AC544" s="44"/>
      <c r="AD544" s="44"/>
      <c r="AE544" s="44"/>
      <c r="AF544" s="44"/>
      <c r="AG544" s="168"/>
      <c r="AH544" s="44"/>
      <c r="AK544" s="168"/>
      <c r="AL544" s="44"/>
      <c r="AM544" s="44"/>
      <c r="AN544" s="44"/>
    </row>
    <row r="545" spans="1:40" x14ac:dyDescent="0.3">
      <c r="L545" s="44"/>
      <c r="M545" s="44"/>
      <c r="N545" s="44"/>
      <c r="O545" s="44"/>
      <c r="R545" s="44"/>
      <c r="Z545" s="44"/>
      <c r="AA545" s="44"/>
      <c r="AB545" s="44"/>
      <c r="AC545" s="44"/>
      <c r="AD545" s="44"/>
      <c r="AE545" s="44"/>
      <c r="AF545" s="44"/>
      <c r="AG545" s="168"/>
      <c r="AH545" s="44"/>
      <c r="AK545" s="168"/>
      <c r="AL545" s="44"/>
      <c r="AM545" s="44"/>
      <c r="AN545" s="44"/>
    </row>
    <row r="546" spans="1:40" x14ac:dyDescent="0.3">
      <c r="A546" s="44"/>
      <c r="C546" s="44"/>
      <c r="D546" s="44"/>
      <c r="E546" s="44"/>
      <c r="F546" s="44"/>
      <c r="J546" s="44"/>
      <c r="K546" s="44"/>
      <c r="L546" s="44"/>
      <c r="M546" s="44"/>
      <c r="N546" s="44"/>
      <c r="O546" s="44"/>
      <c r="P546" s="44"/>
      <c r="Q546" s="44"/>
      <c r="R546" s="44"/>
      <c r="T546" s="44"/>
      <c r="U546" s="44"/>
      <c r="V546" s="44"/>
      <c r="Z546" s="44"/>
      <c r="AA546" s="44"/>
      <c r="AB546" s="44"/>
      <c r="AC546" s="44"/>
      <c r="AD546" s="44"/>
      <c r="AE546" s="44"/>
      <c r="AF546" s="44"/>
      <c r="AG546" s="168"/>
      <c r="AH546" s="44"/>
      <c r="AI546" s="44"/>
      <c r="AJ546" s="44"/>
      <c r="AK546" s="168"/>
      <c r="AL546" s="44"/>
      <c r="AM546" s="44"/>
      <c r="AN546" s="44"/>
    </row>
    <row r="547" spans="1:40" x14ac:dyDescent="0.3">
      <c r="A547" s="44"/>
      <c r="C547" s="44"/>
      <c r="D547" s="44"/>
      <c r="E547" s="44"/>
      <c r="F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T547" s="44"/>
      <c r="U547" s="44"/>
      <c r="V547" s="44"/>
      <c r="Y547" s="44"/>
      <c r="Z547" s="44"/>
      <c r="AA547" s="44"/>
      <c r="AB547" s="44"/>
      <c r="AC547" s="44"/>
      <c r="AD547" s="44"/>
      <c r="AE547" s="44"/>
      <c r="AF547" s="44"/>
      <c r="AG547" s="168"/>
      <c r="AH547" s="44"/>
      <c r="AI547" s="44"/>
      <c r="AJ547" s="44"/>
      <c r="AK547" s="168"/>
      <c r="AL547" s="44"/>
      <c r="AM547" s="44"/>
      <c r="AN547" s="44"/>
    </row>
    <row r="548" spans="1:40" x14ac:dyDescent="0.3">
      <c r="C548" s="44"/>
      <c r="D548" s="44"/>
      <c r="E548" s="44"/>
      <c r="F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T548" s="44"/>
      <c r="U548" s="44"/>
      <c r="V548" s="44"/>
      <c r="Y548" s="44"/>
      <c r="Z548" s="44"/>
      <c r="AA548" s="44"/>
      <c r="AB548" s="44"/>
      <c r="AC548" s="44"/>
      <c r="AD548" s="44"/>
      <c r="AE548" s="44"/>
      <c r="AF548" s="44"/>
      <c r="AG548" s="168"/>
      <c r="AH548" s="44"/>
      <c r="AI548" s="44"/>
      <c r="AJ548" s="44"/>
      <c r="AK548" s="168"/>
      <c r="AL548" s="44"/>
      <c r="AM548" s="44"/>
      <c r="AN548" s="44"/>
    </row>
    <row r="549" spans="1:40" x14ac:dyDescent="0.3">
      <c r="A549" s="135"/>
      <c r="B549" s="135"/>
      <c r="C549" s="135"/>
      <c r="D549" s="135"/>
      <c r="E549" s="135"/>
      <c r="F549" s="135"/>
      <c r="G549" s="135"/>
      <c r="H549" s="135"/>
      <c r="I549" s="135"/>
      <c r="J549" s="135"/>
      <c r="K549" s="135"/>
      <c r="L549" s="135"/>
      <c r="M549" s="135"/>
      <c r="N549" s="135"/>
      <c r="O549" s="135"/>
      <c r="P549" s="135"/>
      <c r="Q549" s="135"/>
      <c r="R549" s="135"/>
      <c r="T549" s="135"/>
      <c r="U549" s="135"/>
      <c r="V549" s="135"/>
      <c r="W549" s="135"/>
      <c r="X549" s="135"/>
      <c r="Y549" s="135"/>
      <c r="Z549" s="135"/>
      <c r="AA549" s="135"/>
      <c r="AB549" s="135"/>
      <c r="AC549" s="135"/>
      <c r="AD549" s="135"/>
      <c r="AE549" s="135"/>
      <c r="AF549" s="135"/>
      <c r="AG549" s="207"/>
      <c r="AH549" s="135"/>
      <c r="AI549" s="135"/>
      <c r="AJ549" s="135"/>
      <c r="AK549" s="207"/>
      <c r="AL549" s="135"/>
      <c r="AM549" s="135"/>
      <c r="AN549" s="135"/>
    </row>
    <row r="550" spans="1:40" x14ac:dyDescent="0.3"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Y550" s="44"/>
      <c r="Z550" s="44"/>
      <c r="AA550" s="44"/>
      <c r="AB550" s="44"/>
      <c r="AC550" s="44"/>
      <c r="AD550" s="44"/>
      <c r="AE550" s="44"/>
      <c r="AF550" s="44"/>
      <c r="AG550" s="168"/>
      <c r="AH550" s="44"/>
      <c r="AI550" s="44"/>
      <c r="AJ550" s="44"/>
      <c r="AK550" s="168"/>
      <c r="AL550" s="44"/>
      <c r="AM550" s="44"/>
      <c r="AN550" s="44"/>
    </row>
    <row r="551" spans="1:40" x14ac:dyDescent="0.3">
      <c r="C551" s="42"/>
      <c r="D551" s="42"/>
      <c r="E551" s="42"/>
      <c r="T551" s="42"/>
      <c r="U551" s="42"/>
    </row>
    <row r="553" spans="1:40" x14ac:dyDescent="0.3">
      <c r="C553" s="42"/>
      <c r="D553" s="42"/>
      <c r="E553" s="42"/>
      <c r="T553" s="42"/>
      <c r="U553" s="42"/>
    </row>
    <row r="554" spans="1:40" x14ac:dyDescent="0.3">
      <c r="C554" s="42"/>
      <c r="T554" s="42"/>
    </row>
    <row r="555" spans="1:40" x14ac:dyDescent="0.3">
      <c r="C555" s="42"/>
      <c r="T555" s="42"/>
    </row>
    <row r="556" spans="1:40" x14ac:dyDescent="0.3">
      <c r="C556" s="42"/>
      <c r="H556" s="184"/>
      <c r="I556" s="184"/>
      <c r="J556" s="238"/>
      <c r="K556" s="238"/>
      <c r="L556" s="123"/>
      <c r="M556" s="123"/>
      <c r="N556" s="160"/>
      <c r="O556" s="160"/>
      <c r="P556" s="123"/>
      <c r="Q556" s="123"/>
      <c r="R556" s="123"/>
      <c r="T556" s="42"/>
      <c r="V556" s="123"/>
      <c r="W556" s="123"/>
      <c r="X556" s="123"/>
      <c r="Y556" s="123"/>
      <c r="Z556" s="238"/>
      <c r="AA556" s="123"/>
      <c r="AB556" s="123"/>
      <c r="AC556" s="160"/>
      <c r="AD556" s="160"/>
      <c r="AE556" s="123"/>
      <c r="AF556" s="123"/>
      <c r="AH556" s="236"/>
      <c r="AI556" s="123"/>
      <c r="AJ556" s="123"/>
      <c r="AL556" s="123"/>
      <c r="AM556" s="160"/>
      <c r="AN556" s="160"/>
    </row>
    <row r="557" spans="1:40" x14ac:dyDescent="0.3">
      <c r="C557" s="42"/>
      <c r="F557" s="184"/>
      <c r="J557" s="188"/>
      <c r="K557" s="188"/>
      <c r="T557" s="42"/>
      <c r="V557" s="123"/>
      <c r="W557" s="123"/>
      <c r="X557" s="123"/>
      <c r="Y557" s="123"/>
      <c r="Z557" s="238"/>
    </row>
    <row r="558" spans="1:40" x14ac:dyDescent="0.3">
      <c r="C558" s="42"/>
      <c r="H558" s="184"/>
      <c r="I558" s="184"/>
      <c r="J558" s="238"/>
      <c r="K558" s="238"/>
      <c r="L558" s="123"/>
      <c r="M558" s="123"/>
      <c r="N558" s="160"/>
      <c r="O558" s="160"/>
      <c r="P558" s="123"/>
      <c r="Q558" s="123"/>
      <c r="R558" s="123"/>
      <c r="T558" s="42"/>
      <c r="V558" s="123"/>
      <c r="W558" s="123"/>
      <c r="X558" s="123"/>
      <c r="Y558" s="123"/>
      <c r="Z558" s="238"/>
      <c r="AA558" s="123"/>
      <c r="AB558" s="123"/>
      <c r="AC558" s="160"/>
      <c r="AD558" s="160"/>
      <c r="AE558" s="123"/>
      <c r="AF558" s="123"/>
      <c r="AH558" s="236"/>
      <c r="AI558" s="123"/>
      <c r="AJ558" s="123"/>
      <c r="AL558" s="123"/>
      <c r="AM558" s="160"/>
      <c r="AN558" s="160"/>
    </row>
    <row r="559" spans="1:40" x14ac:dyDescent="0.3">
      <c r="C559" s="42"/>
      <c r="F559" s="184"/>
      <c r="J559" s="188"/>
      <c r="K559" s="188"/>
      <c r="T559" s="42"/>
      <c r="V559" s="123"/>
      <c r="W559" s="123"/>
      <c r="X559" s="123"/>
      <c r="Y559" s="123"/>
      <c r="Z559" s="238"/>
    </row>
    <row r="560" spans="1:40" x14ac:dyDescent="0.3">
      <c r="C560" s="42"/>
      <c r="H560" s="184"/>
      <c r="I560" s="184"/>
      <c r="J560" s="238"/>
      <c r="K560" s="238"/>
      <c r="L560" s="123"/>
      <c r="M560" s="123"/>
      <c r="N560" s="160"/>
      <c r="O560" s="160"/>
      <c r="P560" s="123"/>
      <c r="Q560" s="123"/>
      <c r="R560" s="123"/>
      <c r="T560" s="42"/>
      <c r="V560" s="123"/>
      <c r="W560" s="123"/>
      <c r="X560" s="123"/>
      <c r="Y560" s="123"/>
      <c r="Z560" s="238"/>
      <c r="AA560" s="123"/>
      <c r="AB560" s="123"/>
      <c r="AC560" s="160"/>
      <c r="AD560" s="160"/>
      <c r="AE560" s="123"/>
      <c r="AF560" s="123"/>
      <c r="AH560" s="236"/>
      <c r="AI560" s="123"/>
      <c r="AJ560" s="123"/>
      <c r="AL560" s="123"/>
      <c r="AM560" s="160"/>
      <c r="AN560" s="160"/>
    </row>
    <row r="561" spans="3:40" x14ac:dyDescent="0.3">
      <c r="C561" s="42"/>
      <c r="F561" s="184"/>
      <c r="J561" s="188"/>
      <c r="K561" s="188"/>
      <c r="T561" s="42"/>
      <c r="V561" s="123"/>
      <c r="W561" s="123"/>
      <c r="X561" s="123"/>
      <c r="Y561" s="123"/>
      <c r="Z561" s="238"/>
    </row>
    <row r="562" spans="3:40" x14ac:dyDescent="0.3">
      <c r="C562" s="42"/>
      <c r="H562" s="184"/>
      <c r="I562" s="184"/>
      <c r="J562" s="238"/>
      <c r="K562" s="238"/>
      <c r="L562" s="123"/>
      <c r="M562" s="123"/>
      <c r="N562" s="160"/>
      <c r="O562" s="160"/>
      <c r="P562" s="123"/>
      <c r="Q562" s="123"/>
      <c r="R562" s="123"/>
      <c r="T562" s="42"/>
      <c r="V562" s="123"/>
      <c r="W562" s="123"/>
      <c r="X562" s="123"/>
      <c r="Y562" s="123"/>
      <c r="Z562" s="238"/>
      <c r="AA562" s="123"/>
      <c r="AB562" s="123"/>
      <c r="AC562" s="160"/>
      <c r="AD562" s="160"/>
      <c r="AE562" s="123"/>
      <c r="AF562" s="123"/>
      <c r="AH562" s="236"/>
      <c r="AI562" s="123"/>
      <c r="AJ562" s="123"/>
      <c r="AL562" s="123"/>
      <c r="AM562" s="160"/>
      <c r="AN562" s="160"/>
    </row>
    <row r="563" spans="3:40" x14ac:dyDescent="0.3">
      <c r="C563" s="42"/>
      <c r="F563" s="184"/>
      <c r="J563" s="188"/>
      <c r="K563" s="188"/>
      <c r="T563" s="42"/>
      <c r="V563" s="123"/>
      <c r="W563" s="123"/>
      <c r="X563" s="123"/>
      <c r="Y563" s="123"/>
      <c r="Z563" s="238"/>
    </row>
    <row r="564" spans="3:40" x14ac:dyDescent="0.3">
      <c r="C564" s="42"/>
      <c r="H564" s="184"/>
      <c r="I564" s="184"/>
      <c r="J564" s="238"/>
      <c r="K564" s="238"/>
      <c r="L564" s="123"/>
      <c r="M564" s="123"/>
      <c r="N564" s="160"/>
      <c r="O564" s="160"/>
      <c r="P564" s="123"/>
      <c r="Q564" s="123"/>
      <c r="R564" s="123"/>
      <c r="T564" s="42"/>
      <c r="V564" s="123"/>
      <c r="W564" s="123"/>
      <c r="X564" s="123"/>
      <c r="Y564" s="123"/>
      <c r="Z564" s="238"/>
      <c r="AA564" s="123"/>
      <c r="AB564" s="123"/>
      <c r="AC564" s="160"/>
      <c r="AD564" s="160"/>
      <c r="AE564" s="123"/>
      <c r="AF564" s="123"/>
      <c r="AH564" s="236"/>
      <c r="AI564" s="123"/>
      <c r="AJ564" s="123"/>
      <c r="AL564" s="123"/>
      <c r="AM564" s="160"/>
      <c r="AN564" s="160"/>
    </row>
    <row r="565" spans="3:40" x14ac:dyDescent="0.3">
      <c r="C565" s="42"/>
      <c r="F565" s="184"/>
      <c r="J565" s="188"/>
      <c r="K565" s="188"/>
      <c r="T565" s="42"/>
      <c r="V565" s="123"/>
      <c r="W565" s="123"/>
      <c r="X565" s="123"/>
      <c r="Y565" s="123"/>
      <c r="Z565" s="238"/>
    </row>
    <row r="566" spans="3:40" x14ac:dyDescent="0.3">
      <c r="C566" s="42"/>
      <c r="H566" s="184"/>
      <c r="I566" s="184"/>
      <c r="J566" s="238"/>
      <c r="K566" s="238"/>
      <c r="L566" s="123"/>
      <c r="M566" s="123"/>
      <c r="N566" s="160"/>
      <c r="O566" s="160"/>
      <c r="P566" s="123"/>
      <c r="Q566" s="123"/>
      <c r="R566" s="123"/>
      <c r="T566" s="42"/>
      <c r="V566" s="123"/>
      <c r="W566" s="123"/>
      <c r="X566" s="123"/>
      <c r="Y566" s="123"/>
      <c r="Z566" s="238"/>
      <c r="AA566" s="123"/>
      <c r="AB566" s="123"/>
      <c r="AC566" s="160"/>
      <c r="AD566" s="160"/>
      <c r="AE566" s="123"/>
      <c r="AF566" s="123"/>
      <c r="AH566" s="236"/>
      <c r="AI566" s="123"/>
      <c r="AJ566" s="123"/>
      <c r="AL566" s="123"/>
      <c r="AM566" s="160"/>
      <c r="AN566" s="160"/>
    </row>
    <row r="567" spans="3:40" x14ac:dyDescent="0.3">
      <c r="F567" s="184"/>
      <c r="H567" s="210"/>
      <c r="I567" s="210"/>
      <c r="J567" s="238"/>
      <c r="K567" s="238"/>
      <c r="L567" s="210"/>
      <c r="M567" s="210"/>
      <c r="N567" s="210"/>
      <c r="O567" s="210"/>
      <c r="P567" s="210"/>
      <c r="Q567" s="210"/>
      <c r="R567" s="210"/>
      <c r="V567" s="210"/>
      <c r="Y567" s="210"/>
      <c r="Z567" s="238"/>
      <c r="AA567" s="210"/>
      <c r="AB567" s="210"/>
      <c r="AC567" s="210"/>
      <c r="AD567" s="210"/>
      <c r="AE567" s="210"/>
      <c r="AF567" s="210"/>
      <c r="AI567" s="210"/>
      <c r="AJ567" s="210"/>
      <c r="AK567" s="214"/>
      <c r="AL567" s="210"/>
      <c r="AM567" s="160"/>
      <c r="AN567" s="160"/>
    </row>
    <row r="568" spans="3:40" x14ac:dyDescent="0.3">
      <c r="C568" s="42"/>
      <c r="F568" s="210"/>
      <c r="H568" s="123"/>
      <c r="I568" s="123"/>
      <c r="J568" s="188"/>
      <c r="K568" s="188"/>
      <c r="L568" s="123"/>
      <c r="M568" s="123"/>
      <c r="N568" s="160"/>
      <c r="O568" s="160"/>
      <c r="P568" s="184"/>
      <c r="Q568" s="184"/>
      <c r="R568" s="123"/>
      <c r="T568" s="42"/>
      <c r="V568" s="123"/>
      <c r="W568" s="123"/>
      <c r="X568" s="123"/>
      <c r="Y568" s="123"/>
      <c r="Z568" s="238"/>
      <c r="AA568" s="123"/>
      <c r="AB568" s="123"/>
      <c r="AC568" s="160"/>
      <c r="AD568" s="160"/>
      <c r="AE568" s="123"/>
      <c r="AF568" s="123"/>
      <c r="AH568" s="236"/>
      <c r="AI568" s="184"/>
      <c r="AJ568" s="184"/>
      <c r="AL568" s="123"/>
      <c r="AM568" s="160"/>
      <c r="AN568" s="160"/>
    </row>
    <row r="569" spans="3:40" x14ac:dyDescent="0.3">
      <c r="F569" s="123"/>
      <c r="H569" s="210"/>
      <c r="I569" s="210"/>
      <c r="J569" s="238"/>
      <c r="K569" s="238"/>
      <c r="L569" s="210"/>
      <c r="M569" s="210"/>
      <c r="N569" s="210"/>
      <c r="O569" s="210"/>
      <c r="P569" s="210"/>
      <c r="Q569" s="210"/>
      <c r="R569" s="210"/>
      <c r="V569" s="210"/>
      <c r="Y569" s="210"/>
      <c r="Z569" s="238"/>
      <c r="AA569" s="210"/>
      <c r="AB569" s="210"/>
      <c r="AC569" s="210"/>
      <c r="AD569" s="210"/>
      <c r="AE569" s="210"/>
      <c r="AF569" s="210"/>
      <c r="AI569" s="210"/>
      <c r="AJ569" s="210"/>
      <c r="AK569" s="214"/>
      <c r="AL569" s="210"/>
    </row>
    <row r="570" spans="3:40" x14ac:dyDescent="0.3">
      <c r="C570" s="42"/>
      <c r="D570" s="42"/>
      <c r="E570" s="42"/>
      <c r="F570" s="210"/>
      <c r="J570" s="188"/>
      <c r="K570" s="188"/>
      <c r="T570" s="42"/>
      <c r="U570" s="42"/>
      <c r="V570" s="123"/>
      <c r="W570" s="123"/>
      <c r="X570" s="123"/>
      <c r="Y570" s="123"/>
      <c r="Z570" s="238"/>
    </row>
    <row r="571" spans="3:40" x14ac:dyDescent="0.3">
      <c r="C571" s="42"/>
      <c r="J571" s="188"/>
      <c r="K571" s="188"/>
      <c r="T571" s="42"/>
      <c r="V571" s="123"/>
      <c r="W571" s="123"/>
      <c r="X571" s="123"/>
      <c r="Y571" s="123"/>
      <c r="Z571" s="238"/>
    </row>
    <row r="572" spans="3:40" x14ac:dyDescent="0.3">
      <c r="C572" s="42"/>
      <c r="J572" s="188"/>
      <c r="K572" s="188"/>
      <c r="T572" s="42"/>
      <c r="V572" s="123"/>
      <c r="W572" s="123"/>
      <c r="X572" s="123"/>
      <c r="Y572" s="123"/>
      <c r="Z572" s="238"/>
    </row>
    <row r="573" spans="3:40" x14ac:dyDescent="0.3">
      <c r="C573" s="42"/>
      <c r="H573" s="184"/>
      <c r="I573" s="184"/>
      <c r="J573" s="238"/>
      <c r="K573" s="238"/>
      <c r="L573" s="123"/>
      <c r="M573" s="123"/>
      <c r="N573" s="160"/>
      <c r="O573" s="160"/>
      <c r="P573" s="123"/>
      <c r="Q573" s="123"/>
      <c r="R573" s="123"/>
      <c r="T573" s="42"/>
      <c r="V573" s="123"/>
      <c r="W573" s="123"/>
      <c r="X573" s="123"/>
      <c r="Y573" s="123"/>
      <c r="Z573" s="238"/>
      <c r="AA573" s="123"/>
      <c r="AB573" s="123"/>
      <c r="AC573" s="160"/>
      <c r="AD573" s="160"/>
      <c r="AE573" s="123"/>
      <c r="AF573" s="123"/>
      <c r="AH573" s="236"/>
      <c r="AI573" s="123"/>
      <c r="AJ573" s="123"/>
      <c r="AL573" s="123"/>
      <c r="AM573" s="160"/>
      <c r="AN573" s="160"/>
    </row>
    <row r="574" spans="3:40" x14ac:dyDescent="0.3">
      <c r="C574" s="42"/>
      <c r="F574" s="184"/>
      <c r="J574" s="188"/>
      <c r="K574" s="188"/>
      <c r="T574" s="42"/>
      <c r="V574" s="123"/>
      <c r="W574" s="123"/>
      <c r="X574" s="123"/>
      <c r="Y574" s="123"/>
      <c r="Z574" s="238"/>
    </row>
    <row r="575" spans="3:40" x14ac:dyDescent="0.3">
      <c r="C575" s="42"/>
      <c r="H575" s="184"/>
      <c r="I575" s="184"/>
      <c r="J575" s="238"/>
      <c r="K575" s="238"/>
      <c r="L575" s="123"/>
      <c r="M575" s="123"/>
      <c r="N575" s="160"/>
      <c r="O575" s="160"/>
      <c r="P575" s="123"/>
      <c r="Q575" s="123"/>
      <c r="R575" s="123"/>
      <c r="T575" s="42"/>
      <c r="V575" s="123"/>
      <c r="W575" s="123"/>
      <c r="X575" s="123"/>
      <c r="Y575" s="123"/>
      <c r="Z575" s="238"/>
      <c r="AA575" s="123"/>
      <c r="AB575" s="123"/>
      <c r="AC575" s="160"/>
      <c r="AD575" s="160"/>
      <c r="AE575" s="123"/>
      <c r="AF575" s="123"/>
      <c r="AH575" s="236"/>
      <c r="AI575" s="123"/>
      <c r="AJ575" s="123"/>
      <c r="AL575" s="123"/>
      <c r="AM575" s="160"/>
      <c r="AN575" s="160"/>
    </row>
    <row r="576" spans="3:40" x14ac:dyDescent="0.3">
      <c r="F576" s="184"/>
      <c r="H576" s="210"/>
      <c r="I576" s="210"/>
      <c r="J576" s="238"/>
      <c r="K576" s="238"/>
      <c r="L576" s="210"/>
      <c r="M576" s="210"/>
      <c r="N576" s="210"/>
      <c r="O576" s="210"/>
      <c r="P576" s="210"/>
      <c r="Q576" s="210"/>
      <c r="R576" s="210"/>
      <c r="V576" s="210"/>
      <c r="Y576" s="210"/>
      <c r="Z576" s="213"/>
      <c r="AA576" s="210"/>
      <c r="AB576" s="210"/>
      <c r="AC576" s="210"/>
      <c r="AD576" s="210"/>
      <c r="AE576" s="210"/>
      <c r="AF576" s="210"/>
      <c r="AI576" s="210"/>
      <c r="AJ576" s="210"/>
      <c r="AK576" s="214"/>
      <c r="AL576" s="210"/>
    </row>
    <row r="577" spans="3:40" x14ac:dyDescent="0.3">
      <c r="C577" s="42"/>
      <c r="F577" s="210"/>
      <c r="H577" s="123"/>
      <c r="I577" s="123"/>
      <c r="L577" s="123"/>
      <c r="M577" s="123"/>
      <c r="N577" s="160"/>
      <c r="O577" s="160"/>
      <c r="P577" s="184"/>
      <c r="Q577" s="184"/>
      <c r="R577" s="123"/>
      <c r="T577" s="42"/>
      <c r="V577" s="123"/>
      <c r="W577" s="123"/>
      <c r="X577" s="123"/>
      <c r="Y577" s="123"/>
      <c r="Z577" s="237"/>
      <c r="AA577" s="123"/>
      <c r="AB577" s="123"/>
      <c r="AC577" s="160"/>
      <c r="AD577" s="160"/>
      <c r="AE577" s="123"/>
      <c r="AF577" s="123"/>
      <c r="AH577" s="236"/>
      <c r="AI577" s="184"/>
      <c r="AJ577" s="184"/>
      <c r="AL577" s="123"/>
      <c r="AM577" s="160"/>
      <c r="AN577" s="160"/>
    </row>
    <row r="578" spans="3:40" x14ac:dyDescent="0.3">
      <c r="F578" s="123"/>
      <c r="H578" s="210"/>
      <c r="I578" s="210"/>
      <c r="J578" s="213"/>
      <c r="K578" s="213"/>
      <c r="L578" s="210"/>
      <c r="M578" s="210"/>
      <c r="N578" s="210"/>
      <c r="O578" s="210"/>
      <c r="P578" s="210"/>
      <c r="Q578" s="210"/>
      <c r="R578" s="210"/>
      <c r="V578" s="210"/>
      <c r="Y578" s="210"/>
      <c r="Z578" s="213"/>
      <c r="AA578" s="210"/>
      <c r="AB578" s="210"/>
      <c r="AC578" s="210"/>
      <c r="AD578" s="210"/>
      <c r="AE578" s="210"/>
      <c r="AF578" s="210"/>
      <c r="AI578" s="210"/>
      <c r="AJ578" s="210"/>
      <c r="AK578" s="214"/>
      <c r="AL578" s="210"/>
    </row>
    <row r="579" spans="3:40" x14ac:dyDescent="0.3">
      <c r="C579" s="42"/>
      <c r="D579" s="42"/>
      <c r="E579" s="42"/>
      <c r="F579" s="210"/>
      <c r="T579" s="42"/>
      <c r="U579" s="42"/>
      <c r="V579" s="123"/>
      <c r="W579" s="123"/>
      <c r="X579" s="123"/>
      <c r="Y579" s="123"/>
      <c r="Z579" s="237"/>
    </row>
    <row r="580" spans="3:40" x14ac:dyDescent="0.3">
      <c r="C580" s="42"/>
      <c r="T580" s="42"/>
      <c r="V580" s="123"/>
      <c r="W580" s="123"/>
      <c r="X580" s="123"/>
      <c r="Y580" s="123"/>
      <c r="Z580" s="237"/>
    </row>
    <row r="581" spans="3:40" x14ac:dyDescent="0.3">
      <c r="C581" s="42"/>
      <c r="H581" s="184"/>
      <c r="I581" s="184"/>
      <c r="J581" s="237"/>
      <c r="K581" s="237"/>
      <c r="L581" s="123"/>
      <c r="M581" s="123"/>
      <c r="N581" s="160"/>
      <c r="O581" s="160"/>
      <c r="P581" s="123"/>
      <c r="Q581" s="123"/>
      <c r="R581" s="123"/>
      <c r="T581" s="42"/>
      <c r="V581" s="123"/>
      <c r="W581" s="123"/>
      <c r="X581" s="123"/>
      <c r="Y581" s="123"/>
      <c r="Z581" s="237"/>
      <c r="AA581" s="123"/>
      <c r="AB581" s="123"/>
      <c r="AC581" s="160"/>
      <c r="AD581" s="160"/>
      <c r="AE581" s="123"/>
      <c r="AF581" s="123"/>
      <c r="AH581" s="236"/>
      <c r="AI581" s="123"/>
      <c r="AJ581" s="123"/>
      <c r="AL581" s="123"/>
      <c r="AM581" s="160"/>
      <c r="AN581" s="160"/>
    </row>
    <row r="582" spans="3:40" x14ac:dyDescent="0.3">
      <c r="C582" s="42"/>
      <c r="F582" s="184"/>
      <c r="T582" s="42"/>
      <c r="V582" s="123"/>
      <c r="W582" s="123"/>
      <c r="X582" s="123"/>
      <c r="Y582" s="123"/>
      <c r="Z582" s="237"/>
    </row>
    <row r="583" spans="3:40" x14ac:dyDescent="0.3">
      <c r="C583" s="42"/>
      <c r="H583" s="184"/>
      <c r="I583" s="184"/>
      <c r="J583" s="237"/>
      <c r="K583" s="237"/>
      <c r="L583" s="123"/>
      <c r="M583" s="123"/>
      <c r="N583" s="160"/>
      <c r="O583" s="160"/>
      <c r="P583" s="123"/>
      <c r="Q583" s="123"/>
      <c r="R583" s="123"/>
      <c r="T583" s="42"/>
      <c r="V583" s="123"/>
      <c r="W583" s="123"/>
      <c r="X583" s="123"/>
      <c r="Y583" s="123"/>
      <c r="Z583" s="237"/>
      <c r="AA583" s="123"/>
      <c r="AB583" s="123"/>
      <c r="AC583" s="160"/>
      <c r="AD583" s="160"/>
      <c r="AE583" s="123"/>
      <c r="AF583" s="123"/>
      <c r="AH583" s="236"/>
      <c r="AI583" s="123"/>
      <c r="AJ583" s="123"/>
      <c r="AL583" s="123"/>
      <c r="AM583" s="160"/>
      <c r="AN583" s="160"/>
    </row>
    <row r="584" spans="3:40" x14ac:dyDescent="0.3">
      <c r="C584" s="42"/>
      <c r="F584" s="184"/>
      <c r="T584" s="42"/>
      <c r="V584" s="123"/>
      <c r="W584" s="123"/>
      <c r="X584" s="123"/>
      <c r="Y584" s="123"/>
      <c r="Z584" s="237"/>
    </row>
    <row r="585" spans="3:40" x14ac:dyDescent="0.3">
      <c r="C585" s="42"/>
      <c r="H585" s="184"/>
      <c r="I585" s="184"/>
      <c r="J585" s="237"/>
      <c r="K585" s="237"/>
      <c r="L585" s="123"/>
      <c r="M585" s="123"/>
      <c r="N585" s="160"/>
      <c r="O585" s="160"/>
      <c r="P585" s="123"/>
      <c r="Q585" s="123"/>
      <c r="R585" s="123"/>
      <c r="T585" s="42"/>
      <c r="V585" s="123"/>
      <c r="W585" s="123"/>
      <c r="X585" s="123"/>
      <c r="Y585" s="123"/>
      <c r="Z585" s="237"/>
      <c r="AA585" s="123"/>
      <c r="AB585" s="123"/>
      <c r="AC585" s="160"/>
      <c r="AD585" s="160"/>
      <c r="AE585" s="123"/>
      <c r="AF585" s="123"/>
      <c r="AH585" s="236"/>
      <c r="AI585" s="123"/>
      <c r="AJ585" s="123"/>
      <c r="AL585" s="123"/>
      <c r="AM585" s="160"/>
      <c r="AN585" s="160"/>
    </row>
    <row r="586" spans="3:40" x14ac:dyDescent="0.3">
      <c r="C586" s="42"/>
      <c r="F586" s="184"/>
      <c r="T586" s="42"/>
      <c r="V586" s="123"/>
      <c r="W586" s="123"/>
      <c r="X586" s="123"/>
      <c r="Y586" s="123"/>
      <c r="Z586" s="237"/>
    </row>
    <row r="587" spans="3:40" x14ac:dyDescent="0.3">
      <c r="C587" s="42"/>
      <c r="H587" s="184"/>
      <c r="I587" s="184"/>
      <c r="J587" s="237"/>
      <c r="K587" s="237"/>
      <c r="L587" s="123"/>
      <c r="M587" s="123"/>
      <c r="N587" s="160"/>
      <c r="O587" s="160"/>
      <c r="P587" s="123"/>
      <c r="Q587" s="123"/>
      <c r="R587" s="123"/>
      <c r="T587" s="42"/>
      <c r="V587" s="123"/>
      <c r="W587" s="123"/>
      <c r="X587" s="123"/>
      <c r="Y587" s="123"/>
      <c r="Z587" s="237"/>
      <c r="AA587" s="123"/>
      <c r="AB587" s="123"/>
      <c r="AC587" s="160"/>
      <c r="AD587" s="160"/>
      <c r="AE587" s="123"/>
      <c r="AF587" s="123"/>
      <c r="AH587" s="236"/>
      <c r="AI587" s="123"/>
      <c r="AJ587" s="123"/>
      <c r="AL587" s="123"/>
      <c r="AM587" s="160"/>
      <c r="AN587" s="160"/>
    </row>
    <row r="588" spans="3:40" x14ac:dyDescent="0.3">
      <c r="F588" s="184"/>
      <c r="H588" s="210"/>
      <c r="I588" s="210"/>
      <c r="J588" s="213"/>
      <c r="K588" s="213"/>
      <c r="L588" s="210"/>
      <c r="M588" s="210"/>
      <c r="N588" s="210"/>
      <c r="O588" s="210"/>
      <c r="P588" s="210"/>
      <c r="Q588" s="210"/>
      <c r="R588" s="210"/>
      <c r="V588" s="210"/>
      <c r="Y588" s="210"/>
      <c r="Z588" s="213"/>
      <c r="AA588" s="210"/>
      <c r="AB588" s="210"/>
      <c r="AC588" s="210"/>
      <c r="AD588" s="210"/>
      <c r="AE588" s="210"/>
      <c r="AF588" s="210"/>
      <c r="AI588" s="210"/>
      <c r="AJ588" s="210"/>
      <c r="AK588" s="214"/>
      <c r="AL588" s="210"/>
    </row>
    <row r="589" spans="3:40" x14ac:dyDescent="0.3">
      <c r="C589" s="42"/>
      <c r="F589" s="210"/>
      <c r="H589" s="123"/>
      <c r="I589" s="123"/>
      <c r="L589" s="123"/>
      <c r="M589" s="123"/>
      <c r="N589" s="160"/>
      <c r="O589" s="160"/>
      <c r="P589" s="184"/>
      <c r="Q589" s="184"/>
      <c r="R589" s="123"/>
      <c r="T589" s="42"/>
      <c r="V589" s="123"/>
      <c r="W589" s="123"/>
      <c r="X589" s="123"/>
      <c r="Y589" s="123"/>
      <c r="Z589" s="237"/>
      <c r="AA589" s="123"/>
      <c r="AB589" s="123"/>
      <c r="AC589" s="160"/>
      <c r="AD589" s="160"/>
      <c r="AE589" s="123"/>
      <c r="AF589" s="123"/>
      <c r="AH589" s="236"/>
      <c r="AI589" s="184"/>
      <c r="AJ589" s="184"/>
      <c r="AL589" s="123"/>
      <c r="AM589" s="160"/>
      <c r="AN589" s="160"/>
    </row>
    <row r="590" spans="3:40" x14ac:dyDescent="0.3">
      <c r="F590" s="123"/>
      <c r="H590" s="210"/>
      <c r="I590" s="210"/>
      <c r="J590" s="213"/>
      <c r="K590" s="213"/>
      <c r="L590" s="210"/>
      <c r="M590" s="210"/>
      <c r="N590" s="210"/>
      <c r="O590" s="210"/>
      <c r="P590" s="210"/>
      <c r="Q590" s="210"/>
      <c r="R590" s="210"/>
      <c r="V590" s="210"/>
      <c r="Y590" s="210"/>
      <c r="Z590" s="213"/>
      <c r="AA590" s="210"/>
      <c r="AB590" s="210"/>
      <c r="AC590" s="210"/>
      <c r="AD590" s="210"/>
      <c r="AE590" s="210"/>
      <c r="AF590" s="210"/>
      <c r="AI590" s="210"/>
      <c r="AJ590" s="210"/>
      <c r="AK590" s="214"/>
      <c r="AL590" s="210"/>
    </row>
    <row r="591" spans="3:40" x14ac:dyDescent="0.3">
      <c r="C591" s="42"/>
      <c r="F591" s="210"/>
      <c r="H591" s="123"/>
      <c r="I591" s="123"/>
      <c r="L591" s="123"/>
      <c r="M591" s="123"/>
      <c r="N591" s="160"/>
      <c r="O591" s="160"/>
      <c r="P591" s="123"/>
      <c r="Q591" s="123"/>
      <c r="R591" s="123"/>
      <c r="T591" s="42"/>
      <c r="V591" s="123"/>
      <c r="W591" s="123"/>
      <c r="X591" s="123"/>
      <c r="Y591" s="123"/>
      <c r="AA591" s="123"/>
      <c r="AB591" s="123"/>
      <c r="AC591" s="160"/>
      <c r="AD591" s="160"/>
      <c r="AE591" s="123"/>
      <c r="AF591" s="123"/>
      <c r="AH591" s="236"/>
      <c r="AI591" s="123"/>
      <c r="AJ591" s="123"/>
      <c r="AL591" s="123"/>
      <c r="AM591" s="236"/>
      <c r="AN591" s="236"/>
    </row>
    <row r="592" spans="3:40" x14ac:dyDescent="0.3">
      <c r="F592" s="123"/>
      <c r="H592" s="210"/>
      <c r="I592" s="210"/>
      <c r="J592" s="213"/>
      <c r="K592" s="213"/>
      <c r="L592" s="210"/>
      <c r="M592" s="210"/>
      <c r="N592" s="210"/>
      <c r="O592" s="210"/>
      <c r="P592" s="210"/>
      <c r="Q592" s="210"/>
      <c r="R592" s="210"/>
      <c r="V592" s="210"/>
      <c r="Y592" s="210"/>
      <c r="Z592" s="213"/>
      <c r="AA592" s="210"/>
      <c r="AB592" s="210"/>
      <c r="AC592" s="210"/>
      <c r="AD592" s="210"/>
      <c r="AE592" s="210"/>
      <c r="AF592" s="210"/>
      <c r="AI592" s="210"/>
      <c r="AJ592" s="210"/>
      <c r="AK592" s="214"/>
      <c r="AL592" s="210"/>
    </row>
    <row r="594" spans="1:40" x14ac:dyDescent="0.3">
      <c r="F594" s="210"/>
    </row>
    <row r="595" spans="1:40" x14ac:dyDescent="0.3">
      <c r="A595" s="42"/>
    </row>
    <row r="597" spans="1:40" x14ac:dyDescent="0.3">
      <c r="H597" s="42"/>
      <c r="I597" s="42"/>
      <c r="Y597" s="42"/>
    </row>
    <row r="599" spans="1:40" x14ac:dyDescent="0.3">
      <c r="L599" s="42"/>
      <c r="M599" s="42"/>
      <c r="AA599" s="42"/>
      <c r="AB599" s="42"/>
    </row>
    <row r="600" spans="1:40" x14ac:dyDescent="0.3">
      <c r="R600" s="42"/>
      <c r="AK600" s="206"/>
      <c r="AL600" s="42"/>
    </row>
    <row r="601" spans="1:40" x14ac:dyDescent="0.3">
      <c r="R601" s="42"/>
      <c r="AK601" s="206"/>
      <c r="AL601" s="42"/>
    </row>
    <row r="602" spans="1:40" x14ac:dyDescent="0.3">
      <c r="A602" s="42"/>
      <c r="R602" s="42"/>
      <c r="AK602" s="206"/>
      <c r="AL602" s="42"/>
    </row>
    <row r="603" spans="1:40" x14ac:dyDescent="0.3">
      <c r="L603" s="42"/>
      <c r="M603" s="42"/>
      <c r="AA603" s="42"/>
      <c r="AB603" s="42"/>
    </row>
    <row r="604" spans="1:40" x14ac:dyDescent="0.3">
      <c r="A604" s="135"/>
      <c r="B604" s="135"/>
      <c r="C604" s="135"/>
      <c r="D604" s="135"/>
      <c r="E604" s="135"/>
      <c r="G604" s="135"/>
      <c r="H604" s="135"/>
      <c r="I604" s="135"/>
      <c r="J604" s="135"/>
      <c r="K604" s="135"/>
      <c r="L604" s="135"/>
      <c r="M604" s="135"/>
      <c r="N604" s="135"/>
      <c r="O604" s="135"/>
      <c r="P604" s="135"/>
      <c r="Q604" s="135"/>
      <c r="R604" s="135"/>
      <c r="T604" s="135"/>
      <c r="U604" s="135"/>
      <c r="V604" s="135"/>
      <c r="W604" s="135"/>
      <c r="X604" s="135"/>
      <c r="Y604" s="135"/>
      <c r="Z604" s="135"/>
      <c r="AA604" s="135"/>
      <c r="AB604" s="135"/>
      <c r="AC604" s="135"/>
      <c r="AD604" s="135"/>
      <c r="AE604" s="135"/>
      <c r="AF604" s="135"/>
      <c r="AG604" s="207"/>
      <c r="AH604" s="135"/>
      <c r="AI604" s="135"/>
      <c r="AJ604" s="135"/>
      <c r="AK604" s="207"/>
      <c r="AL604" s="135"/>
      <c r="AM604" s="135"/>
      <c r="AN604" s="135"/>
    </row>
    <row r="605" spans="1:40" x14ac:dyDescent="0.3">
      <c r="F605" s="135"/>
      <c r="L605" s="44"/>
      <c r="M605" s="44"/>
      <c r="N605" s="44"/>
      <c r="O605" s="44"/>
      <c r="R605" s="44"/>
      <c r="AA605" s="44"/>
      <c r="AB605" s="44"/>
      <c r="AC605" s="44"/>
      <c r="AD605" s="44"/>
      <c r="AE605" s="44"/>
      <c r="AF605" s="44"/>
      <c r="AG605" s="168"/>
      <c r="AH605" s="44"/>
      <c r="AK605" s="168"/>
      <c r="AL605" s="44"/>
      <c r="AM605" s="44"/>
      <c r="AN605" s="44"/>
    </row>
    <row r="606" spans="1:40" x14ac:dyDescent="0.3">
      <c r="L606" s="44"/>
      <c r="M606" s="44"/>
      <c r="N606" s="44"/>
      <c r="O606" s="44"/>
      <c r="R606" s="44"/>
      <c r="Z606" s="44"/>
      <c r="AA606" s="44"/>
      <c r="AB606" s="44"/>
      <c r="AC606" s="44"/>
      <c r="AD606" s="44"/>
      <c r="AE606" s="44"/>
      <c r="AF606" s="44"/>
      <c r="AG606" s="168"/>
      <c r="AH606" s="44"/>
      <c r="AK606" s="168"/>
      <c r="AL606" s="44"/>
      <c r="AM606" s="44"/>
      <c r="AN606" s="44"/>
    </row>
    <row r="607" spans="1:40" x14ac:dyDescent="0.3">
      <c r="A607" s="44"/>
      <c r="C607" s="44"/>
      <c r="D607" s="44"/>
      <c r="E607" s="44"/>
      <c r="J607" s="44"/>
      <c r="K607" s="44"/>
      <c r="L607" s="44"/>
      <c r="M607" s="44"/>
      <c r="N607" s="44"/>
      <c r="O607" s="44"/>
      <c r="P607" s="44"/>
      <c r="Q607" s="44"/>
      <c r="R607" s="44"/>
      <c r="T607" s="44"/>
      <c r="U607" s="44"/>
      <c r="V607" s="44"/>
      <c r="Z607" s="44"/>
      <c r="AA607" s="44"/>
      <c r="AB607" s="44"/>
      <c r="AC607" s="44"/>
      <c r="AD607" s="44"/>
      <c r="AE607" s="44"/>
      <c r="AF607" s="44"/>
      <c r="AG607" s="168"/>
      <c r="AH607" s="44"/>
      <c r="AI607" s="44"/>
      <c r="AJ607" s="44"/>
      <c r="AK607" s="168"/>
      <c r="AL607" s="44"/>
      <c r="AM607" s="44"/>
      <c r="AN607" s="44"/>
    </row>
    <row r="608" spans="1:40" x14ac:dyDescent="0.3">
      <c r="A608" s="44"/>
      <c r="C608" s="44"/>
      <c r="D608" s="44"/>
      <c r="E608" s="44"/>
      <c r="F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T608" s="44"/>
      <c r="U608" s="44"/>
      <c r="V608" s="44"/>
      <c r="Y608" s="44"/>
      <c r="Z608" s="44"/>
      <c r="AA608" s="44"/>
      <c r="AB608" s="44"/>
      <c r="AC608" s="44"/>
      <c r="AD608" s="44"/>
      <c r="AE608" s="44"/>
      <c r="AF608" s="44"/>
      <c r="AG608" s="168"/>
      <c r="AH608" s="44"/>
      <c r="AI608" s="44"/>
      <c r="AJ608" s="44"/>
      <c r="AK608" s="168"/>
      <c r="AL608" s="44"/>
      <c r="AM608" s="44"/>
      <c r="AN608" s="44"/>
    </row>
    <row r="609" spans="1:40" x14ac:dyDescent="0.3">
      <c r="C609" s="44"/>
      <c r="D609" s="44"/>
      <c r="E609" s="44"/>
      <c r="F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T609" s="44"/>
      <c r="U609" s="44"/>
      <c r="V609" s="44"/>
      <c r="Y609" s="44"/>
      <c r="Z609" s="44"/>
      <c r="AA609" s="44"/>
      <c r="AB609" s="44"/>
      <c r="AC609" s="44"/>
      <c r="AD609" s="44"/>
      <c r="AE609" s="44"/>
      <c r="AF609" s="44"/>
      <c r="AG609" s="168"/>
      <c r="AH609" s="44"/>
      <c r="AI609" s="44"/>
      <c r="AJ609" s="44"/>
      <c r="AK609" s="168"/>
      <c r="AL609" s="44"/>
      <c r="AM609" s="44"/>
      <c r="AN609" s="44"/>
    </row>
    <row r="610" spans="1:40" x14ac:dyDescent="0.3">
      <c r="A610" s="135"/>
      <c r="B610" s="135"/>
      <c r="C610" s="135"/>
      <c r="D610" s="135"/>
      <c r="E610" s="135"/>
      <c r="F610" s="44"/>
      <c r="G610" s="135"/>
      <c r="H610" s="135"/>
      <c r="I610" s="135"/>
      <c r="J610" s="135"/>
      <c r="K610" s="135"/>
      <c r="L610" s="135"/>
      <c r="M610" s="135"/>
      <c r="N610" s="135"/>
      <c r="O610" s="135"/>
      <c r="P610" s="135"/>
      <c r="Q610" s="135"/>
      <c r="R610" s="135"/>
      <c r="T610" s="135"/>
      <c r="U610" s="135"/>
      <c r="V610" s="135"/>
      <c r="W610" s="135"/>
      <c r="X610" s="135"/>
      <c r="Y610" s="135"/>
      <c r="Z610" s="135"/>
      <c r="AA610" s="135"/>
      <c r="AB610" s="135"/>
      <c r="AC610" s="135"/>
      <c r="AD610" s="135"/>
      <c r="AE610" s="135"/>
      <c r="AF610" s="135"/>
      <c r="AG610" s="207"/>
      <c r="AH610" s="135"/>
      <c r="AI610" s="135"/>
      <c r="AJ610" s="135"/>
      <c r="AK610" s="207"/>
      <c r="AL610" s="135"/>
      <c r="AM610" s="135"/>
      <c r="AN610" s="135"/>
    </row>
    <row r="611" spans="1:40" x14ac:dyDescent="0.3">
      <c r="F611" s="135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Y611" s="44"/>
      <c r="Z611" s="44"/>
      <c r="AA611" s="44"/>
      <c r="AB611" s="44"/>
      <c r="AC611" s="44"/>
      <c r="AD611" s="44"/>
      <c r="AE611" s="44"/>
      <c r="AF611" s="44"/>
      <c r="AG611" s="168"/>
      <c r="AH611" s="44"/>
      <c r="AI611" s="44"/>
      <c r="AJ611" s="44"/>
      <c r="AK611" s="168"/>
      <c r="AL611" s="44"/>
      <c r="AM611" s="44"/>
      <c r="AN611" s="44"/>
    </row>
    <row r="612" spans="1:40" x14ac:dyDescent="0.3">
      <c r="C612" s="42"/>
      <c r="D612" s="42"/>
      <c r="E612" s="42"/>
      <c r="H612" s="123"/>
      <c r="I612" s="123"/>
      <c r="J612" s="219"/>
      <c r="K612" s="219"/>
      <c r="L612" s="123"/>
      <c r="M612" s="123"/>
      <c r="N612" s="219"/>
      <c r="O612" s="219"/>
      <c r="P612" s="123"/>
      <c r="Q612" s="123"/>
      <c r="R612" s="123"/>
      <c r="T612" s="42"/>
      <c r="U612" s="42"/>
      <c r="V612" s="123"/>
      <c r="Y612" s="123"/>
      <c r="Z612" s="219"/>
      <c r="AA612" s="123"/>
      <c r="AB612" s="123"/>
      <c r="AC612" s="219"/>
      <c r="AD612" s="219"/>
      <c r="AE612" s="123"/>
      <c r="AF612" s="123"/>
      <c r="AH612" s="236"/>
      <c r="AI612" s="123"/>
      <c r="AJ612" s="123"/>
      <c r="AL612" s="123"/>
      <c r="AM612" s="160"/>
      <c r="AN612" s="160"/>
    </row>
    <row r="613" spans="1:40" x14ac:dyDescent="0.3">
      <c r="F613" s="123"/>
      <c r="H613" s="210"/>
      <c r="I613" s="210"/>
      <c r="J613" s="213"/>
      <c r="K613" s="213"/>
      <c r="L613" s="210"/>
      <c r="M613" s="210"/>
      <c r="N613" s="210"/>
      <c r="O613" s="210"/>
      <c r="P613" s="210"/>
      <c r="Q613" s="210"/>
      <c r="R613" s="210"/>
      <c r="V613" s="210"/>
      <c r="Y613" s="210"/>
      <c r="Z613" s="213"/>
      <c r="AA613" s="210"/>
      <c r="AB613" s="210"/>
      <c r="AC613" s="210"/>
      <c r="AD613" s="210"/>
      <c r="AE613" s="210"/>
      <c r="AF613" s="210"/>
      <c r="AI613" s="210"/>
      <c r="AJ613" s="210"/>
      <c r="AK613" s="214"/>
      <c r="AL613" s="210"/>
      <c r="AM613" s="160"/>
      <c r="AN613" s="160"/>
    </row>
    <row r="614" spans="1:40" x14ac:dyDescent="0.3">
      <c r="C614" s="42"/>
      <c r="F614" s="210"/>
      <c r="H614" s="123"/>
      <c r="I614" s="123"/>
      <c r="J614" s="219"/>
      <c r="K614" s="219"/>
      <c r="L614" s="123"/>
      <c r="M614" s="123"/>
      <c r="N614" s="219"/>
      <c r="O614" s="219"/>
      <c r="P614" s="123"/>
      <c r="Q614" s="123"/>
      <c r="R614" s="123"/>
      <c r="T614" s="42"/>
      <c r="V614" s="123"/>
      <c r="Y614" s="123"/>
      <c r="Z614" s="219"/>
      <c r="AA614" s="123"/>
      <c r="AB614" s="123"/>
      <c r="AC614" s="219"/>
      <c r="AD614" s="219"/>
      <c r="AE614" s="123"/>
      <c r="AF614" s="123"/>
      <c r="AH614" s="236"/>
      <c r="AI614" s="123"/>
      <c r="AJ614" s="123"/>
      <c r="AL614" s="123"/>
      <c r="AM614" s="160"/>
      <c r="AN614" s="160"/>
    </row>
    <row r="615" spans="1:40" x14ac:dyDescent="0.3">
      <c r="F615" s="123"/>
      <c r="H615" s="123"/>
      <c r="I615" s="123"/>
      <c r="J615" s="219"/>
      <c r="K615" s="219"/>
      <c r="L615" s="123"/>
      <c r="M615" s="123"/>
      <c r="N615" s="219"/>
      <c r="O615" s="219"/>
      <c r="P615" s="123"/>
      <c r="Q615" s="123"/>
      <c r="R615" s="123"/>
      <c r="V615" s="123"/>
      <c r="Y615" s="123"/>
      <c r="Z615" s="219"/>
      <c r="AA615" s="123"/>
      <c r="AB615" s="123"/>
      <c r="AC615" s="219"/>
      <c r="AD615" s="219"/>
      <c r="AH615" s="236"/>
      <c r="AI615" s="123"/>
      <c r="AJ615" s="123"/>
      <c r="AL615" s="123"/>
      <c r="AM615" s="160"/>
      <c r="AN615" s="160"/>
    </row>
    <row r="616" spans="1:40" x14ac:dyDescent="0.3">
      <c r="C616" s="42"/>
      <c r="D616" s="42"/>
      <c r="E616" s="42"/>
      <c r="F616" s="123"/>
      <c r="H616" s="123"/>
      <c r="I616" s="123"/>
      <c r="J616" s="219"/>
      <c r="K616" s="219"/>
      <c r="L616" s="123"/>
      <c r="M616" s="123"/>
      <c r="N616" s="219"/>
      <c r="O616" s="219"/>
      <c r="P616" s="123"/>
      <c r="Q616" s="123"/>
      <c r="R616" s="123"/>
      <c r="T616" s="42"/>
      <c r="U616" s="42"/>
      <c r="V616" s="123"/>
      <c r="Y616" s="123"/>
      <c r="Z616" s="219"/>
      <c r="AA616" s="123"/>
      <c r="AB616" s="123"/>
      <c r="AC616" s="219"/>
      <c r="AD616" s="219"/>
      <c r="AE616" s="123"/>
      <c r="AF616" s="123"/>
      <c r="AH616" s="236"/>
      <c r="AI616" s="123"/>
      <c r="AJ616" s="123"/>
      <c r="AL616" s="123"/>
      <c r="AM616" s="160"/>
      <c r="AN616" s="160"/>
    </row>
    <row r="617" spans="1:40" x14ac:dyDescent="0.3">
      <c r="C617" s="42"/>
      <c r="D617" s="42"/>
      <c r="E617" s="42"/>
      <c r="F617" s="123"/>
      <c r="H617" s="123"/>
      <c r="I617" s="123"/>
      <c r="J617" s="219"/>
      <c r="K617" s="219"/>
      <c r="L617" s="123"/>
      <c r="M617" s="123"/>
      <c r="N617" s="219"/>
      <c r="O617" s="219"/>
      <c r="P617" s="123"/>
      <c r="Q617" s="123"/>
      <c r="R617" s="123"/>
      <c r="T617" s="42"/>
      <c r="U617" s="42"/>
      <c r="V617" s="123"/>
      <c r="Y617" s="123"/>
      <c r="Z617" s="219"/>
      <c r="AA617" s="123"/>
      <c r="AB617" s="123"/>
      <c r="AC617" s="219"/>
      <c r="AD617" s="219"/>
      <c r="AE617" s="123"/>
      <c r="AF617" s="123"/>
      <c r="AH617" s="236"/>
      <c r="AI617" s="123"/>
      <c r="AJ617" s="123"/>
      <c r="AL617" s="123"/>
      <c r="AM617" s="160"/>
      <c r="AN617" s="160"/>
    </row>
    <row r="618" spans="1:40" x14ac:dyDescent="0.3">
      <c r="C618" s="42"/>
      <c r="D618" s="42"/>
      <c r="E618" s="42"/>
      <c r="F618" s="123"/>
      <c r="H618" s="123"/>
      <c r="I618" s="123"/>
      <c r="J618" s="219"/>
      <c r="K618" s="219"/>
      <c r="L618" s="123"/>
      <c r="M618" s="123"/>
      <c r="N618" s="219"/>
      <c r="O618" s="219"/>
      <c r="P618" s="123"/>
      <c r="Q618" s="123"/>
      <c r="R618" s="123"/>
      <c r="T618" s="42"/>
      <c r="U618" s="42"/>
      <c r="V618" s="123"/>
      <c r="Y618" s="123"/>
      <c r="Z618" s="219"/>
      <c r="AA618" s="123"/>
      <c r="AB618" s="123"/>
      <c r="AC618" s="219"/>
      <c r="AD618" s="219"/>
      <c r="AE618" s="123"/>
      <c r="AF618" s="123"/>
      <c r="AH618" s="236"/>
      <c r="AI618" s="123"/>
      <c r="AJ618" s="123"/>
      <c r="AL618" s="123"/>
      <c r="AM618" s="160"/>
      <c r="AN618" s="160"/>
    </row>
    <row r="619" spans="1:40" x14ac:dyDescent="0.3">
      <c r="C619" s="42"/>
      <c r="D619" s="42"/>
      <c r="E619" s="42"/>
      <c r="F619" s="123"/>
      <c r="H619" s="123"/>
      <c r="I619" s="123"/>
      <c r="J619" s="219"/>
      <c r="K619" s="219"/>
      <c r="L619" s="123"/>
      <c r="M619" s="123"/>
      <c r="N619" s="219"/>
      <c r="O619" s="219"/>
      <c r="P619" s="123"/>
      <c r="Q619" s="123"/>
      <c r="R619" s="123"/>
      <c r="T619" s="42"/>
      <c r="U619" s="42"/>
      <c r="V619" s="123"/>
      <c r="Y619" s="123"/>
      <c r="Z619" s="219"/>
      <c r="AA619" s="123"/>
      <c r="AB619" s="123"/>
      <c r="AC619" s="219"/>
      <c r="AD619" s="219"/>
      <c r="AE619" s="123"/>
      <c r="AF619" s="123"/>
      <c r="AH619" s="236"/>
      <c r="AI619" s="123"/>
      <c r="AJ619" s="123"/>
      <c r="AL619" s="123"/>
      <c r="AM619" s="160"/>
      <c r="AN619" s="160"/>
    </row>
    <row r="620" spans="1:40" x14ac:dyDescent="0.3">
      <c r="C620" s="42"/>
      <c r="D620" s="42"/>
      <c r="E620" s="42"/>
      <c r="F620" s="123"/>
      <c r="H620" s="123"/>
      <c r="I620" s="123"/>
      <c r="J620" s="219"/>
      <c r="K620" s="219"/>
      <c r="L620" s="123"/>
      <c r="M620" s="123"/>
      <c r="N620" s="219"/>
      <c r="O620" s="219"/>
      <c r="P620" s="123"/>
      <c r="Q620" s="123"/>
      <c r="R620" s="123"/>
      <c r="T620" s="42"/>
      <c r="U620" s="42"/>
      <c r="V620" s="123"/>
      <c r="Y620" s="123"/>
      <c r="Z620" s="219"/>
      <c r="AA620" s="123"/>
      <c r="AB620" s="123"/>
      <c r="AC620" s="219"/>
      <c r="AD620" s="219"/>
      <c r="AE620" s="123"/>
      <c r="AF620" s="123"/>
      <c r="AH620" s="236"/>
      <c r="AI620" s="123"/>
      <c r="AJ620" s="123"/>
      <c r="AL620" s="123"/>
      <c r="AM620" s="160"/>
      <c r="AN620" s="160"/>
    </row>
    <row r="621" spans="1:40" x14ac:dyDescent="0.3">
      <c r="C621" s="42"/>
      <c r="D621" s="42"/>
      <c r="E621" s="42"/>
      <c r="F621" s="123"/>
      <c r="H621" s="123"/>
      <c r="I621" s="123"/>
      <c r="J621" s="219"/>
      <c r="K621" s="219"/>
      <c r="L621" s="123"/>
      <c r="M621" s="123"/>
      <c r="N621" s="219"/>
      <c r="O621" s="219"/>
      <c r="P621" s="123"/>
      <c r="Q621" s="123"/>
      <c r="R621" s="123"/>
      <c r="T621" s="42"/>
      <c r="U621" s="42"/>
      <c r="V621" s="123"/>
      <c r="Y621" s="123"/>
      <c r="Z621" s="219"/>
      <c r="AA621" s="123"/>
      <c r="AB621" s="123"/>
      <c r="AC621" s="219"/>
      <c r="AD621" s="219"/>
      <c r="AE621" s="123"/>
      <c r="AF621" s="123"/>
      <c r="AH621" s="236"/>
      <c r="AI621" s="123"/>
      <c r="AJ621" s="123"/>
      <c r="AL621" s="123"/>
      <c r="AM621" s="160"/>
      <c r="AN621" s="160"/>
    </row>
    <row r="622" spans="1:40" x14ac:dyDescent="0.3">
      <c r="F622" s="123"/>
      <c r="H622" s="210"/>
      <c r="I622" s="210"/>
      <c r="J622" s="213"/>
      <c r="K622" s="213"/>
      <c r="L622" s="210"/>
      <c r="M622" s="210"/>
      <c r="N622" s="210"/>
      <c r="O622" s="210"/>
      <c r="P622" s="210"/>
      <c r="Q622" s="210"/>
      <c r="R622" s="210"/>
      <c r="V622" s="210"/>
      <c r="Y622" s="210"/>
      <c r="Z622" s="213"/>
      <c r="AA622" s="210"/>
      <c r="AB622" s="210"/>
      <c r="AC622" s="210"/>
      <c r="AD622" s="210"/>
      <c r="AE622" s="210"/>
      <c r="AF622" s="210"/>
      <c r="AI622" s="210"/>
      <c r="AJ622" s="210"/>
      <c r="AK622" s="214"/>
      <c r="AL622" s="210"/>
      <c r="AM622" s="160"/>
      <c r="AN622" s="160"/>
    </row>
    <row r="623" spans="1:40" x14ac:dyDescent="0.3">
      <c r="C623" s="42"/>
      <c r="F623" s="210"/>
      <c r="H623" s="123"/>
      <c r="I623" s="123"/>
      <c r="J623" s="219"/>
      <c r="K623" s="219"/>
      <c r="L623" s="123"/>
      <c r="M623" s="123"/>
      <c r="N623" s="219"/>
      <c r="O623" s="219"/>
      <c r="P623" s="123"/>
      <c r="Q623" s="123"/>
      <c r="R623" s="123"/>
      <c r="T623" s="42"/>
      <c r="V623" s="123"/>
      <c r="Y623" s="123"/>
      <c r="Z623" s="219"/>
      <c r="AA623" s="123"/>
      <c r="AB623" s="123"/>
      <c r="AC623" s="219"/>
      <c r="AD623" s="219"/>
      <c r="AE623" s="123"/>
      <c r="AF623" s="123"/>
      <c r="AH623" s="236"/>
      <c r="AI623" s="123"/>
      <c r="AJ623" s="123"/>
      <c r="AL623" s="123"/>
      <c r="AM623" s="160"/>
      <c r="AN623" s="160"/>
    </row>
    <row r="624" spans="1:40" x14ac:dyDescent="0.3">
      <c r="F624" s="123"/>
      <c r="H624" s="123"/>
      <c r="I624" s="123"/>
      <c r="J624" s="219"/>
      <c r="K624" s="219"/>
      <c r="L624" s="123"/>
      <c r="M624" s="123"/>
      <c r="N624" s="219"/>
      <c r="O624" s="219"/>
      <c r="P624" s="123"/>
      <c r="Q624" s="123"/>
      <c r="R624" s="123"/>
      <c r="V624" s="123"/>
      <c r="Y624" s="123"/>
      <c r="Z624" s="219"/>
      <c r="AA624" s="123"/>
      <c r="AB624" s="123"/>
      <c r="AC624" s="219"/>
      <c r="AD624" s="219"/>
      <c r="AH624" s="236"/>
      <c r="AI624" s="123"/>
      <c r="AJ624" s="123"/>
      <c r="AL624" s="123"/>
      <c r="AM624" s="160"/>
      <c r="AN624" s="160"/>
    </row>
    <row r="625" spans="3:40" x14ac:dyDescent="0.3">
      <c r="C625" s="42"/>
      <c r="D625" s="42"/>
      <c r="E625" s="42"/>
      <c r="F625" s="123"/>
      <c r="H625" s="123"/>
      <c r="I625" s="123"/>
      <c r="J625" s="219"/>
      <c r="K625" s="219"/>
      <c r="L625" s="123"/>
      <c r="M625" s="123"/>
      <c r="N625" s="219"/>
      <c r="O625" s="219"/>
      <c r="P625" s="123"/>
      <c r="Q625" s="123"/>
      <c r="R625" s="123"/>
      <c r="T625" s="42"/>
      <c r="U625" s="42"/>
      <c r="V625" s="123"/>
      <c r="Y625" s="123"/>
      <c r="Z625" s="219"/>
      <c r="AA625" s="123"/>
      <c r="AB625" s="123"/>
      <c r="AC625" s="219"/>
      <c r="AD625" s="219"/>
      <c r="AE625" s="123"/>
      <c r="AF625" s="123"/>
      <c r="AH625" s="236"/>
      <c r="AI625" s="123"/>
      <c r="AJ625" s="123"/>
      <c r="AL625" s="123"/>
      <c r="AM625" s="160"/>
      <c r="AN625" s="160"/>
    </row>
    <row r="626" spans="3:40" x14ac:dyDescent="0.3">
      <c r="F626" s="123"/>
      <c r="H626" s="210"/>
      <c r="I626" s="210"/>
      <c r="J626" s="213"/>
      <c r="K626" s="213"/>
      <c r="L626" s="210"/>
      <c r="M626" s="210"/>
      <c r="N626" s="210"/>
      <c r="O626" s="210"/>
      <c r="P626" s="210"/>
      <c r="Q626" s="210"/>
      <c r="R626" s="210"/>
      <c r="V626" s="210"/>
      <c r="Y626" s="210"/>
      <c r="Z626" s="213"/>
      <c r="AA626" s="210"/>
      <c r="AB626" s="210"/>
      <c r="AC626" s="210"/>
      <c r="AD626" s="210"/>
      <c r="AE626" s="210"/>
      <c r="AF626" s="210"/>
      <c r="AI626" s="210"/>
      <c r="AJ626" s="210"/>
      <c r="AK626" s="214"/>
      <c r="AL626" s="210"/>
      <c r="AM626" s="160"/>
      <c r="AN626" s="160"/>
    </row>
    <row r="627" spans="3:40" x14ac:dyDescent="0.3">
      <c r="C627" s="42"/>
      <c r="F627" s="210"/>
      <c r="H627" s="123"/>
      <c r="I627" s="123"/>
      <c r="J627" s="219"/>
      <c r="K627" s="219"/>
      <c r="L627" s="123"/>
      <c r="M627" s="123"/>
      <c r="N627" s="219"/>
      <c r="O627" s="219"/>
      <c r="P627" s="123"/>
      <c r="Q627" s="123"/>
      <c r="R627" s="123"/>
      <c r="T627" s="42"/>
      <c r="V627" s="123"/>
      <c r="Y627" s="123"/>
      <c r="Z627" s="219"/>
      <c r="AA627" s="123"/>
      <c r="AB627" s="123"/>
      <c r="AC627" s="219"/>
      <c r="AD627" s="219"/>
      <c r="AE627" s="123"/>
      <c r="AF627" s="123"/>
      <c r="AH627" s="236"/>
      <c r="AI627" s="123"/>
      <c r="AJ627" s="123"/>
      <c r="AL627" s="123"/>
      <c r="AM627" s="160"/>
      <c r="AN627" s="160"/>
    </row>
    <row r="628" spans="3:40" x14ac:dyDescent="0.3">
      <c r="F628" s="123"/>
      <c r="H628" s="123"/>
      <c r="I628" s="123"/>
      <c r="J628" s="219"/>
      <c r="K628" s="219"/>
      <c r="L628" s="123"/>
      <c r="M628" s="123"/>
      <c r="N628" s="219"/>
      <c r="O628" s="219"/>
      <c r="P628" s="123"/>
      <c r="Q628" s="123"/>
      <c r="R628" s="123"/>
      <c r="V628" s="123"/>
      <c r="Y628" s="123"/>
      <c r="Z628" s="219"/>
      <c r="AA628" s="123"/>
      <c r="AB628" s="123"/>
      <c r="AC628" s="219"/>
      <c r="AD628" s="219"/>
      <c r="AH628" s="236"/>
      <c r="AI628" s="123"/>
      <c r="AJ628" s="123"/>
      <c r="AL628" s="123"/>
      <c r="AM628" s="160"/>
      <c r="AN628" s="160"/>
    </row>
    <row r="629" spans="3:40" x14ac:dyDescent="0.3">
      <c r="C629" s="42"/>
      <c r="D629" s="42"/>
      <c r="E629" s="42"/>
      <c r="F629" s="123"/>
      <c r="H629" s="123"/>
      <c r="I629" s="123"/>
      <c r="J629" s="219"/>
      <c r="K629" s="219"/>
      <c r="L629" s="123"/>
      <c r="M629" s="123"/>
      <c r="N629" s="219"/>
      <c r="O629" s="219"/>
      <c r="P629" s="123"/>
      <c r="Q629" s="123"/>
      <c r="R629" s="123"/>
      <c r="T629" s="42"/>
      <c r="U629" s="42"/>
      <c r="V629" s="123"/>
      <c r="Y629" s="123"/>
      <c r="Z629" s="219"/>
      <c r="AA629" s="123"/>
      <c r="AB629" s="123"/>
      <c r="AC629" s="219"/>
      <c r="AD629" s="219"/>
      <c r="AE629" s="123"/>
      <c r="AF629" s="123"/>
      <c r="AH629" s="236"/>
      <c r="AI629" s="123"/>
      <c r="AJ629" s="123"/>
      <c r="AL629" s="123"/>
      <c r="AM629" s="160"/>
      <c r="AN629" s="160"/>
    </row>
    <row r="630" spans="3:40" x14ac:dyDescent="0.3">
      <c r="C630" s="42"/>
      <c r="D630" s="42"/>
      <c r="E630" s="42"/>
      <c r="F630" s="123"/>
      <c r="G630" s="123"/>
      <c r="H630" s="123"/>
      <c r="I630" s="123"/>
      <c r="J630" s="219"/>
      <c r="K630" s="219"/>
      <c r="L630" s="123"/>
      <c r="M630" s="123"/>
      <c r="N630" s="219"/>
      <c r="O630" s="219"/>
      <c r="P630" s="123"/>
      <c r="Q630" s="123"/>
      <c r="R630" s="123"/>
      <c r="T630" s="42"/>
      <c r="U630" s="42"/>
      <c r="V630" s="123"/>
      <c r="W630" s="123"/>
      <c r="X630" s="123"/>
      <c r="Y630" s="123"/>
      <c r="Z630" s="219"/>
      <c r="AA630" s="123"/>
      <c r="AB630" s="123"/>
      <c r="AC630" s="219"/>
      <c r="AD630" s="219"/>
      <c r="AE630" s="123"/>
      <c r="AF630" s="123"/>
      <c r="AH630" s="236"/>
      <c r="AI630" s="123"/>
      <c r="AJ630" s="123"/>
      <c r="AL630" s="123"/>
      <c r="AM630" s="160"/>
      <c r="AN630" s="160"/>
    </row>
    <row r="631" spans="3:40" x14ac:dyDescent="0.3">
      <c r="C631" s="42"/>
      <c r="D631" s="42"/>
      <c r="E631" s="42"/>
      <c r="F631" s="123"/>
      <c r="G631" s="123"/>
      <c r="H631" s="123"/>
      <c r="I631" s="123"/>
      <c r="J631" s="219"/>
      <c r="K631" s="219"/>
      <c r="L631" s="123"/>
      <c r="M631" s="123"/>
      <c r="N631" s="219"/>
      <c r="O631" s="219"/>
      <c r="P631" s="123"/>
      <c r="Q631" s="123"/>
      <c r="R631" s="123"/>
      <c r="T631" s="42"/>
      <c r="U631" s="42"/>
      <c r="V631" s="123"/>
      <c r="W631" s="123"/>
      <c r="X631" s="123"/>
      <c r="Y631" s="123"/>
      <c r="Z631" s="219"/>
      <c r="AA631" s="123"/>
      <c r="AB631" s="123"/>
      <c r="AC631" s="219"/>
      <c r="AD631" s="219"/>
      <c r="AE631" s="123"/>
      <c r="AF631" s="123"/>
      <c r="AH631" s="236"/>
      <c r="AI631" s="123"/>
      <c r="AJ631" s="123"/>
      <c r="AL631" s="123"/>
      <c r="AM631" s="160"/>
      <c r="AN631" s="160"/>
    </row>
    <row r="632" spans="3:40" x14ac:dyDescent="0.3">
      <c r="C632" s="42"/>
      <c r="D632" s="42"/>
      <c r="E632" s="42"/>
      <c r="F632" s="123"/>
      <c r="H632" s="123"/>
      <c r="I632" s="123"/>
      <c r="J632" s="219"/>
      <c r="K632" s="219"/>
      <c r="L632" s="123"/>
      <c r="M632" s="123"/>
      <c r="N632" s="219"/>
      <c r="O632" s="219"/>
      <c r="P632" s="123"/>
      <c r="Q632" s="123"/>
      <c r="R632" s="123"/>
      <c r="T632" s="42"/>
      <c r="U632" s="42"/>
      <c r="V632" s="123"/>
      <c r="Y632" s="123"/>
      <c r="Z632" s="219"/>
      <c r="AA632" s="123"/>
      <c r="AB632" s="123"/>
      <c r="AC632" s="219"/>
      <c r="AD632" s="219"/>
      <c r="AE632" s="123"/>
      <c r="AF632" s="123"/>
      <c r="AH632" s="236"/>
      <c r="AI632" s="123"/>
      <c r="AJ632" s="123"/>
      <c r="AL632" s="123"/>
      <c r="AM632" s="160"/>
      <c r="AN632" s="160"/>
    </row>
    <row r="633" spans="3:40" x14ac:dyDescent="0.3">
      <c r="C633" s="42"/>
      <c r="D633" s="42"/>
      <c r="E633" s="42"/>
      <c r="F633" s="123"/>
      <c r="H633" s="123"/>
      <c r="I633" s="123"/>
      <c r="J633" s="219"/>
      <c r="K633" s="219"/>
      <c r="L633" s="123"/>
      <c r="M633" s="123"/>
      <c r="N633" s="219"/>
      <c r="O633" s="219"/>
      <c r="P633" s="123"/>
      <c r="Q633" s="123"/>
      <c r="R633" s="123"/>
      <c r="T633" s="42"/>
      <c r="U633" s="42"/>
      <c r="V633" s="123"/>
      <c r="Y633" s="123"/>
      <c r="Z633" s="219"/>
      <c r="AA633" s="123"/>
      <c r="AB633" s="123"/>
      <c r="AC633" s="219"/>
      <c r="AD633" s="219"/>
      <c r="AE633" s="123"/>
      <c r="AF633" s="123"/>
      <c r="AH633" s="236"/>
      <c r="AI633" s="123"/>
      <c r="AJ633" s="123"/>
      <c r="AL633" s="123"/>
      <c r="AM633" s="160"/>
      <c r="AN633" s="160"/>
    </row>
    <row r="634" spans="3:40" x14ac:dyDescent="0.3">
      <c r="C634" s="42"/>
      <c r="D634" s="42"/>
      <c r="E634" s="42"/>
      <c r="F634" s="123"/>
      <c r="H634" s="123"/>
      <c r="I634" s="123"/>
      <c r="J634" s="219"/>
      <c r="K634" s="219"/>
      <c r="L634" s="123"/>
      <c r="M634" s="123"/>
      <c r="N634" s="219"/>
      <c r="O634" s="219"/>
      <c r="P634" s="123"/>
      <c r="Q634" s="123"/>
      <c r="R634" s="123"/>
      <c r="T634" s="42"/>
      <c r="U634" s="42"/>
      <c r="V634" s="123"/>
      <c r="Y634" s="123"/>
      <c r="Z634" s="219"/>
      <c r="AA634" s="123"/>
      <c r="AB634" s="123"/>
      <c r="AC634" s="219"/>
      <c r="AD634" s="219"/>
      <c r="AE634" s="123"/>
      <c r="AF634" s="123"/>
      <c r="AH634" s="236"/>
      <c r="AI634" s="123"/>
      <c r="AJ634" s="123"/>
      <c r="AL634" s="123"/>
      <c r="AM634" s="160"/>
      <c r="AN634" s="160"/>
    </row>
    <row r="635" spans="3:40" x14ac:dyDescent="0.3">
      <c r="C635" s="42"/>
      <c r="D635" s="42"/>
      <c r="E635" s="42"/>
      <c r="F635" s="123"/>
      <c r="H635" s="123"/>
      <c r="I635" s="123"/>
      <c r="J635" s="219"/>
      <c r="K635" s="219"/>
      <c r="L635" s="123"/>
      <c r="M635" s="123"/>
      <c r="N635" s="219"/>
      <c r="O635" s="219"/>
      <c r="P635" s="123"/>
      <c r="Q635" s="123"/>
      <c r="R635" s="123"/>
      <c r="T635" s="42"/>
      <c r="U635" s="42"/>
      <c r="V635" s="123"/>
      <c r="Y635" s="123"/>
      <c r="Z635" s="219"/>
      <c r="AA635" s="123"/>
      <c r="AB635" s="123"/>
      <c r="AC635" s="219"/>
      <c r="AD635" s="219"/>
      <c r="AE635" s="123"/>
      <c r="AF635" s="123"/>
      <c r="AH635" s="236"/>
      <c r="AI635" s="123"/>
      <c r="AJ635" s="123"/>
      <c r="AL635" s="123"/>
      <c r="AM635" s="160"/>
      <c r="AN635" s="160"/>
    </row>
    <row r="636" spans="3:40" x14ac:dyDescent="0.3">
      <c r="F636" s="123"/>
      <c r="H636" s="210"/>
      <c r="I636" s="210"/>
      <c r="J636" s="213"/>
      <c r="K636" s="213"/>
      <c r="L636" s="210"/>
      <c r="M636" s="210"/>
      <c r="N636" s="210"/>
      <c r="O636" s="210"/>
      <c r="P636" s="210"/>
      <c r="Q636" s="210"/>
      <c r="R636" s="210"/>
      <c r="V636" s="210"/>
      <c r="Y636" s="210"/>
      <c r="Z636" s="213"/>
      <c r="AA636" s="210"/>
      <c r="AB636" s="210"/>
      <c r="AC636" s="210"/>
      <c r="AD636" s="210"/>
      <c r="AE636" s="210"/>
      <c r="AF636" s="210"/>
      <c r="AI636" s="210"/>
      <c r="AJ636" s="210"/>
      <c r="AK636" s="214"/>
      <c r="AL636" s="210"/>
      <c r="AM636" s="160"/>
      <c r="AN636" s="160"/>
    </row>
    <row r="637" spans="3:40" x14ac:dyDescent="0.3">
      <c r="C637" s="42"/>
      <c r="F637" s="210"/>
      <c r="H637" s="123"/>
      <c r="I637" s="123"/>
      <c r="J637" s="219"/>
      <c r="K637" s="219"/>
      <c r="L637" s="123"/>
      <c r="M637" s="123"/>
      <c r="N637" s="219"/>
      <c r="O637" s="219"/>
      <c r="P637" s="123"/>
      <c r="Q637" s="123"/>
      <c r="R637" s="123"/>
      <c r="T637" s="42"/>
      <c r="V637" s="123"/>
      <c r="Y637" s="123"/>
      <c r="Z637" s="219"/>
      <c r="AA637" s="123"/>
      <c r="AB637" s="123"/>
      <c r="AC637" s="219"/>
      <c r="AD637" s="219"/>
      <c r="AE637" s="123"/>
      <c r="AF637" s="123"/>
      <c r="AH637" s="236"/>
      <c r="AI637" s="123"/>
      <c r="AJ637" s="123"/>
      <c r="AL637" s="123"/>
      <c r="AM637" s="160"/>
      <c r="AN637" s="160"/>
    </row>
    <row r="638" spans="3:40" x14ac:dyDescent="0.3">
      <c r="F638" s="123"/>
      <c r="V638" s="123"/>
      <c r="Y638" s="123"/>
      <c r="Z638" s="213"/>
      <c r="AA638" s="123"/>
      <c r="AB638" s="123"/>
      <c r="AC638" s="123"/>
      <c r="AD638" s="123"/>
      <c r="AE638" s="123"/>
      <c r="AF638" s="123"/>
      <c r="AI638" s="123"/>
      <c r="AJ638" s="123"/>
      <c r="AL638" s="123"/>
      <c r="AM638" s="160"/>
      <c r="AN638" s="160"/>
    </row>
    <row r="639" spans="3:40" x14ac:dyDescent="0.3">
      <c r="C639" s="42"/>
      <c r="D639" s="42"/>
      <c r="E639" s="42"/>
      <c r="L639" s="123"/>
      <c r="M639" s="123"/>
      <c r="N639" s="219"/>
      <c r="O639" s="219"/>
      <c r="R639" s="123"/>
      <c r="T639" s="42"/>
      <c r="U639" s="42"/>
      <c r="AA639" s="123"/>
      <c r="AB639" s="123"/>
      <c r="AC639" s="219"/>
      <c r="AD639" s="219"/>
      <c r="AE639" s="123"/>
      <c r="AF639" s="123"/>
      <c r="AH639" s="236"/>
      <c r="AL639" s="123"/>
      <c r="AM639" s="160"/>
      <c r="AN639" s="160"/>
    </row>
    <row r="640" spans="3:40" x14ac:dyDescent="0.3">
      <c r="D640" s="42"/>
      <c r="E640" s="42"/>
      <c r="H640" s="184"/>
      <c r="I640" s="184"/>
      <c r="J640" s="219"/>
      <c r="K640" s="219"/>
      <c r="L640" s="123"/>
      <c r="M640" s="123"/>
      <c r="N640" s="219"/>
      <c r="O640" s="219"/>
      <c r="P640" s="184"/>
      <c r="Q640" s="184"/>
      <c r="R640" s="123"/>
      <c r="U640" s="42"/>
      <c r="V640" s="123"/>
      <c r="Y640" s="123"/>
      <c r="Z640" s="219"/>
      <c r="AA640" s="123"/>
      <c r="AB640" s="123"/>
      <c r="AC640" s="219"/>
      <c r="AD640" s="219"/>
      <c r="AE640" s="123"/>
      <c r="AF640" s="123"/>
      <c r="AH640" s="236"/>
      <c r="AI640" s="123"/>
      <c r="AJ640" s="123"/>
      <c r="AL640" s="123"/>
      <c r="AM640" s="160"/>
      <c r="AN640" s="160"/>
    </row>
    <row r="641" spans="1:40" x14ac:dyDescent="0.3">
      <c r="F641" s="184"/>
      <c r="H641" s="210"/>
      <c r="I641" s="210"/>
      <c r="J641" s="213"/>
      <c r="K641" s="213"/>
      <c r="L641" s="210"/>
      <c r="M641" s="210"/>
      <c r="N641" s="210"/>
      <c r="O641" s="210"/>
      <c r="P641" s="210"/>
      <c r="Q641" s="210"/>
      <c r="R641" s="210"/>
      <c r="V641" s="210"/>
      <c r="Y641" s="210"/>
      <c r="Z641" s="213"/>
      <c r="AA641" s="210"/>
      <c r="AB641" s="210"/>
      <c r="AC641" s="210"/>
      <c r="AD641" s="210"/>
      <c r="AE641" s="210"/>
      <c r="AF641" s="210"/>
      <c r="AI641" s="210"/>
      <c r="AJ641" s="210"/>
      <c r="AK641" s="214"/>
      <c r="AL641" s="210"/>
      <c r="AM641" s="160"/>
      <c r="AN641" s="160"/>
    </row>
    <row r="642" spans="1:40" x14ac:dyDescent="0.3">
      <c r="C642" s="42"/>
      <c r="F642" s="210"/>
      <c r="H642" s="123"/>
      <c r="I642" s="123"/>
      <c r="J642" s="219"/>
      <c r="K642" s="219"/>
      <c r="L642" s="123"/>
      <c r="M642" s="123"/>
      <c r="N642" s="219"/>
      <c r="O642" s="219"/>
      <c r="P642" s="123"/>
      <c r="Q642" s="123"/>
      <c r="R642" s="123"/>
      <c r="T642" s="42"/>
      <c r="V642" s="123"/>
      <c r="Y642" s="123"/>
      <c r="Z642" s="219"/>
      <c r="AA642" s="123"/>
      <c r="AB642" s="123"/>
      <c r="AC642" s="219"/>
      <c r="AD642" s="219"/>
      <c r="AE642" s="123"/>
      <c r="AF642" s="123"/>
      <c r="AH642" s="236"/>
      <c r="AI642" s="123"/>
      <c r="AJ642" s="123"/>
      <c r="AL642" s="123"/>
      <c r="AM642" s="160"/>
      <c r="AN642" s="160"/>
    </row>
    <row r="643" spans="1:40" x14ac:dyDescent="0.3">
      <c r="F643" s="123"/>
      <c r="H643" s="123"/>
      <c r="I643" s="123"/>
      <c r="J643" s="219"/>
      <c r="K643" s="219"/>
      <c r="L643" s="123"/>
      <c r="M643" s="123"/>
      <c r="N643" s="219"/>
      <c r="O643" s="219"/>
      <c r="P643" s="123"/>
      <c r="Q643" s="123"/>
      <c r="R643" s="123"/>
      <c r="V643" s="123"/>
      <c r="Y643" s="123"/>
      <c r="Z643" s="219"/>
      <c r="AA643" s="123"/>
      <c r="AB643" s="123"/>
      <c r="AC643" s="219"/>
      <c r="AD643" s="219"/>
      <c r="AH643" s="236"/>
      <c r="AI643" s="123"/>
      <c r="AJ643" s="123"/>
      <c r="AL643" s="123"/>
      <c r="AM643" s="160"/>
      <c r="AN643" s="160"/>
    </row>
    <row r="644" spans="1:40" x14ac:dyDescent="0.3">
      <c r="D644" s="42"/>
      <c r="E644" s="42"/>
      <c r="F644" s="123"/>
      <c r="H644" s="123"/>
      <c r="I644" s="123"/>
      <c r="J644" s="219"/>
      <c r="K644" s="219"/>
      <c r="L644" s="184"/>
      <c r="M644" s="184"/>
      <c r="N644" s="219"/>
      <c r="O644" s="219"/>
      <c r="P644" s="123"/>
      <c r="Q644" s="123"/>
      <c r="R644" s="123"/>
      <c r="U644" s="42"/>
      <c r="V644" s="123"/>
      <c r="Y644" s="123"/>
      <c r="Z644" s="219"/>
      <c r="AA644" s="184"/>
      <c r="AB644" s="184"/>
      <c r="AC644" s="219"/>
      <c r="AD644" s="219"/>
      <c r="AE644" s="123"/>
      <c r="AF644" s="123"/>
      <c r="AH644" s="236"/>
      <c r="AI644" s="123"/>
      <c r="AJ644" s="123"/>
      <c r="AL644" s="123"/>
      <c r="AM644" s="160"/>
      <c r="AN644" s="160"/>
    </row>
    <row r="645" spans="1:40" x14ac:dyDescent="0.3">
      <c r="D645" s="42"/>
      <c r="E645" s="42"/>
      <c r="F645" s="123"/>
      <c r="H645" s="123"/>
      <c r="I645" s="123"/>
      <c r="J645" s="219"/>
      <c r="K645" s="219"/>
      <c r="L645" s="184"/>
      <c r="M645" s="184"/>
      <c r="N645" s="219"/>
      <c r="O645" s="219"/>
      <c r="P645" s="123"/>
      <c r="Q645" s="123"/>
      <c r="R645" s="123"/>
      <c r="U645" s="42"/>
      <c r="V645" s="123"/>
      <c r="Y645" s="123"/>
      <c r="Z645" s="219"/>
      <c r="AA645" s="184"/>
      <c r="AB645" s="184"/>
      <c r="AC645" s="219"/>
      <c r="AD645" s="219"/>
      <c r="AE645" s="123"/>
      <c r="AF645" s="123"/>
      <c r="AH645" s="236"/>
      <c r="AI645" s="123"/>
      <c r="AJ645" s="123"/>
      <c r="AL645" s="123"/>
      <c r="AM645" s="160"/>
      <c r="AN645" s="160"/>
    </row>
    <row r="646" spans="1:40" x14ac:dyDescent="0.3">
      <c r="D646" s="42"/>
      <c r="E646" s="42"/>
      <c r="F646" s="123"/>
      <c r="H646" s="123"/>
      <c r="I646" s="123"/>
      <c r="J646" s="219"/>
      <c r="K646" s="219"/>
      <c r="L646" s="184"/>
      <c r="M646" s="184"/>
      <c r="N646" s="219"/>
      <c r="O646" s="219"/>
      <c r="P646" s="123"/>
      <c r="Q646" s="123"/>
      <c r="R646" s="123"/>
      <c r="U646" s="42"/>
      <c r="V646" s="123"/>
      <c r="Y646" s="123"/>
      <c r="Z646" s="219"/>
      <c r="AA646" s="184"/>
      <c r="AB646" s="184"/>
      <c r="AC646" s="219"/>
      <c r="AD646" s="219"/>
      <c r="AE646" s="123"/>
      <c r="AF646" s="123"/>
      <c r="AH646" s="236"/>
      <c r="AI646" s="123"/>
      <c r="AJ646" s="123"/>
      <c r="AL646" s="123"/>
      <c r="AM646" s="160"/>
      <c r="AN646" s="160"/>
    </row>
    <row r="647" spans="1:40" x14ac:dyDescent="0.3">
      <c r="F647" s="123"/>
      <c r="H647" s="210"/>
      <c r="I647" s="210"/>
      <c r="J647" s="213"/>
      <c r="K647" s="213"/>
      <c r="L647" s="210"/>
      <c r="M647" s="210"/>
      <c r="N647" s="210"/>
      <c r="O647" s="210"/>
      <c r="P647" s="210"/>
      <c r="Q647" s="210"/>
      <c r="R647" s="210"/>
      <c r="V647" s="210"/>
      <c r="Y647" s="210"/>
      <c r="Z647" s="213"/>
      <c r="AA647" s="210"/>
      <c r="AB647" s="210"/>
      <c r="AC647" s="210"/>
      <c r="AD647" s="210"/>
      <c r="AE647" s="210"/>
      <c r="AF647" s="210"/>
      <c r="AI647" s="210"/>
      <c r="AJ647" s="210"/>
      <c r="AK647" s="214"/>
      <c r="AL647" s="210"/>
      <c r="AM647" s="160"/>
      <c r="AN647" s="160"/>
    </row>
    <row r="648" spans="1:40" x14ac:dyDescent="0.3">
      <c r="C648" s="42"/>
      <c r="F648" s="210"/>
      <c r="H648" s="123"/>
      <c r="I648" s="123"/>
      <c r="J648" s="219"/>
      <c r="K648" s="219"/>
      <c r="L648" s="123"/>
      <c r="M648" s="123"/>
      <c r="N648" s="219"/>
      <c r="O648" s="219"/>
      <c r="P648" s="123"/>
      <c r="Q648" s="123"/>
      <c r="R648" s="123"/>
      <c r="T648" s="42"/>
      <c r="V648" s="123"/>
      <c r="Y648" s="123"/>
      <c r="Z648" s="219"/>
      <c r="AA648" s="123"/>
      <c r="AB648" s="123"/>
      <c r="AC648" s="219"/>
      <c r="AD648" s="219"/>
      <c r="AE648" s="123"/>
      <c r="AF648" s="123"/>
      <c r="AH648" s="236"/>
      <c r="AI648" s="123"/>
      <c r="AJ648" s="123"/>
      <c r="AL648" s="123"/>
      <c r="AM648" s="160"/>
      <c r="AN648" s="160"/>
    </row>
    <row r="649" spans="1:40" x14ac:dyDescent="0.3">
      <c r="F649" s="123"/>
      <c r="H649" s="123"/>
      <c r="I649" s="123"/>
      <c r="J649" s="219"/>
      <c r="K649" s="219"/>
      <c r="L649" s="123"/>
      <c r="M649" s="123"/>
      <c r="N649" s="219"/>
      <c r="O649" s="219"/>
      <c r="P649" s="123"/>
      <c r="Q649" s="123"/>
      <c r="R649" s="123"/>
      <c r="V649" s="123"/>
      <c r="Y649" s="123"/>
      <c r="Z649" s="219"/>
      <c r="AA649" s="123"/>
      <c r="AB649" s="123"/>
      <c r="AC649" s="219"/>
      <c r="AD649" s="219"/>
      <c r="AH649" s="236"/>
      <c r="AI649" s="123"/>
      <c r="AJ649" s="123"/>
      <c r="AL649" s="123"/>
      <c r="AM649" s="160"/>
      <c r="AN649" s="160"/>
    </row>
    <row r="650" spans="1:40" x14ac:dyDescent="0.3">
      <c r="C650" s="42"/>
      <c r="F650" s="123"/>
      <c r="H650" s="123"/>
      <c r="I650" s="123"/>
      <c r="J650" s="219"/>
      <c r="K650" s="219"/>
      <c r="L650" s="123"/>
      <c r="M650" s="123"/>
      <c r="N650" s="219"/>
      <c r="O650" s="219"/>
      <c r="P650" s="123"/>
      <c r="Q650" s="123"/>
      <c r="R650" s="123"/>
      <c r="T650" s="42"/>
      <c r="V650" s="123"/>
      <c r="Y650" s="123"/>
      <c r="Z650" s="219"/>
      <c r="AA650" s="123"/>
      <c r="AB650" s="123"/>
      <c r="AC650" s="219"/>
      <c r="AD650" s="219"/>
      <c r="AE650" s="123"/>
      <c r="AF650" s="123"/>
      <c r="AH650" s="236"/>
      <c r="AI650" s="123"/>
      <c r="AJ650" s="123"/>
      <c r="AL650" s="123"/>
      <c r="AM650" s="160"/>
      <c r="AN650" s="160"/>
    </row>
    <row r="651" spans="1:40" x14ac:dyDescent="0.3">
      <c r="F651" s="123"/>
      <c r="H651" s="210"/>
      <c r="I651" s="210"/>
      <c r="J651" s="213"/>
      <c r="K651" s="213"/>
      <c r="L651" s="210"/>
      <c r="M651" s="210"/>
      <c r="N651" s="210"/>
      <c r="O651" s="210"/>
      <c r="P651" s="210"/>
      <c r="Q651" s="210"/>
      <c r="R651" s="210"/>
      <c r="V651" s="210"/>
      <c r="Y651" s="210"/>
      <c r="Z651" s="213"/>
      <c r="AA651" s="210"/>
      <c r="AB651" s="210"/>
      <c r="AC651" s="210"/>
      <c r="AD651" s="210"/>
      <c r="AE651" s="210"/>
      <c r="AF651" s="210"/>
      <c r="AI651" s="210"/>
      <c r="AJ651" s="210"/>
      <c r="AK651" s="214"/>
      <c r="AL651" s="210"/>
    </row>
    <row r="653" spans="1:40" x14ac:dyDescent="0.3">
      <c r="C653" s="42"/>
      <c r="F653" s="210"/>
      <c r="L653" s="123"/>
      <c r="M653" s="123"/>
      <c r="P653" s="123"/>
      <c r="Q653" s="123"/>
      <c r="R653" s="123"/>
      <c r="T653" s="42"/>
    </row>
    <row r="654" spans="1:40" x14ac:dyDescent="0.3">
      <c r="A654" s="42"/>
      <c r="L654" s="123"/>
      <c r="M654" s="123"/>
      <c r="P654" s="123"/>
      <c r="Q654" s="123"/>
      <c r="R654" s="123"/>
    </row>
    <row r="655" spans="1:40" x14ac:dyDescent="0.3">
      <c r="L655" s="123"/>
      <c r="M655" s="123"/>
      <c r="P655" s="123"/>
      <c r="Q655" s="123"/>
      <c r="R655" s="123"/>
    </row>
    <row r="656" spans="1:40" x14ac:dyDescent="0.3">
      <c r="L656" s="123"/>
      <c r="M656" s="123"/>
      <c r="P656" s="123"/>
      <c r="Q656" s="123"/>
      <c r="R656" s="123"/>
    </row>
    <row r="657" spans="12:18" x14ac:dyDescent="0.3">
      <c r="L657" s="123"/>
      <c r="M657" s="123"/>
      <c r="P657" s="123"/>
      <c r="Q657" s="123"/>
      <c r="R657" s="123"/>
    </row>
    <row r="658" spans="12:18" x14ac:dyDescent="0.3">
      <c r="L658" s="123"/>
      <c r="M658" s="123"/>
      <c r="P658" s="123"/>
      <c r="Q658" s="123"/>
      <c r="R658" s="123"/>
    </row>
    <row r="659" spans="12:18" x14ac:dyDescent="0.3">
      <c r="L659" s="123"/>
      <c r="M659" s="123"/>
      <c r="P659" s="123"/>
      <c r="Q659" s="123"/>
      <c r="R659" s="123"/>
    </row>
    <row r="692" spans="49:49" x14ac:dyDescent="0.3">
      <c r="AW692" s="123"/>
    </row>
    <row r="693" spans="49:49" x14ac:dyDescent="0.3">
      <c r="AW693" s="123"/>
    </row>
    <row r="694" spans="49:49" x14ac:dyDescent="0.3">
      <c r="AW694" s="123"/>
    </row>
    <row r="695" spans="49:49" x14ac:dyDescent="0.3">
      <c r="AW695" s="123"/>
    </row>
    <row r="696" spans="49:49" x14ac:dyDescent="0.3">
      <c r="AW696" s="123"/>
    </row>
    <row r="697" spans="49:49" x14ac:dyDescent="0.3">
      <c r="AW697" s="123"/>
    </row>
    <row r="700" spans="49:49" x14ac:dyDescent="0.3">
      <c r="AW700" s="123"/>
    </row>
    <row r="701" spans="49:49" x14ac:dyDescent="0.3">
      <c r="AW701" s="123"/>
    </row>
    <row r="702" spans="49:49" x14ac:dyDescent="0.3">
      <c r="AW702" s="123"/>
    </row>
    <row r="703" spans="49:49" x14ac:dyDescent="0.3">
      <c r="AW703" s="123"/>
    </row>
    <row r="704" spans="49:49" x14ac:dyDescent="0.3">
      <c r="AW704" s="123"/>
    </row>
    <row r="705" spans="49:49" x14ac:dyDescent="0.3">
      <c r="AW705" s="123"/>
    </row>
    <row r="706" spans="49:49" x14ac:dyDescent="0.3">
      <c r="AW706" s="123"/>
    </row>
    <row r="707" spans="49:49" x14ac:dyDescent="0.3">
      <c r="AW707" s="123"/>
    </row>
    <row r="710" spans="49:49" x14ac:dyDescent="0.3">
      <c r="AW710" s="123"/>
    </row>
    <row r="711" spans="49:49" x14ac:dyDescent="0.3">
      <c r="AW711" s="123"/>
    </row>
    <row r="714" spans="49:49" x14ac:dyDescent="0.3">
      <c r="AW714" s="123"/>
    </row>
    <row r="715" spans="49:49" x14ac:dyDescent="0.3">
      <c r="AW715" s="123"/>
    </row>
    <row r="716" spans="49:49" x14ac:dyDescent="0.3">
      <c r="AW716" s="123"/>
    </row>
    <row r="717" spans="49:49" x14ac:dyDescent="0.3">
      <c r="AW717" s="123"/>
    </row>
    <row r="725" spans="45:69" x14ac:dyDescent="0.3">
      <c r="AY725" s="42"/>
    </row>
    <row r="726" spans="45:69" x14ac:dyDescent="0.3">
      <c r="AY726" s="42"/>
    </row>
    <row r="727" spans="45:69" x14ac:dyDescent="0.3">
      <c r="BD727" s="42"/>
    </row>
    <row r="728" spans="45:69" x14ac:dyDescent="0.3">
      <c r="BD728" s="42"/>
    </row>
    <row r="729" spans="45:69" x14ac:dyDescent="0.3">
      <c r="AS729" s="42"/>
      <c r="BD729" s="42"/>
    </row>
    <row r="731" spans="45:69" x14ac:dyDescent="0.3">
      <c r="AS731" s="135"/>
      <c r="AT731" s="135"/>
      <c r="AU731" s="135"/>
      <c r="AV731" s="135"/>
      <c r="AW731" s="135"/>
      <c r="AX731" s="135"/>
      <c r="AY731" s="135"/>
      <c r="AZ731" s="135"/>
      <c r="BA731" s="135"/>
      <c r="BB731" s="135"/>
      <c r="BC731" s="135"/>
      <c r="BD731" s="135"/>
      <c r="BE731" s="135"/>
    </row>
    <row r="732" spans="45:69" x14ac:dyDescent="0.3">
      <c r="AX732" s="42"/>
    </row>
    <row r="733" spans="45:69" x14ac:dyDescent="0.3">
      <c r="AX733" s="135"/>
      <c r="AY733" s="135"/>
      <c r="AZ733" s="135"/>
      <c r="BA733" s="135"/>
      <c r="BC733" s="44"/>
      <c r="BD733" s="44"/>
    </row>
    <row r="734" spans="45:69" x14ac:dyDescent="0.3">
      <c r="AV734" s="44"/>
      <c r="AW734" s="44"/>
      <c r="AZ734" s="44"/>
      <c r="BA734" s="44"/>
      <c r="BC734" s="44"/>
      <c r="BD734" s="44"/>
      <c r="BE734" s="44"/>
      <c r="BG734" s="135"/>
      <c r="BH734" s="42"/>
      <c r="BK734" s="135"/>
      <c r="BM734" s="135"/>
      <c r="BN734" s="42"/>
      <c r="BQ734" s="135"/>
    </row>
    <row r="735" spans="45:69" x14ac:dyDescent="0.3"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H735" s="44"/>
      <c r="BI735" s="44"/>
      <c r="BJ735" s="44"/>
      <c r="BN735" s="44"/>
      <c r="BO735" s="44"/>
      <c r="BP735" s="44"/>
    </row>
    <row r="736" spans="45:69" x14ac:dyDescent="0.3">
      <c r="AS736" s="44"/>
      <c r="AU736" s="42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G736" s="44"/>
      <c r="BH736" s="44"/>
      <c r="BI736" s="44"/>
      <c r="BJ736" s="44"/>
      <c r="BK736" s="44"/>
      <c r="BM736" s="44"/>
      <c r="BN736" s="44"/>
      <c r="BO736" s="44"/>
      <c r="BP736" s="44"/>
      <c r="BQ736" s="44"/>
    </row>
    <row r="737" spans="45:69" x14ac:dyDescent="0.3">
      <c r="AS737" s="44"/>
      <c r="AU737" s="42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G737" s="44"/>
      <c r="BH737" s="44"/>
      <c r="BI737" s="44"/>
      <c r="BJ737" s="44"/>
      <c r="BK737" s="44"/>
      <c r="BM737" s="44"/>
      <c r="BN737" s="44"/>
      <c r="BO737" s="44"/>
      <c r="BP737" s="44"/>
      <c r="BQ737" s="44"/>
    </row>
    <row r="738" spans="45:69" x14ac:dyDescent="0.3">
      <c r="AS738" s="135"/>
      <c r="AT738" s="135"/>
      <c r="AU738" s="135"/>
      <c r="AV738" s="135"/>
      <c r="AW738" s="135"/>
      <c r="AX738" s="135"/>
      <c r="AY738" s="135"/>
      <c r="AZ738" s="135"/>
      <c r="BA738" s="135"/>
      <c r="BB738" s="135"/>
      <c r="BC738" s="135"/>
      <c r="BD738" s="135"/>
      <c r="BE738" s="135"/>
      <c r="BG738" s="135"/>
      <c r="BH738" s="135"/>
      <c r="BI738" s="135"/>
      <c r="BJ738" s="135"/>
      <c r="BK738" s="135"/>
      <c r="BM738" s="135"/>
      <c r="BN738" s="135"/>
      <c r="BO738" s="135"/>
      <c r="BP738" s="135"/>
      <c r="BQ738" s="135"/>
    </row>
    <row r="739" spans="45:69" x14ac:dyDescent="0.3"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</row>
    <row r="740" spans="45:69" x14ac:dyDescent="0.3">
      <c r="AU740" s="42"/>
      <c r="AV740" s="44"/>
      <c r="AY740" s="219"/>
    </row>
    <row r="741" spans="45:69" x14ac:dyDescent="0.3">
      <c r="AV741" s="44"/>
      <c r="AW741" s="123"/>
      <c r="AX741" s="188"/>
      <c r="AY741" s="188"/>
      <c r="AZ741" s="188"/>
      <c r="BA741" s="160"/>
      <c r="BB741" s="188"/>
      <c r="BC741" s="219"/>
      <c r="BD741" s="219"/>
      <c r="BE741" s="160"/>
      <c r="BG741" s="188"/>
      <c r="BH741" s="188"/>
      <c r="BI741" s="188"/>
      <c r="BJ741" s="188"/>
      <c r="BK741" s="188"/>
      <c r="BM741" s="188"/>
      <c r="BN741" s="188"/>
      <c r="BO741" s="188"/>
      <c r="BP741" s="188"/>
      <c r="BQ741" s="188"/>
    </row>
    <row r="742" spans="45:69" x14ac:dyDescent="0.3">
      <c r="AV742" s="44"/>
      <c r="AW742" s="123"/>
      <c r="AX742" s="188"/>
      <c r="AY742" s="188"/>
      <c r="AZ742" s="188"/>
      <c r="BA742" s="160"/>
      <c r="BB742" s="188"/>
      <c r="BC742" s="219"/>
      <c r="BD742" s="219"/>
      <c r="BE742" s="160"/>
      <c r="BG742" s="188"/>
      <c r="BH742" s="188"/>
      <c r="BI742" s="188"/>
      <c r="BJ742" s="188"/>
      <c r="BK742" s="188"/>
      <c r="BM742" s="188"/>
      <c r="BN742" s="188"/>
      <c r="BO742" s="188"/>
      <c r="BP742" s="188"/>
      <c r="BQ742" s="188"/>
    </row>
    <row r="743" spans="45:69" x14ac:dyDescent="0.3">
      <c r="AV743" s="44"/>
      <c r="AW743" s="123"/>
      <c r="AX743" s="188"/>
      <c r="AY743" s="188"/>
      <c r="AZ743" s="188"/>
      <c r="BA743" s="160"/>
      <c r="BB743" s="188"/>
      <c r="BC743" s="219"/>
      <c r="BD743" s="219"/>
      <c r="BE743" s="160"/>
      <c r="BG743" s="188"/>
      <c r="BH743" s="188"/>
      <c r="BI743" s="188"/>
      <c r="BJ743" s="188"/>
      <c r="BK743" s="188"/>
      <c r="BM743" s="188"/>
      <c r="BN743" s="188"/>
      <c r="BO743" s="188"/>
      <c r="BP743" s="188"/>
      <c r="BQ743" s="188"/>
    </row>
    <row r="744" spans="45:69" x14ac:dyDescent="0.3">
      <c r="AV744" s="44"/>
      <c r="AW744" s="123"/>
      <c r="AX744" s="188"/>
      <c r="AY744" s="188"/>
      <c r="AZ744" s="188"/>
      <c r="BA744" s="160"/>
      <c r="BB744" s="188"/>
      <c r="BC744" s="219"/>
      <c r="BD744" s="219"/>
      <c r="BE744" s="160"/>
      <c r="BG744" s="188"/>
      <c r="BH744" s="188"/>
      <c r="BI744" s="188"/>
      <c r="BJ744" s="188"/>
      <c r="BK744" s="188"/>
      <c r="BM744" s="188"/>
      <c r="BN744" s="188"/>
      <c r="BO744" s="188"/>
      <c r="BP744" s="188"/>
      <c r="BQ744" s="188"/>
    </row>
    <row r="745" spans="45:69" x14ac:dyDescent="0.3">
      <c r="AV745" s="44"/>
      <c r="AW745" s="123"/>
      <c r="AX745" s="188"/>
      <c r="AY745" s="188"/>
      <c r="AZ745" s="188"/>
      <c r="BA745" s="160"/>
      <c r="BB745" s="188"/>
      <c r="BC745" s="219"/>
      <c r="BD745" s="219"/>
      <c r="BE745" s="160"/>
      <c r="BG745" s="188"/>
      <c r="BH745" s="188"/>
      <c r="BI745" s="188"/>
      <c r="BJ745" s="188"/>
      <c r="BK745" s="188"/>
      <c r="BM745" s="188"/>
      <c r="BN745" s="188"/>
      <c r="BO745" s="188"/>
      <c r="BP745" s="188"/>
      <c r="BQ745" s="188"/>
    </row>
    <row r="746" spans="45:69" x14ac:dyDescent="0.3">
      <c r="AV746" s="44"/>
      <c r="AW746" s="123"/>
      <c r="AX746" s="188"/>
      <c r="AY746" s="188"/>
      <c r="AZ746" s="188"/>
      <c r="BA746" s="160"/>
      <c r="BB746" s="188"/>
      <c r="BC746" s="219"/>
      <c r="BD746" s="219"/>
      <c r="BE746" s="160"/>
      <c r="BG746" s="188"/>
      <c r="BH746" s="188"/>
      <c r="BI746" s="188"/>
      <c r="BJ746" s="188"/>
      <c r="BK746" s="188"/>
      <c r="BM746" s="188"/>
      <c r="BN746" s="188"/>
      <c r="BO746" s="188"/>
      <c r="BP746" s="188"/>
      <c r="BQ746" s="188"/>
    </row>
    <row r="747" spans="45:69" x14ac:dyDescent="0.3">
      <c r="AV747" s="44"/>
      <c r="AW747" s="123"/>
      <c r="AX747" s="188"/>
      <c r="AY747" s="188"/>
      <c r="AZ747" s="188"/>
      <c r="BA747" s="160"/>
      <c r="BB747" s="188"/>
      <c r="BC747" s="219"/>
      <c r="BD747" s="219"/>
      <c r="BE747" s="160"/>
      <c r="BG747" s="188"/>
      <c r="BH747" s="188"/>
      <c r="BI747" s="188"/>
      <c r="BJ747" s="188"/>
      <c r="BK747" s="188"/>
      <c r="BM747" s="188"/>
      <c r="BN747" s="188"/>
      <c r="BO747" s="188"/>
      <c r="BP747" s="188"/>
      <c r="BQ747" s="188"/>
    </row>
    <row r="748" spans="45:69" x14ac:dyDescent="0.3">
      <c r="AY748" s="219"/>
      <c r="AZ748" s="188"/>
      <c r="BA748" s="160"/>
      <c r="BB748" s="188"/>
      <c r="BC748" s="219"/>
      <c r="BD748" s="219"/>
      <c r="BE748" s="160"/>
      <c r="BK748" s="188"/>
      <c r="BQ748" s="188"/>
    </row>
    <row r="749" spans="45:69" x14ac:dyDescent="0.3">
      <c r="AV749" s="44"/>
      <c r="AY749" s="219"/>
      <c r="AZ749" s="188"/>
      <c r="BA749" s="160"/>
      <c r="BB749" s="188"/>
      <c r="BC749" s="219"/>
      <c r="BD749" s="219"/>
      <c r="BE749" s="160"/>
      <c r="BK749" s="188"/>
      <c r="BQ749" s="188"/>
    </row>
    <row r="750" spans="45:69" x14ac:dyDescent="0.3">
      <c r="AV750" s="44"/>
      <c r="AW750" s="123"/>
      <c r="AX750" s="188"/>
      <c r="AY750" s="188"/>
      <c r="AZ750" s="188"/>
      <c r="BA750" s="160"/>
      <c r="BB750" s="188"/>
      <c r="BC750" s="219"/>
      <c r="BD750" s="219"/>
      <c r="BE750" s="160"/>
      <c r="BG750" s="188"/>
      <c r="BH750" s="188"/>
      <c r="BI750" s="188"/>
      <c r="BJ750" s="188"/>
      <c r="BK750" s="188"/>
      <c r="BM750" s="188"/>
      <c r="BN750" s="188"/>
      <c r="BO750" s="188"/>
      <c r="BP750" s="188"/>
      <c r="BQ750" s="188"/>
    </row>
    <row r="751" spans="45:69" x14ac:dyDescent="0.3">
      <c r="AV751" s="44"/>
      <c r="AW751" s="123"/>
      <c r="AX751" s="188"/>
      <c r="AY751" s="188"/>
      <c r="AZ751" s="188"/>
      <c r="BA751" s="160"/>
      <c r="BB751" s="188"/>
      <c r="BC751" s="219"/>
      <c r="BD751" s="219"/>
      <c r="BE751" s="160"/>
      <c r="BG751" s="188"/>
      <c r="BH751" s="188"/>
      <c r="BI751" s="188"/>
      <c r="BJ751" s="188"/>
      <c r="BK751" s="188"/>
      <c r="BM751" s="188"/>
      <c r="BN751" s="188"/>
      <c r="BO751" s="188"/>
      <c r="BP751" s="188"/>
      <c r="BQ751" s="188"/>
    </row>
    <row r="752" spans="45:69" x14ac:dyDescent="0.3">
      <c r="AV752" s="44"/>
      <c r="AW752" s="123"/>
      <c r="AX752" s="188"/>
      <c r="AY752" s="188"/>
      <c r="AZ752" s="188"/>
      <c r="BA752" s="160"/>
      <c r="BB752" s="188"/>
      <c r="BC752" s="219"/>
      <c r="BD752" s="219"/>
      <c r="BE752" s="160"/>
      <c r="BG752" s="188"/>
      <c r="BH752" s="188"/>
      <c r="BI752" s="188"/>
      <c r="BJ752" s="188"/>
      <c r="BK752" s="188"/>
      <c r="BM752" s="188"/>
      <c r="BN752" s="188"/>
      <c r="BO752" s="188"/>
      <c r="BP752" s="188"/>
      <c r="BQ752" s="188"/>
    </row>
    <row r="753" spans="45:69" x14ac:dyDescent="0.3">
      <c r="AV753" s="44"/>
      <c r="AW753" s="123"/>
      <c r="AX753" s="188"/>
      <c r="AY753" s="188"/>
      <c r="AZ753" s="188"/>
      <c r="BA753" s="160"/>
      <c r="BB753" s="188"/>
      <c r="BC753" s="219"/>
      <c r="BD753" s="219"/>
      <c r="BE753" s="160"/>
      <c r="BG753" s="188"/>
      <c r="BH753" s="188"/>
      <c r="BI753" s="188"/>
      <c r="BJ753" s="188"/>
      <c r="BK753" s="188"/>
      <c r="BM753" s="188"/>
      <c r="BN753" s="188"/>
      <c r="BO753" s="188"/>
      <c r="BP753" s="188"/>
      <c r="BQ753" s="188"/>
    </row>
    <row r="754" spans="45:69" x14ac:dyDescent="0.3">
      <c r="AV754" s="44"/>
      <c r="AW754" s="123"/>
      <c r="AX754" s="188"/>
      <c r="AY754" s="188"/>
      <c r="AZ754" s="188"/>
      <c r="BA754" s="160"/>
      <c r="BB754" s="188"/>
      <c r="BC754" s="219"/>
      <c r="BD754" s="219"/>
      <c r="BE754" s="160"/>
      <c r="BG754" s="188"/>
      <c r="BH754" s="188"/>
      <c r="BI754" s="188"/>
      <c r="BJ754" s="188"/>
      <c r="BK754" s="188"/>
      <c r="BM754" s="188"/>
      <c r="BN754" s="188"/>
      <c r="BO754" s="188"/>
      <c r="BP754" s="188"/>
      <c r="BQ754" s="188"/>
    </row>
    <row r="755" spans="45:69" x14ac:dyDescent="0.3">
      <c r="AV755" s="44"/>
      <c r="AW755" s="123"/>
      <c r="AX755" s="188"/>
      <c r="AY755" s="188"/>
      <c r="AZ755" s="188"/>
      <c r="BA755" s="160"/>
      <c r="BB755" s="188"/>
      <c r="BC755" s="219"/>
      <c r="BD755" s="219"/>
      <c r="BE755" s="160"/>
      <c r="BG755" s="188"/>
      <c r="BH755" s="188"/>
      <c r="BI755" s="188"/>
      <c r="BJ755" s="188"/>
      <c r="BK755" s="188"/>
      <c r="BM755" s="188"/>
      <c r="BN755" s="188"/>
      <c r="BO755" s="188"/>
      <c r="BP755" s="188"/>
      <c r="BQ755" s="188"/>
    </row>
    <row r="756" spans="45:69" x14ac:dyDescent="0.3">
      <c r="AV756" s="44"/>
      <c r="AW756" s="123"/>
      <c r="AX756" s="188"/>
      <c r="AY756" s="188"/>
      <c r="AZ756" s="188"/>
      <c r="BA756" s="160"/>
      <c r="BB756" s="188"/>
      <c r="BC756" s="219"/>
      <c r="BD756" s="219"/>
      <c r="BE756" s="160"/>
      <c r="BG756" s="188"/>
      <c r="BH756" s="188"/>
      <c r="BI756" s="188"/>
      <c r="BJ756" s="188"/>
      <c r="BK756" s="188"/>
      <c r="BM756" s="188"/>
      <c r="BN756" s="188"/>
      <c r="BO756" s="188"/>
      <c r="BP756" s="188"/>
      <c r="BQ756" s="188"/>
    </row>
    <row r="757" spans="45:69" x14ac:dyDescent="0.3">
      <c r="AV757" s="44"/>
      <c r="AW757" s="123"/>
      <c r="AX757" s="188"/>
      <c r="AY757" s="188"/>
      <c r="AZ757" s="188"/>
      <c r="BA757" s="160"/>
      <c r="BB757" s="188"/>
      <c r="BC757" s="219"/>
      <c r="BD757" s="219"/>
      <c r="BE757" s="160"/>
      <c r="BG757" s="188"/>
      <c r="BH757" s="188"/>
      <c r="BI757" s="188"/>
      <c r="BJ757" s="188"/>
      <c r="BK757" s="188"/>
      <c r="BM757" s="188"/>
      <c r="BN757" s="188"/>
      <c r="BO757" s="188"/>
      <c r="BP757" s="188"/>
      <c r="BQ757" s="188"/>
    </row>
    <row r="758" spans="45:69" x14ac:dyDescent="0.3">
      <c r="AY758" s="219"/>
      <c r="AZ758" s="188"/>
      <c r="BA758" s="160"/>
      <c r="BB758" s="188"/>
      <c r="BC758" s="219"/>
      <c r="BD758" s="219"/>
      <c r="BE758" s="160"/>
      <c r="BK758" s="188"/>
      <c r="BQ758" s="188"/>
    </row>
    <row r="759" spans="45:69" x14ac:dyDescent="0.3">
      <c r="AU759" s="42"/>
      <c r="AZ759" s="188"/>
      <c r="BB759" s="188"/>
      <c r="BG759" s="188"/>
      <c r="BH759" s="188"/>
      <c r="BJ759" s="188"/>
      <c r="BK759" s="188"/>
    </row>
    <row r="760" spans="45:69" x14ac:dyDescent="0.3">
      <c r="AZ760" s="188"/>
      <c r="BB760" s="188"/>
    </row>
    <row r="761" spans="45:69" x14ac:dyDescent="0.3">
      <c r="AS761" s="42"/>
      <c r="AZ761" s="188"/>
      <c r="BB761" s="188"/>
      <c r="BI761" s="188"/>
    </row>
    <row r="762" spans="45:69" x14ac:dyDescent="0.3">
      <c r="AZ762" s="188"/>
      <c r="BB762" s="188"/>
    </row>
    <row r="763" spans="45:69" x14ac:dyDescent="0.3">
      <c r="AY763" s="188"/>
      <c r="BB763" s="188"/>
    </row>
    <row r="764" spans="45:69" x14ac:dyDescent="0.3">
      <c r="AY764" s="42"/>
      <c r="AZ764" s="188"/>
      <c r="BB764" s="188"/>
    </row>
    <row r="765" spans="45:69" x14ac:dyDescent="0.3">
      <c r="AY765" s="42"/>
      <c r="AZ765" s="188"/>
      <c r="BB765" s="188"/>
    </row>
    <row r="766" spans="45:69" x14ac:dyDescent="0.3">
      <c r="AZ766" s="188"/>
      <c r="BB766" s="188"/>
      <c r="BD766" s="42"/>
    </row>
    <row r="767" spans="45:69" x14ac:dyDescent="0.3">
      <c r="AZ767" s="188"/>
      <c r="BB767" s="188"/>
      <c r="BD767" s="42"/>
    </row>
    <row r="768" spans="45:69" x14ac:dyDescent="0.3">
      <c r="AS768" s="42"/>
      <c r="AZ768" s="188"/>
      <c r="BB768" s="188"/>
      <c r="BD768" s="42"/>
    </row>
    <row r="769" spans="45:75" x14ac:dyDescent="0.3">
      <c r="AZ769" s="188"/>
      <c r="BB769" s="188"/>
    </row>
    <row r="770" spans="45:75" x14ac:dyDescent="0.3">
      <c r="AS770" s="135"/>
      <c r="AT770" s="135"/>
      <c r="AU770" s="135"/>
      <c r="AV770" s="135"/>
      <c r="AW770" s="135"/>
      <c r="AX770" s="135"/>
      <c r="AY770" s="135"/>
      <c r="AZ770" s="244"/>
      <c r="BA770" s="135"/>
      <c r="BB770" s="244"/>
      <c r="BC770" s="135"/>
      <c r="BD770" s="135"/>
      <c r="BE770" s="135"/>
    </row>
    <row r="771" spans="45:75" x14ac:dyDescent="0.3">
      <c r="AX771" s="42"/>
      <c r="AZ771" s="188"/>
      <c r="BB771" s="188"/>
    </row>
    <row r="772" spans="45:75" x14ac:dyDescent="0.3">
      <c r="AX772" s="135"/>
      <c r="AY772" s="135"/>
      <c r="AZ772" s="244"/>
      <c r="BA772" s="135"/>
      <c r="BB772" s="188"/>
      <c r="BC772" s="44"/>
      <c r="BD772" s="44"/>
    </row>
    <row r="773" spans="45:75" x14ac:dyDescent="0.3">
      <c r="AV773" s="44"/>
      <c r="AW773" s="44"/>
      <c r="AZ773" s="245"/>
      <c r="BA773" s="44"/>
      <c r="BB773" s="188"/>
      <c r="BC773" s="44"/>
      <c r="BD773" s="44"/>
      <c r="BE773" s="44"/>
      <c r="BG773" s="135"/>
      <c r="BH773" s="135"/>
      <c r="BI773" s="42"/>
      <c r="BM773" s="135"/>
      <c r="BN773" s="135"/>
      <c r="BP773" s="135"/>
      <c r="BQ773" s="135"/>
      <c r="BR773" s="42"/>
      <c r="BV773" s="135"/>
      <c r="BW773" s="135"/>
    </row>
    <row r="774" spans="45:75" x14ac:dyDescent="0.3">
      <c r="AV774" s="44"/>
      <c r="AW774" s="44"/>
      <c r="AX774" s="44"/>
      <c r="AY774" s="44"/>
      <c r="AZ774" s="245"/>
      <c r="BA774" s="44"/>
      <c r="BB774" s="245"/>
      <c r="BC774" s="44"/>
      <c r="BD774" s="44"/>
      <c r="BE774" s="44"/>
      <c r="BH774" s="44"/>
      <c r="BI774" s="44"/>
      <c r="BJ774" s="44"/>
      <c r="BK774" s="44"/>
      <c r="BL774" s="44"/>
      <c r="BM774" s="44"/>
      <c r="BQ774" s="44"/>
      <c r="BR774" s="44"/>
      <c r="BS774" s="44"/>
      <c r="BT774" s="44"/>
      <c r="BU774" s="44"/>
      <c r="BV774" s="44"/>
    </row>
    <row r="775" spans="45:75" x14ac:dyDescent="0.3">
      <c r="AS775" s="44"/>
      <c r="AU775" s="42"/>
      <c r="AV775" s="44"/>
      <c r="AW775" s="44"/>
      <c r="AX775" s="44"/>
      <c r="AY775" s="44"/>
      <c r="AZ775" s="245"/>
      <c r="BA775" s="44"/>
      <c r="BB775" s="245"/>
      <c r="BC775" s="44"/>
      <c r="BD775" s="44"/>
      <c r="BE775" s="44"/>
      <c r="BG775" s="44"/>
      <c r="BH775" s="44"/>
      <c r="BI775" s="44"/>
      <c r="BJ775" s="44"/>
      <c r="BK775" s="44"/>
      <c r="BL775" s="44"/>
      <c r="BM775" s="44"/>
      <c r="BN775" s="44"/>
      <c r="BP775" s="44"/>
      <c r="BQ775" s="44"/>
      <c r="BR775" s="44"/>
      <c r="BS775" s="44"/>
      <c r="BT775" s="44"/>
      <c r="BU775" s="44"/>
      <c r="BV775" s="44"/>
      <c r="BW775" s="44"/>
    </row>
    <row r="776" spans="45:75" x14ac:dyDescent="0.3">
      <c r="AS776" s="44"/>
      <c r="AU776" s="42"/>
      <c r="AV776" s="44"/>
      <c r="AW776" s="44"/>
      <c r="AX776" s="44"/>
      <c r="AY776" s="44"/>
      <c r="AZ776" s="245"/>
      <c r="BA776" s="44"/>
      <c r="BB776" s="245"/>
      <c r="BC776" s="44"/>
      <c r="BD776" s="44"/>
      <c r="BE776" s="44"/>
      <c r="BG776" s="44"/>
      <c r="BH776" s="44"/>
      <c r="BI776" s="44"/>
      <c r="BJ776" s="44"/>
      <c r="BK776" s="44"/>
      <c r="BL776" s="44"/>
      <c r="BM776" s="44"/>
      <c r="BN776" s="44"/>
      <c r="BP776" s="44"/>
      <c r="BQ776" s="44"/>
      <c r="BR776" s="44"/>
      <c r="BS776" s="44"/>
      <c r="BT776" s="44"/>
      <c r="BU776" s="44"/>
      <c r="BV776" s="44"/>
      <c r="BW776" s="44"/>
    </row>
    <row r="777" spans="45:75" x14ac:dyDescent="0.3">
      <c r="AS777" s="135"/>
      <c r="AT777" s="135"/>
      <c r="AU777" s="135"/>
      <c r="AV777" s="135"/>
      <c r="AW777" s="135"/>
      <c r="AX777" s="135"/>
      <c r="AY777" s="135"/>
      <c r="AZ777" s="244"/>
      <c r="BA777" s="135"/>
      <c r="BB777" s="244"/>
      <c r="BC777" s="135"/>
      <c r="BD777" s="135"/>
      <c r="BE777" s="135"/>
      <c r="BG777" s="135"/>
      <c r="BH777" s="135"/>
      <c r="BI777" s="135"/>
      <c r="BJ777" s="135"/>
      <c r="BK777" s="135"/>
      <c r="BL777" s="135"/>
      <c r="BM777" s="135"/>
      <c r="BN777" s="135"/>
      <c r="BP777" s="135"/>
      <c r="BQ777" s="135"/>
      <c r="BR777" s="135"/>
      <c r="BS777" s="135"/>
      <c r="BT777" s="135"/>
      <c r="BU777" s="135"/>
      <c r="BV777" s="135"/>
      <c r="BW777" s="135"/>
    </row>
    <row r="778" spans="45:75" x14ac:dyDescent="0.3">
      <c r="AV778" s="44"/>
      <c r="AW778" s="44"/>
      <c r="AX778" s="44"/>
      <c r="AY778" s="44"/>
      <c r="AZ778" s="245"/>
      <c r="BA778" s="44"/>
      <c r="BB778" s="245"/>
      <c r="BC778" s="44"/>
      <c r="BD778" s="44"/>
      <c r="BE778" s="44"/>
      <c r="BG778" s="188"/>
      <c r="BH778" s="188"/>
      <c r="BI778" s="188"/>
      <c r="BJ778" s="188"/>
      <c r="BK778" s="188"/>
      <c r="BL778" s="188"/>
      <c r="BM778" s="188"/>
      <c r="BN778" s="188"/>
      <c r="BO778" s="188"/>
      <c r="BP778" s="188"/>
      <c r="BQ778" s="188"/>
      <c r="BR778" s="188"/>
      <c r="BS778" s="188"/>
      <c r="BT778" s="188"/>
      <c r="BU778" s="188"/>
      <c r="BV778" s="188"/>
      <c r="BW778" s="188"/>
    </row>
    <row r="779" spans="45:75" x14ac:dyDescent="0.3">
      <c r="AU779" s="42"/>
      <c r="AW779" s="123"/>
      <c r="AX779" s="188"/>
      <c r="AY779" s="188"/>
      <c r="AZ779" s="188"/>
      <c r="BA779" s="236"/>
      <c r="BB779" s="188"/>
      <c r="BC779" s="188"/>
      <c r="BD779" s="188"/>
      <c r="BE779" s="236"/>
      <c r="BG779" s="188"/>
      <c r="BH779" s="188"/>
      <c r="BI779" s="188"/>
      <c r="BJ779" s="188"/>
      <c r="BK779" s="188"/>
      <c r="BL779" s="188"/>
      <c r="BM779" s="188"/>
      <c r="BN779" s="188"/>
      <c r="BO779" s="188"/>
      <c r="BP779" s="188"/>
      <c r="BQ779" s="188"/>
      <c r="BR779" s="188"/>
      <c r="BS779" s="188"/>
      <c r="BT779" s="188"/>
      <c r="BU779" s="188"/>
      <c r="BV779" s="188"/>
      <c r="BW779" s="188"/>
    </row>
    <row r="780" spans="45:75" x14ac:dyDescent="0.3">
      <c r="AW780" s="123"/>
      <c r="AX780" s="188"/>
      <c r="AY780" s="188"/>
      <c r="AZ780" s="188"/>
      <c r="BA780" s="236"/>
      <c r="BB780" s="188"/>
      <c r="BC780" s="188"/>
      <c r="BD780" s="188"/>
      <c r="BE780" s="236"/>
      <c r="BG780" s="188"/>
      <c r="BH780" s="188"/>
      <c r="BI780" s="188"/>
      <c r="BJ780" s="188"/>
      <c r="BK780" s="188"/>
      <c r="BL780" s="188"/>
      <c r="BM780" s="188"/>
      <c r="BN780" s="188"/>
      <c r="BO780" s="188"/>
      <c r="BP780" s="188"/>
      <c r="BQ780" s="188"/>
      <c r="BR780" s="188"/>
      <c r="BS780" s="188"/>
      <c r="BT780" s="188"/>
      <c r="BU780" s="188"/>
      <c r="BV780" s="188"/>
      <c r="BW780" s="188"/>
    </row>
    <row r="781" spans="45:75" x14ac:dyDescent="0.3">
      <c r="AW781" s="123"/>
      <c r="AX781" s="188"/>
      <c r="AY781" s="188"/>
      <c r="AZ781" s="188"/>
      <c r="BA781" s="236"/>
      <c r="BB781" s="188"/>
      <c r="BC781" s="188"/>
      <c r="BD781" s="188"/>
      <c r="BE781" s="236"/>
      <c r="BG781" s="188"/>
      <c r="BH781" s="188"/>
      <c r="BI781" s="188"/>
      <c r="BJ781" s="188"/>
      <c r="BK781" s="188"/>
      <c r="BL781" s="188"/>
      <c r="BM781" s="188"/>
      <c r="BN781" s="188"/>
      <c r="BO781" s="188"/>
      <c r="BP781" s="188"/>
      <c r="BQ781" s="188"/>
      <c r="BR781" s="188"/>
      <c r="BS781" s="188"/>
      <c r="BT781" s="188"/>
      <c r="BU781" s="188"/>
      <c r="BV781" s="188"/>
      <c r="BW781" s="188"/>
    </row>
    <row r="782" spans="45:75" x14ac:dyDescent="0.3">
      <c r="AW782" s="123"/>
      <c r="AX782" s="188"/>
      <c r="AY782" s="188"/>
      <c r="AZ782" s="188"/>
      <c r="BA782" s="236"/>
      <c r="BB782" s="188"/>
      <c r="BC782" s="188"/>
      <c r="BD782" s="188"/>
      <c r="BE782" s="236"/>
      <c r="BG782" s="188"/>
      <c r="BH782" s="188"/>
      <c r="BI782" s="188"/>
      <c r="BJ782" s="188"/>
      <c r="BK782" s="188"/>
      <c r="BL782" s="188"/>
      <c r="BM782" s="188"/>
      <c r="BN782" s="188"/>
      <c r="BO782" s="188"/>
      <c r="BP782" s="188"/>
      <c r="BQ782" s="188"/>
      <c r="BR782" s="188"/>
      <c r="BS782" s="188"/>
      <c r="BT782" s="188"/>
      <c r="BU782" s="188"/>
      <c r="BV782" s="188"/>
      <c r="BW782" s="188"/>
    </row>
    <row r="783" spans="45:75" x14ac:dyDescent="0.3">
      <c r="AW783" s="123"/>
      <c r="AX783" s="188"/>
      <c r="AY783" s="188"/>
      <c r="AZ783" s="188"/>
      <c r="BA783" s="236"/>
      <c r="BB783" s="188"/>
      <c r="BC783" s="188"/>
      <c r="BD783" s="188"/>
      <c r="BE783" s="236"/>
      <c r="BG783" s="188"/>
      <c r="BH783" s="188"/>
      <c r="BI783" s="188"/>
      <c r="BJ783" s="188"/>
      <c r="BK783" s="188"/>
      <c r="BL783" s="188"/>
      <c r="BM783" s="188"/>
      <c r="BN783" s="188"/>
      <c r="BO783" s="188"/>
      <c r="BP783" s="188"/>
      <c r="BQ783" s="188"/>
      <c r="BR783" s="188"/>
      <c r="BS783" s="188"/>
      <c r="BT783" s="188"/>
      <c r="BU783" s="188"/>
      <c r="BV783" s="188"/>
      <c r="BW783" s="188"/>
    </row>
    <row r="784" spans="45:75" x14ac:dyDescent="0.3">
      <c r="AW784" s="123"/>
      <c r="AX784" s="188"/>
      <c r="AY784" s="188"/>
      <c r="AZ784" s="188"/>
      <c r="BA784" s="236"/>
      <c r="BB784" s="188"/>
      <c r="BC784" s="188"/>
      <c r="BD784" s="188"/>
      <c r="BE784" s="236"/>
      <c r="BG784" s="188"/>
      <c r="BH784" s="188"/>
      <c r="BI784" s="188"/>
      <c r="BJ784" s="188"/>
      <c r="BK784" s="188"/>
      <c r="BL784" s="188"/>
      <c r="BM784" s="188"/>
      <c r="BN784" s="188"/>
      <c r="BO784" s="188"/>
      <c r="BP784" s="188"/>
      <c r="BQ784" s="188"/>
      <c r="BR784" s="188"/>
      <c r="BS784" s="188"/>
      <c r="BT784" s="188"/>
      <c r="BU784" s="188"/>
      <c r="BV784" s="188"/>
      <c r="BW784" s="188"/>
    </row>
    <row r="785" spans="49:75" x14ac:dyDescent="0.3">
      <c r="AW785" s="123"/>
      <c r="AX785" s="188"/>
      <c r="AY785" s="188"/>
      <c r="AZ785" s="188"/>
      <c r="BA785" s="236"/>
      <c r="BB785" s="188"/>
      <c r="BC785" s="188"/>
      <c r="BD785" s="188"/>
      <c r="BE785" s="236"/>
      <c r="BG785" s="188"/>
      <c r="BH785" s="188"/>
      <c r="BI785" s="188"/>
      <c r="BJ785" s="188"/>
      <c r="BK785" s="188"/>
      <c r="BL785" s="188"/>
      <c r="BM785" s="188"/>
      <c r="BN785" s="188"/>
      <c r="BO785" s="188"/>
      <c r="BP785" s="188"/>
      <c r="BQ785" s="188"/>
      <c r="BR785" s="188"/>
      <c r="BS785" s="188"/>
      <c r="BT785" s="188"/>
      <c r="BU785" s="188"/>
      <c r="BV785" s="188"/>
      <c r="BW785" s="188"/>
    </row>
    <row r="786" spans="49:75" x14ac:dyDescent="0.3">
      <c r="AW786" s="123"/>
      <c r="AX786" s="188"/>
      <c r="AY786" s="188"/>
      <c r="AZ786" s="188"/>
      <c r="BA786" s="236"/>
      <c r="BB786" s="188"/>
      <c r="BC786" s="188"/>
      <c r="BD786" s="188"/>
      <c r="BE786" s="236"/>
      <c r="BG786" s="188"/>
      <c r="BH786" s="188"/>
      <c r="BI786" s="188"/>
      <c r="BJ786" s="188"/>
      <c r="BK786" s="188"/>
      <c r="BL786" s="188"/>
      <c r="BM786" s="188"/>
      <c r="BN786" s="188"/>
      <c r="BO786" s="188"/>
      <c r="BP786" s="188"/>
      <c r="BQ786" s="188"/>
      <c r="BR786" s="188"/>
      <c r="BS786" s="188"/>
      <c r="BT786" s="188"/>
      <c r="BU786" s="188"/>
      <c r="BV786" s="188"/>
      <c r="BW786" s="188"/>
    </row>
    <row r="787" spans="49:75" x14ac:dyDescent="0.3">
      <c r="AW787" s="123"/>
      <c r="AX787" s="188"/>
      <c r="AY787" s="188"/>
      <c r="AZ787" s="188"/>
      <c r="BA787" s="236"/>
      <c r="BB787" s="188"/>
      <c r="BC787" s="188"/>
      <c r="BD787" s="188"/>
      <c r="BE787" s="236"/>
      <c r="BG787" s="188"/>
      <c r="BH787" s="188"/>
      <c r="BI787" s="188"/>
      <c r="BJ787" s="188"/>
      <c r="BK787" s="188"/>
      <c r="BL787" s="188"/>
      <c r="BM787" s="188"/>
      <c r="BN787" s="188"/>
      <c r="BO787" s="188"/>
      <c r="BP787" s="188"/>
      <c r="BQ787" s="188"/>
      <c r="BR787" s="188"/>
      <c r="BS787" s="188"/>
      <c r="BT787" s="188"/>
      <c r="BU787" s="188"/>
      <c r="BV787" s="188"/>
      <c r="BW787" s="188"/>
    </row>
    <row r="788" spans="49:75" x14ac:dyDescent="0.3">
      <c r="AW788" s="123"/>
      <c r="AX788" s="188"/>
      <c r="AY788" s="188"/>
      <c r="AZ788" s="188"/>
      <c r="BA788" s="236"/>
      <c r="BB788" s="188"/>
      <c r="BC788" s="188"/>
      <c r="BD788" s="188"/>
      <c r="BE788" s="236"/>
      <c r="BG788" s="188"/>
      <c r="BH788" s="188"/>
      <c r="BI788" s="188"/>
      <c r="BJ788" s="188"/>
      <c r="BK788" s="188"/>
      <c r="BL788" s="188"/>
      <c r="BM788" s="188"/>
      <c r="BN788" s="188"/>
      <c r="BO788" s="188"/>
      <c r="BP788" s="188"/>
      <c r="BQ788" s="188"/>
      <c r="BR788" s="188"/>
      <c r="BS788" s="188"/>
      <c r="BT788" s="188"/>
      <c r="BU788" s="188"/>
      <c r="BV788" s="188"/>
      <c r="BW788" s="188"/>
    </row>
    <row r="789" spans="49:75" x14ac:dyDescent="0.3">
      <c r="AW789" s="123"/>
      <c r="AX789" s="188"/>
      <c r="AY789" s="188"/>
      <c r="AZ789" s="188"/>
      <c r="BA789" s="236"/>
      <c r="BB789" s="188"/>
      <c r="BC789" s="188"/>
      <c r="BD789" s="188"/>
      <c r="BE789" s="236"/>
      <c r="BG789" s="188"/>
      <c r="BH789" s="188"/>
      <c r="BI789" s="188"/>
      <c r="BJ789" s="188"/>
      <c r="BK789" s="188"/>
      <c r="BL789" s="188"/>
      <c r="BM789" s="188"/>
      <c r="BN789" s="188"/>
      <c r="BO789" s="188"/>
      <c r="BP789" s="188"/>
      <c r="BQ789" s="188"/>
      <c r="BR789" s="188"/>
      <c r="BS789" s="188"/>
      <c r="BT789" s="188"/>
      <c r="BU789" s="188"/>
      <c r="BV789" s="188"/>
      <c r="BW789" s="188"/>
    </row>
    <row r="790" spans="49:75" x14ac:dyDescent="0.3">
      <c r="AW790" s="123"/>
      <c r="AX790" s="188"/>
      <c r="AY790" s="188"/>
      <c r="AZ790" s="188"/>
      <c r="BA790" s="236"/>
      <c r="BB790" s="188"/>
      <c r="BC790" s="188"/>
      <c r="BD790" s="188"/>
      <c r="BE790" s="236"/>
      <c r="BG790" s="188"/>
      <c r="BH790" s="188"/>
      <c r="BI790" s="188"/>
      <c r="BJ790" s="188"/>
      <c r="BK790" s="188"/>
      <c r="BL790" s="188"/>
      <c r="BM790" s="188"/>
      <c r="BN790" s="188"/>
      <c r="BO790" s="188"/>
      <c r="BP790" s="188"/>
      <c r="BQ790" s="188"/>
      <c r="BR790" s="188"/>
      <c r="BS790" s="188"/>
      <c r="BT790" s="188"/>
      <c r="BU790" s="188"/>
      <c r="BV790" s="188"/>
      <c r="BW790" s="188"/>
    </row>
    <row r="791" spans="49:75" x14ac:dyDescent="0.3">
      <c r="AW791" s="123"/>
      <c r="AX791" s="188"/>
      <c r="AY791" s="188"/>
      <c r="AZ791" s="188"/>
      <c r="BA791" s="236"/>
      <c r="BB791" s="188"/>
      <c r="BC791" s="188"/>
      <c r="BD791" s="188"/>
      <c r="BE791" s="236"/>
      <c r="BG791" s="188"/>
      <c r="BH791" s="188"/>
      <c r="BI791" s="188"/>
      <c r="BJ791" s="188"/>
      <c r="BK791" s="188"/>
      <c r="BL791" s="188"/>
      <c r="BM791" s="188"/>
      <c r="BN791" s="188"/>
      <c r="BO791" s="188"/>
      <c r="BP791" s="188"/>
      <c r="BQ791" s="188"/>
      <c r="BR791" s="188"/>
      <c r="BS791" s="188"/>
      <c r="BT791" s="188"/>
      <c r="BU791" s="188"/>
      <c r="BV791" s="188"/>
      <c r="BW791" s="188"/>
    </row>
    <row r="792" spans="49:75" x14ac:dyDescent="0.3">
      <c r="AW792" s="123"/>
      <c r="AX792" s="188"/>
      <c r="AY792" s="188"/>
      <c r="AZ792" s="188"/>
      <c r="BA792" s="236"/>
      <c r="BB792" s="188"/>
      <c r="BC792" s="188"/>
      <c r="BD792" s="188"/>
      <c r="BE792" s="236"/>
      <c r="BG792" s="188"/>
      <c r="BH792" s="188"/>
      <c r="BI792" s="188"/>
      <c r="BJ792" s="188"/>
      <c r="BK792" s="188"/>
      <c r="BL792" s="188"/>
      <c r="BM792" s="188"/>
      <c r="BN792" s="188"/>
      <c r="BO792" s="188"/>
      <c r="BP792" s="188"/>
      <c r="BQ792" s="188"/>
      <c r="BR792" s="188"/>
      <c r="BS792" s="188"/>
      <c r="BT792" s="188"/>
      <c r="BU792" s="188"/>
      <c r="BV792" s="188"/>
      <c r="BW792" s="188"/>
    </row>
    <row r="793" spans="49:75" x14ac:dyDescent="0.3">
      <c r="AW793" s="123"/>
      <c r="AX793" s="188"/>
      <c r="AY793" s="188"/>
      <c r="AZ793" s="188"/>
      <c r="BA793" s="236"/>
      <c r="BB793" s="188"/>
      <c r="BC793" s="188"/>
      <c r="BD793" s="188"/>
      <c r="BE793" s="236"/>
      <c r="BG793" s="188"/>
      <c r="BH793" s="188"/>
      <c r="BI793" s="188"/>
      <c r="BJ793" s="188"/>
      <c r="BK793" s="188"/>
      <c r="BL793" s="188"/>
      <c r="BM793" s="188"/>
      <c r="BN793" s="188"/>
      <c r="BO793" s="188"/>
      <c r="BP793" s="188"/>
      <c r="BQ793" s="188"/>
      <c r="BR793" s="188"/>
      <c r="BS793" s="188"/>
      <c r="BT793" s="188"/>
      <c r="BU793" s="188"/>
      <c r="BV793" s="188"/>
      <c r="BW793" s="188"/>
    </row>
    <row r="794" spans="49:75" x14ac:dyDescent="0.3">
      <c r="AW794" s="123"/>
      <c r="AX794" s="188"/>
      <c r="AY794" s="188"/>
      <c r="AZ794" s="188"/>
      <c r="BA794" s="236"/>
      <c r="BB794" s="188"/>
      <c r="BC794" s="188"/>
      <c r="BD794" s="188"/>
      <c r="BE794" s="236"/>
      <c r="BG794" s="188"/>
      <c r="BH794" s="188"/>
      <c r="BI794" s="188"/>
      <c r="BJ794" s="188"/>
      <c r="BK794" s="188"/>
      <c r="BL794" s="188"/>
      <c r="BM794" s="188"/>
      <c r="BN794" s="188"/>
      <c r="BO794" s="188"/>
      <c r="BP794" s="188"/>
      <c r="BQ794" s="188"/>
      <c r="BR794" s="188"/>
      <c r="BS794" s="188"/>
      <c r="BT794" s="188"/>
      <c r="BU794" s="188"/>
      <c r="BV794" s="188"/>
      <c r="BW794" s="188"/>
    </row>
    <row r="795" spans="49:75" x14ac:dyDescent="0.3">
      <c r="AW795" s="123"/>
      <c r="AX795" s="188"/>
      <c r="AY795" s="188"/>
      <c r="AZ795" s="188"/>
      <c r="BA795" s="236"/>
      <c r="BB795" s="188"/>
      <c r="BC795" s="188"/>
      <c r="BD795" s="188"/>
      <c r="BE795" s="236"/>
      <c r="BG795" s="188"/>
      <c r="BH795" s="188"/>
      <c r="BI795" s="188"/>
      <c r="BJ795" s="188"/>
      <c r="BK795" s="188"/>
      <c r="BL795" s="188"/>
      <c r="BM795" s="188"/>
      <c r="BN795" s="188"/>
      <c r="BO795" s="188"/>
      <c r="BP795" s="188"/>
      <c r="BQ795" s="188"/>
      <c r="BR795" s="188"/>
      <c r="BS795" s="188"/>
      <c r="BT795" s="188"/>
      <c r="BU795" s="188"/>
      <c r="BV795" s="188"/>
      <c r="BW795" s="188"/>
    </row>
    <row r="796" spans="49:75" x14ac:dyDescent="0.3">
      <c r="AW796" s="123"/>
      <c r="AX796" s="188"/>
      <c r="AY796" s="188"/>
      <c r="AZ796" s="188"/>
      <c r="BA796" s="236"/>
      <c r="BB796" s="188"/>
      <c r="BC796" s="188"/>
      <c r="BD796" s="188"/>
      <c r="BE796" s="236"/>
      <c r="BG796" s="188"/>
      <c r="BH796" s="188"/>
      <c r="BI796" s="188"/>
      <c r="BJ796" s="188"/>
      <c r="BK796" s="188"/>
      <c r="BL796" s="188"/>
      <c r="BM796" s="188"/>
      <c r="BN796" s="188"/>
      <c r="BO796" s="188"/>
      <c r="BP796" s="188"/>
      <c r="BQ796" s="188"/>
      <c r="BR796" s="188"/>
      <c r="BS796" s="188"/>
      <c r="BT796" s="188"/>
      <c r="BU796" s="188"/>
      <c r="BV796" s="188"/>
      <c r="BW796" s="188"/>
    </row>
    <row r="797" spans="49:75" x14ac:dyDescent="0.3">
      <c r="AW797" s="123"/>
      <c r="AX797" s="188"/>
      <c r="AY797" s="188"/>
      <c r="AZ797" s="188"/>
      <c r="BA797" s="236"/>
      <c r="BB797" s="188"/>
      <c r="BC797" s="188"/>
      <c r="BD797" s="188"/>
      <c r="BE797" s="236"/>
      <c r="BG797" s="188"/>
      <c r="BH797" s="188"/>
      <c r="BI797" s="188"/>
      <c r="BJ797" s="188"/>
      <c r="BK797" s="188"/>
      <c r="BL797" s="188"/>
      <c r="BM797" s="188"/>
      <c r="BN797" s="188"/>
      <c r="BO797" s="188"/>
      <c r="BP797" s="188"/>
      <c r="BQ797" s="188"/>
      <c r="BR797" s="188"/>
      <c r="BS797" s="188"/>
      <c r="BT797" s="188"/>
      <c r="BU797" s="188"/>
      <c r="BV797" s="188"/>
      <c r="BW797" s="188"/>
    </row>
    <row r="798" spans="49:75" x14ac:dyDescent="0.3">
      <c r="AW798" s="123"/>
      <c r="AX798" s="188"/>
      <c r="AY798" s="188"/>
      <c r="AZ798" s="188"/>
      <c r="BA798" s="236"/>
      <c r="BB798" s="188"/>
      <c r="BC798" s="188"/>
      <c r="BD798" s="188"/>
      <c r="BE798" s="236"/>
      <c r="BG798" s="188"/>
      <c r="BH798" s="188"/>
      <c r="BI798" s="188"/>
      <c r="BJ798" s="188"/>
      <c r="BK798" s="188"/>
      <c r="BL798" s="188"/>
      <c r="BM798" s="188"/>
      <c r="BN798" s="188"/>
      <c r="BO798" s="188"/>
      <c r="BP798" s="188"/>
      <c r="BQ798" s="188"/>
      <c r="BR798" s="188"/>
      <c r="BS798" s="188"/>
      <c r="BT798" s="188"/>
      <c r="BU798" s="188"/>
      <c r="BV798" s="188"/>
      <c r="BW798" s="188"/>
    </row>
    <row r="799" spans="49:75" x14ac:dyDescent="0.3">
      <c r="AW799" s="123"/>
      <c r="AX799" s="188"/>
      <c r="AY799" s="188"/>
      <c r="AZ799" s="188"/>
      <c r="BA799" s="236"/>
      <c r="BB799" s="188"/>
      <c r="BC799" s="188"/>
      <c r="BD799" s="188"/>
      <c r="BE799" s="236"/>
      <c r="BG799" s="188"/>
      <c r="BH799" s="188"/>
      <c r="BI799" s="188"/>
      <c r="BJ799" s="188"/>
      <c r="BK799" s="188"/>
      <c r="BL799" s="188"/>
      <c r="BM799" s="188"/>
      <c r="BN799" s="188"/>
      <c r="BO799" s="188"/>
      <c r="BP799" s="188"/>
      <c r="BQ799" s="188"/>
      <c r="BR799" s="188"/>
      <c r="BS799" s="188"/>
      <c r="BT799" s="188"/>
      <c r="BU799" s="188"/>
      <c r="BV799" s="188"/>
      <c r="BW799" s="188"/>
    </row>
    <row r="800" spans="49:75" x14ac:dyDescent="0.3">
      <c r="AW800" s="123"/>
      <c r="AX800" s="188"/>
      <c r="AY800" s="188"/>
      <c r="AZ800" s="188"/>
      <c r="BA800" s="236"/>
      <c r="BB800" s="188"/>
      <c r="BC800" s="188"/>
      <c r="BD800" s="188"/>
      <c r="BE800" s="236"/>
      <c r="BG800" s="135"/>
      <c r="BH800" s="135"/>
      <c r="BI800" s="42"/>
      <c r="BM800" s="135"/>
      <c r="BN800" s="135"/>
      <c r="BO800" s="188"/>
      <c r="BP800" s="135"/>
      <c r="BQ800" s="135"/>
      <c r="BR800" s="42"/>
      <c r="BV800" s="135"/>
      <c r="BW800" s="135"/>
    </row>
    <row r="801" spans="45:75" x14ac:dyDescent="0.3">
      <c r="AU801" s="42"/>
      <c r="AV801" s="44"/>
      <c r="AW801" s="123"/>
      <c r="AX801" s="188"/>
      <c r="AY801" s="188"/>
      <c r="AZ801" s="188"/>
      <c r="BA801" s="236"/>
      <c r="BB801" s="188"/>
      <c r="BC801" s="188"/>
      <c r="BD801" s="188"/>
      <c r="BE801" s="236"/>
      <c r="BG801" s="245"/>
      <c r="BH801" s="188"/>
      <c r="BI801" s="188"/>
      <c r="BJ801" s="188"/>
      <c r="BK801" s="245"/>
      <c r="BL801" s="246"/>
      <c r="BM801" s="188"/>
      <c r="BN801" s="245"/>
      <c r="BO801" s="188"/>
      <c r="BP801" s="245"/>
      <c r="BQ801" s="188"/>
      <c r="BR801" s="188"/>
      <c r="BS801" s="188"/>
      <c r="BT801" s="245"/>
      <c r="BU801" s="246"/>
      <c r="BV801" s="188"/>
      <c r="BW801" s="245"/>
    </row>
    <row r="802" spans="45:75" x14ac:dyDescent="0.3">
      <c r="AV802" s="44"/>
      <c r="AW802" s="123"/>
      <c r="AX802" s="188"/>
      <c r="AY802" s="188"/>
      <c r="AZ802" s="188"/>
      <c r="BA802" s="236"/>
      <c r="BB802" s="188"/>
      <c r="BC802" s="188"/>
      <c r="BD802" s="188"/>
      <c r="BE802" s="236"/>
      <c r="BG802" s="188"/>
      <c r="BH802" s="188"/>
      <c r="BI802" s="188"/>
      <c r="BJ802" s="188"/>
      <c r="BK802" s="188"/>
      <c r="BL802" s="246"/>
      <c r="BM802" s="188"/>
      <c r="BN802" s="188"/>
      <c r="BO802" s="188"/>
      <c r="BP802" s="188"/>
      <c r="BQ802" s="188"/>
      <c r="BR802" s="188"/>
      <c r="BS802" s="188"/>
      <c r="BT802" s="188"/>
      <c r="BU802" s="246"/>
      <c r="BV802" s="188"/>
      <c r="BW802" s="188"/>
    </row>
    <row r="803" spans="45:75" x14ac:dyDescent="0.3">
      <c r="AV803" s="44"/>
      <c r="AW803" s="123"/>
      <c r="AX803" s="188"/>
      <c r="AY803" s="188"/>
      <c r="AZ803" s="188"/>
      <c r="BA803" s="236"/>
      <c r="BB803" s="188"/>
      <c r="BC803" s="188"/>
      <c r="BD803" s="188"/>
      <c r="BE803" s="236"/>
      <c r="BG803" s="188"/>
      <c r="BH803" s="188"/>
      <c r="BI803" s="188"/>
      <c r="BJ803" s="188"/>
      <c r="BK803" s="188"/>
      <c r="BL803" s="246"/>
      <c r="BM803" s="188"/>
      <c r="BN803" s="188"/>
      <c r="BO803" s="188"/>
      <c r="BP803" s="188"/>
      <c r="BQ803" s="188"/>
      <c r="BR803" s="188"/>
      <c r="BS803" s="188"/>
      <c r="BT803" s="188"/>
      <c r="BU803" s="246"/>
      <c r="BV803" s="188"/>
      <c r="BW803" s="188"/>
    </row>
    <row r="804" spans="45:75" x14ac:dyDescent="0.3">
      <c r="AV804" s="44"/>
      <c r="AW804" s="123"/>
      <c r="AX804" s="188"/>
      <c r="AY804" s="188"/>
      <c r="AZ804" s="188"/>
      <c r="BA804" s="236"/>
      <c r="BB804" s="188"/>
      <c r="BC804" s="188"/>
      <c r="BD804" s="188"/>
      <c r="BE804" s="236"/>
      <c r="BG804" s="188"/>
      <c r="BH804" s="188"/>
      <c r="BI804" s="188"/>
      <c r="BJ804" s="188"/>
      <c r="BK804" s="188"/>
      <c r="BL804" s="246"/>
      <c r="BM804" s="188"/>
      <c r="BN804" s="188"/>
      <c r="BO804" s="188"/>
      <c r="BP804" s="188"/>
      <c r="BQ804" s="188"/>
      <c r="BR804" s="188"/>
      <c r="BS804" s="188"/>
      <c r="BT804" s="188"/>
      <c r="BU804" s="246"/>
      <c r="BV804" s="188"/>
      <c r="BW804" s="188"/>
    </row>
    <row r="805" spans="45:75" x14ac:dyDescent="0.3">
      <c r="AX805" s="188"/>
      <c r="AY805" s="188"/>
      <c r="AZ805" s="188"/>
      <c r="BA805" s="236"/>
      <c r="BB805" s="188"/>
      <c r="BC805" s="188"/>
      <c r="BD805" s="188"/>
      <c r="BE805" s="236"/>
      <c r="BG805" s="188"/>
      <c r="BH805" s="188"/>
      <c r="BI805" s="188"/>
      <c r="BJ805" s="188"/>
      <c r="BK805" s="188"/>
      <c r="BL805" s="188"/>
      <c r="BM805" s="188"/>
      <c r="BN805" s="188"/>
      <c r="BO805" s="188"/>
      <c r="BP805" s="188"/>
      <c r="BQ805" s="188"/>
      <c r="BR805" s="188"/>
      <c r="BS805" s="188"/>
      <c r="BT805" s="188"/>
      <c r="BU805" s="188"/>
      <c r="BV805" s="188"/>
    </row>
    <row r="806" spans="45:75" x14ac:dyDescent="0.3">
      <c r="AU806" s="42"/>
    </row>
    <row r="807" spans="45:75" x14ac:dyDescent="0.3">
      <c r="AU807" s="42"/>
      <c r="AZ807" s="188"/>
      <c r="BA807" s="236"/>
      <c r="BB807" s="188"/>
      <c r="BC807" s="188"/>
      <c r="BD807" s="188"/>
      <c r="BE807" s="236"/>
      <c r="BG807" s="188"/>
      <c r="BH807" s="188"/>
      <c r="BI807" s="188"/>
      <c r="BJ807" s="188"/>
      <c r="BK807" s="188"/>
      <c r="BL807" s="188"/>
      <c r="BM807" s="188"/>
      <c r="BN807" s="188"/>
      <c r="BO807" s="188"/>
      <c r="BP807" s="188"/>
      <c r="BQ807" s="188"/>
      <c r="BR807" s="188"/>
      <c r="BS807" s="188"/>
      <c r="BT807" s="188"/>
      <c r="BU807" s="188"/>
      <c r="BV807" s="188"/>
    </row>
    <row r="808" spans="45:75" x14ac:dyDescent="0.3">
      <c r="AS808" s="42"/>
      <c r="AZ808" s="188"/>
      <c r="BB808" s="188"/>
    </row>
    <row r="809" spans="45:75" x14ac:dyDescent="0.3">
      <c r="AZ809" s="188"/>
      <c r="BB809" s="188"/>
      <c r="BO809" s="188"/>
      <c r="BP809" s="188"/>
      <c r="BQ809" s="188"/>
      <c r="BR809" s="188"/>
      <c r="BS809" s="188"/>
      <c r="BT809" s="188"/>
      <c r="BU809" s="188"/>
      <c r="BV809" s="188"/>
    </row>
    <row r="810" spans="45:75" x14ac:dyDescent="0.3">
      <c r="AY810" s="188"/>
      <c r="AZ810" s="188"/>
      <c r="BB810" s="188"/>
      <c r="BO810" s="188"/>
      <c r="BP810" s="188"/>
      <c r="BQ810" s="188"/>
      <c r="BR810" s="188"/>
      <c r="BS810" s="188"/>
      <c r="BT810" s="188"/>
      <c r="BU810" s="188"/>
      <c r="BV810" s="188"/>
    </row>
    <row r="811" spans="45:75" x14ac:dyDescent="0.3">
      <c r="AY811" s="42"/>
      <c r="AZ811" s="188"/>
      <c r="BB811" s="188"/>
      <c r="BO811" s="188"/>
      <c r="BP811" s="188"/>
      <c r="BQ811" s="188"/>
      <c r="BR811" s="188"/>
      <c r="BS811" s="188"/>
      <c r="BT811" s="188"/>
      <c r="BU811" s="188"/>
      <c r="BV811" s="188"/>
    </row>
    <row r="812" spans="45:75" x14ac:dyDescent="0.3">
      <c r="AY812" s="42"/>
      <c r="AZ812" s="188"/>
      <c r="BB812" s="188"/>
      <c r="BO812" s="188"/>
      <c r="BP812" s="188"/>
      <c r="BQ812" s="188"/>
      <c r="BR812" s="188"/>
      <c r="BS812" s="188"/>
      <c r="BT812" s="188"/>
      <c r="BU812" s="188"/>
      <c r="BV812" s="188"/>
    </row>
    <row r="813" spans="45:75" x14ac:dyDescent="0.3">
      <c r="AZ813" s="188"/>
      <c r="BB813" s="188"/>
      <c r="BD813" s="42"/>
      <c r="BO813" s="188"/>
      <c r="BP813" s="188"/>
      <c r="BQ813" s="188"/>
      <c r="BR813" s="188"/>
      <c r="BS813" s="188"/>
      <c r="BT813" s="188"/>
      <c r="BU813" s="188"/>
      <c r="BV813" s="188"/>
    </row>
    <row r="814" spans="45:75" x14ac:dyDescent="0.3">
      <c r="AZ814" s="188"/>
      <c r="BB814" s="188"/>
      <c r="BD814" s="42"/>
      <c r="BO814" s="188"/>
      <c r="BP814" s="188"/>
      <c r="BQ814" s="188"/>
      <c r="BR814" s="188"/>
      <c r="BS814" s="188"/>
      <c r="BT814" s="188"/>
      <c r="BU814" s="188"/>
      <c r="BV814" s="188"/>
    </row>
    <row r="815" spans="45:75" x14ac:dyDescent="0.3">
      <c r="AS815" s="42"/>
      <c r="AZ815" s="188"/>
      <c r="BB815" s="188"/>
      <c r="BD815" s="42"/>
      <c r="BO815" s="188"/>
      <c r="BP815" s="188"/>
      <c r="BQ815" s="188"/>
      <c r="BR815" s="188"/>
      <c r="BS815" s="188"/>
      <c r="BT815" s="188"/>
      <c r="BU815" s="188"/>
      <c r="BV815" s="188"/>
    </row>
    <row r="816" spans="45:75" x14ac:dyDescent="0.3">
      <c r="AZ816" s="188"/>
      <c r="BB816" s="188"/>
      <c r="BO816" s="188"/>
      <c r="BP816" s="188"/>
      <c r="BQ816" s="188"/>
      <c r="BR816" s="188"/>
      <c r="BS816" s="188"/>
      <c r="BT816" s="188"/>
      <c r="BU816" s="188"/>
      <c r="BV816" s="188"/>
    </row>
    <row r="817" spans="45:74" x14ac:dyDescent="0.3">
      <c r="AS817" s="135"/>
      <c r="AT817" s="135"/>
      <c r="AU817" s="135"/>
      <c r="AV817" s="135"/>
      <c r="AW817" s="135"/>
      <c r="AX817" s="135"/>
      <c r="AY817" s="135"/>
      <c r="AZ817" s="244"/>
      <c r="BA817" s="135"/>
      <c r="BB817" s="244"/>
      <c r="BC817" s="135"/>
      <c r="BD817" s="135"/>
      <c r="BE817" s="135"/>
      <c r="BO817" s="188"/>
      <c r="BP817" s="188"/>
      <c r="BQ817" s="188"/>
      <c r="BR817" s="188"/>
      <c r="BS817" s="188"/>
      <c r="BT817" s="188"/>
      <c r="BU817" s="188"/>
      <c r="BV817" s="188"/>
    </row>
    <row r="818" spans="45:74" x14ac:dyDescent="0.3">
      <c r="AX818" s="42"/>
      <c r="AZ818" s="188"/>
      <c r="BB818" s="188"/>
      <c r="BO818" s="188"/>
      <c r="BP818" s="188"/>
      <c r="BQ818" s="188"/>
      <c r="BR818" s="188"/>
      <c r="BS818" s="188"/>
      <c r="BT818" s="188"/>
      <c r="BU818" s="188"/>
      <c r="BV818" s="188"/>
    </row>
    <row r="819" spans="45:74" x14ac:dyDescent="0.3">
      <c r="AX819" s="135"/>
      <c r="AY819" s="135"/>
      <c r="AZ819" s="244"/>
      <c r="BA819" s="135"/>
      <c r="BB819" s="188"/>
      <c r="BC819" s="44"/>
      <c r="BD819" s="44"/>
      <c r="BO819" s="188"/>
      <c r="BP819" s="188"/>
      <c r="BQ819" s="188"/>
      <c r="BR819" s="188"/>
      <c r="BS819" s="188"/>
      <c r="BT819" s="188"/>
      <c r="BU819" s="188"/>
      <c r="BV819" s="188"/>
    </row>
    <row r="820" spans="45:74" x14ac:dyDescent="0.3">
      <c r="AV820" s="44"/>
      <c r="AW820" s="44"/>
      <c r="AZ820" s="245"/>
      <c r="BA820" s="44"/>
      <c r="BB820" s="188"/>
      <c r="BC820" s="44"/>
      <c r="BD820" s="44"/>
      <c r="BE820" s="44"/>
      <c r="BG820" s="135"/>
      <c r="BH820" s="42"/>
      <c r="BK820" s="135"/>
      <c r="BM820" s="135"/>
      <c r="BN820" s="42"/>
      <c r="BQ820" s="135"/>
    </row>
    <row r="821" spans="45:74" x14ac:dyDescent="0.3">
      <c r="AV821" s="44"/>
      <c r="AW821" s="44"/>
      <c r="AX821" s="44"/>
      <c r="AY821" s="44"/>
      <c r="AZ821" s="245"/>
      <c r="BA821" s="44"/>
      <c r="BB821" s="245"/>
      <c r="BC821" s="44"/>
      <c r="BD821" s="44"/>
      <c r="BE821" s="44"/>
      <c r="BH821" s="44"/>
      <c r="BI821" s="44"/>
      <c r="BN821" s="44"/>
      <c r="BO821" s="44"/>
    </row>
    <row r="822" spans="45:74" x14ac:dyDescent="0.3">
      <c r="AS822" s="44"/>
      <c r="AU822" s="42"/>
      <c r="AV822" s="44"/>
      <c r="AW822" s="44"/>
      <c r="AX822" s="44"/>
      <c r="AY822" s="44"/>
      <c r="AZ822" s="245"/>
      <c r="BA822" s="44"/>
      <c r="BB822" s="245"/>
      <c r="BC822" s="44"/>
      <c r="BD822" s="44"/>
      <c r="BE822" s="44"/>
      <c r="BG822" s="44"/>
      <c r="BH822" s="44"/>
      <c r="BI822" s="44"/>
      <c r="BJ822" s="44"/>
      <c r="BK822" s="44"/>
      <c r="BM822" s="44"/>
      <c r="BN822" s="44"/>
      <c r="BO822" s="44"/>
      <c r="BP822" s="44"/>
      <c r="BQ822" s="44"/>
    </row>
    <row r="823" spans="45:74" x14ac:dyDescent="0.3">
      <c r="AS823" s="44"/>
      <c r="AU823" s="42"/>
      <c r="AV823" s="44"/>
      <c r="AW823" s="44"/>
      <c r="AX823" s="44"/>
      <c r="AY823" s="44"/>
      <c r="AZ823" s="245"/>
      <c r="BA823" s="44"/>
      <c r="BB823" s="245"/>
      <c r="BC823" s="44"/>
      <c r="BD823" s="44"/>
      <c r="BE823" s="44"/>
      <c r="BG823" s="44"/>
      <c r="BH823" s="44"/>
      <c r="BI823" s="44"/>
      <c r="BJ823" s="44"/>
      <c r="BK823" s="44"/>
      <c r="BM823" s="44"/>
      <c r="BN823" s="44"/>
      <c r="BO823" s="44"/>
      <c r="BP823" s="44"/>
      <c r="BQ823" s="44"/>
    </row>
    <row r="824" spans="45:74" x14ac:dyDescent="0.3">
      <c r="AS824" s="135"/>
      <c r="AT824" s="135"/>
      <c r="AU824" s="135"/>
      <c r="AV824" s="135"/>
      <c r="AW824" s="135"/>
      <c r="AX824" s="135"/>
      <c r="AY824" s="135"/>
      <c r="AZ824" s="244"/>
      <c r="BA824" s="135"/>
      <c r="BB824" s="244"/>
      <c r="BC824" s="135"/>
      <c r="BD824" s="135"/>
      <c r="BE824" s="135"/>
      <c r="BG824" s="135"/>
      <c r="BH824" s="135"/>
      <c r="BI824" s="135"/>
      <c r="BJ824" s="135"/>
      <c r="BK824" s="135"/>
      <c r="BM824" s="135"/>
      <c r="BN824" s="135"/>
      <c r="BO824" s="135"/>
      <c r="BP824" s="135"/>
      <c r="BQ824" s="135"/>
    </row>
    <row r="825" spans="45:74" x14ac:dyDescent="0.3">
      <c r="AV825" s="44"/>
      <c r="AW825" s="44"/>
      <c r="AX825" s="44"/>
      <c r="AY825" s="44"/>
      <c r="AZ825" s="245"/>
      <c r="BA825" s="44"/>
      <c r="BB825" s="245"/>
      <c r="BC825" s="44"/>
      <c r="BD825" s="44"/>
      <c r="BE825" s="44"/>
      <c r="BG825" s="188"/>
      <c r="BH825" s="188"/>
      <c r="BI825" s="188"/>
      <c r="BJ825" s="188"/>
      <c r="BK825" s="188"/>
      <c r="BL825" s="188"/>
      <c r="BM825" s="188"/>
      <c r="BN825" s="188"/>
      <c r="BO825" s="188"/>
      <c r="BP825" s="188"/>
      <c r="BQ825" s="188"/>
    </row>
    <row r="826" spans="45:74" x14ac:dyDescent="0.3">
      <c r="AT826" s="42"/>
      <c r="AV826" s="123"/>
      <c r="AW826" s="123"/>
      <c r="AX826" s="188"/>
      <c r="AY826" s="188"/>
      <c r="AZ826" s="188"/>
      <c r="BA826" s="236"/>
      <c r="BB826" s="188"/>
      <c r="BC826" s="188"/>
      <c r="BD826" s="188"/>
      <c r="BE826" s="236"/>
      <c r="BG826" s="188"/>
      <c r="BH826" s="188"/>
      <c r="BI826" s="188"/>
      <c r="BJ826" s="188"/>
      <c r="BK826" s="188"/>
      <c r="BL826" s="188"/>
      <c r="BM826" s="188"/>
      <c r="BN826" s="188"/>
      <c r="BO826" s="188"/>
      <c r="BP826" s="188"/>
      <c r="BQ826" s="188"/>
      <c r="BR826" s="188"/>
      <c r="BS826" s="188"/>
    </row>
    <row r="827" spans="45:74" x14ac:dyDescent="0.3">
      <c r="AV827" s="123"/>
      <c r="AW827" s="123"/>
      <c r="AX827" s="188"/>
      <c r="AY827" s="188"/>
      <c r="AZ827" s="188"/>
      <c r="BA827" s="236"/>
      <c r="BB827" s="188"/>
      <c r="BC827" s="188"/>
      <c r="BD827" s="188"/>
      <c r="BE827" s="236"/>
      <c r="BG827" s="188"/>
      <c r="BH827" s="188"/>
      <c r="BI827" s="188"/>
      <c r="BJ827" s="188"/>
      <c r="BK827" s="188"/>
      <c r="BL827" s="188"/>
      <c r="BM827" s="188"/>
      <c r="BN827" s="188"/>
      <c r="BO827" s="188"/>
      <c r="BP827" s="188"/>
      <c r="BQ827" s="188"/>
      <c r="BR827" s="188"/>
      <c r="BS827" s="188"/>
    </row>
    <row r="828" spans="45:74" x14ac:dyDescent="0.3">
      <c r="AV828" s="123"/>
      <c r="AW828" s="123"/>
      <c r="AX828" s="188"/>
      <c r="AY828" s="188"/>
      <c r="AZ828" s="188"/>
      <c r="BA828" s="236"/>
      <c r="BB828" s="188"/>
      <c r="BC828" s="188"/>
      <c r="BD828" s="188"/>
      <c r="BE828" s="236"/>
      <c r="BG828" s="188"/>
      <c r="BH828" s="188"/>
      <c r="BI828" s="188"/>
      <c r="BJ828" s="188"/>
      <c r="BK828" s="188"/>
      <c r="BL828" s="188"/>
      <c r="BM828" s="188"/>
      <c r="BN828" s="188"/>
      <c r="BO828" s="188"/>
      <c r="BP828" s="188"/>
      <c r="BQ828" s="188"/>
      <c r="BR828" s="188"/>
      <c r="BS828" s="188"/>
    </row>
    <row r="829" spans="45:74" x14ac:dyDescent="0.3">
      <c r="AV829" s="123"/>
      <c r="AW829" s="123"/>
      <c r="AX829" s="188"/>
      <c r="AY829" s="188"/>
      <c r="AZ829" s="188"/>
      <c r="BA829" s="236"/>
      <c r="BB829" s="188"/>
      <c r="BC829" s="188"/>
      <c r="BD829" s="188"/>
      <c r="BE829" s="236"/>
      <c r="BG829" s="188"/>
      <c r="BH829" s="188"/>
      <c r="BI829" s="188"/>
      <c r="BJ829" s="188"/>
      <c r="BK829" s="188"/>
      <c r="BL829" s="188"/>
      <c r="BM829" s="188"/>
      <c r="BN829" s="188"/>
      <c r="BO829" s="188"/>
      <c r="BP829" s="188"/>
      <c r="BQ829" s="188"/>
      <c r="BR829" s="188"/>
      <c r="BS829" s="188"/>
    </row>
    <row r="830" spans="45:74" x14ac:dyDescent="0.3">
      <c r="AV830" s="123"/>
      <c r="AW830" s="123"/>
      <c r="AX830" s="188"/>
      <c r="AY830" s="188"/>
      <c r="AZ830" s="188"/>
      <c r="BA830" s="236"/>
      <c r="BB830" s="188"/>
      <c r="BC830" s="188"/>
      <c r="BD830" s="188"/>
      <c r="BE830" s="236"/>
      <c r="BG830" s="188"/>
      <c r="BH830" s="188"/>
      <c r="BI830" s="188"/>
      <c r="BJ830" s="188"/>
      <c r="BK830" s="188"/>
      <c r="BL830" s="188"/>
      <c r="BM830" s="188"/>
      <c r="BN830" s="188"/>
      <c r="BO830" s="188"/>
      <c r="BP830" s="188"/>
      <c r="BQ830" s="188"/>
      <c r="BR830" s="188"/>
      <c r="BS830" s="188"/>
    </row>
    <row r="831" spans="45:74" x14ac:dyDescent="0.3">
      <c r="AV831" s="123"/>
      <c r="AW831" s="123"/>
      <c r="AX831" s="188"/>
      <c r="AY831" s="188"/>
      <c r="AZ831" s="188"/>
      <c r="BA831" s="236"/>
      <c r="BB831" s="188"/>
      <c r="BC831" s="188"/>
      <c r="BD831" s="188"/>
      <c r="BE831" s="236"/>
      <c r="BG831" s="188"/>
      <c r="BH831" s="188"/>
      <c r="BI831" s="188"/>
      <c r="BJ831" s="188"/>
      <c r="BK831" s="188"/>
      <c r="BL831" s="188"/>
      <c r="BM831" s="188"/>
      <c r="BN831" s="188"/>
      <c r="BO831" s="188"/>
      <c r="BP831" s="188"/>
      <c r="BQ831" s="188"/>
      <c r="BR831" s="188"/>
      <c r="BS831" s="188"/>
    </row>
    <row r="832" spans="45:74" x14ac:dyDescent="0.3">
      <c r="AV832" s="123"/>
      <c r="AW832" s="123"/>
      <c r="AX832" s="188"/>
      <c r="AY832" s="188"/>
      <c r="AZ832" s="188"/>
      <c r="BA832" s="236"/>
      <c r="BB832" s="188"/>
      <c r="BC832" s="188"/>
      <c r="BD832" s="188"/>
      <c r="BE832" s="236"/>
      <c r="BG832" s="188"/>
      <c r="BH832" s="188"/>
      <c r="BI832" s="188"/>
      <c r="BJ832" s="188"/>
      <c r="BK832" s="188"/>
      <c r="BL832" s="188"/>
      <c r="BM832" s="188"/>
      <c r="BN832" s="188"/>
      <c r="BO832" s="188"/>
      <c r="BP832" s="188"/>
      <c r="BQ832" s="188"/>
      <c r="BR832" s="188"/>
      <c r="BS832" s="188"/>
    </row>
    <row r="833" spans="46:71" x14ac:dyDescent="0.3">
      <c r="AV833" s="123"/>
      <c r="AW833" s="123"/>
      <c r="AX833" s="188"/>
      <c r="AY833" s="188"/>
      <c r="AZ833" s="188"/>
      <c r="BA833" s="236"/>
      <c r="BB833" s="188"/>
      <c r="BC833" s="188"/>
      <c r="BD833" s="188"/>
      <c r="BE833" s="236"/>
      <c r="BG833" s="188"/>
      <c r="BH833" s="188"/>
      <c r="BI833" s="188"/>
      <c r="BJ833" s="188"/>
      <c r="BK833" s="188"/>
      <c r="BL833" s="188"/>
      <c r="BM833" s="188"/>
      <c r="BN833" s="188"/>
      <c r="BO833" s="188"/>
      <c r="BP833" s="188"/>
      <c r="BQ833" s="188"/>
      <c r="BR833" s="188"/>
      <c r="BS833" s="188"/>
    </row>
    <row r="834" spans="46:71" x14ac:dyDescent="0.3">
      <c r="AV834" s="123"/>
      <c r="AW834" s="123"/>
      <c r="AX834" s="188"/>
      <c r="AY834" s="188"/>
      <c r="AZ834" s="188"/>
      <c r="BA834" s="236"/>
      <c r="BB834" s="188"/>
      <c r="BC834" s="188"/>
      <c r="BD834" s="188"/>
      <c r="BE834" s="236"/>
      <c r="BG834" s="188"/>
      <c r="BH834" s="188"/>
      <c r="BI834" s="188"/>
      <c r="BJ834" s="188"/>
      <c r="BK834" s="188"/>
      <c r="BL834" s="188"/>
      <c r="BM834" s="188"/>
      <c r="BN834" s="188"/>
      <c r="BO834" s="188"/>
      <c r="BP834" s="188"/>
      <c r="BQ834" s="188"/>
      <c r="BR834" s="188"/>
      <c r="BS834" s="188"/>
    </row>
    <row r="835" spans="46:71" x14ac:dyDescent="0.3">
      <c r="AV835" s="123"/>
      <c r="AW835" s="123"/>
      <c r="AX835" s="188"/>
      <c r="AY835" s="188"/>
      <c r="AZ835" s="188"/>
      <c r="BA835" s="236"/>
      <c r="BB835" s="188"/>
      <c r="BC835" s="188"/>
      <c r="BD835" s="188"/>
      <c r="BE835" s="236"/>
      <c r="BG835" s="188"/>
      <c r="BH835" s="188"/>
      <c r="BI835" s="188"/>
      <c r="BJ835" s="188"/>
      <c r="BK835" s="188"/>
      <c r="BL835" s="188"/>
      <c r="BM835" s="188"/>
      <c r="BN835" s="188"/>
      <c r="BO835" s="188"/>
      <c r="BP835" s="188"/>
      <c r="BQ835" s="188"/>
      <c r="BR835" s="188"/>
      <c r="BS835" s="188"/>
    </row>
    <row r="836" spans="46:71" x14ac:dyDescent="0.3">
      <c r="AV836" s="123"/>
      <c r="AW836" s="123"/>
      <c r="AX836" s="188"/>
      <c r="AY836" s="188"/>
      <c r="AZ836" s="188"/>
      <c r="BA836" s="236"/>
      <c r="BB836" s="188"/>
      <c r="BC836" s="188"/>
      <c r="BD836" s="188"/>
      <c r="BE836" s="236"/>
      <c r="BG836" s="188"/>
      <c r="BH836" s="188"/>
      <c r="BI836" s="188"/>
      <c r="BJ836" s="188"/>
      <c r="BK836" s="188"/>
      <c r="BL836" s="188"/>
      <c r="BM836" s="188"/>
      <c r="BN836" s="188"/>
      <c r="BO836" s="188"/>
      <c r="BP836" s="188"/>
      <c r="BQ836" s="188"/>
      <c r="BR836" s="188"/>
      <c r="BS836" s="188"/>
    </row>
    <row r="837" spans="46:71" x14ac:dyDescent="0.3">
      <c r="AV837" s="123"/>
      <c r="AW837" s="123"/>
      <c r="AX837" s="188"/>
      <c r="AY837" s="188"/>
      <c r="AZ837" s="188"/>
      <c r="BA837" s="236"/>
      <c r="BB837" s="188"/>
      <c r="BC837" s="188"/>
      <c r="BD837" s="188"/>
      <c r="BE837" s="236"/>
      <c r="BG837" s="188"/>
      <c r="BH837" s="188"/>
      <c r="BI837" s="188"/>
      <c r="BJ837" s="188"/>
      <c r="BK837" s="188"/>
      <c r="BL837" s="188"/>
      <c r="BM837" s="188"/>
      <c r="BN837" s="188"/>
      <c r="BO837" s="188"/>
      <c r="BP837" s="188"/>
      <c r="BQ837" s="188"/>
      <c r="BR837" s="188"/>
      <c r="BS837" s="188"/>
    </row>
    <row r="838" spans="46:71" x14ac:dyDescent="0.3">
      <c r="AV838" s="123"/>
      <c r="AW838" s="123"/>
      <c r="AX838" s="188"/>
      <c r="AY838" s="188"/>
      <c r="AZ838" s="188"/>
      <c r="BA838" s="236"/>
      <c r="BB838" s="188"/>
      <c r="BC838" s="188"/>
      <c r="BD838" s="188"/>
      <c r="BE838" s="236"/>
      <c r="BG838" s="188"/>
      <c r="BH838" s="188"/>
      <c r="BI838" s="188"/>
      <c r="BJ838" s="188"/>
      <c r="BK838" s="188"/>
      <c r="BL838" s="188"/>
      <c r="BM838" s="188"/>
      <c r="BN838" s="188"/>
      <c r="BO838" s="188"/>
      <c r="BP838" s="188"/>
      <c r="BQ838" s="188"/>
      <c r="BR838" s="188"/>
      <c r="BS838" s="188"/>
    </row>
    <row r="839" spans="46:71" x14ac:dyDescent="0.3">
      <c r="AV839" s="123"/>
      <c r="AW839" s="123"/>
      <c r="AX839" s="188"/>
      <c r="AY839" s="188"/>
      <c r="AZ839" s="188"/>
      <c r="BA839" s="236"/>
      <c r="BB839" s="188"/>
      <c r="BC839" s="188"/>
      <c r="BD839" s="188"/>
      <c r="BE839" s="236"/>
      <c r="BG839" s="188"/>
      <c r="BH839" s="188"/>
      <c r="BI839" s="188"/>
      <c r="BJ839" s="188"/>
      <c r="BK839" s="188"/>
      <c r="BL839" s="188"/>
      <c r="BM839" s="188"/>
      <c r="BN839" s="188"/>
      <c r="BO839" s="188"/>
      <c r="BP839" s="188"/>
      <c r="BQ839" s="188"/>
      <c r="BR839" s="188"/>
      <c r="BS839" s="188"/>
    </row>
    <row r="840" spans="46:71" x14ac:dyDescent="0.3">
      <c r="AV840" s="123"/>
      <c r="AW840" s="123"/>
      <c r="AX840" s="188"/>
      <c r="AY840" s="188"/>
      <c r="AZ840" s="188"/>
      <c r="BA840" s="236"/>
      <c r="BB840" s="188"/>
      <c r="BC840" s="188"/>
      <c r="BD840" s="188"/>
      <c r="BE840" s="236"/>
      <c r="BG840" s="188"/>
      <c r="BH840" s="188"/>
      <c r="BI840" s="188"/>
      <c r="BJ840" s="188"/>
      <c r="BK840" s="188"/>
      <c r="BL840" s="188"/>
      <c r="BM840" s="188"/>
      <c r="BN840" s="188"/>
      <c r="BO840" s="188"/>
      <c r="BP840" s="188"/>
      <c r="BQ840" s="188"/>
      <c r="BR840" s="188"/>
      <c r="BS840" s="188"/>
    </row>
    <row r="841" spans="46:71" x14ac:dyDescent="0.3">
      <c r="AV841" s="123"/>
      <c r="AW841" s="123"/>
      <c r="AX841" s="188"/>
      <c r="AY841" s="188"/>
      <c r="AZ841" s="188"/>
      <c r="BA841" s="236"/>
      <c r="BB841" s="188"/>
      <c r="BC841" s="188"/>
      <c r="BD841" s="188"/>
      <c r="BE841" s="236"/>
      <c r="BG841" s="188"/>
      <c r="BH841" s="188"/>
      <c r="BI841" s="188"/>
      <c r="BJ841" s="188"/>
      <c r="BK841" s="188"/>
      <c r="BL841" s="188"/>
      <c r="BM841" s="188"/>
      <c r="BN841" s="188"/>
      <c r="BO841" s="188"/>
      <c r="BP841" s="188"/>
      <c r="BQ841" s="188"/>
      <c r="BR841" s="188"/>
      <c r="BS841" s="188"/>
    </row>
    <row r="842" spans="46:71" x14ac:dyDescent="0.3">
      <c r="AV842" s="123"/>
      <c r="AW842" s="123"/>
      <c r="AX842" s="188"/>
      <c r="AY842" s="188"/>
      <c r="AZ842" s="188"/>
      <c r="BA842" s="236"/>
      <c r="BB842" s="188"/>
      <c r="BC842" s="188"/>
      <c r="BD842" s="188"/>
      <c r="BE842" s="236"/>
      <c r="BG842" s="188"/>
      <c r="BH842" s="188"/>
      <c r="BI842" s="188"/>
      <c r="BJ842" s="188"/>
      <c r="BK842" s="188"/>
      <c r="BL842" s="188"/>
      <c r="BM842" s="188"/>
      <c r="BN842" s="188"/>
      <c r="BO842" s="188"/>
      <c r="BP842" s="188"/>
      <c r="BQ842" s="188"/>
      <c r="BR842" s="188"/>
      <c r="BS842" s="188"/>
    </row>
    <row r="843" spans="46:71" x14ac:dyDescent="0.3">
      <c r="AV843" s="123"/>
      <c r="AW843" s="123"/>
      <c r="AX843" s="188"/>
      <c r="AY843" s="188"/>
      <c r="AZ843" s="188"/>
      <c r="BA843" s="236"/>
      <c r="BB843" s="188"/>
      <c r="BC843" s="188"/>
      <c r="BD843" s="188"/>
      <c r="BE843" s="236"/>
      <c r="BG843" s="188"/>
      <c r="BH843" s="188"/>
      <c r="BI843" s="188"/>
      <c r="BJ843" s="188"/>
      <c r="BK843" s="188"/>
      <c r="BL843" s="188"/>
      <c r="BM843" s="188"/>
      <c r="BN843" s="188"/>
      <c r="BO843" s="188"/>
      <c r="BP843" s="188"/>
      <c r="BQ843" s="188"/>
      <c r="BR843" s="188"/>
      <c r="BS843" s="188"/>
    </row>
    <row r="844" spans="46:71" x14ac:dyDescent="0.3">
      <c r="AZ844" s="188"/>
      <c r="BB844" s="188"/>
      <c r="BC844" s="188"/>
      <c r="BD844" s="188"/>
      <c r="BG844" s="188"/>
      <c r="BH844" s="188"/>
      <c r="BI844" s="188"/>
      <c r="BJ844" s="188"/>
      <c r="BK844" s="188"/>
      <c r="BL844" s="188"/>
      <c r="BM844" s="188"/>
      <c r="BN844" s="188"/>
      <c r="BO844" s="188"/>
      <c r="BP844" s="188"/>
      <c r="BQ844" s="188"/>
      <c r="BR844" s="188"/>
      <c r="BS844" s="188"/>
    </row>
    <row r="845" spans="46:71" x14ac:dyDescent="0.3">
      <c r="AT845" s="42"/>
      <c r="AV845" s="123"/>
      <c r="AW845" s="123"/>
      <c r="AX845" s="188"/>
      <c r="AY845" s="188"/>
      <c r="AZ845" s="188"/>
      <c r="BA845" s="236"/>
      <c r="BB845" s="188"/>
      <c r="BC845" s="188"/>
      <c r="BD845" s="188"/>
      <c r="BE845" s="236"/>
    </row>
    <row r="846" spans="46:71" x14ac:dyDescent="0.3">
      <c r="AV846" s="123"/>
      <c r="AW846" s="123"/>
      <c r="AX846" s="188"/>
      <c r="AY846" s="188"/>
      <c r="AZ846" s="188"/>
      <c r="BA846" s="236"/>
      <c r="BB846" s="188"/>
      <c r="BC846" s="188"/>
      <c r="BD846" s="188"/>
      <c r="BE846" s="236"/>
    </row>
    <row r="847" spans="46:71" x14ac:dyDescent="0.3">
      <c r="AV847" s="123"/>
      <c r="AW847" s="123"/>
      <c r="AX847" s="188"/>
      <c r="AY847" s="188"/>
      <c r="AZ847" s="188"/>
      <c r="BA847" s="236"/>
      <c r="BB847" s="188"/>
      <c r="BC847" s="188"/>
      <c r="BD847" s="188"/>
      <c r="BE847" s="236"/>
    </row>
    <row r="848" spans="46:71" x14ac:dyDescent="0.3">
      <c r="AV848" s="123"/>
      <c r="AW848" s="123"/>
      <c r="AX848" s="188"/>
      <c r="AY848" s="188"/>
      <c r="AZ848" s="188"/>
      <c r="BA848" s="236"/>
      <c r="BB848" s="188"/>
      <c r="BC848" s="188"/>
      <c r="BD848" s="188"/>
      <c r="BE848" s="236"/>
    </row>
    <row r="849" spans="47:57" x14ac:dyDescent="0.3">
      <c r="AV849" s="123"/>
      <c r="AW849" s="123"/>
      <c r="AX849" s="188"/>
      <c r="AY849" s="188"/>
      <c r="AZ849" s="188"/>
      <c r="BA849" s="236"/>
      <c r="BB849" s="188"/>
      <c r="BC849" s="188"/>
      <c r="BD849" s="188"/>
      <c r="BE849" s="236"/>
    </row>
    <row r="850" spans="47:57" x14ac:dyDescent="0.3">
      <c r="AV850" s="123"/>
      <c r="AW850" s="123"/>
      <c r="AX850" s="188"/>
      <c r="AY850" s="188"/>
      <c r="AZ850" s="188"/>
      <c r="BA850" s="236"/>
      <c r="BB850" s="188"/>
      <c r="BC850" s="188"/>
      <c r="BD850" s="188"/>
      <c r="BE850" s="236"/>
    </row>
    <row r="851" spans="47:57" x14ac:dyDescent="0.3">
      <c r="AV851" s="123"/>
      <c r="AW851" s="123"/>
      <c r="AX851" s="188"/>
      <c r="AY851" s="188"/>
      <c r="AZ851" s="188"/>
      <c r="BA851" s="236"/>
      <c r="BB851" s="188"/>
      <c r="BC851" s="188"/>
      <c r="BD851" s="188"/>
      <c r="BE851" s="236"/>
    </row>
    <row r="852" spans="47:57" x14ac:dyDescent="0.3">
      <c r="AV852" s="123"/>
      <c r="AW852" s="123"/>
      <c r="AX852" s="188"/>
      <c r="AY852" s="188"/>
      <c r="AZ852" s="188"/>
      <c r="BA852" s="236"/>
      <c r="BB852" s="188"/>
      <c r="BC852" s="188"/>
      <c r="BD852" s="188"/>
      <c r="BE852" s="236"/>
    </row>
    <row r="853" spans="47:57" x14ac:dyDescent="0.3">
      <c r="AV853" s="123"/>
      <c r="AW853" s="123"/>
      <c r="AX853" s="188"/>
      <c r="AY853" s="188"/>
      <c r="AZ853" s="188"/>
      <c r="BA853" s="236"/>
      <c r="BB853" s="188"/>
      <c r="BC853" s="188"/>
      <c r="BD853" s="188"/>
      <c r="BE853" s="236"/>
    </row>
    <row r="854" spans="47:57" x14ac:dyDescent="0.3">
      <c r="AV854" s="123"/>
      <c r="AW854" s="123"/>
      <c r="AX854" s="188"/>
      <c r="AY854" s="188"/>
      <c r="AZ854" s="188"/>
      <c r="BA854" s="236"/>
      <c r="BB854" s="188"/>
      <c r="BC854" s="188"/>
      <c r="BD854" s="188"/>
      <c r="BE854" s="236"/>
    </row>
    <row r="855" spans="47:57" x14ac:dyDescent="0.3">
      <c r="AV855" s="123"/>
      <c r="AW855" s="123"/>
      <c r="AX855" s="188"/>
      <c r="AY855" s="188"/>
      <c r="AZ855" s="188"/>
      <c r="BA855" s="236"/>
      <c r="BB855" s="188"/>
      <c r="BC855" s="188"/>
      <c r="BD855" s="188"/>
      <c r="BE855" s="236"/>
    </row>
    <row r="856" spans="47:57" x14ac:dyDescent="0.3">
      <c r="AV856" s="123"/>
      <c r="AW856" s="123"/>
      <c r="AX856" s="188"/>
      <c r="AY856" s="188"/>
      <c r="AZ856" s="188"/>
      <c r="BA856" s="236"/>
      <c r="BB856" s="188"/>
      <c r="BC856" s="188"/>
      <c r="BD856" s="188"/>
      <c r="BE856" s="236"/>
    </row>
    <row r="857" spans="47:57" x14ac:dyDescent="0.3">
      <c r="AV857" s="123"/>
      <c r="AW857" s="123"/>
      <c r="AX857" s="188"/>
      <c r="AY857" s="188"/>
      <c r="AZ857" s="188"/>
      <c r="BA857" s="236"/>
      <c r="BB857" s="188"/>
      <c r="BC857" s="188"/>
      <c r="BD857" s="188"/>
      <c r="BE857" s="236"/>
    </row>
    <row r="858" spans="47:57" x14ac:dyDescent="0.3">
      <c r="AV858" s="123"/>
      <c r="AW858" s="123"/>
      <c r="AX858" s="188"/>
      <c r="AY858" s="188"/>
      <c r="AZ858" s="188"/>
      <c r="BA858" s="236"/>
      <c r="BB858" s="188"/>
      <c r="BC858" s="188"/>
      <c r="BD858" s="188"/>
      <c r="BE858" s="236"/>
    </row>
    <row r="859" spans="47:57" x14ac:dyDescent="0.3">
      <c r="AV859" s="123"/>
      <c r="AW859" s="123"/>
      <c r="AX859" s="188"/>
      <c r="AY859" s="188"/>
      <c r="AZ859" s="188"/>
      <c r="BA859" s="236"/>
      <c r="BB859" s="188"/>
      <c r="BC859" s="188"/>
      <c r="BD859" s="188"/>
      <c r="BE859" s="236"/>
    </row>
    <row r="860" spans="47:57" x14ac:dyDescent="0.3">
      <c r="AV860" s="123"/>
      <c r="AW860" s="123"/>
      <c r="AX860" s="188"/>
      <c r="AY860" s="188"/>
      <c r="AZ860" s="188"/>
      <c r="BA860" s="236"/>
      <c r="BB860" s="188"/>
      <c r="BC860" s="188"/>
      <c r="BD860" s="188"/>
      <c r="BE860" s="236"/>
    </row>
    <row r="861" spans="47:57" x14ac:dyDescent="0.3">
      <c r="AV861" s="123"/>
      <c r="AW861" s="123"/>
      <c r="AX861" s="188"/>
      <c r="AY861" s="188"/>
      <c r="AZ861" s="188"/>
      <c r="BA861" s="236"/>
      <c r="BB861" s="188"/>
      <c r="BC861" s="188"/>
      <c r="BD861" s="188"/>
      <c r="BE861" s="236"/>
    </row>
    <row r="862" spans="47:57" x14ac:dyDescent="0.3">
      <c r="AV862" s="123"/>
      <c r="AW862" s="123"/>
      <c r="AX862" s="188"/>
      <c r="AY862" s="188"/>
      <c r="AZ862" s="188"/>
      <c r="BA862" s="236"/>
      <c r="BB862" s="188"/>
      <c r="BC862" s="188"/>
      <c r="BD862" s="188"/>
      <c r="BE862" s="236"/>
    </row>
    <row r="863" spans="47:57" x14ac:dyDescent="0.3">
      <c r="BB863" s="188"/>
    </row>
    <row r="864" spans="47:57" x14ac:dyDescent="0.3">
      <c r="AU864" s="42"/>
      <c r="BB864" s="188"/>
    </row>
    <row r="865" spans="45:57" x14ac:dyDescent="0.3">
      <c r="AU865" s="42"/>
    </row>
    <row r="866" spans="45:57" x14ac:dyDescent="0.3">
      <c r="AU866" s="42"/>
      <c r="BB866" s="188"/>
    </row>
    <row r="867" spans="45:57" x14ac:dyDescent="0.3">
      <c r="AS867" s="42"/>
      <c r="AZ867" s="188"/>
      <c r="BB867" s="188"/>
    </row>
    <row r="868" spans="45:57" x14ac:dyDescent="0.3">
      <c r="AZ868" s="188"/>
      <c r="BB868" s="188"/>
    </row>
    <row r="869" spans="45:57" x14ac:dyDescent="0.3">
      <c r="AY869" s="188"/>
      <c r="AZ869" s="188"/>
      <c r="BB869" s="188"/>
    </row>
    <row r="870" spans="45:57" x14ac:dyDescent="0.3">
      <c r="AY870" s="42"/>
      <c r="AZ870" s="188"/>
      <c r="BB870" s="188"/>
    </row>
    <row r="871" spans="45:57" x14ac:dyDescent="0.3">
      <c r="AY871" s="42"/>
      <c r="AZ871" s="188"/>
      <c r="BB871" s="188"/>
    </row>
    <row r="872" spans="45:57" x14ac:dyDescent="0.3">
      <c r="AZ872" s="188"/>
      <c r="BB872" s="188"/>
      <c r="BD872" s="42"/>
    </row>
    <row r="873" spans="45:57" x14ac:dyDescent="0.3">
      <c r="AZ873" s="188"/>
      <c r="BB873" s="188"/>
      <c r="BD873" s="42"/>
    </row>
    <row r="874" spans="45:57" x14ac:dyDescent="0.3">
      <c r="AS874" s="42"/>
      <c r="AZ874" s="188"/>
      <c r="BB874" s="188"/>
      <c r="BD874" s="42"/>
    </row>
    <row r="875" spans="45:57" x14ac:dyDescent="0.3">
      <c r="AZ875" s="188"/>
      <c r="BB875" s="188"/>
    </row>
    <row r="876" spans="45:57" x14ac:dyDescent="0.3">
      <c r="AS876" s="135"/>
      <c r="AT876" s="135"/>
      <c r="AU876" s="135"/>
      <c r="AV876" s="135"/>
      <c r="AW876" s="135"/>
      <c r="AX876" s="135"/>
      <c r="AY876" s="135"/>
      <c r="AZ876" s="244"/>
      <c r="BA876" s="135"/>
      <c r="BB876" s="244"/>
      <c r="BC876" s="135"/>
      <c r="BD876" s="135"/>
      <c r="BE876" s="135"/>
    </row>
    <row r="877" spans="45:57" x14ac:dyDescent="0.3">
      <c r="AX877" s="42"/>
      <c r="AZ877" s="188"/>
      <c r="BB877" s="188"/>
    </row>
    <row r="878" spans="45:57" x14ac:dyDescent="0.3">
      <c r="AX878" s="135"/>
      <c r="AY878" s="135"/>
      <c r="AZ878" s="244"/>
      <c r="BA878" s="135"/>
      <c r="BB878" s="188"/>
      <c r="BC878" s="44"/>
      <c r="BD878" s="44"/>
    </row>
    <row r="879" spans="45:57" x14ac:dyDescent="0.3">
      <c r="AV879" s="44"/>
      <c r="AW879" s="44"/>
      <c r="AZ879" s="245"/>
      <c r="BA879" s="44"/>
      <c r="BB879" s="188"/>
      <c r="BC879" s="44"/>
      <c r="BD879" s="44"/>
      <c r="BE879" s="44"/>
    </row>
    <row r="880" spans="45:57" x14ac:dyDescent="0.3">
      <c r="AV880" s="44"/>
      <c r="AW880" s="44"/>
      <c r="AX880" s="44"/>
      <c r="AY880" s="44"/>
      <c r="AZ880" s="245"/>
      <c r="BA880" s="44"/>
      <c r="BB880" s="245"/>
      <c r="BC880" s="44"/>
      <c r="BD880" s="44"/>
      <c r="BE880" s="44"/>
    </row>
    <row r="881" spans="45:57" x14ac:dyDescent="0.3">
      <c r="AS881" s="44"/>
      <c r="AU881" s="42"/>
      <c r="AV881" s="44"/>
      <c r="AW881" s="44"/>
      <c r="AX881" s="44"/>
      <c r="AY881" s="44"/>
      <c r="AZ881" s="245"/>
      <c r="BA881" s="44"/>
      <c r="BB881" s="245"/>
      <c r="BC881" s="44"/>
      <c r="BD881" s="44"/>
      <c r="BE881" s="44"/>
    </row>
    <row r="882" spans="45:57" x14ac:dyDescent="0.3">
      <c r="AS882" s="44"/>
      <c r="AU882" s="42"/>
      <c r="AV882" s="44"/>
      <c r="AW882" s="44"/>
      <c r="AX882" s="44"/>
      <c r="AY882" s="44"/>
      <c r="AZ882" s="245"/>
      <c r="BA882" s="44"/>
      <c r="BB882" s="245"/>
      <c r="BC882" s="44"/>
      <c r="BD882" s="44"/>
      <c r="BE882" s="44"/>
    </row>
    <row r="883" spans="45:57" x14ac:dyDescent="0.3">
      <c r="AS883" s="135"/>
      <c r="AT883" s="135"/>
      <c r="AU883" s="135"/>
      <c r="AV883" s="135"/>
      <c r="AW883" s="135"/>
      <c r="AX883" s="135"/>
      <c r="AY883" s="135"/>
      <c r="AZ883" s="244"/>
      <c r="BA883" s="135"/>
      <c r="BB883" s="244"/>
      <c r="BC883" s="135"/>
      <c r="BD883" s="135"/>
      <c r="BE883" s="135"/>
    </row>
    <row r="884" spans="45:57" x14ac:dyDescent="0.3">
      <c r="AV884" s="44"/>
      <c r="AW884" s="44"/>
      <c r="AX884" s="44"/>
      <c r="AY884" s="44"/>
      <c r="AZ884" s="245"/>
      <c r="BA884" s="44"/>
      <c r="BB884" s="245"/>
      <c r="BC884" s="44"/>
      <c r="BD884" s="44"/>
      <c r="BE884" s="44"/>
    </row>
    <row r="885" spans="45:57" x14ac:dyDescent="0.3">
      <c r="AT885" s="42"/>
      <c r="AV885" s="123"/>
      <c r="AW885" s="123"/>
      <c r="AX885" s="188"/>
      <c r="AY885" s="188"/>
      <c r="AZ885" s="188"/>
      <c r="BA885" s="236"/>
      <c r="BB885" s="188"/>
      <c r="BC885" s="188"/>
      <c r="BD885" s="188"/>
      <c r="BE885" s="236"/>
    </row>
    <row r="886" spans="45:57" x14ac:dyDescent="0.3">
      <c r="AV886" s="123"/>
      <c r="AW886" s="123"/>
      <c r="AX886" s="188"/>
      <c r="AY886" s="188"/>
      <c r="AZ886" s="188"/>
      <c r="BA886" s="236"/>
      <c r="BB886" s="188"/>
      <c r="BC886" s="188"/>
      <c r="BD886" s="188"/>
      <c r="BE886" s="236"/>
    </row>
    <row r="887" spans="45:57" x14ac:dyDescent="0.3">
      <c r="AV887" s="123"/>
      <c r="AW887" s="123"/>
      <c r="AX887" s="188"/>
      <c r="AY887" s="188"/>
      <c r="AZ887" s="188"/>
      <c r="BA887" s="236"/>
      <c r="BB887" s="188"/>
      <c r="BC887" s="188"/>
      <c r="BD887" s="188"/>
      <c r="BE887" s="236"/>
    </row>
    <row r="888" spans="45:57" x14ac:dyDescent="0.3">
      <c r="AV888" s="123"/>
      <c r="AW888" s="123"/>
      <c r="AX888" s="188"/>
      <c r="AY888" s="188"/>
      <c r="AZ888" s="188"/>
      <c r="BA888" s="236"/>
      <c r="BB888" s="188"/>
      <c r="BC888" s="188"/>
      <c r="BD888" s="188"/>
      <c r="BE888" s="236"/>
    </row>
    <row r="889" spans="45:57" x14ac:dyDescent="0.3">
      <c r="AV889" s="123"/>
      <c r="AW889" s="123"/>
      <c r="AX889" s="188"/>
      <c r="AY889" s="188"/>
      <c r="AZ889" s="188"/>
      <c r="BA889" s="236"/>
      <c r="BB889" s="188"/>
      <c r="BC889" s="188"/>
      <c r="BD889" s="188"/>
      <c r="BE889" s="236"/>
    </row>
    <row r="890" spans="45:57" x14ac:dyDescent="0.3">
      <c r="AV890" s="123"/>
      <c r="AW890" s="123"/>
      <c r="AX890" s="188"/>
      <c r="AY890" s="188"/>
      <c r="AZ890" s="188"/>
      <c r="BA890" s="236"/>
      <c r="BB890" s="188"/>
      <c r="BC890" s="188"/>
      <c r="BD890" s="188"/>
      <c r="BE890" s="236"/>
    </row>
    <row r="891" spans="45:57" x14ac:dyDescent="0.3">
      <c r="AV891" s="123"/>
      <c r="AW891" s="123"/>
      <c r="AX891" s="188"/>
      <c r="AY891" s="188"/>
      <c r="AZ891" s="188"/>
      <c r="BA891" s="236"/>
      <c r="BB891" s="188"/>
      <c r="BC891" s="188"/>
      <c r="BD891" s="188"/>
      <c r="BE891" s="236"/>
    </row>
    <row r="892" spans="45:57" x14ac:dyDescent="0.3">
      <c r="AV892" s="123"/>
      <c r="AW892" s="123"/>
      <c r="AX892" s="188"/>
      <c r="AY892" s="188"/>
      <c r="AZ892" s="188"/>
      <c r="BA892" s="236"/>
      <c r="BB892" s="188"/>
      <c r="BC892" s="188"/>
      <c r="BD892" s="188"/>
      <c r="BE892" s="236"/>
    </row>
    <row r="893" spans="45:57" x14ac:dyDescent="0.3">
      <c r="AV893" s="123"/>
      <c r="AW893" s="123"/>
      <c r="AX893" s="188"/>
      <c r="AY893" s="188"/>
      <c r="AZ893" s="188"/>
      <c r="BA893" s="236"/>
      <c r="BB893" s="188"/>
      <c r="BC893" s="188"/>
      <c r="BD893" s="188"/>
      <c r="BE893" s="236"/>
    </row>
    <row r="894" spans="45:57" x14ac:dyDescent="0.3">
      <c r="AV894" s="123"/>
      <c r="AW894" s="123"/>
      <c r="AX894" s="188"/>
      <c r="AY894" s="188"/>
      <c r="AZ894" s="188"/>
      <c r="BA894" s="236"/>
      <c r="BB894" s="188"/>
      <c r="BC894" s="188"/>
      <c r="BD894" s="188"/>
      <c r="BE894" s="236"/>
    </row>
    <row r="895" spans="45:57" x14ac:dyDescent="0.3">
      <c r="AV895" s="123"/>
      <c r="AW895" s="123"/>
      <c r="BB895" s="188"/>
    </row>
    <row r="896" spans="45:57" x14ac:dyDescent="0.3">
      <c r="AT896" s="42"/>
      <c r="AV896" s="123"/>
      <c r="AW896" s="123"/>
      <c r="AX896" s="188"/>
      <c r="AY896" s="188"/>
      <c r="AZ896" s="188"/>
      <c r="BA896" s="236"/>
      <c r="BB896" s="188"/>
      <c r="BC896" s="188"/>
      <c r="BD896" s="188"/>
      <c r="BE896" s="236"/>
    </row>
    <row r="897" spans="45:57" x14ac:dyDescent="0.3">
      <c r="AV897" s="123"/>
      <c r="AW897" s="123"/>
      <c r="AX897" s="188"/>
      <c r="AY897" s="188"/>
      <c r="AZ897" s="188"/>
      <c r="BA897" s="236"/>
      <c r="BB897" s="188"/>
      <c r="BC897" s="188"/>
      <c r="BD897" s="188"/>
      <c r="BE897" s="236"/>
    </row>
    <row r="898" spans="45:57" x14ac:dyDescent="0.3">
      <c r="AV898" s="123"/>
      <c r="AW898" s="123"/>
      <c r="AX898" s="188"/>
      <c r="AY898" s="188"/>
      <c r="AZ898" s="188"/>
      <c r="BA898" s="236"/>
      <c r="BB898" s="188"/>
      <c r="BC898" s="188"/>
      <c r="BD898" s="188"/>
      <c r="BE898" s="236"/>
    </row>
    <row r="899" spans="45:57" x14ac:dyDescent="0.3">
      <c r="AV899" s="123"/>
      <c r="AW899" s="123"/>
      <c r="AX899" s="188"/>
      <c r="AY899" s="188"/>
      <c r="AZ899" s="188"/>
      <c r="BA899" s="236"/>
      <c r="BB899" s="188"/>
      <c r="BC899" s="188"/>
      <c r="BD899" s="188"/>
      <c r="BE899" s="236"/>
    </row>
    <row r="900" spans="45:57" x14ac:dyDescent="0.3">
      <c r="AV900" s="123"/>
      <c r="AW900" s="123"/>
      <c r="AX900" s="188"/>
      <c r="AY900" s="188"/>
      <c r="AZ900" s="188"/>
      <c r="BA900" s="236"/>
      <c r="BB900" s="188"/>
      <c r="BC900" s="188"/>
      <c r="BD900" s="188"/>
      <c r="BE900" s="236"/>
    </row>
    <row r="901" spans="45:57" x14ac:dyDescent="0.3">
      <c r="AV901" s="123"/>
      <c r="AW901" s="123"/>
      <c r="AX901" s="188"/>
      <c r="AY901" s="188"/>
      <c r="AZ901" s="188"/>
      <c r="BA901" s="236"/>
      <c r="BB901" s="188"/>
      <c r="BC901" s="188"/>
      <c r="BD901" s="188"/>
      <c r="BE901" s="236"/>
    </row>
    <row r="902" spans="45:57" x14ac:dyDescent="0.3">
      <c r="AV902" s="123"/>
      <c r="AW902" s="123"/>
      <c r="AX902" s="188"/>
      <c r="AY902" s="188"/>
      <c r="AZ902" s="188"/>
      <c r="BA902" s="236"/>
      <c r="BB902" s="188"/>
      <c r="BC902" s="188"/>
      <c r="BD902" s="188"/>
      <c r="BE902" s="236"/>
    </row>
    <row r="903" spans="45:57" x14ac:dyDescent="0.3">
      <c r="AV903" s="123"/>
      <c r="AW903" s="123"/>
      <c r="AX903" s="188"/>
      <c r="AY903" s="188"/>
      <c r="AZ903" s="188"/>
      <c r="BA903" s="236"/>
      <c r="BB903" s="188"/>
      <c r="BC903" s="188"/>
      <c r="BD903" s="188"/>
      <c r="BE903" s="236"/>
    </row>
    <row r="904" spans="45:57" x14ac:dyDescent="0.3">
      <c r="AV904" s="123"/>
      <c r="AW904" s="123"/>
      <c r="AX904" s="188"/>
      <c r="AY904" s="188"/>
      <c r="AZ904" s="188"/>
      <c r="BA904" s="236"/>
      <c r="BB904" s="188"/>
      <c r="BC904" s="188"/>
      <c r="BD904" s="188"/>
      <c r="BE904" s="236"/>
    </row>
    <row r="905" spans="45:57" x14ac:dyDescent="0.3">
      <c r="AV905" s="123"/>
      <c r="AW905" s="123"/>
      <c r="AX905" s="188"/>
      <c r="AY905" s="188"/>
      <c r="AZ905" s="188"/>
      <c r="BA905" s="236"/>
      <c r="BB905" s="188"/>
      <c r="BC905" s="188"/>
      <c r="BD905" s="188"/>
      <c r="BE905" s="236"/>
    </row>
    <row r="907" spans="45:57" x14ac:dyDescent="0.3">
      <c r="AU907" s="42"/>
    </row>
    <row r="908" spans="45:57" x14ac:dyDescent="0.3">
      <c r="AU908" s="42"/>
    </row>
    <row r="909" spans="45:57" x14ac:dyDescent="0.3">
      <c r="AU909" s="42"/>
    </row>
    <row r="910" spans="45:57" x14ac:dyDescent="0.3">
      <c r="AS910" s="42"/>
    </row>
    <row r="931" spans="52:71" x14ac:dyDescent="0.3">
      <c r="AZ931" s="188"/>
      <c r="BB931" s="188"/>
      <c r="BC931" s="188"/>
      <c r="BD931" s="188"/>
      <c r="BG931" s="188"/>
      <c r="BH931" s="188"/>
      <c r="BI931" s="188"/>
      <c r="BJ931" s="188"/>
      <c r="BK931" s="188"/>
      <c r="BL931" s="188"/>
      <c r="BM931" s="188"/>
      <c r="BN931" s="188"/>
      <c r="BO931" s="188"/>
      <c r="BP931" s="188"/>
      <c r="BQ931" s="188"/>
      <c r="BR931" s="188"/>
      <c r="BS931" s="188"/>
    </row>
    <row r="932" spans="52:71" x14ac:dyDescent="0.3">
      <c r="AZ932" s="188"/>
      <c r="BB932" s="188"/>
      <c r="BC932" s="188"/>
      <c r="BD932" s="188"/>
      <c r="BG932" s="188"/>
      <c r="BH932" s="188"/>
      <c r="BI932" s="188"/>
      <c r="BJ932" s="188"/>
      <c r="BK932" s="188"/>
      <c r="BL932" s="188"/>
      <c r="BM932" s="188"/>
      <c r="BN932" s="188"/>
      <c r="BO932" s="188"/>
      <c r="BP932" s="188"/>
      <c r="BQ932" s="188"/>
      <c r="BR932" s="188"/>
      <c r="BS932" s="188"/>
    </row>
    <row r="933" spans="52:71" x14ac:dyDescent="0.3">
      <c r="AZ933" s="188"/>
      <c r="BB933" s="188"/>
      <c r="BC933" s="188"/>
      <c r="BD933" s="188"/>
      <c r="BG933" s="188"/>
      <c r="BH933" s="188"/>
      <c r="BI933" s="188"/>
      <c r="BJ933" s="188"/>
      <c r="BK933" s="188"/>
      <c r="BL933" s="188"/>
      <c r="BM933" s="188"/>
      <c r="BN933" s="188"/>
      <c r="BO933" s="188"/>
      <c r="BP933" s="188"/>
      <c r="BQ933" s="188"/>
      <c r="BR933" s="188"/>
      <c r="BS933" s="188"/>
    </row>
    <row r="934" spans="52:71" x14ac:dyDescent="0.3">
      <c r="AZ934" s="188"/>
      <c r="BB934" s="188"/>
      <c r="BC934" s="188"/>
      <c r="BD934" s="188"/>
      <c r="BG934" s="188"/>
      <c r="BH934" s="188"/>
      <c r="BI934" s="188"/>
      <c r="BJ934" s="188"/>
      <c r="BK934" s="188"/>
      <c r="BL934" s="188"/>
      <c r="BM934" s="188"/>
      <c r="BN934" s="188"/>
      <c r="BO934" s="188"/>
      <c r="BP934" s="188"/>
      <c r="BQ934" s="188"/>
      <c r="BR934" s="188"/>
      <c r="BS934" s="188"/>
    </row>
    <row r="935" spans="52:71" x14ac:dyDescent="0.3">
      <c r="AZ935" s="188"/>
      <c r="BB935" s="188"/>
      <c r="BC935" s="188"/>
      <c r="BD935" s="188"/>
      <c r="BG935" s="188"/>
      <c r="BH935" s="188"/>
      <c r="BI935" s="188"/>
      <c r="BJ935" s="188"/>
      <c r="BK935" s="188"/>
      <c r="BL935" s="188"/>
      <c r="BM935" s="188"/>
      <c r="BN935" s="188"/>
      <c r="BO935" s="188"/>
      <c r="BP935" s="188"/>
      <c r="BQ935" s="188"/>
      <c r="BR935" s="188"/>
      <c r="BS935" s="188"/>
    </row>
    <row r="936" spans="52:71" x14ac:dyDescent="0.3">
      <c r="AZ936" s="188"/>
      <c r="BB936" s="188"/>
      <c r="BC936" s="188"/>
      <c r="BD936" s="188"/>
      <c r="BG936" s="188"/>
      <c r="BH936" s="188"/>
      <c r="BI936" s="188"/>
      <c r="BJ936" s="188"/>
      <c r="BK936" s="188"/>
      <c r="BL936" s="188"/>
      <c r="BM936" s="188"/>
      <c r="BN936" s="188"/>
      <c r="BO936" s="188"/>
      <c r="BP936" s="188"/>
      <c r="BQ936" s="188"/>
      <c r="BR936" s="188"/>
      <c r="BS936" s="188"/>
    </row>
    <row r="937" spans="52:71" x14ac:dyDescent="0.3">
      <c r="AZ937" s="188"/>
      <c r="BB937" s="188"/>
      <c r="BC937" s="188"/>
      <c r="BD937" s="188"/>
      <c r="BG937" s="188"/>
      <c r="BH937" s="188"/>
      <c r="BI937" s="188"/>
      <c r="BJ937" s="188"/>
      <c r="BK937" s="188"/>
      <c r="BL937" s="188"/>
      <c r="BM937" s="188"/>
      <c r="BN937" s="188"/>
      <c r="BO937" s="188"/>
      <c r="BP937" s="188"/>
      <c r="BQ937" s="188"/>
      <c r="BR937" s="188"/>
      <c r="BS937" s="188"/>
    </row>
    <row r="938" spans="52:71" x14ac:dyDescent="0.3">
      <c r="AZ938" s="188"/>
      <c r="BB938" s="188"/>
      <c r="BC938" s="188"/>
      <c r="BD938" s="188"/>
      <c r="BG938" s="188"/>
      <c r="BH938" s="188"/>
      <c r="BI938" s="188"/>
      <c r="BJ938" s="188"/>
      <c r="BK938" s="188"/>
      <c r="BL938" s="188"/>
      <c r="BM938" s="188"/>
      <c r="BN938" s="188"/>
      <c r="BO938" s="188"/>
      <c r="BP938" s="188"/>
      <c r="BQ938" s="188"/>
      <c r="BR938" s="188"/>
      <c r="BS938" s="188"/>
    </row>
    <row r="939" spans="52:71" x14ac:dyDescent="0.3">
      <c r="AZ939" s="188"/>
      <c r="BB939" s="188"/>
      <c r="BC939" s="188"/>
      <c r="BD939" s="188"/>
      <c r="BG939" s="188"/>
      <c r="BH939" s="188"/>
      <c r="BI939" s="188"/>
      <c r="BJ939" s="188"/>
      <c r="BK939" s="188"/>
      <c r="BL939" s="188"/>
      <c r="BM939" s="188"/>
      <c r="BN939" s="188"/>
      <c r="BO939" s="188"/>
      <c r="BP939" s="188"/>
      <c r="BQ939" s="188"/>
      <c r="BR939" s="188"/>
      <c r="BS939" s="188"/>
    </row>
    <row r="940" spans="52:71" x14ac:dyDescent="0.3">
      <c r="AZ940" s="188"/>
      <c r="BB940" s="188"/>
      <c r="BC940" s="188"/>
      <c r="BD940" s="188"/>
      <c r="BG940" s="188"/>
      <c r="BH940" s="188"/>
      <c r="BI940" s="188"/>
      <c r="BJ940" s="188"/>
      <c r="BK940" s="188"/>
      <c r="BL940" s="188"/>
      <c r="BM940" s="188"/>
      <c r="BN940" s="188"/>
      <c r="BO940" s="188"/>
      <c r="BP940" s="188"/>
      <c r="BQ940" s="188"/>
      <c r="BR940" s="188"/>
      <c r="BS940" s="188"/>
    </row>
    <row r="941" spans="52:71" x14ac:dyDescent="0.3">
      <c r="AZ941" s="188"/>
      <c r="BB941" s="188"/>
      <c r="BC941" s="188"/>
      <c r="BD941" s="188"/>
      <c r="BG941" s="188"/>
      <c r="BH941" s="188"/>
      <c r="BI941" s="188"/>
      <c r="BJ941" s="188"/>
      <c r="BK941" s="188"/>
      <c r="BL941" s="188"/>
      <c r="BM941" s="188"/>
      <c r="BN941" s="188"/>
      <c r="BO941" s="188"/>
      <c r="BP941" s="188"/>
      <c r="BQ941" s="188"/>
      <c r="BR941" s="188"/>
      <c r="BS941" s="188"/>
    </row>
    <row r="942" spans="52:71" x14ac:dyDescent="0.3">
      <c r="AZ942" s="188"/>
      <c r="BB942" s="188"/>
      <c r="BC942" s="188"/>
      <c r="BD942" s="188"/>
      <c r="BG942" s="188"/>
      <c r="BH942" s="188"/>
      <c r="BI942" s="188"/>
      <c r="BJ942" s="188"/>
      <c r="BK942" s="188"/>
      <c r="BL942" s="188"/>
      <c r="BM942" s="188"/>
      <c r="BN942" s="188"/>
      <c r="BO942" s="188"/>
      <c r="BP942" s="188"/>
      <c r="BQ942" s="188"/>
      <c r="BR942" s="188"/>
      <c r="BS942" s="188"/>
    </row>
    <row r="943" spans="52:71" x14ac:dyDescent="0.3">
      <c r="AZ943" s="188"/>
      <c r="BG943" s="188"/>
      <c r="BH943" s="188"/>
      <c r="BI943" s="188"/>
      <c r="BJ943" s="188"/>
      <c r="BK943" s="188"/>
      <c r="BL943" s="188"/>
      <c r="BM943" s="188"/>
      <c r="BN943" s="188"/>
      <c r="BO943" s="188"/>
      <c r="BP943" s="188"/>
      <c r="BQ943" s="188"/>
      <c r="BR943" s="188"/>
      <c r="BS943" s="188"/>
    </row>
    <row r="944" spans="52:71" x14ac:dyDescent="0.3">
      <c r="AZ944" s="188"/>
      <c r="BG944" s="188"/>
      <c r="BH944" s="188"/>
      <c r="BI944" s="188"/>
      <c r="BJ944" s="188"/>
      <c r="BK944" s="188"/>
      <c r="BL944" s="188"/>
      <c r="BM944" s="188"/>
      <c r="BN944" s="188"/>
      <c r="BO944" s="188"/>
      <c r="BP944" s="188"/>
      <c r="BQ944" s="188"/>
      <c r="BR944" s="188"/>
      <c r="BS944" s="188"/>
    </row>
    <row r="945" spans="52:71" x14ac:dyDescent="0.3">
      <c r="AZ945" s="188"/>
      <c r="BG945" s="188"/>
      <c r="BH945" s="188"/>
      <c r="BI945" s="188"/>
      <c r="BJ945" s="188"/>
      <c r="BK945" s="188"/>
      <c r="BL945" s="188"/>
      <c r="BM945" s="188"/>
      <c r="BN945" s="188"/>
      <c r="BO945" s="188"/>
      <c r="BP945" s="188"/>
      <c r="BQ945" s="188"/>
      <c r="BR945" s="188"/>
      <c r="BS945" s="188"/>
    </row>
    <row r="946" spans="52:71" x14ac:dyDescent="0.3">
      <c r="AZ946" s="188"/>
      <c r="BG946" s="188"/>
      <c r="BH946" s="188"/>
      <c r="BI946" s="188"/>
      <c r="BJ946" s="188"/>
      <c r="BK946" s="188"/>
      <c r="BL946" s="188"/>
      <c r="BM946" s="188"/>
      <c r="BN946" s="188"/>
      <c r="BO946" s="188"/>
      <c r="BP946" s="188"/>
      <c r="BQ946" s="188"/>
      <c r="BR946" s="188"/>
      <c r="BS946" s="188"/>
    </row>
    <row r="947" spans="52:71" x14ac:dyDescent="0.3">
      <c r="AZ947" s="188"/>
      <c r="BG947" s="188"/>
      <c r="BH947" s="188"/>
      <c r="BI947" s="188"/>
      <c r="BJ947" s="188"/>
      <c r="BK947" s="188"/>
      <c r="BL947" s="188"/>
      <c r="BM947" s="188"/>
      <c r="BN947" s="188"/>
      <c r="BO947" s="188"/>
      <c r="BP947" s="188"/>
      <c r="BQ947" s="188"/>
      <c r="BR947" s="188"/>
      <c r="BS947" s="188"/>
    </row>
    <row r="948" spans="52:71" x14ac:dyDescent="0.3">
      <c r="AZ948" s="188"/>
      <c r="BG948" s="188"/>
      <c r="BH948" s="188"/>
      <c r="BI948" s="188"/>
      <c r="BJ948" s="188"/>
      <c r="BK948" s="188"/>
      <c r="BL948" s="188"/>
      <c r="BM948" s="188"/>
      <c r="BN948" s="188"/>
      <c r="BO948" s="188"/>
      <c r="BP948" s="188"/>
      <c r="BQ948" s="188"/>
      <c r="BR948" s="188"/>
      <c r="BS948" s="188"/>
    </row>
    <row r="949" spans="52:71" x14ac:dyDescent="0.3">
      <c r="AZ949" s="188"/>
      <c r="BG949" s="188"/>
      <c r="BH949" s="188"/>
      <c r="BI949" s="188"/>
      <c r="BJ949" s="188"/>
      <c r="BK949" s="188"/>
      <c r="BL949" s="188"/>
      <c r="BM949" s="188"/>
      <c r="BN949" s="188"/>
      <c r="BO949" s="188"/>
      <c r="BP949" s="188"/>
      <c r="BQ949" s="188"/>
      <c r="BR949" s="188"/>
      <c r="BS949" s="188"/>
    </row>
    <row r="950" spans="52:71" x14ac:dyDescent="0.3">
      <c r="AZ950" s="188"/>
    </row>
    <row r="951" spans="52:71" x14ac:dyDescent="0.3">
      <c r="AZ951" s="188"/>
    </row>
    <row r="965" spans="1:28" x14ac:dyDescent="0.3">
      <c r="A965" s="42"/>
    </row>
    <row r="968" spans="1:28" x14ac:dyDescent="0.3">
      <c r="Y968" s="42"/>
    </row>
    <row r="969" spans="1:28" x14ac:dyDescent="0.3">
      <c r="A969" s="42"/>
      <c r="H969" s="42"/>
      <c r="I969" s="42"/>
    </row>
    <row r="970" spans="1:28" x14ac:dyDescent="0.3">
      <c r="A970" s="42"/>
      <c r="V970" s="44"/>
      <c r="AA970" s="44"/>
      <c r="AB970" s="44"/>
    </row>
    <row r="971" spans="1:28" x14ac:dyDescent="0.3">
      <c r="A971" s="42"/>
      <c r="V971" s="135"/>
      <c r="AA971" s="135"/>
      <c r="AB971" s="135"/>
    </row>
    <row r="972" spans="1:28" x14ac:dyDescent="0.3">
      <c r="A972" s="42"/>
      <c r="U972" s="42"/>
      <c r="AA972" s="44"/>
      <c r="AB972" s="44"/>
    </row>
    <row r="973" spans="1:28" x14ac:dyDescent="0.3">
      <c r="A973" s="42"/>
    </row>
    <row r="974" spans="1:28" x14ac:dyDescent="0.3">
      <c r="A974" s="42"/>
      <c r="U974" s="42"/>
      <c r="AA974" s="44"/>
      <c r="AB974" s="44"/>
    </row>
    <row r="975" spans="1:28" x14ac:dyDescent="0.3">
      <c r="A975" s="42"/>
    </row>
    <row r="976" spans="1:28" x14ac:dyDescent="0.3">
      <c r="A976" s="42"/>
      <c r="U976" s="42"/>
      <c r="V976" s="247"/>
      <c r="AA976" s="44"/>
      <c r="AB976" s="44"/>
    </row>
    <row r="977" spans="1:28" x14ac:dyDescent="0.3">
      <c r="A977" s="42"/>
    </row>
    <row r="978" spans="1:28" x14ac:dyDescent="0.3">
      <c r="A978" s="42"/>
      <c r="U978" s="42"/>
      <c r="AA978" s="44"/>
      <c r="AB978" s="44"/>
    </row>
    <row r="979" spans="1:28" x14ac:dyDescent="0.3">
      <c r="A979" s="42"/>
    </row>
    <row r="980" spans="1:28" x14ac:dyDescent="0.3">
      <c r="A980" s="42"/>
      <c r="U980" s="42"/>
      <c r="AA980" s="44"/>
      <c r="AB980" s="44"/>
    </row>
    <row r="981" spans="1:28" x14ac:dyDescent="0.3">
      <c r="A981" s="42"/>
    </row>
    <row r="982" spans="1:28" x14ac:dyDescent="0.3">
      <c r="A982" s="42"/>
    </row>
    <row r="983" spans="1:28" x14ac:dyDescent="0.3">
      <c r="A983" s="42"/>
    </row>
    <row r="984" spans="1:28" x14ac:dyDescent="0.3">
      <c r="A984" s="42"/>
    </row>
    <row r="985" spans="1:28" x14ac:dyDescent="0.3">
      <c r="A985" s="42"/>
    </row>
    <row r="986" spans="1:28" x14ac:dyDescent="0.3">
      <c r="A986" s="42"/>
    </row>
    <row r="987" spans="1:28" x14ac:dyDescent="0.3">
      <c r="A987" s="42"/>
    </row>
    <row r="988" spans="1:28" x14ac:dyDescent="0.3">
      <c r="A988" s="42"/>
    </row>
    <row r="989" spans="1:28" x14ac:dyDescent="0.3">
      <c r="A989" s="42"/>
    </row>
    <row r="990" spans="1:28" x14ac:dyDescent="0.3">
      <c r="A990" s="42"/>
    </row>
    <row r="991" spans="1:28" x14ac:dyDescent="0.3">
      <c r="A991" s="42"/>
      <c r="H991" s="42"/>
      <c r="I991" s="42"/>
    </row>
    <row r="994" spans="1:1" x14ac:dyDescent="0.3">
      <c r="A994" s="42"/>
    </row>
    <row r="997" spans="1:1" x14ac:dyDescent="0.3">
      <c r="A997" s="42"/>
    </row>
    <row r="1000" spans="1:1" x14ac:dyDescent="0.3">
      <c r="A1000" s="42"/>
    </row>
    <row r="1001" spans="1:1" x14ac:dyDescent="0.3">
      <c r="A1001" s="42"/>
    </row>
    <row r="1002" spans="1:1" x14ac:dyDescent="0.3">
      <c r="A1002" s="42"/>
    </row>
    <row r="1003" spans="1:1" x14ac:dyDescent="0.3">
      <c r="A1003" s="42"/>
    </row>
    <row r="1004" spans="1:1" x14ac:dyDescent="0.3">
      <c r="A1004" s="42"/>
    </row>
    <row r="1005" spans="1:1" x14ac:dyDescent="0.3">
      <c r="A1005" s="42"/>
    </row>
    <row r="1006" spans="1:1" x14ac:dyDescent="0.3">
      <c r="A1006" s="42"/>
    </row>
    <row r="1007" spans="1:1" x14ac:dyDescent="0.3">
      <c r="A1007" s="42"/>
    </row>
    <row r="1008" spans="1:1" x14ac:dyDescent="0.3">
      <c r="A1008" s="42"/>
    </row>
    <row r="1009" spans="1:1" x14ac:dyDescent="0.3">
      <c r="A1009" s="42"/>
    </row>
    <row r="1010" spans="1:1" x14ac:dyDescent="0.3">
      <c r="A1010" s="42"/>
    </row>
    <row r="1011" spans="1:1" x14ac:dyDescent="0.3">
      <c r="A1011" s="42"/>
    </row>
    <row r="1012" spans="1:1" x14ac:dyDescent="0.3">
      <c r="A1012" s="42"/>
    </row>
    <row r="1013" spans="1:1" x14ac:dyDescent="0.3">
      <c r="A1013" s="42"/>
    </row>
    <row r="1014" spans="1:1" x14ac:dyDescent="0.3">
      <c r="A1014" s="42"/>
    </row>
    <row r="1015" spans="1:1" x14ac:dyDescent="0.3">
      <c r="A1015" s="42"/>
    </row>
    <row r="1016" spans="1:1" x14ac:dyDescent="0.3">
      <c r="A1016" s="42"/>
    </row>
    <row r="1017" spans="1:1" x14ac:dyDescent="0.3">
      <c r="A1017" s="42"/>
    </row>
    <row r="1018" spans="1:1" x14ac:dyDescent="0.3">
      <c r="A1018" s="42"/>
    </row>
    <row r="1019" spans="1:1" x14ac:dyDescent="0.3">
      <c r="A1019" s="42"/>
    </row>
    <row r="1020" spans="1:1" x14ac:dyDescent="0.3">
      <c r="A1020" s="42"/>
    </row>
    <row r="1021" spans="1:1" x14ac:dyDescent="0.3">
      <c r="A1021" s="42"/>
    </row>
    <row r="1022" spans="1:1" x14ac:dyDescent="0.3">
      <c r="A1022" s="42"/>
    </row>
    <row r="1023" spans="1:1" x14ac:dyDescent="0.3">
      <c r="A1023" s="42"/>
    </row>
    <row r="1024" spans="1:1" x14ac:dyDescent="0.3">
      <c r="A1024" s="42"/>
    </row>
    <row r="1025" spans="1:1" x14ac:dyDescent="0.3">
      <c r="A1025" s="42"/>
    </row>
    <row r="1026" spans="1:1" x14ac:dyDescent="0.3">
      <c r="A1026" s="42"/>
    </row>
    <row r="1027" spans="1:1" x14ac:dyDescent="0.3">
      <c r="A1027" s="42"/>
    </row>
    <row r="1028" spans="1:1" x14ac:dyDescent="0.3">
      <c r="A1028" s="42"/>
    </row>
    <row r="1029" spans="1:1" x14ac:dyDescent="0.3">
      <c r="A1029" s="42"/>
    </row>
    <row r="1030" spans="1:1" x14ac:dyDescent="0.3">
      <c r="A1030" s="42"/>
    </row>
    <row r="1031" spans="1:1" x14ac:dyDescent="0.3">
      <c r="A1031" s="42"/>
    </row>
    <row r="1032" spans="1:1" x14ac:dyDescent="0.3">
      <c r="A1032" s="42"/>
    </row>
    <row r="1033" spans="1:1" x14ac:dyDescent="0.3">
      <c r="A1033" s="42"/>
    </row>
    <row r="1034" spans="1:1" x14ac:dyDescent="0.3">
      <c r="A1034" s="42"/>
    </row>
    <row r="1039" spans="1:1" x14ac:dyDescent="0.3">
      <c r="A1039" s="42"/>
    </row>
    <row r="1040" spans="1:1" x14ac:dyDescent="0.3">
      <c r="A1040" s="42"/>
    </row>
    <row r="1043" spans="1:1" x14ac:dyDescent="0.3">
      <c r="A1043" s="42"/>
    </row>
    <row r="1045" spans="1:1" x14ac:dyDescent="0.3">
      <c r="A1045" s="42"/>
    </row>
    <row r="1047" spans="1:1" x14ac:dyDescent="0.3">
      <c r="A1047" s="42"/>
    </row>
    <row r="1049" spans="1:1" x14ac:dyDescent="0.3">
      <c r="A1049" s="42"/>
    </row>
    <row r="1052" spans="1:1" x14ac:dyDescent="0.3">
      <c r="A1052" s="42"/>
    </row>
    <row r="1053" spans="1:1" x14ac:dyDescent="0.3">
      <c r="A1053" s="42"/>
    </row>
    <row r="1054" spans="1:1" x14ac:dyDescent="0.3">
      <c r="A1054" s="42"/>
    </row>
    <row r="1055" spans="1:1" x14ac:dyDescent="0.3">
      <c r="A1055" s="42"/>
    </row>
    <row r="1056" spans="1:1" x14ac:dyDescent="0.3">
      <c r="A1056" s="42"/>
    </row>
    <row r="1057" spans="1:1" x14ac:dyDescent="0.3">
      <c r="A1057" s="42"/>
    </row>
    <row r="1058" spans="1:1" x14ac:dyDescent="0.3">
      <c r="A1058" s="42"/>
    </row>
    <row r="1059" spans="1:1" x14ac:dyDescent="0.3">
      <c r="A1059" s="42"/>
    </row>
  </sheetData>
  <pageMargins left="0.5" right="0.5" top="1" bottom="0" header="0" footer="0"/>
  <pageSetup scale="53" orientation="landscape" r:id="rId1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W30"/>
  <sheetViews>
    <sheetView zoomScaleNormal="100" workbookViewId="0"/>
  </sheetViews>
  <sheetFormatPr defaultRowHeight="15" x14ac:dyDescent="0.25"/>
  <cols>
    <col min="1" max="1" width="1.75" customWidth="1"/>
    <col min="2" max="2" width="9.9140625" customWidth="1"/>
    <col min="3" max="3" width="1.75" customWidth="1"/>
    <col min="4" max="4" width="11" customWidth="1"/>
    <col min="5" max="5" width="1.75" customWidth="1"/>
    <col min="6" max="6" width="11" customWidth="1"/>
    <col min="7" max="7" width="1.75" customWidth="1"/>
    <col min="8" max="8" width="11" customWidth="1"/>
    <col min="9" max="9" width="1.75" customWidth="1"/>
    <col min="10" max="10" width="11" customWidth="1"/>
    <col min="11" max="11" width="8.75" customWidth="1"/>
    <col min="12" max="12" width="9.4140625" customWidth="1"/>
    <col min="13" max="13" width="1.75" customWidth="1"/>
    <col min="14" max="14" width="11" customWidth="1"/>
    <col min="15" max="15" width="1.75" customWidth="1"/>
    <col min="16" max="16" width="11" customWidth="1"/>
    <col min="17" max="17" width="1.75" customWidth="1"/>
    <col min="18" max="18" width="11" customWidth="1"/>
    <col min="19" max="19" width="1.75" customWidth="1"/>
    <col min="20" max="20" width="11" customWidth="1"/>
  </cols>
  <sheetData>
    <row r="1" spans="1:23" ht="25.5" customHeight="1" x14ac:dyDescent="0.5">
      <c r="A1" s="18"/>
      <c r="B1" s="468" t="str">
        <f>+INPUT!A1</f>
        <v>TEST PERIOD WITH RIDERS</v>
      </c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18"/>
      <c r="V1" s="18"/>
      <c r="W1" s="18"/>
    </row>
    <row r="2" spans="1:23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</row>
    <row r="3" spans="1:23" ht="17.25" customHeight="1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</row>
    <row r="4" spans="1:23" ht="43.5" customHeigh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</row>
    <row r="5" spans="1:23" ht="15.6" thickBot="1" x14ac:dyDescent="0.3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 ht="24" customHeight="1" thickBot="1" x14ac:dyDescent="0.35">
      <c r="A6" s="18"/>
      <c r="B6" s="465" t="s">
        <v>429</v>
      </c>
      <c r="C6" s="466"/>
      <c r="D6" s="466"/>
      <c r="E6" s="466"/>
      <c r="F6" s="466"/>
      <c r="G6" s="466"/>
      <c r="H6" s="466"/>
      <c r="I6" s="466"/>
      <c r="J6" s="467"/>
      <c r="K6" s="18"/>
      <c r="L6" s="465" t="s">
        <v>430</v>
      </c>
      <c r="M6" s="466"/>
      <c r="N6" s="466"/>
      <c r="O6" s="466"/>
      <c r="P6" s="466"/>
      <c r="Q6" s="466"/>
      <c r="R6" s="466"/>
      <c r="S6" s="466"/>
      <c r="T6" s="467"/>
      <c r="U6" s="18"/>
      <c r="V6" s="18"/>
      <c r="W6" s="18"/>
    </row>
    <row r="7" spans="1:23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</row>
    <row r="8" spans="1:23" ht="39.9" customHeight="1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</row>
    <row r="9" spans="1:23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23" ht="39.9" customHeight="1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23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23" ht="39.9" customHeight="1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23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23" ht="39.9" customHeight="1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23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9.9" customHeight="1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ht="39.9" customHeight="1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ht="39.9" customHeight="1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</sheetData>
  <customSheetViews>
    <customSheetView guid="{195DF303-1BBD-4236-94B5-47432850B006}" showRuler="0">
      <pageMargins left="0.75" right="0.75" top="1" bottom="1" header="0.5" footer="0.5"/>
      <pageSetup orientation="portrait" horizontalDpi="300" verticalDpi="300" r:id="rId1"/>
      <headerFooter alignWithMargins="0"/>
    </customSheetView>
    <customSheetView guid="{0C49E549-011E-46F4-A82E-2CC8951A9C1E}" showRuler="0">
      <selection activeCell="C25" sqref="C25"/>
      <pageMargins left="0.75" right="0.75" top="1" bottom="1" header="0.5" footer="0.5"/>
      <pageSetup orientation="portrait" horizontalDpi="300" verticalDpi="300" r:id="rId2"/>
      <headerFooter alignWithMargins="0"/>
    </customSheetView>
    <customSheetView guid="{4BC93440-BA85-4935-A8C9-66DC6AE5DE5E}" showRuler="0">
      <selection activeCell="B26" sqref="B26"/>
      <pageMargins left="0.75" right="0.75" top="1" bottom="1" header="0.5" footer="0.5"/>
      <pageSetup orientation="portrait" horizontalDpi="300" verticalDpi="300" r:id="rId3"/>
      <headerFooter alignWithMargins="0"/>
    </customSheetView>
    <customSheetView guid="{2431C9E5-7CC2-4B8D-99C3-962247B1DBF5}" showRuler="0">
      <pageMargins left="0.75" right="0.75" top="1" bottom="1" header="0.5" footer="0.5"/>
      <pageSetup orientation="portrait" horizontalDpi="300" verticalDpi="300" r:id="rId4"/>
      <headerFooter alignWithMargins="0"/>
    </customSheetView>
    <customSheetView guid="{2EA35095-1ADC-4CC7-8C3C-B487D65FA247}" showRuler="0">
      <pageMargins left="0.75" right="0.75" top="1" bottom="1" header="0.5" footer="0.5"/>
      <pageSetup orientation="portrait" horizontalDpi="300" verticalDpi="300" r:id="rId5"/>
      <headerFooter alignWithMargins="0"/>
    </customSheetView>
    <customSheetView guid="{8FC77C99-DBF7-40B8-99B8-01B75826CDCB}" showRuler="0">
      <pageMargins left="0.75" right="0.75" top="1" bottom="1" header="0.5" footer="0.5"/>
      <pageSetup orientation="portrait" horizontalDpi="300" verticalDpi="300" r:id="rId6"/>
      <headerFooter alignWithMargins="0"/>
    </customSheetView>
    <customSheetView guid="{8FB94551-8874-4095-B8FB-5316E0D2FD2C}" showRuler="0">
      <pageMargins left="0.75" right="0.75" top="1" bottom="1" header="0.5" footer="0.5"/>
      <pageSetup orientation="portrait" horizontalDpi="300" verticalDpi="300" r:id="rId7"/>
      <headerFooter alignWithMargins="0"/>
    </customSheetView>
    <customSheetView guid="{6B3D5C27-2FDE-4561-9575-1E98BFB869D0}" showRuler="0">
      <selection activeCell="B26" sqref="B26"/>
      <pageMargins left="0.75" right="0.75" top="1" bottom="1" header="0.5" footer="0.5"/>
      <pageSetup orientation="portrait" horizontalDpi="300" verticalDpi="300" r:id="rId8"/>
      <headerFooter alignWithMargins="0"/>
    </customSheetView>
    <customSheetView guid="{0BC1F393-8A13-47D5-BC6C-0C99615B5AB9}" showRuler="0">
      <pageMargins left="0.75" right="0.75" top="1" bottom="1" header="0.5" footer="0.5"/>
      <pageSetup orientation="portrait" horizontalDpi="300" verticalDpi="300" r:id="rId9"/>
      <headerFooter alignWithMargins="0"/>
    </customSheetView>
    <customSheetView guid="{18BDED73-BFA0-442E-87EC-CED86EE4CF94}" showRuler="0">
      <pageMargins left="0.75" right="0.75" top="1" bottom="1" header="0.5" footer="0.5"/>
      <pageSetup orientation="portrait" horizontalDpi="300" verticalDpi="300" r:id="rId10"/>
      <headerFooter alignWithMargins="0"/>
    </customSheetView>
    <customSheetView guid="{35F19056-2E6F-4935-B863-78836FE990BF}" showPageBreaks="1" showRuler="0">
      <pageMargins left="0.75" right="0.75" top="1" bottom="1" header="0.5" footer="0.5"/>
      <pageSetup orientation="portrait" horizontalDpi="300" verticalDpi="300" r:id="rId11"/>
      <headerFooter alignWithMargins="0"/>
    </customSheetView>
    <customSheetView guid="{F562D92E-120C-4AE9-9663-89E64D41DC53}">
      <pageMargins left="0.75" right="0.75" top="1" bottom="1" header="0.5" footer="0.5"/>
      <pageSetup orientation="portrait" horizontalDpi="300" verticalDpi="300" r:id="rId12"/>
      <headerFooter alignWithMargins="0"/>
    </customSheetView>
  </customSheetViews>
  <mergeCells count="3">
    <mergeCell ref="B6:J6"/>
    <mergeCell ref="L6:T6"/>
    <mergeCell ref="B1:T1"/>
  </mergeCells>
  <phoneticPr fontId="11" type="noConversion"/>
  <pageMargins left="0.75" right="0.75" top="1" bottom="1" header="0.5" footer="0.5"/>
  <pageSetup orientation="portrait" horizontalDpi="300" verticalDpi="300" r:id="rId13"/>
  <headerFooter alignWithMargins="0"/>
  <drawing r:id="rId14"/>
  <legacyDrawing r:id="rId1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16" name="Button 1">
              <controlPr defaultSize="0" print="0" autoFill="0" autoPict="0" macro="[0]!Module1.PRINT_SCH_M">
                <anchor moveWithCells="1" sizeWithCells="1">
                  <from>
                    <xdr:col>1</xdr:col>
                    <xdr:colOff>7620</xdr:colOff>
                    <xdr:row>3</xdr:row>
                    <xdr:rowOff>22860</xdr:rowOff>
                  </from>
                  <to>
                    <xdr:col>7</xdr:col>
                    <xdr:colOff>7620</xdr:colOff>
                    <xdr:row>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17" name="Button 2">
              <controlPr defaultSize="0" print="0" autoFill="0" autoPict="0" macro="[0]!Module1.PRINT_SCH_N">
                <anchor moveWithCells="1" sizeWithCells="1">
                  <from>
                    <xdr:col>15</xdr:col>
                    <xdr:colOff>7620</xdr:colOff>
                    <xdr:row>3</xdr:row>
                    <xdr:rowOff>0</xdr:rowOff>
                  </from>
                  <to>
                    <xdr:col>20</xdr:col>
                    <xdr:colOff>0</xdr:colOff>
                    <xdr:row>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18" name="Button 3">
              <controlPr defaultSize="0" print="0" autoFill="0" autoPict="0" macro="[0]!PRINT_SCH_M_2_2">
                <anchor moveWithCells="1" sizeWithCells="1">
                  <from>
                    <xdr:col>1</xdr:col>
                    <xdr:colOff>0</xdr:colOff>
                    <xdr:row>7</xdr:row>
                    <xdr:rowOff>0</xdr:rowOff>
                  </from>
                  <to>
                    <xdr:col>2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19" name="Button 4">
              <controlPr defaultSize="0" print="0" autoFill="0" autoPict="0" macro="[0]!PRINT_SCH_M_2_2_SUMMARY">
                <anchor moveWithCells="1" sizeWithCells="1">
                  <from>
                    <xdr:col>0</xdr:col>
                    <xdr:colOff>754380</xdr:colOff>
                    <xdr:row>9</xdr:row>
                    <xdr:rowOff>7620</xdr:rowOff>
                  </from>
                  <to>
                    <xdr:col>2</xdr:col>
                    <xdr:colOff>7620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20" name="Button 5">
              <controlPr defaultSize="0" print="0" autoFill="0" autoPict="0" macro="[0]!PRINT_SCH_M_2_2_DETAIL">
                <anchor moveWithCells="1" sizeWithCells="1">
                  <from>
                    <xdr:col>1</xdr:col>
                    <xdr:colOff>0</xdr:colOff>
                    <xdr:row>11</xdr:row>
                    <xdr:rowOff>0</xdr:rowOff>
                  </from>
                  <to>
                    <xdr:col>2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21" name="Button 6">
              <controlPr defaultSize="0" print="0" autoFill="0" autoPict="0" macro="[0]!PRINT_SCH_M_2_2_RESCURR">
                <anchor moveWithCells="1" sizeWithCells="1">
                  <from>
                    <xdr:col>3</xdr:col>
                    <xdr:colOff>0</xdr:colOff>
                    <xdr:row>7</xdr:row>
                    <xdr:rowOff>0</xdr:rowOff>
                  </from>
                  <to>
                    <xdr:col>4</xdr:col>
                    <xdr:colOff>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22" name="Button 7">
              <controlPr defaultSize="0" print="0" autoFill="0" autoPict="0" macro="[0]!PRINT_SCH_M_2_2_DSCURR">
                <anchor moveWithCells="1" sizeWithCells="1">
                  <from>
                    <xdr:col>3</xdr:col>
                    <xdr:colOff>0</xdr:colOff>
                    <xdr:row>8</xdr:row>
                    <xdr:rowOff>182880</xdr:rowOff>
                  </from>
                  <to>
                    <xdr:col>3</xdr:col>
                    <xdr:colOff>1089660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23" name="Button 8">
              <controlPr defaultSize="0" print="0" autoFill="0" autoPict="0" macro="[0]!PRINT_SCH_M_2_2_DTCURR_PRI">
                <anchor moveWithCells="1" sizeWithCells="1">
                  <from>
                    <xdr:col>3</xdr:col>
                    <xdr:colOff>0</xdr:colOff>
                    <xdr:row>11</xdr:row>
                    <xdr:rowOff>7620</xdr:rowOff>
                  </from>
                  <to>
                    <xdr:col>4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24" name="Button 9">
              <controlPr defaultSize="0" print="0" autoFill="0" autoPict="0" macro="[0]!PRINT_SCH_M_2_2_DPCURR">
                <anchor moveWithCells="1" sizeWithCells="1">
                  <from>
                    <xdr:col>5</xdr:col>
                    <xdr:colOff>0</xdr:colOff>
                    <xdr:row>9</xdr:row>
                    <xdr:rowOff>7620</xdr:rowOff>
                  </from>
                  <to>
                    <xdr:col>5</xdr:col>
                    <xdr:colOff>1089660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25" name="Button 10">
              <controlPr defaultSize="0" print="0" autoFill="0" autoPict="0" macro="[0]!PRINT_SCH_M_2_2_GSFLCURR">
                <anchor moveWithCells="1" sizeWithCells="1">
                  <from>
                    <xdr:col>5</xdr:col>
                    <xdr:colOff>0</xdr:colOff>
                    <xdr:row>6</xdr:row>
                    <xdr:rowOff>190500</xdr:rowOff>
                  </from>
                  <to>
                    <xdr:col>6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26" name="Button 11">
              <controlPr defaultSize="0" print="0" autoFill="0" autoPict="0" macro="[0]!PRINT_SCH_M_2_2_EHCURR">
                <anchor moveWithCells="1" sizeWithCells="1">
                  <from>
                    <xdr:col>3</xdr:col>
                    <xdr:colOff>0</xdr:colOff>
                    <xdr:row>14</xdr:row>
                    <xdr:rowOff>182880</xdr:rowOff>
                  </from>
                  <to>
                    <xdr:col>4</xdr:col>
                    <xdr:colOff>7620</xdr:colOff>
                    <xdr:row>15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27" name="Button 12">
              <controlPr defaultSize="0" print="0" autoFill="0" autoPict="0" macro="[0]!PRINT_SCH_M_2_2_TTCURR">
                <anchor moveWithCells="1" sizeWithCells="1">
                  <from>
                    <xdr:col>4</xdr:col>
                    <xdr:colOff>1074420</xdr:colOff>
                    <xdr:row>10</xdr:row>
                    <xdr:rowOff>182880</xdr:rowOff>
                  </from>
                  <to>
                    <xdr:col>6</xdr:col>
                    <xdr:colOff>0</xdr:colOff>
                    <xdr:row>11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28" name="Button 13">
              <controlPr defaultSize="0" print="0" autoFill="0" autoPict="0" macro="[0]!PRINT_SCH_M_2_2_SLCURR">
                <anchor moveWithCells="1" sizeWithCells="1">
                  <from>
                    <xdr:col>7</xdr:col>
                    <xdr:colOff>0</xdr:colOff>
                    <xdr:row>9</xdr:row>
                    <xdr:rowOff>7620</xdr:rowOff>
                  </from>
                  <to>
                    <xdr:col>8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29" name="Button 14">
              <controlPr defaultSize="0" print="0" autoFill="0" autoPict="0" macro="[0]!PRINT_SCH_M_2_2_SECURR">
                <anchor moveWithCells="1" sizeWithCells="1">
                  <from>
                    <xdr:col>9</xdr:col>
                    <xdr:colOff>22860</xdr:colOff>
                    <xdr:row>9</xdr:row>
                    <xdr:rowOff>7620</xdr:rowOff>
                  </from>
                  <to>
                    <xdr:col>10</xdr:col>
                    <xdr:colOff>7620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30" name="Button 15">
              <controlPr defaultSize="0" print="0" autoFill="0" autoPict="0" macro="[0]!PRINT_SCH_M_2_2_TLCURR">
                <anchor moveWithCells="1" sizeWithCells="1">
                  <from>
                    <xdr:col>7</xdr:col>
                    <xdr:colOff>0</xdr:colOff>
                    <xdr:row>11</xdr:row>
                    <xdr:rowOff>7620</xdr:rowOff>
                  </from>
                  <to>
                    <xdr:col>8</xdr:col>
                    <xdr:colOff>0</xdr:colOff>
                    <xdr:row>11</xdr:row>
                    <xdr:rowOff>502920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31" name="Button 17">
              <controlPr defaultSize="0" print="0" autoFill="0" autoPict="0" macro="[0]!PRINT_SCH_M_2_2_NSUCURR">
                <anchor moveWithCells="1" sizeWithCells="1">
                  <from>
                    <xdr:col>7</xdr:col>
                    <xdr:colOff>22860</xdr:colOff>
                    <xdr:row>15</xdr:row>
                    <xdr:rowOff>0</xdr:rowOff>
                  </from>
                  <to>
                    <xdr:col>8</xdr:col>
                    <xdr:colOff>22860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32" name="Button 19">
              <controlPr defaultSize="0" print="0" autoFill="0" autoPict="0" macro="[0]!PRINT_SCH_M_2_3">
                <anchor moveWithCells="1" sizeWithCells="1">
                  <from>
                    <xdr:col>11</xdr:col>
                    <xdr:colOff>0</xdr:colOff>
                    <xdr:row>7</xdr:row>
                    <xdr:rowOff>7620</xdr:rowOff>
                  </from>
                  <to>
                    <xdr:col>12</xdr:col>
                    <xdr:colOff>0</xdr:colOff>
                    <xdr:row>7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33" name="Button 20">
              <controlPr defaultSize="0" print="0" autoFill="0" autoPict="0" macro="[0]!PRINT_SCH_M_2_3_SUMMARY">
                <anchor moveWithCells="1" sizeWithCells="1">
                  <from>
                    <xdr:col>10</xdr:col>
                    <xdr:colOff>746760</xdr:colOff>
                    <xdr:row>9</xdr:row>
                    <xdr:rowOff>0</xdr:rowOff>
                  </from>
                  <to>
                    <xdr:col>12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34" name="Button 21">
              <controlPr defaultSize="0" print="0" autoFill="0" autoPict="0" macro="[0]!PRINT_SCH_M_2_3_DETAIL">
                <anchor moveWithCells="1" sizeWithCells="1">
                  <from>
                    <xdr:col>11</xdr:col>
                    <xdr:colOff>0</xdr:colOff>
                    <xdr:row>11</xdr:row>
                    <xdr:rowOff>0</xdr:rowOff>
                  </from>
                  <to>
                    <xdr:col>12</xdr:col>
                    <xdr:colOff>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35" name="Button 22">
              <controlPr defaultSize="0" print="0" autoFill="0" autoPict="0" macro="[0]!PRINT_SCH_M_2_3_RESPROP">
                <anchor moveWithCells="1" sizeWithCells="1">
                  <from>
                    <xdr:col>13</xdr:col>
                    <xdr:colOff>0</xdr:colOff>
                    <xdr:row>7</xdr:row>
                    <xdr:rowOff>7620</xdr:rowOff>
                  </from>
                  <to>
                    <xdr:col>14</xdr:col>
                    <xdr:colOff>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36" name="Button 23">
              <controlPr defaultSize="0" print="0" autoFill="0" autoPict="0" macro="[0]!PRINT_SCH_M_2_3_DSPROP">
                <anchor moveWithCells="1" sizeWithCells="1">
                  <from>
                    <xdr:col>12</xdr:col>
                    <xdr:colOff>160020</xdr:colOff>
                    <xdr:row>8</xdr:row>
                    <xdr:rowOff>182880</xdr:rowOff>
                  </from>
                  <to>
                    <xdr:col>13</xdr:col>
                    <xdr:colOff>1089660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37" name="Button 24">
              <controlPr defaultSize="0" print="0" autoFill="0" autoPict="0" macro="[0]!PRINT_SCH_M_2_3_DTPROP_PRI">
                <anchor moveWithCells="1" sizeWithCells="1">
                  <from>
                    <xdr:col>12</xdr:col>
                    <xdr:colOff>160020</xdr:colOff>
                    <xdr:row>11</xdr:row>
                    <xdr:rowOff>0</xdr:rowOff>
                  </from>
                  <to>
                    <xdr:col>14</xdr:col>
                    <xdr:colOff>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38" name="Button 25">
              <controlPr defaultSize="0" print="0" autoFill="0" autoPict="0" macro="[0]!PRINT_SCH_M_2_3_DPPROP">
                <anchor moveWithCells="1" sizeWithCells="1">
                  <from>
                    <xdr:col>15</xdr:col>
                    <xdr:colOff>0</xdr:colOff>
                    <xdr:row>9</xdr:row>
                    <xdr:rowOff>7620</xdr:rowOff>
                  </from>
                  <to>
                    <xdr:col>15</xdr:col>
                    <xdr:colOff>1089660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39" name="Button 26">
              <controlPr defaultSize="0" print="0" autoFill="0" autoPict="0" macro="[0]!PRINT_SCH_M_2_3_GSFLPROP">
                <anchor moveWithCells="1" sizeWithCells="1">
                  <from>
                    <xdr:col>15</xdr:col>
                    <xdr:colOff>0</xdr:colOff>
                    <xdr:row>7</xdr:row>
                    <xdr:rowOff>7620</xdr:rowOff>
                  </from>
                  <to>
                    <xdr:col>15</xdr:col>
                    <xdr:colOff>1089660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40" name="Button 27">
              <controlPr defaultSize="0" print="0" autoFill="0" autoPict="0" macro="[0]!PRINT_SCH_M_2_3_EHPROP">
                <anchor moveWithCells="1" sizeWithCells="1">
                  <from>
                    <xdr:col>13</xdr:col>
                    <xdr:colOff>0</xdr:colOff>
                    <xdr:row>15</xdr:row>
                    <xdr:rowOff>0</xdr:rowOff>
                  </from>
                  <to>
                    <xdr:col>13</xdr:col>
                    <xdr:colOff>1089660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41" name="Button 28">
              <controlPr defaultSize="0" print="0" autoFill="0" autoPict="0" macro="[0]!PRINT_SCH_M_2_3_TTPROP">
                <anchor moveWithCells="1" sizeWithCells="1">
                  <from>
                    <xdr:col>15</xdr:col>
                    <xdr:colOff>7620</xdr:colOff>
                    <xdr:row>11</xdr:row>
                    <xdr:rowOff>7620</xdr:rowOff>
                  </from>
                  <to>
                    <xdr:col>15</xdr:col>
                    <xdr:colOff>1089660</xdr:colOff>
                    <xdr:row>11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42" name="Button 29">
              <controlPr defaultSize="0" print="0" autoFill="0" autoPict="0" macro="[0]!PRINT_SCH_M_2_3_SLPROP">
                <anchor moveWithCells="1" sizeWithCells="1">
                  <from>
                    <xdr:col>17</xdr:col>
                    <xdr:colOff>0</xdr:colOff>
                    <xdr:row>9</xdr:row>
                    <xdr:rowOff>7620</xdr:rowOff>
                  </from>
                  <to>
                    <xdr:col>18</xdr:col>
                    <xdr:colOff>22860</xdr:colOff>
                    <xdr:row>9</xdr:row>
                    <xdr:rowOff>502920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43" name="Button 30">
              <controlPr defaultSize="0" print="0" autoFill="0" autoPict="0" macro="[0]!PRINT_SCH_M_2_3_SEPROP">
                <anchor moveWithCells="1" sizeWithCells="1">
                  <from>
                    <xdr:col>19</xdr:col>
                    <xdr:colOff>30480</xdr:colOff>
                    <xdr:row>8</xdr:row>
                    <xdr:rowOff>152400</xdr:rowOff>
                  </from>
                  <to>
                    <xdr:col>20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44" name="Button 31">
              <controlPr defaultSize="0" print="0" autoFill="0" autoPict="0" macro="[0]!PRINT_SCH_M_2_3_TLPROP">
                <anchor moveWithCells="1" sizeWithCells="1">
                  <from>
                    <xdr:col>17</xdr:col>
                    <xdr:colOff>7620</xdr:colOff>
                    <xdr:row>11</xdr:row>
                    <xdr:rowOff>7620</xdr:rowOff>
                  </from>
                  <to>
                    <xdr:col>18</xdr:col>
                    <xdr:colOff>7620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45" name="Button 33">
              <controlPr defaultSize="0" print="0" autoFill="0" autoPict="0" macro="[0]!PRINT_SCH_M_2_3_NSUPROP">
                <anchor moveWithCells="1" sizeWithCells="1">
                  <from>
                    <xdr:col>17</xdr:col>
                    <xdr:colOff>38100</xdr:colOff>
                    <xdr:row>15</xdr:row>
                    <xdr:rowOff>7620</xdr:rowOff>
                  </from>
                  <to>
                    <xdr:col>18</xdr:col>
                    <xdr:colOff>38100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46" name="Button 35">
              <controlPr defaultSize="0" print="0" autoFill="0" autoPict="0" macro="[0]!PRINT_SCH_M_2_1">
                <anchor moveWithCells="1" sizeWithCells="1">
                  <from>
                    <xdr:col>8</xdr:col>
                    <xdr:colOff>0</xdr:colOff>
                    <xdr:row>2</xdr:row>
                    <xdr:rowOff>213360</xdr:rowOff>
                  </from>
                  <to>
                    <xdr:col>13</xdr:col>
                    <xdr:colOff>7620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47" name="Button 36">
              <controlPr defaultSize="0" print="0" autoFill="0" autoPict="0" macro="[0]!PRINT_SCH_M_2_2_SCCURR">
                <anchor moveWithCells="1" sizeWithCells="1">
                  <from>
                    <xdr:col>9</xdr:col>
                    <xdr:colOff>7620</xdr:colOff>
                    <xdr:row>7</xdr:row>
                    <xdr:rowOff>7620</xdr:rowOff>
                  </from>
                  <to>
                    <xdr:col>10</xdr:col>
                    <xdr:colOff>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8" name="Button 37">
              <controlPr defaultSize="0" print="0" autoFill="0" autoPict="0" macro="[0]!PRINT_SCH_M_2_3_SCPROP">
                <anchor moveWithCells="1" sizeWithCells="1">
                  <from>
                    <xdr:col>19</xdr:col>
                    <xdr:colOff>7620</xdr:colOff>
                    <xdr:row>7</xdr:row>
                    <xdr:rowOff>7620</xdr:rowOff>
                  </from>
                  <to>
                    <xdr:col>20</xdr:col>
                    <xdr:colOff>7620</xdr:colOff>
                    <xdr:row>7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9" name="Button 38">
              <controlPr defaultSize="0" print="0" autoFill="0" autoPict="0" macro="[0]!PRINT_RTP_CURRENT">
                <anchor moveWithCells="1" sizeWithCells="1">
                  <from>
                    <xdr:col>0</xdr:col>
                    <xdr:colOff>746760</xdr:colOff>
                    <xdr:row>13</xdr:row>
                    <xdr:rowOff>7620</xdr:rowOff>
                  </from>
                  <to>
                    <xdr:col>2</xdr:col>
                    <xdr:colOff>7620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50" name="Button 39">
              <controlPr defaultSize="0" print="0" autoFill="0" autoPict="0" macro="[0]!PRINT_RTP_DETAIL">
                <anchor moveWithCells="1" sizeWithCells="1">
                  <from>
                    <xdr:col>11</xdr:col>
                    <xdr:colOff>0</xdr:colOff>
                    <xdr:row>13</xdr:row>
                    <xdr:rowOff>22860</xdr:rowOff>
                  </from>
                  <to>
                    <xdr:col>12</xdr:col>
                    <xdr:colOff>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51" name="Button 40">
              <controlPr defaultSize="0" print="0" autoFill="0" autoPict="0" macro="[0]!PRINT_SCH_M_2_3_DTPROP_SEC">
                <anchor moveWithCells="1" sizeWithCells="1">
                  <from>
                    <xdr:col>13</xdr:col>
                    <xdr:colOff>7620</xdr:colOff>
                    <xdr:row>13</xdr:row>
                    <xdr:rowOff>0</xdr:rowOff>
                  </from>
                  <to>
                    <xdr:col>14</xdr:col>
                    <xdr:colOff>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52" name="Button 41">
              <controlPr defaultSize="0" print="0" autoFill="0" autoPict="0" macro="[0]!PRINT_SCH_M_2_2_DTCURR_SEC">
                <anchor moveWithCells="1" sizeWithCells="1">
                  <from>
                    <xdr:col>2</xdr:col>
                    <xdr:colOff>1089660</xdr:colOff>
                    <xdr:row>12</xdr:row>
                    <xdr:rowOff>182880</xdr:rowOff>
                  </from>
                  <to>
                    <xdr:col>4</xdr:col>
                    <xdr:colOff>7620</xdr:colOff>
                    <xdr:row>13</xdr:row>
                    <xdr:rowOff>487680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53" name="Button 43">
              <controlPr defaultSize="0" print="0" autoFill="0" autoPict="0" macro="[0]!PRINT_SCH_M_2_3_UOLSPROP">
                <anchor moveWithCells="1" sizeWithCells="1">
                  <from>
                    <xdr:col>17</xdr:col>
                    <xdr:colOff>22860</xdr:colOff>
                    <xdr:row>13</xdr:row>
                    <xdr:rowOff>7620</xdr:rowOff>
                  </from>
                  <to>
                    <xdr:col>18</xdr:col>
                    <xdr:colOff>22860</xdr:colOff>
                    <xdr:row>13</xdr:row>
                    <xdr:rowOff>502920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54" name="Button 46">
              <controlPr defaultSize="0" print="0" autoFill="0" autoPict="0" macro="[0]!PRINT_SCH_M_2_2_UOLSCURR">
                <anchor moveWithCells="1" sizeWithCells="1">
                  <from>
                    <xdr:col>7</xdr:col>
                    <xdr:colOff>7620</xdr:colOff>
                    <xdr:row>13</xdr:row>
                    <xdr:rowOff>0</xdr:rowOff>
                  </from>
                  <to>
                    <xdr:col>8</xdr:col>
                    <xdr:colOff>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55" name="Button 47">
              <controlPr defaultSize="0" print="0" autoFill="0" autoPict="0" macro="[0]!PRINT_SCH_M_2_2_DTRTP_P_CURR">
                <anchor moveWithCells="1" sizeWithCells="1">
                  <from>
                    <xdr:col>4</xdr:col>
                    <xdr:colOff>1089660</xdr:colOff>
                    <xdr:row>13</xdr:row>
                    <xdr:rowOff>0</xdr:rowOff>
                  </from>
                  <to>
                    <xdr:col>6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6" name="Button 48">
              <controlPr defaultSize="0" print="0" autoFill="0" autoPict="0" macro="[0]!PRINT_SCH_M_2_2_DTRTP_S_CURR">
                <anchor moveWithCells="1" sizeWithCells="1">
                  <from>
                    <xdr:col>5</xdr:col>
                    <xdr:colOff>7620</xdr:colOff>
                    <xdr:row>15</xdr:row>
                    <xdr:rowOff>0</xdr:rowOff>
                  </from>
                  <to>
                    <xdr:col>6</xdr:col>
                    <xdr:colOff>0</xdr:colOff>
                    <xdr:row>15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7" name="Button 49">
              <controlPr defaultSize="0" print="0" autoFill="0" autoPict="0" macro="[0]!PRINT_SCH_M_2_2_DSRTP_CURR">
                <anchor moveWithCells="1" sizeWithCells="1">
                  <from>
                    <xdr:col>7</xdr:col>
                    <xdr:colOff>7620</xdr:colOff>
                    <xdr:row>7</xdr:row>
                    <xdr:rowOff>7620</xdr:rowOff>
                  </from>
                  <to>
                    <xdr:col>8</xdr:col>
                    <xdr:colOff>7620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8" name="Button 51">
              <controlPr defaultSize="0" print="0" autoFill="0" autoPict="0" macro="[0]!PRINT_SCH_M_2_3_DTRTP_P_PROP">
                <anchor moveWithCells="1" sizeWithCells="1">
                  <from>
                    <xdr:col>14</xdr:col>
                    <xdr:colOff>175260</xdr:colOff>
                    <xdr:row>13</xdr:row>
                    <xdr:rowOff>7620</xdr:rowOff>
                  </from>
                  <to>
                    <xdr:col>15</xdr:col>
                    <xdr:colOff>1089660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9" name="Button 52">
              <controlPr defaultSize="0" print="0" autoFill="0" autoPict="0" macro="[0]!PRINT_SCH_M_2_3_DTRTP_S_PROP">
                <anchor moveWithCells="1" sizeWithCells="1">
                  <from>
                    <xdr:col>14</xdr:col>
                    <xdr:colOff>152400</xdr:colOff>
                    <xdr:row>15</xdr:row>
                    <xdr:rowOff>7620</xdr:rowOff>
                  </from>
                  <to>
                    <xdr:col>16</xdr:col>
                    <xdr:colOff>7620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60" name="Button 53">
              <controlPr defaultSize="0" print="0" autoFill="0" autoPict="0" macro="[0]!PRINT_SCH_M_2_3_DSRTP_PROP">
                <anchor moveWithCells="1" sizeWithCells="1">
                  <from>
                    <xdr:col>16</xdr:col>
                    <xdr:colOff>1074420</xdr:colOff>
                    <xdr:row>7</xdr:row>
                    <xdr:rowOff>7620</xdr:rowOff>
                  </from>
                  <to>
                    <xdr:col>18</xdr:col>
                    <xdr:colOff>7620</xdr:colOff>
                    <xdr:row>7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61" name="Button 54">
              <controlPr defaultSize="0" print="0" autoFill="0" autoPict="0" macro="[0]!PRINT_SCH_M_2_2_LEDCURR">
                <anchor moveWithCells="1" sizeWithCells="1">
                  <from>
                    <xdr:col>9</xdr:col>
                    <xdr:colOff>22860</xdr:colOff>
                    <xdr:row>11</xdr:row>
                    <xdr:rowOff>7620</xdr:rowOff>
                  </from>
                  <to>
                    <xdr:col>10</xdr:col>
                    <xdr:colOff>7620</xdr:colOff>
                    <xdr:row>12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62" name="Button 56">
              <controlPr defaultSize="0" print="0" autoFill="0" autoPict="0" macro="[0]!PRINT_SCH_M_2_3_LEDPROP">
                <anchor moveWithCells="1" sizeWithCells="1">
                  <from>
                    <xdr:col>19</xdr:col>
                    <xdr:colOff>22860</xdr:colOff>
                    <xdr:row>11</xdr:row>
                    <xdr:rowOff>7620</xdr:rowOff>
                  </from>
                  <to>
                    <xdr:col>20</xdr:col>
                    <xdr:colOff>7620</xdr:colOff>
                    <xdr:row>12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syncVertical="1" syncRef="A1" transitionEvaluation="1" transitionEntry="1" codeName="Sheet13">
    <pageSetUpPr fitToPage="1"/>
  </sheetPr>
  <dimension ref="A1:BY1067"/>
  <sheetViews>
    <sheetView zoomScale="75" zoomScaleNormal="75" workbookViewId="0"/>
  </sheetViews>
  <sheetFormatPr defaultColWidth="8.9140625" defaultRowHeight="15.6" x14ac:dyDescent="0.3"/>
  <cols>
    <col min="1" max="1" width="5.25" style="41" customWidth="1"/>
    <col min="2" max="2" width="0.4140625" style="41" customWidth="1"/>
    <col min="3" max="3" width="9.4140625" style="41" customWidth="1"/>
    <col min="4" max="4" width="36.6640625" style="41" customWidth="1"/>
    <col min="5" max="5" width="0.582031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1.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5" style="41" customWidth="1"/>
    <col min="15" max="15" width="0.58203125" style="41" customWidth="1"/>
    <col min="16" max="16" width="15.6640625" style="41" customWidth="1"/>
    <col min="17" max="17" width="0.58203125" style="41" customWidth="1"/>
    <col min="18" max="18" width="16.4140625" style="41" customWidth="1"/>
    <col min="19" max="19" width="6.75" style="41" customWidth="1"/>
    <col min="20" max="20" width="6.25" style="41" customWidth="1"/>
    <col min="21" max="21" width="0.58203125" style="41" customWidth="1"/>
    <col min="22" max="22" width="7.08203125" style="41" customWidth="1"/>
    <col min="23" max="23" width="33" style="41" customWidth="1"/>
    <col min="24" max="24" width="0.58203125" style="41" customWidth="1"/>
    <col min="25" max="25" width="13.25" style="41" customWidth="1"/>
    <col min="26" max="26" width="1" style="41" customWidth="1"/>
    <col min="27" max="27" width="14.58203125" style="41" customWidth="1"/>
    <col min="28" max="28" width="0.6640625" style="41" customWidth="1"/>
    <col min="29" max="29" width="13.33203125" style="41" customWidth="1"/>
    <col min="30" max="30" width="0.6640625" style="41" customWidth="1"/>
    <col min="31" max="31" width="14.33203125" style="41" customWidth="1"/>
    <col min="32" max="32" width="0.9140625" style="41" customWidth="1"/>
    <col min="33" max="33" width="12.9140625" style="165" customWidth="1"/>
    <col min="34" max="34" width="0.75" style="41" customWidth="1"/>
    <col min="35" max="35" width="14.75" style="41" customWidth="1"/>
    <col min="36" max="36" width="0.6640625" style="41" customWidth="1"/>
    <col min="37" max="37" width="14.33203125" style="165" customWidth="1"/>
    <col min="38" max="38" width="0.75" style="41" customWidth="1"/>
    <col min="39" max="39" width="12.4140625" style="41" customWidth="1"/>
    <col min="40" max="40" width="0.58203125" style="41" customWidth="1"/>
    <col min="41" max="41" width="12.08203125" style="41" customWidth="1"/>
    <col min="42" max="42" width="0.58203125" style="41" customWidth="1"/>
    <col min="43" max="43" width="13.25" style="214" customWidth="1"/>
    <col min="44" max="44" width="0.6640625" style="41" customWidth="1"/>
    <col min="45" max="45" width="11.25" style="41" customWidth="1"/>
    <col min="46" max="46" width="14.75" style="41" customWidth="1"/>
    <col min="47" max="47" width="4.75" style="41" customWidth="1"/>
    <col min="48" max="48" width="5.75" style="41" customWidth="1"/>
    <col min="49" max="49" width="10.75" style="41" customWidth="1"/>
    <col min="50" max="50" width="11.75" style="41" customWidth="1"/>
    <col min="51" max="51" width="12.75" style="41" customWidth="1"/>
    <col min="52" max="54" width="15.75" style="41" customWidth="1"/>
    <col min="55" max="55" width="12.75" style="41" customWidth="1"/>
    <col min="56" max="58" width="15.75" style="41" customWidth="1"/>
    <col min="59" max="59" width="12.75" style="41" customWidth="1"/>
    <col min="60" max="61" width="9.75" style="41"/>
    <col min="62" max="64" width="12.75" style="41" customWidth="1"/>
    <col min="65" max="65" width="14.75" style="41" customWidth="1"/>
    <col min="66" max="67" width="9.75" style="41"/>
    <col min="68" max="70" width="12.75" style="41" customWidth="1"/>
    <col min="71" max="71" width="14.75" style="41" customWidth="1"/>
    <col min="72" max="78" width="9.75" style="41"/>
    <col min="79" max="79" width="1.75" style="41" customWidth="1"/>
    <col min="80" max="81" width="9.75" style="41"/>
    <col min="82" max="82" width="10.75" style="41" customWidth="1"/>
    <col min="83" max="84" width="9.75" style="41"/>
    <col min="85" max="85" width="7.75" style="41" customWidth="1"/>
    <col min="86" max="16384" width="8.9140625" style="41"/>
  </cols>
  <sheetData>
    <row r="1" spans="1:42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AA1" s="41" t="s">
        <v>644</v>
      </c>
      <c r="AG1" s="317">
        <f>'Proposed Rates - Not Used'!AT11</f>
        <v>0.14260999999999999</v>
      </c>
    </row>
    <row r="2" spans="1:42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AC2" s="279"/>
      <c r="AE2" s="42"/>
    </row>
    <row r="3" spans="1:42" x14ac:dyDescent="0.3">
      <c r="A3" s="40" t="str">
        <f>TITLE</f>
        <v>ANNUALIZED TEST YEAR REVENUES AT REHEARING ORDER CALCULATED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AC3" s="280"/>
      <c r="AE3" s="42"/>
    </row>
    <row r="4" spans="1:42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AA4" s="41" t="s">
        <v>283</v>
      </c>
      <c r="AI4" s="41" t="s">
        <v>298</v>
      </c>
    </row>
    <row r="5" spans="1:42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268" t="s">
        <v>284</v>
      </c>
      <c r="AC5" s="188">
        <v>4.84</v>
      </c>
      <c r="AE5" s="251">
        <f t="shared" ref="AE5:AE18" si="0">ROUND(AC5*$AG$1,2)</f>
        <v>0.69</v>
      </c>
      <c r="AG5" s="281">
        <f t="shared" ref="AG5:AG18" si="1">AC5+AE5</f>
        <v>5.5299999999999994</v>
      </c>
      <c r="AI5" s="41">
        <v>3</v>
      </c>
      <c r="AM5" s="42"/>
      <c r="AN5" s="42"/>
    </row>
    <row r="6" spans="1:42" x14ac:dyDescent="0.3">
      <c r="A6" s="41" t="str">
        <f>DATA_PERIOD</f>
        <v>DATA: ____ BASE PERIOD   __X__FORECASTED PERIOD</v>
      </c>
      <c r="R6" s="42" t="s">
        <v>157</v>
      </c>
      <c r="AA6" s="268" t="s">
        <v>285</v>
      </c>
      <c r="AC6" s="188">
        <v>4.78</v>
      </c>
      <c r="AE6" s="251">
        <f t="shared" si="0"/>
        <v>0.68</v>
      </c>
      <c r="AG6" s="281">
        <f t="shared" si="1"/>
        <v>5.46</v>
      </c>
      <c r="AI6" s="41">
        <v>4</v>
      </c>
      <c r="AM6" s="42"/>
      <c r="AN6" s="42"/>
    </row>
    <row r="7" spans="1:42" x14ac:dyDescent="0.3">
      <c r="A7" s="41" t="str">
        <f>TYPE</f>
        <v>TYPE OF FILING: _X_ ORIGINAL   ___UPDATED  ___ REVISED</v>
      </c>
      <c r="R7" s="45" t="str">
        <f>"PAGE 13 OF "&amp;TEXT(Page_Num_2.3,"00")</f>
        <v>PAGE 13 OF 24</v>
      </c>
      <c r="AA7" s="268" t="s">
        <v>286</v>
      </c>
      <c r="AC7" s="188">
        <v>4.84</v>
      </c>
      <c r="AE7" s="251">
        <f t="shared" si="0"/>
        <v>0.69</v>
      </c>
      <c r="AG7" s="281">
        <f t="shared" si="1"/>
        <v>5.5299999999999994</v>
      </c>
      <c r="AI7" s="41">
        <v>5</v>
      </c>
      <c r="AM7" s="42"/>
      <c r="AN7" s="42"/>
    </row>
    <row r="8" spans="1:42" x14ac:dyDescent="0.3">
      <c r="A8" s="42" t="s">
        <v>171</v>
      </c>
      <c r="R8" s="42" t="s">
        <v>3</v>
      </c>
      <c r="AA8" s="268" t="s">
        <v>287</v>
      </c>
      <c r="AC8" s="188">
        <v>5.8</v>
      </c>
      <c r="AE8" s="251">
        <f t="shared" si="0"/>
        <v>0.83</v>
      </c>
      <c r="AG8" s="281">
        <f t="shared" si="1"/>
        <v>6.63</v>
      </c>
      <c r="AI8" s="41">
        <v>6</v>
      </c>
      <c r="AM8" s="42"/>
      <c r="AN8" s="42"/>
    </row>
    <row r="9" spans="1:42" x14ac:dyDescent="0.3">
      <c r="A9" s="153" t="str">
        <f>TIME</f>
        <v>12 Months Projected with Riders</v>
      </c>
      <c r="M9" s="42"/>
      <c r="R9" s="41" t="str">
        <f>WIT</f>
        <v>B. L. Sailers</v>
      </c>
      <c r="AA9" s="268" t="s">
        <v>288</v>
      </c>
      <c r="AC9" s="188">
        <v>13.16</v>
      </c>
      <c r="AE9" s="251">
        <f t="shared" si="0"/>
        <v>1.88</v>
      </c>
      <c r="AG9" s="281">
        <f t="shared" si="1"/>
        <v>15.04</v>
      </c>
      <c r="AI9" s="41">
        <v>7</v>
      </c>
    </row>
    <row r="10" spans="1:42" ht="15" customHeight="1" x14ac:dyDescent="0.3">
      <c r="A10" s="40" t="s">
        <v>130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AA10" s="268" t="s">
        <v>289</v>
      </c>
      <c r="AC10" s="188">
        <v>7.63</v>
      </c>
      <c r="AE10" s="251">
        <f t="shared" si="0"/>
        <v>1.0900000000000001</v>
      </c>
      <c r="AG10" s="281">
        <f t="shared" si="1"/>
        <v>8.7200000000000006</v>
      </c>
      <c r="AI10" s="41">
        <v>8</v>
      </c>
    </row>
    <row r="11" spans="1:42" x14ac:dyDescent="0.3">
      <c r="A11" s="135"/>
      <c r="B11" s="135"/>
      <c r="C11" s="135"/>
      <c r="D11" s="135"/>
      <c r="E11" s="135"/>
      <c r="G11" s="135"/>
      <c r="H11" s="135"/>
      <c r="I11" s="135"/>
      <c r="J11" s="135"/>
      <c r="K11" s="135"/>
      <c r="L11" s="43"/>
      <c r="M11" s="43"/>
      <c r="N11" s="43"/>
      <c r="O11" s="43"/>
      <c r="P11" s="43"/>
      <c r="Q11" s="43"/>
      <c r="R11" s="43"/>
      <c r="T11" s="135"/>
      <c r="U11" s="135"/>
      <c r="V11" s="135"/>
      <c r="W11" s="135"/>
      <c r="X11" s="135"/>
      <c r="Y11" s="135"/>
      <c r="Z11" s="135"/>
      <c r="AA11" s="268" t="s">
        <v>290</v>
      </c>
      <c r="AB11" s="135"/>
      <c r="AC11" s="188">
        <v>7.71</v>
      </c>
      <c r="AD11" s="135"/>
      <c r="AE11" s="251">
        <f t="shared" si="0"/>
        <v>1.1000000000000001</v>
      </c>
      <c r="AF11" s="135"/>
      <c r="AG11" s="281">
        <f t="shared" si="1"/>
        <v>8.81</v>
      </c>
      <c r="AH11" s="135"/>
      <c r="AI11" s="282" t="s">
        <v>331</v>
      </c>
      <c r="AJ11" s="135"/>
      <c r="AL11" s="135"/>
      <c r="AM11" s="135"/>
      <c r="AN11" s="135"/>
      <c r="AO11" s="135"/>
      <c r="AP11" s="135"/>
    </row>
    <row r="12" spans="1:42" ht="18" customHeight="1" x14ac:dyDescent="0.3">
      <c r="A12" s="191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44" t="s">
        <v>6</v>
      </c>
      <c r="M12" s="44"/>
      <c r="N12" s="44" t="s">
        <v>7</v>
      </c>
      <c r="O12" s="44"/>
      <c r="R12" s="44" t="s">
        <v>6</v>
      </c>
      <c r="AA12" s="268" t="s">
        <v>291</v>
      </c>
      <c r="AC12" s="188">
        <v>15.24</v>
      </c>
      <c r="AE12" s="251">
        <f t="shared" si="0"/>
        <v>2.17</v>
      </c>
      <c r="AG12" s="281">
        <f t="shared" si="1"/>
        <v>17.41</v>
      </c>
      <c r="AH12" s="44"/>
      <c r="AI12" s="268">
        <v>9</v>
      </c>
      <c r="AJ12" s="44"/>
      <c r="AM12" s="44"/>
      <c r="AN12" s="44"/>
      <c r="AO12" s="44"/>
      <c r="AP12" s="44"/>
    </row>
    <row r="13" spans="1:42" x14ac:dyDescent="0.3">
      <c r="L13" s="44" t="s">
        <v>12</v>
      </c>
      <c r="M13" s="44"/>
      <c r="N13" s="44" t="s">
        <v>13</v>
      </c>
      <c r="O13" s="44"/>
      <c r="R13" s="44" t="s">
        <v>11</v>
      </c>
      <c r="AA13" s="268" t="s">
        <v>292</v>
      </c>
      <c r="AC13" s="188">
        <v>4.84</v>
      </c>
      <c r="AE13" s="251">
        <f t="shared" si="0"/>
        <v>0.69</v>
      </c>
      <c r="AF13" s="44"/>
      <c r="AG13" s="281">
        <f t="shared" si="1"/>
        <v>5.5299999999999994</v>
      </c>
      <c r="AH13" s="44"/>
      <c r="AI13" s="268">
        <v>10</v>
      </c>
      <c r="AJ13" s="44"/>
      <c r="AM13" s="44"/>
      <c r="AN13" s="44"/>
      <c r="AO13" s="44"/>
      <c r="AP13" s="44"/>
    </row>
    <row r="14" spans="1:42" x14ac:dyDescent="0.3">
      <c r="A14" s="44" t="s">
        <v>17</v>
      </c>
      <c r="C14" s="44" t="s">
        <v>18</v>
      </c>
      <c r="D14" s="44" t="s">
        <v>19</v>
      </c>
      <c r="E14" s="44"/>
      <c r="F14" s="44" t="s">
        <v>20</v>
      </c>
      <c r="J14" s="44" t="s">
        <v>6</v>
      </c>
      <c r="K14" s="44"/>
      <c r="L14" s="44" t="s">
        <v>842</v>
      </c>
      <c r="M14" s="44"/>
      <c r="N14" s="44" t="s">
        <v>842</v>
      </c>
      <c r="O14" s="44"/>
      <c r="P14" s="44" t="s">
        <v>842</v>
      </c>
      <c r="Q14" s="44"/>
      <c r="R14" s="44" t="s">
        <v>9</v>
      </c>
      <c r="T14" s="44"/>
      <c r="U14" s="44"/>
      <c r="V14" s="44"/>
      <c r="AA14" s="268" t="s">
        <v>297</v>
      </c>
      <c r="AC14" s="188">
        <v>14.15</v>
      </c>
      <c r="AE14" s="251">
        <f t="shared" si="0"/>
        <v>2.02</v>
      </c>
      <c r="AF14" s="44"/>
      <c r="AG14" s="281">
        <f t="shared" si="1"/>
        <v>16.170000000000002</v>
      </c>
      <c r="AH14" s="44"/>
      <c r="AI14" s="268">
        <v>11</v>
      </c>
      <c r="AJ14" s="44"/>
      <c r="AL14" s="44"/>
      <c r="AM14" s="44"/>
      <c r="AN14" s="44"/>
      <c r="AO14" s="44"/>
      <c r="AP14" s="44"/>
    </row>
    <row r="15" spans="1:42" x14ac:dyDescent="0.3">
      <c r="A15" s="44" t="s">
        <v>22</v>
      </c>
      <c r="C15" s="44" t="s">
        <v>23</v>
      </c>
      <c r="D15" s="44" t="s">
        <v>24</v>
      </c>
      <c r="E15" s="44"/>
      <c r="F15" s="44" t="s">
        <v>25</v>
      </c>
      <c r="H15" s="44" t="s">
        <v>26</v>
      </c>
      <c r="I15" s="44"/>
      <c r="J15" s="46" t="s">
        <v>326</v>
      </c>
      <c r="K15" s="44"/>
      <c r="L15" s="44" t="s">
        <v>9</v>
      </c>
      <c r="M15" s="44"/>
      <c r="N15" s="44" t="s">
        <v>9</v>
      </c>
      <c r="O15" s="44"/>
      <c r="P15" s="44" t="s">
        <v>324</v>
      </c>
      <c r="Q15" s="44"/>
      <c r="R15" s="141" t="s">
        <v>28</v>
      </c>
      <c r="T15" s="44"/>
      <c r="U15" s="44"/>
      <c r="V15" s="44"/>
      <c r="AA15" s="268" t="s">
        <v>293</v>
      </c>
      <c r="AC15" s="188">
        <v>9.2100000000000009</v>
      </c>
      <c r="AE15" s="251">
        <f t="shared" si="0"/>
        <v>1.31</v>
      </c>
      <c r="AF15" s="44"/>
      <c r="AG15" s="281">
        <f t="shared" si="1"/>
        <v>10.520000000000001</v>
      </c>
      <c r="AH15" s="44"/>
      <c r="AI15" s="268">
        <v>12</v>
      </c>
      <c r="AJ15" s="44"/>
      <c r="AL15" s="44"/>
      <c r="AM15" s="44"/>
      <c r="AN15" s="44"/>
      <c r="AO15" s="44"/>
      <c r="AP15" s="44"/>
    </row>
    <row r="16" spans="1:42" x14ac:dyDescent="0.3">
      <c r="C16" s="141" t="s">
        <v>33</v>
      </c>
      <c r="D16" s="141" t="s">
        <v>34</v>
      </c>
      <c r="E16" s="141"/>
      <c r="F16" s="141" t="s">
        <v>35</v>
      </c>
      <c r="G16" s="153"/>
      <c r="H16" s="141" t="s">
        <v>36</v>
      </c>
      <c r="I16" s="141"/>
      <c r="J16" s="141" t="s">
        <v>37</v>
      </c>
      <c r="K16" s="141"/>
      <c r="L16" s="141" t="s">
        <v>38</v>
      </c>
      <c r="M16" s="141"/>
      <c r="N16" s="141" t="s">
        <v>39</v>
      </c>
      <c r="O16" s="141"/>
      <c r="P16" s="141" t="s">
        <v>40</v>
      </c>
      <c r="Q16" s="141"/>
      <c r="R16" s="141" t="s">
        <v>41</v>
      </c>
      <c r="T16" s="135"/>
      <c r="U16" s="135"/>
      <c r="V16" s="135"/>
      <c r="W16" s="135"/>
      <c r="X16" s="135"/>
      <c r="Y16" s="135"/>
      <c r="Z16" s="135"/>
      <c r="AA16" s="268" t="s">
        <v>294</v>
      </c>
      <c r="AC16" s="188">
        <v>9.4600000000000009</v>
      </c>
      <c r="AE16" s="251">
        <f t="shared" si="0"/>
        <v>1.35</v>
      </c>
      <c r="AF16" s="44"/>
      <c r="AG16" s="281">
        <f t="shared" si="1"/>
        <v>10.81</v>
      </c>
      <c r="AH16" s="135"/>
      <c r="AI16" s="268">
        <v>13</v>
      </c>
      <c r="AJ16" s="135"/>
      <c r="AL16" s="135"/>
      <c r="AM16" s="135"/>
      <c r="AN16" s="135"/>
      <c r="AO16" s="135"/>
      <c r="AP16" s="135"/>
    </row>
    <row r="17" spans="1:45" ht="17.100000000000001" customHeight="1" x14ac:dyDescent="0.3">
      <c r="A17" s="191"/>
      <c r="B17" s="191"/>
      <c r="C17" s="191"/>
      <c r="D17" s="191"/>
      <c r="E17" s="191"/>
      <c r="F17" s="191"/>
      <c r="G17" s="191"/>
      <c r="H17" s="271" t="s">
        <v>49</v>
      </c>
      <c r="I17" s="271"/>
      <c r="J17" s="270" t="s">
        <v>69</v>
      </c>
      <c r="K17" s="271"/>
      <c r="L17" s="271" t="s">
        <v>50</v>
      </c>
      <c r="M17" s="271"/>
      <c r="N17" s="271" t="s">
        <v>51</v>
      </c>
      <c r="O17" s="271"/>
      <c r="P17" s="271" t="s">
        <v>50</v>
      </c>
      <c r="Q17" s="271"/>
      <c r="R17" s="271" t="s">
        <v>50</v>
      </c>
      <c r="Y17" s="44"/>
      <c r="AA17" s="268" t="s">
        <v>295</v>
      </c>
      <c r="AC17" s="188">
        <v>12.44</v>
      </c>
      <c r="AE17" s="251">
        <f t="shared" si="0"/>
        <v>1.77</v>
      </c>
      <c r="AF17" s="44"/>
      <c r="AG17" s="281">
        <f t="shared" si="1"/>
        <v>14.209999999999999</v>
      </c>
      <c r="AH17" s="44"/>
      <c r="AI17" s="268">
        <v>16</v>
      </c>
      <c r="AJ17" s="44"/>
      <c r="AL17" s="44"/>
      <c r="AM17" s="44"/>
      <c r="AN17" s="44"/>
      <c r="AO17" s="44"/>
      <c r="AP17" s="44"/>
    </row>
    <row r="18" spans="1:45" x14ac:dyDescent="0.3">
      <c r="A18" s="283">
        <v>1</v>
      </c>
      <c r="C18" s="132" t="s">
        <v>77</v>
      </c>
      <c r="D18" s="178" t="s">
        <v>260</v>
      </c>
      <c r="E18" s="42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T18" s="42"/>
      <c r="U18" s="42"/>
      <c r="Y18" s="44"/>
      <c r="AA18" s="268" t="s">
        <v>296</v>
      </c>
      <c r="AC18" s="188">
        <v>18.36</v>
      </c>
      <c r="AE18" s="251">
        <f t="shared" si="0"/>
        <v>2.62</v>
      </c>
      <c r="AG18" s="281">
        <f t="shared" si="1"/>
        <v>20.98</v>
      </c>
      <c r="AI18" s="41">
        <v>17</v>
      </c>
    </row>
    <row r="19" spans="1:45" x14ac:dyDescent="0.3">
      <c r="A19" s="283">
        <v>2</v>
      </c>
      <c r="C19" s="132" t="s">
        <v>79</v>
      </c>
      <c r="D19" s="153"/>
      <c r="F19" s="159"/>
      <c r="G19" s="1"/>
      <c r="H19" s="159"/>
      <c r="I19" s="159"/>
      <c r="J19" s="183"/>
      <c r="K19" s="183"/>
      <c r="L19" s="3"/>
      <c r="M19" s="3"/>
      <c r="N19" s="4"/>
      <c r="O19" s="4"/>
      <c r="P19" s="3"/>
      <c r="Q19" s="3"/>
      <c r="R19" s="3"/>
      <c r="S19" s="123"/>
      <c r="V19" s="210"/>
      <c r="Y19" s="44"/>
      <c r="AH19" s="123"/>
      <c r="AL19" s="123"/>
      <c r="AM19" s="123"/>
      <c r="AN19" s="123"/>
    </row>
    <row r="20" spans="1:45" x14ac:dyDescent="0.3">
      <c r="A20" s="283">
        <v>3</v>
      </c>
      <c r="C20" s="178" t="s">
        <v>202</v>
      </c>
      <c r="D20" s="153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23"/>
      <c r="V20" s="210"/>
      <c r="AA20" s="44"/>
      <c r="AC20" s="41" t="s">
        <v>524</v>
      </c>
      <c r="AF20" s="184"/>
      <c r="AG20" s="206"/>
      <c r="AH20" s="210"/>
      <c r="AK20" s="214"/>
      <c r="AL20" s="210"/>
      <c r="AM20" s="210"/>
      <c r="AN20" s="210"/>
      <c r="AO20" s="160"/>
      <c r="AP20" s="160"/>
    </row>
    <row r="21" spans="1:45" x14ac:dyDescent="0.3">
      <c r="A21" s="283">
        <v>4</v>
      </c>
      <c r="C21" s="45" t="s">
        <v>207</v>
      </c>
      <c r="F21" s="184">
        <v>45142</v>
      </c>
      <c r="G21" s="1"/>
      <c r="H21" s="184">
        <f>ROUND(F21*AC21/12,0)</f>
        <v>3020752</v>
      </c>
      <c r="I21" s="159"/>
      <c r="J21" s="238">
        <v>13.13</v>
      </c>
      <c r="K21" s="258"/>
      <c r="L21" s="3">
        <f>ROUND((F21*J21),0)</f>
        <v>592714</v>
      </c>
      <c r="M21" s="3"/>
      <c r="N21" s="4">
        <f>ROUND((L21/L$139)*100,1)</f>
        <v>36.6</v>
      </c>
      <c r="O21" s="4"/>
      <c r="P21" s="3">
        <f>ROUND($P$139/$H$139*H21,0)</f>
        <v>10534</v>
      </c>
      <c r="Q21" s="3"/>
      <c r="R21" s="3">
        <f>L21+P21</f>
        <v>603248</v>
      </c>
      <c r="S21" s="5"/>
      <c r="V21" s="238"/>
      <c r="Y21" s="318"/>
      <c r="AA21" s="184"/>
      <c r="AB21" s="213"/>
      <c r="AC21" s="210">
        <v>803</v>
      </c>
      <c r="AD21" s="210"/>
      <c r="AE21" s="210"/>
      <c r="AF21" s="210"/>
      <c r="AG21" s="214"/>
      <c r="AH21" s="210"/>
      <c r="AK21" s="214"/>
      <c r="AL21" s="210"/>
      <c r="AM21" s="210"/>
      <c r="AN21" s="210"/>
      <c r="AO21" s="284"/>
      <c r="AP21" s="160"/>
    </row>
    <row r="22" spans="1:45" x14ac:dyDescent="0.3">
      <c r="A22" s="283">
        <v>5</v>
      </c>
      <c r="C22" s="45" t="s">
        <v>206</v>
      </c>
      <c r="F22" s="184">
        <v>48</v>
      </c>
      <c r="G22" s="1"/>
      <c r="H22" s="184">
        <f t="shared" ref="H22:H40" si="2">ROUND(F22*AC22/12,0)</f>
        <v>3412</v>
      </c>
      <c r="I22" s="159"/>
      <c r="J22" s="238">
        <v>11.16</v>
      </c>
      <c r="K22" s="258"/>
      <c r="L22" s="3">
        <f>ROUND((F22*J22),0)</f>
        <v>536</v>
      </c>
      <c r="M22" s="3"/>
      <c r="N22" s="4">
        <f>ROUND((L22/L$139)*100,1)</f>
        <v>0</v>
      </c>
      <c r="O22" s="4"/>
      <c r="P22" s="3">
        <f>ROUND($P$139/$H$139*H22,0)</f>
        <v>12</v>
      </c>
      <c r="Q22" s="3"/>
      <c r="R22" s="3">
        <f>L22+P22</f>
        <v>548</v>
      </c>
      <c r="S22" s="5"/>
      <c r="V22" s="238"/>
      <c r="Y22" s="318"/>
      <c r="AA22" s="184"/>
      <c r="AB22" s="213"/>
      <c r="AC22" s="123">
        <v>853</v>
      </c>
      <c r="AD22" s="123"/>
      <c r="AE22" s="160"/>
      <c r="AF22" s="160"/>
      <c r="AH22" s="123"/>
      <c r="AL22" s="123"/>
      <c r="AM22" s="123"/>
      <c r="AN22" s="123"/>
      <c r="AO22" s="284"/>
      <c r="AP22" s="160"/>
    </row>
    <row r="23" spans="1:45" x14ac:dyDescent="0.3">
      <c r="A23" s="283">
        <v>6</v>
      </c>
      <c r="C23" s="45" t="s">
        <v>208</v>
      </c>
      <c r="F23" s="184">
        <v>1453</v>
      </c>
      <c r="G23" s="1"/>
      <c r="H23" s="184">
        <f t="shared" si="2"/>
        <v>138519</v>
      </c>
      <c r="I23" s="159"/>
      <c r="J23" s="238">
        <v>15.39</v>
      </c>
      <c r="K23" s="258"/>
      <c r="L23" s="3">
        <f>ROUND((F23*J23),0)</f>
        <v>22362</v>
      </c>
      <c r="M23" s="3"/>
      <c r="N23" s="4">
        <f>ROUND((L23/L$139)*100,1)</f>
        <v>1.4</v>
      </c>
      <c r="O23" s="4"/>
      <c r="P23" s="3">
        <f>ROUND($P$139/$H$139*H23,0)</f>
        <v>483</v>
      </c>
      <c r="Q23" s="3"/>
      <c r="R23" s="3">
        <f>L23+P23</f>
        <v>22845</v>
      </c>
      <c r="S23" s="5"/>
      <c r="V23" s="238"/>
      <c r="Y23" s="318"/>
      <c r="AA23" s="184"/>
      <c r="AB23" s="213"/>
      <c r="AC23" s="123">
        <v>1144</v>
      </c>
      <c r="AD23" s="123"/>
      <c r="AE23" s="160"/>
      <c r="AF23" s="160"/>
      <c r="AH23" s="123"/>
      <c r="AL23" s="123"/>
      <c r="AM23" s="123"/>
      <c r="AN23" s="123"/>
      <c r="AO23" s="284"/>
      <c r="AP23" s="160"/>
    </row>
    <row r="24" spans="1:45" x14ac:dyDescent="0.3">
      <c r="A24" s="283">
        <v>7</v>
      </c>
      <c r="C24" s="45" t="s">
        <v>209</v>
      </c>
      <c r="F24" s="184">
        <v>4963</v>
      </c>
      <c r="G24" s="1"/>
      <c r="H24" s="184">
        <f t="shared" si="2"/>
        <v>739901</v>
      </c>
      <c r="I24" s="159"/>
      <c r="J24" s="238">
        <v>20.88</v>
      </c>
      <c r="K24" s="258"/>
      <c r="L24" s="3">
        <f>ROUND((F24*J24),0)</f>
        <v>103627</v>
      </c>
      <c r="M24" s="3"/>
      <c r="N24" s="4">
        <f>ROUND((L24/L$139)*100,1)</f>
        <v>6.4</v>
      </c>
      <c r="O24" s="4"/>
      <c r="P24" s="3">
        <f>ROUND($P$139/$H$139*H24,0)</f>
        <v>2580</v>
      </c>
      <c r="Q24" s="3"/>
      <c r="R24" s="3">
        <f>L24+P24</f>
        <v>106207</v>
      </c>
      <c r="S24" s="5"/>
      <c r="U24" s="40"/>
      <c r="V24" s="238"/>
      <c r="W24" s="40"/>
      <c r="X24" s="40"/>
      <c r="Y24" s="318"/>
      <c r="Z24" s="40"/>
      <c r="AA24" s="184"/>
      <c r="AB24" s="40"/>
      <c r="AC24" s="123">
        <v>1789</v>
      </c>
      <c r="AD24" s="40"/>
      <c r="AE24" s="40"/>
      <c r="AF24" s="40"/>
      <c r="AG24" s="166"/>
      <c r="AH24" s="40"/>
      <c r="AI24" s="40"/>
      <c r="AJ24" s="40"/>
      <c r="AK24" s="166"/>
      <c r="AL24" s="40"/>
      <c r="AM24" s="40"/>
      <c r="AN24" s="40"/>
      <c r="AO24" s="284"/>
      <c r="AP24" s="40"/>
      <c r="AR24" s="40"/>
      <c r="AS24" s="40"/>
    </row>
    <row r="25" spans="1:45" x14ac:dyDescent="0.3">
      <c r="A25" s="283">
        <v>8</v>
      </c>
      <c r="C25" s="132" t="s">
        <v>268</v>
      </c>
      <c r="F25" s="184"/>
      <c r="G25" s="1"/>
      <c r="H25" s="184"/>
      <c r="I25" s="159"/>
      <c r="J25" s="258"/>
      <c r="K25" s="258"/>
      <c r="L25" s="3"/>
      <c r="M25" s="3"/>
      <c r="N25" s="4"/>
      <c r="O25" s="4"/>
      <c r="P25" s="3"/>
      <c r="Q25" s="3"/>
      <c r="R25" s="3"/>
      <c r="S25" s="5"/>
      <c r="U25" s="40"/>
      <c r="V25" s="238"/>
      <c r="W25" s="42"/>
      <c r="X25" s="40"/>
      <c r="Y25" s="318"/>
      <c r="Z25" s="40"/>
      <c r="AA25" s="184"/>
      <c r="AB25" s="40"/>
      <c r="AC25" s="123"/>
      <c r="AD25" s="40"/>
      <c r="AE25" s="40"/>
      <c r="AF25" s="40"/>
      <c r="AG25" s="166"/>
      <c r="AH25" s="40"/>
      <c r="AI25" s="40"/>
      <c r="AJ25" s="40"/>
      <c r="AK25" s="166"/>
      <c r="AL25" s="40"/>
      <c r="AM25" s="40"/>
      <c r="AN25" s="40"/>
      <c r="AO25" s="284"/>
      <c r="AP25" s="40"/>
      <c r="AR25" s="40"/>
      <c r="AS25" s="40"/>
    </row>
    <row r="26" spans="1:45" x14ac:dyDescent="0.3">
      <c r="A26" s="283">
        <v>9</v>
      </c>
      <c r="C26" s="42" t="s">
        <v>271</v>
      </c>
      <c r="F26" s="184">
        <v>292</v>
      </c>
      <c r="G26" s="1"/>
      <c r="H26" s="184">
        <f t="shared" si="2"/>
        <v>19540</v>
      </c>
      <c r="I26" s="159"/>
      <c r="J26" s="238">
        <v>13.13</v>
      </c>
      <c r="K26" s="258"/>
      <c r="L26" s="3">
        <f>ROUND((F26*J26),0)</f>
        <v>3834</v>
      </c>
      <c r="M26" s="3"/>
      <c r="N26" s="4">
        <f>ROUND((L26/L$139)*100,1)</f>
        <v>0.2</v>
      </c>
      <c r="O26" s="4"/>
      <c r="P26" s="3">
        <f>ROUND($P$139/$H$139*H26,0)</f>
        <v>68</v>
      </c>
      <c r="Q26" s="3"/>
      <c r="R26" s="3">
        <f>L26+P26</f>
        <v>3902</v>
      </c>
      <c r="S26" s="285"/>
      <c r="U26" s="40"/>
      <c r="V26" s="238"/>
      <c r="W26" s="40"/>
      <c r="X26" s="40"/>
      <c r="Y26" s="318"/>
      <c r="Z26" s="40"/>
      <c r="AA26" s="184"/>
      <c r="AB26" s="40"/>
      <c r="AC26" s="123">
        <v>803</v>
      </c>
      <c r="AD26" s="40"/>
      <c r="AE26" s="40"/>
      <c r="AF26" s="40"/>
      <c r="AG26" s="166"/>
      <c r="AH26" s="40"/>
      <c r="AI26" s="40"/>
      <c r="AJ26" s="40"/>
      <c r="AK26" s="166"/>
      <c r="AL26" s="40"/>
      <c r="AM26" s="40"/>
      <c r="AN26" s="40"/>
      <c r="AO26" s="284"/>
      <c r="AP26" s="40"/>
      <c r="AR26" s="40"/>
      <c r="AS26" s="40"/>
    </row>
    <row r="27" spans="1:45" x14ac:dyDescent="0.3">
      <c r="A27" s="283">
        <v>10</v>
      </c>
      <c r="C27" s="42" t="s">
        <v>272</v>
      </c>
      <c r="F27" s="184">
        <v>155</v>
      </c>
      <c r="G27" s="1"/>
      <c r="H27" s="184">
        <f t="shared" si="2"/>
        <v>14777</v>
      </c>
      <c r="I27" s="159"/>
      <c r="J27" s="238">
        <v>15.39</v>
      </c>
      <c r="K27" s="258"/>
      <c r="L27" s="3">
        <f>ROUND((F27*J27),0)</f>
        <v>2385</v>
      </c>
      <c r="M27" s="3"/>
      <c r="N27" s="4">
        <f>ROUND((L27/L$139)*100,1)</f>
        <v>0.1</v>
      </c>
      <c r="O27" s="4"/>
      <c r="P27" s="3">
        <f>ROUND($P$139/$H$139*H27,0)</f>
        <v>52</v>
      </c>
      <c r="Q27" s="3"/>
      <c r="R27" s="3">
        <f>L27+P27</f>
        <v>2437</v>
      </c>
      <c r="S27" s="5"/>
      <c r="U27" s="40"/>
      <c r="V27" s="238"/>
      <c r="W27" s="42"/>
      <c r="X27" s="40"/>
      <c r="Y27" s="318"/>
      <c r="Z27" s="40"/>
      <c r="AA27" s="184"/>
      <c r="AB27" s="40"/>
      <c r="AC27" s="286">
        <v>1144</v>
      </c>
      <c r="AD27" s="40"/>
      <c r="AE27" s="40"/>
      <c r="AF27" s="40"/>
      <c r="AG27" s="166"/>
      <c r="AH27" s="40"/>
      <c r="AI27" s="40"/>
      <c r="AJ27" s="40"/>
      <c r="AK27" s="166"/>
      <c r="AL27" s="40"/>
      <c r="AM27" s="40"/>
      <c r="AN27" s="40"/>
      <c r="AO27" s="284"/>
      <c r="AP27" s="40"/>
      <c r="AR27" s="40"/>
      <c r="AS27" s="40"/>
    </row>
    <row r="28" spans="1:45" x14ac:dyDescent="0.3">
      <c r="A28" s="283">
        <v>11</v>
      </c>
      <c r="C28" s="42" t="s">
        <v>270</v>
      </c>
      <c r="F28" s="184">
        <v>0</v>
      </c>
      <c r="G28" s="1"/>
      <c r="H28" s="184">
        <f t="shared" si="2"/>
        <v>0</v>
      </c>
      <c r="I28" s="159"/>
      <c r="J28" s="238">
        <v>20.88</v>
      </c>
      <c r="K28" s="258"/>
      <c r="L28" s="3">
        <f>ROUND((F28*J28),0)</f>
        <v>0</v>
      </c>
      <c r="M28" s="3"/>
      <c r="N28" s="4">
        <f>ROUND((L28/L$139)*100,1)</f>
        <v>0</v>
      </c>
      <c r="O28" s="4"/>
      <c r="P28" s="3">
        <f>ROUND($P$139/$H$139*H28,0)</f>
        <v>0</v>
      </c>
      <c r="Q28" s="3"/>
      <c r="R28" s="3">
        <f>L28+P28</f>
        <v>0</v>
      </c>
      <c r="S28" s="5"/>
      <c r="V28" s="238"/>
      <c r="Y28" s="318"/>
      <c r="AA28" s="184"/>
      <c r="AC28" s="123">
        <v>1789</v>
      </c>
      <c r="AD28" s="123"/>
      <c r="AE28" s="123"/>
      <c r="AF28" s="123"/>
      <c r="AL28" s="123"/>
      <c r="AM28" s="123"/>
      <c r="AN28" s="123"/>
      <c r="AO28" s="284"/>
    </row>
    <row r="29" spans="1:45" x14ac:dyDescent="0.3">
      <c r="A29" s="283">
        <v>12</v>
      </c>
      <c r="C29" s="178" t="s">
        <v>203</v>
      </c>
      <c r="F29" s="319"/>
      <c r="G29" s="1"/>
      <c r="H29" s="184"/>
      <c r="I29" s="1"/>
      <c r="J29" s="5"/>
      <c r="K29" s="5"/>
      <c r="L29" s="3"/>
      <c r="M29" s="1"/>
      <c r="N29" s="1"/>
      <c r="O29" s="1"/>
      <c r="P29" s="1"/>
      <c r="Q29" s="1"/>
      <c r="R29" s="1"/>
      <c r="S29" s="5"/>
      <c r="V29" s="238"/>
      <c r="Y29" s="318"/>
      <c r="AA29" s="184"/>
      <c r="AC29" s="123"/>
      <c r="AD29" s="123"/>
      <c r="AE29" s="123"/>
      <c r="AF29" s="123"/>
      <c r="AL29" s="123"/>
      <c r="AM29" s="123"/>
      <c r="AN29" s="123"/>
      <c r="AO29" s="284"/>
    </row>
    <row r="30" spans="1:45" ht="15" customHeight="1" x14ac:dyDescent="0.3">
      <c r="A30" s="283">
        <v>13</v>
      </c>
      <c r="C30" s="45" t="s">
        <v>211</v>
      </c>
      <c r="F30" s="184">
        <v>17891</v>
      </c>
      <c r="G30" s="1"/>
      <c r="H30" s="184">
        <f t="shared" si="2"/>
        <v>726076</v>
      </c>
      <c r="I30" s="159"/>
      <c r="J30" s="238">
        <v>14.1</v>
      </c>
      <c r="K30" s="258"/>
      <c r="L30" s="3">
        <f t="shared" ref="L30:L35" si="3">ROUND((F30*J30),0)</f>
        <v>252263</v>
      </c>
      <c r="M30" s="3"/>
      <c r="N30" s="4">
        <f t="shared" ref="N30:N35" si="4">ROUND((L30/L$139)*100,1)</f>
        <v>15.6</v>
      </c>
      <c r="O30" s="4"/>
      <c r="P30" s="3">
        <f t="shared" ref="P30:P35" si="5">ROUND($P$139/$H$139*H30,0)</f>
        <v>2532</v>
      </c>
      <c r="Q30" s="3"/>
      <c r="R30" s="3">
        <f t="shared" ref="R30:R35" si="6">L30+P30</f>
        <v>254795</v>
      </c>
      <c r="S30" s="5"/>
      <c r="V30" s="238"/>
      <c r="Y30" s="318"/>
      <c r="AA30" s="184"/>
      <c r="AC30" s="123">
        <v>487</v>
      </c>
      <c r="AO30" s="284"/>
    </row>
    <row r="31" spans="1:45" ht="15.75" customHeight="1" x14ac:dyDescent="0.3">
      <c r="A31" s="283">
        <v>14</v>
      </c>
      <c r="C31" s="45" t="s">
        <v>210</v>
      </c>
      <c r="F31" s="184">
        <v>96</v>
      </c>
      <c r="G31" s="1"/>
      <c r="H31" s="184">
        <f t="shared" si="2"/>
        <v>3896</v>
      </c>
      <c r="I31" s="159"/>
      <c r="J31" s="238">
        <v>10.72</v>
      </c>
      <c r="K31" s="258"/>
      <c r="L31" s="3">
        <f t="shared" si="3"/>
        <v>1029</v>
      </c>
      <c r="M31" s="3"/>
      <c r="N31" s="4">
        <f t="shared" si="4"/>
        <v>0.1</v>
      </c>
      <c r="O31" s="4"/>
      <c r="P31" s="3">
        <f t="shared" si="5"/>
        <v>14</v>
      </c>
      <c r="Q31" s="3"/>
      <c r="R31" s="3">
        <f t="shared" si="6"/>
        <v>1043</v>
      </c>
      <c r="S31" s="5"/>
      <c r="U31" s="40"/>
      <c r="V31" s="238"/>
      <c r="W31" s="40"/>
      <c r="X31" s="40"/>
      <c r="Y31" s="318"/>
      <c r="Z31" s="40"/>
      <c r="AA31" s="184"/>
      <c r="AB31" s="40"/>
      <c r="AC31" s="123">
        <v>487</v>
      </c>
      <c r="AD31" s="40"/>
      <c r="AE31" s="40"/>
      <c r="AF31" s="40"/>
      <c r="AG31" s="166"/>
      <c r="AH31" s="40"/>
      <c r="AI31" s="40"/>
      <c r="AJ31" s="40"/>
      <c r="AK31" s="166"/>
      <c r="AL31" s="40"/>
      <c r="AM31" s="40"/>
      <c r="AN31" s="40"/>
      <c r="AO31" s="284"/>
      <c r="AP31" s="40"/>
      <c r="AR31" s="40"/>
      <c r="AS31" s="40"/>
    </row>
    <row r="32" spans="1:45" ht="15.75" customHeight="1" x14ac:dyDescent="0.3">
      <c r="A32" s="283">
        <v>15</v>
      </c>
      <c r="C32" s="45" t="s">
        <v>212</v>
      </c>
      <c r="F32" s="184">
        <v>362</v>
      </c>
      <c r="G32" s="1"/>
      <c r="H32" s="184">
        <f t="shared" si="2"/>
        <v>21449</v>
      </c>
      <c r="I32" s="159"/>
      <c r="J32" s="238">
        <v>15.59</v>
      </c>
      <c r="K32" s="258"/>
      <c r="L32" s="3">
        <f t="shared" si="3"/>
        <v>5644</v>
      </c>
      <c r="M32" s="3"/>
      <c r="N32" s="4">
        <f t="shared" si="4"/>
        <v>0.3</v>
      </c>
      <c r="O32" s="4"/>
      <c r="P32" s="3">
        <f t="shared" si="5"/>
        <v>75</v>
      </c>
      <c r="Q32" s="3"/>
      <c r="R32" s="3">
        <f t="shared" si="6"/>
        <v>5719</v>
      </c>
      <c r="S32" s="5"/>
      <c r="U32" s="40"/>
      <c r="V32" s="238"/>
      <c r="W32" s="40"/>
      <c r="X32" s="40"/>
      <c r="Y32" s="318"/>
      <c r="Z32" s="40"/>
      <c r="AA32" s="159"/>
      <c r="AB32" s="40"/>
      <c r="AC32" s="40">
        <v>711</v>
      </c>
      <c r="AD32" s="40"/>
      <c r="AE32" s="40"/>
      <c r="AF32" s="40"/>
      <c r="AG32" s="166"/>
      <c r="AH32" s="40"/>
      <c r="AI32" s="40"/>
      <c r="AJ32" s="40"/>
      <c r="AK32" s="166"/>
      <c r="AL32" s="40"/>
      <c r="AM32" s="40"/>
      <c r="AN32" s="40"/>
      <c r="AO32" s="284"/>
      <c r="AP32" s="40"/>
      <c r="AR32" s="40"/>
      <c r="AS32" s="40"/>
    </row>
    <row r="33" spans="1:45" ht="15.75" customHeight="1" x14ac:dyDescent="0.3">
      <c r="A33" s="283">
        <v>16</v>
      </c>
      <c r="C33" s="45" t="s">
        <v>213</v>
      </c>
      <c r="F33" s="184">
        <v>3660</v>
      </c>
      <c r="G33" s="1"/>
      <c r="H33" s="184">
        <f t="shared" si="2"/>
        <v>289140</v>
      </c>
      <c r="I33" s="159"/>
      <c r="J33" s="238">
        <v>20.22</v>
      </c>
      <c r="K33" s="258"/>
      <c r="L33" s="3">
        <f t="shared" si="3"/>
        <v>74005</v>
      </c>
      <c r="M33" s="3"/>
      <c r="N33" s="4">
        <f t="shared" si="4"/>
        <v>4.5999999999999996</v>
      </c>
      <c r="O33" s="4"/>
      <c r="P33" s="3">
        <f t="shared" si="5"/>
        <v>1008</v>
      </c>
      <c r="Q33" s="3"/>
      <c r="R33" s="3">
        <f t="shared" si="6"/>
        <v>75013</v>
      </c>
      <c r="S33" s="5"/>
      <c r="U33" s="40"/>
      <c r="V33" s="238"/>
      <c r="W33" s="40"/>
      <c r="X33" s="40"/>
      <c r="Y33" s="318"/>
      <c r="Z33" s="40"/>
      <c r="AA33" s="184"/>
      <c r="AB33" s="40"/>
      <c r="AC33" s="123">
        <v>948</v>
      </c>
      <c r="AD33" s="40"/>
      <c r="AE33" s="40"/>
      <c r="AF33" s="40"/>
      <c r="AG33" s="166"/>
      <c r="AH33" s="40"/>
      <c r="AI33" s="40"/>
      <c r="AJ33" s="40"/>
      <c r="AK33" s="166"/>
      <c r="AL33" s="40"/>
      <c r="AM33" s="40"/>
      <c r="AN33" s="40"/>
      <c r="AO33" s="284"/>
      <c r="AP33" s="40"/>
      <c r="AR33" s="40"/>
      <c r="AS33" s="40"/>
    </row>
    <row r="34" spans="1:45" ht="15.75" customHeight="1" x14ac:dyDescent="0.3">
      <c r="A34" s="283">
        <v>17</v>
      </c>
      <c r="B34" s="287"/>
      <c r="C34" s="45" t="s">
        <v>279</v>
      </c>
      <c r="F34" s="184">
        <v>96</v>
      </c>
      <c r="G34" s="1"/>
      <c r="H34" s="184">
        <f t="shared" si="2"/>
        <v>7584</v>
      </c>
      <c r="I34" s="159"/>
      <c r="J34" s="238">
        <v>20.22</v>
      </c>
      <c r="K34" s="258"/>
      <c r="L34" s="3">
        <f t="shared" si="3"/>
        <v>1941</v>
      </c>
      <c r="M34" s="3"/>
      <c r="N34" s="4">
        <f t="shared" si="4"/>
        <v>0.1</v>
      </c>
      <c r="O34" s="4"/>
      <c r="P34" s="3">
        <f t="shared" si="5"/>
        <v>26</v>
      </c>
      <c r="Q34" s="3"/>
      <c r="R34" s="3">
        <f t="shared" si="6"/>
        <v>1967</v>
      </c>
      <c r="S34" s="5"/>
      <c r="U34" s="40"/>
      <c r="V34" s="238"/>
      <c r="W34" s="40"/>
      <c r="X34" s="40"/>
      <c r="Y34" s="318"/>
      <c r="Z34" s="40"/>
      <c r="AA34" s="184"/>
      <c r="AB34" s="40"/>
      <c r="AC34" s="123">
        <v>948</v>
      </c>
      <c r="AD34" s="40"/>
      <c r="AE34" s="40"/>
      <c r="AF34" s="40"/>
      <c r="AG34" s="166"/>
      <c r="AH34" s="40"/>
      <c r="AI34" s="40"/>
      <c r="AJ34" s="40"/>
      <c r="AK34" s="166"/>
      <c r="AL34" s="40"/>
      <c r="AM34" s="40"/>
      <c r="AN34" s="40"/>
      <c r="AO34" s="284"/>
      <c r="AP34" s="40"/>
      <c r="AR34" s="40"/>
      <c r="AS34" s="40"/>
    </row>
    <row r="35" spans="1:45" ht="15.75" customHeight="1" x14ac:dyDescent="0.3">
      <c r="A35" s="283">
        <v>18</v>
      </c>
      <c r="B35" s="287"/>
      <c r="C35" s="45" t="s">
        <v>214</v>
      </c>
      <c r="F35" s="184">
        <v>7299</v>
      </c>
      <c r="G35" s="1"/>
      <c r="H35" s="184">
        <f t="shared" si="2"/>
        <v>1191562</v>
      </c>
      <c r="I35" s="159"/>
      <c r="J35" s="238">
        <v>27.91</v>
      </c>
      <c r="K35" s="258"/>
      <c r="L35" s="3">
        <f t="shared" si="3"/>
        <v>203715</v>
      </c>
      <c r="M35" s="3"/>
      <c r="N35" s="4">
        <f t="shared" si="4"/>
        <v>12.6</v>
      </c>
      <c r="O35" s="4"/>
      <c r="P35" s="3">
        <f t="shared" si="5"/>
        <v>4155</v>
      </c>
      <c r="Q35" s="3"/>
      <c r="R35" s="3">
        <f t="shared" si="6"/>
        <v>207870</v>
      </c>
      <c r="S35" s="5"/>
      <c r="U35" s="40"/>
      <c r="V35" s="238"/>
      <c r="W35" s="40"/>
      <c r="X35" s="40"/>
      <c r="Y35" s="318"/>
      <c r="Z35" s="40"/>
      <c r="AA35" s="184"/>
      <c r="AB35" s="40"/>
      <c r="AC35" s="123">
        <v>1959</v>
      </c>
      <c r="AD35" s="40"/>
      <c r="AE35" s="40"/>
      <c r="AF35" s="40"/>
      <c r="AG35" s="166"/>
      <c r="AH35" s="40"/>
      <c r="AI35" s="40"/>
      <c r="AJ35" s="40"/>
      <c r="AK35" s="166"/>
      <c r="AL35" s="40"/>
      <c r="AM35" s="40"/>
      <c r="AN35" s="40"/>
      <c r="AO35" s="284"/>
      <c r="AP35" s="40"/>
      <c r="AR35" s="40"/>
      <c r="AS35" s="40"/>
    </row>
    <row r="36" spans="1:45" ht="15.75" customHeight="1" x14ac:dyDescent="0.3">
      <c r="A36" s="283">
        <v>19</v>
      </c>
      <c r="B36" s="287"/>
      <c r="C36" s="132" t="s">
        <v>204</v>
      </c>
      <c r="F36" s="184"/>
      <c r="G36" s="1"/>
      <c r="H36" s="184"/>
      <c r="I36" s="159"/>
      <c r="J36" s="258"/>
      <c r="K36" s="258"/>
      <c r="L36" s="3"/>
      <c r="M36" s="3"/>
      <c r="N36" s="4"/>
      <c r="O36" s="4"/>
      <c r="P36" s="3"/>
      <c r="Q36" s="3"/>
      <c r="R36" s="3"/>
      <c r="S36" s="5"/>
      <c r="U36" s="40"/>
      <c r="V36" s="238"/>
      <c r="W36" s="40"/>
      <c r="X36" s="40"/>
      <c r="Y36" s="318"/>
      <c r="Z36" s="40"/>
      <c r="AA36" s="184"/>
      <c r="AB36" s="40"/>
      <c r="AC36" s="123"/>
      <c r="AD36" s="40"/>
      <c r="AE36" s="40"/>
      <c r="AF36" s="40"/>
      <c r="AG36" s="166"/>
      <c r="AH36" s="40"/>
      <c r="AI36" s="40"/>
      <c r="AJ36" s="40"/>
      <c r="AK36" s="166"/>
      <c r="AL36" s="40"/>
      <c r="AM36" s="40"/>
      <c r="AN36" s="40"/>
      <c r="AO36" s="284"/>
      <c r="AP36" s="40"/>
      <c r="AR36" s="40"/>
      <c r="AS36" s="40"/>
    </row>
    <row r="37" spans="1:45" ht="15.75" customHeight="1" x14ac:dyDescent="0.3">
      <c r="A37" s="283">
        <v>20</v>
      </c>
      <c r="C37" s="45" t="s">
        <v>393</v>
      </c>
      <c r="F37" s="184">
        <v>0</v>
      </c>
      <c r="G37" s="1"/>
      <c r="H37" s="184">
        <f t="shared" si="2"/>
        <v>0</v>
      </c>
      <c r="I37" s="159"/>
      <c r="J37" s="238">
        <v>17.41</v>
      </c>
      <c r="K37" s="258"/>
      <c r="L37" s="3">
        <f>ROUND((F37*J37),0)</f>
        <v>0</v>
      </c>
      <c r="M37" s="3"/>
      <c r="N37" s="4">
        <f>ROUND((L37/L$139)*100,1)</f>
        <v>0</v>
      </c>
      <c r="O37" s="4"/>
      <c r="P37" s="3">
        <f>ROUND($P$139/$H$139*H37,0)</f>
        <v>0</v>
      </c>
      <c r="Q37" s="3"/>
      <c r="R37" s="3">
        <f>L37+P37</f>
        <v>0</v>
      </c>
      <c r="S37" s="5"/>
      <c r="U37" s="40"/>
      <c r="V37" s="238"/>
      <c r="W37" s="40"/>
      <c r="X37" s="40"/>
      <c r="Y37" s="318"/>
      <c r="Z37" s="40"/>
      <c r="AA37" s="184"/>
      <c r="AB37" s="40"/>
      <c r="AC37" s="123">
        <v>487</v>
      </c>
      <c r="AD37" s="40"/>
      <c r="AE37" s="40"/>
      <c r="AF37" s="40"/>
      <c r="AG37" s="166"/>
      <c r="AH37" s="40"/>
      <c r="AI37" s="40"/>
      <c r="AJ37" s="40"/>
      <c r="AK37" s="166"/>
      <c r="AL37" s="40"/>
      <c r="AM37" s="40"/>
      <c r="AN37" s="40"/>
      <c r="AO37" s="284"/>
      <c r="AP37" s="40"/>
      <c r="AR37" s="40"/>
      <c r="AS37" s="40"/>
    </row>
    <row r="38" spans="1:45" ht="15.75" customHeight="1" x14ac:dyDescent="0.3">
      <c r="A38" s="283">
        <v>21</v>
      </c>
      <c r="B38" s="288"/>
      <c r="C38" s="45" t="s">
        <v>394</v>
      </c>
      <c r="F38" s="319">
        <v>12</v>
      </c>
      <c r="G38" s="1"/>
      <c r="H38" s="184">
        <f t="shared" si="2"/>
        <v>1023</v>
      </c>
      <c r="I38" s="159"/>
      <c r="J38" s="238">
        <v>21.96</v>
      </c>
      <c r="K38" s="258"/>
      <c r="L38" s="3">
        <f>ROUND((F38*J38),0)</f>
        <v>264</v>
      </c>
      <c r="M38" s="3"/>
      <c r="N38" s="4">
        <f>ROUND((L38/L$139)*100,1)</f>
        <v>0</v>
      </c>
      <c r="O38" s="4"/>
      <c r="P38" s="3">
        <f>ROUND($P$139/$H$139*H38,0)</f>
        <v>4</v>
      </c>
      <c r="Q38" s="3"/>
      <c r="R38" s="3">
        <f>L38+P38</f>
        <v>268</v>
      </c>
      <c r="S38" s="5"/>
      <c r="U38" s="40"/>
      <c r="V38" s="238"/>
      <c r="W38" s="40"/>
      <c r="X38" s="40"/>
      <c r="Y38" s="318"/>
      <c r="Z38" s="40"/>
      <c r="AA38" s="184"/>
      <c r="AB38" s="40"/>
      <c r="AC38" s="123">
        <v>1023</v>
      </c>
      <c r="AD38" s="40"/>
      <c r="AE38" s="40"/>
      <c r="AF38" s="40"/>
      <c r="AG38" s="166"/>
      <c r="AH38" s="40"/>
      <c r="AI38" s="40"/>
      <c r="AJ38" s="40"/>
      <c r="AK38" s="166"/>
      <c r="AL38" s="40"/>
      <c r="AM38" s="40"/>
      <c r="AN38" s="40"/>
      <c r="AO38" s="284"/>
      <c r="AP38" s="40"/>
      <c r="AR38" s="40"/>
      <c r="AS38" s="40"/>
    </row>
    <row r="39" spans="1:45" ht="15.75" customHeight="1" x14ac:dyDescent="0.3">
      <c r="A39" s="283">
        <v>22</v>
      </c>
      <c r="C39" s="45" t="s">
        <v>395</v>
      </c>
      <c r="F39" s="184">
        <v>204</v>
      </c>
      <c r="G39" s="1"/>
      <c r="H39" s="184">
        <f t="shared" si="2"/>
        <v>33303</v>
      </c>
      <c r="I39" s="159"/>
      <c r="J39" s="238">
        <v>29.72</v>
      </c>
      <c r="K39" s="258"/>
      <c r="L39" s="3">
        <f>ROUND((F39*J39),0)</f>
        <v>6063</v>
      </c>
      <c r="M39" s="3"/>
      <c r="N39" s="4">
        <f>ROUND((L39/L$139)*100,1)</f>
        <v>0.4</v>
      </c>
      <c r="O39" s="4"/>
      <c r="P39" s="3">
        <f>ROUND($P$139/$H$139*H39,0)</f>
        <v>116</v>
      </c>
      <c r="Q39" s="3"/>
      <c r="R39" s="3">
        <f>L39+P39</f>
        <v>6179</v>
      </c>
      <c r="S39" s="5"/>
      <c r="U39" s="40"/>
      <c r="V39" s="238"/>
      <c r="W39" s="40"/>
      <c r="X39" s="40"/>
      <c r="Y39" s="318"/>
      <c r="Z39" s="40"/>
      <c r="AA39" s="184"/>
      <c r="AB39" s="40"/>
      <c r="AC39" s="123">
        <v>1959</v>
      </c>
      <c r="AD39" s="40"/>
      <c r="AE39" s="40"/>
      <c r="AF39" s="40"/>
      <c r="AG39" s="166"/>
      <c r="AH39" s="40"/>
      <c r="AI39" s="40"/>
      <c r="AJ39" s="40"/>
      <c r="AK39" s="166"/>
      <c r="AL39" s="40"/>
      <c r="AM39" s="40"/>
      <c r="AN39" s="40"/>
      <c r="AO39" s="284"/>
      <c r="AP39" s="40"/>
      <c r="AR39" s="40"/>
      <c r="AS39" s="40"/>
    </row>
    <row r="40" spans="1:45" x14ac:dyDescent="0.3">
      <c r="A40" s="283">
        <v>23</v>
      </c>
      <c r="C40" s="45" t="s">
        <v>392</v>
      </c>
      <c r="F40" s="184">
        <v>241</v>
      </c>
      <c r="G40" s="1"/>
      <c r="H40" s="184">
        <f t="shared" si="2"/>
        <v>39343</v>
      </c>
      <c r="I40" s="159"/>
      <c r="J40" s="238">
        <v>43.19</v>
      </c>
      <c r="K40" s="258"/>
      <c r="L40" s="3">
        <f>ROUND((F40*J40),0)</f>
        <v>10409</v>
      </c>
      <c r="M40" s="3"/>
      <c r="N40" s="4">
        <f>ROUND((L40/L$139)*100,1)</f>
        <v>0.6</v>
      </c>
      <c r="O40" s="4"/>
      <c r="P40" s="3">
        <f>ROUND($P$139/$H$139*H40,0)</f>
        <v>137</v>
      </c>
      <c r="Q40" s="3"/>
      <c r="R40" s="3">
        <f>L40+P40</f>
        <v>10546</v>
      </c>
      <c r="S40" s="5"/>
      <c r="V40" s="238"/>
      <c r="Y40" s="318"/>
      <c r="AA40" s="123"/>
      <c r="AC40" s="123">
        <v>1959</v>
      </c>
      <c r="AO40" s="284"/>
    </row>
    <row r="41" spans="1:45" x14ac:dyDescent="0.3">
      <c r="A41" s="283">
        <v>24</v>
      </c>
      <c r="S41" s="5"/>
      <c r="V41" s="238"/>
      <c r="Y41" s="318"/>
      <c r="AA41" s="184"/>
      <c r="AO41" s="284"/>
    </row>
    <row r="42" spans="1:45" x14ac:dyDescent="0.3">
      <c r="A42" s="283">
        <v>25</v>
      </c>
      <c r="C42" s="178" t="s">
        <v>265</v>
      </c>
      <c r="F42" s="145">
        <f>SUM(F21:F40)</f>
        <v>81914</v>
      </c>
      <c r="G42" s="1"/>
      <c r="H42" s="145">
        <f>SUM(H21:H40)</f>
        <v>6250277</v>
      </c>
      <c r="I42" s="3"/>
      <c r="J42" s="5"/>
      <c r="K42" s="5"/>
      <c r="L42" s="145">
        <f>SUM(L21:L40)</f>
        <v>1280791</v>
      </c>
      <c r="M42" s="3"/>
      <c r="N42" s="211">
        <f>ROUND((L42/L$139)*100,1)</f>
        <v>79.099999999999994</v>
      </c>
      <c r="O42" s="6"/>
      <c r="P42" s="276">
        <f>ROUND(H42*CUR_FAC,0)</f>
        <v>21796</v>
      </c>
      <c r="Q42" s="3"/>
      <c r="R42" s="145">
        <f>SUM(R21:R40)</f>
        <v>1302587</v>
      </c>
      <c r="S42" s="5"/>
      <c r="V42" s="238"/>
      <c r="Y42" s="318"/>
      <c r="AA42" s="184"/>
      <c r="AO42" s="284"/>
    </row>
    <row r="43" spans="1:45" x14ac:dyDescent="0.3">
      <c r="A43" s="283">
        <v>26</v>
      </c>
      <c r="C43" s="45"/>
      <c r="F43" s="184"/>
      <c r="G43" s="1"/>
      <c r="H43" s="184"/>
      <c r="I43" s="159"/>
      <c r="J43" s="238"/>
      <c r="K43" s="258"/>
      <c r="L43" s="3"/>
      <c r="M43" s="3"/>
      <c r="N43" s="4"/>
      <c r="O43" s="4"/>
      <c r="P43" s="3"/>
      <c r="Q43" s="3"/>
      <c r="R43" s="3"/>
      <c r="S43" s="5"/>
      <c r="V43" s="238"/>
      <c r="Y43" s="318"/>
      <c r="AA43" s="184"/>
      <c r="AO43" s="284"/>
      <c r="AR43" s="42"/>
    </row>
    <row r="44" spans="1:45" x14ac:dyDescent="0.3">
      <c r="A44" s="283">
        <v>27</v>
      </c>
      <c r="C44" s="132" t="s">
        <v>80</v>
      </c>
      <c r="F44" s="1"/>
      <c r="G44" s="1"/>
      <c r="H44" s="1"/>
      <c r="I44" s="1"/>
      <c r="J44" s="5"/>
      <c r="K44" s="5"/>
      <c r="L44" s="1"/>
      <c r="M44" s="1"/>
      <c r="N44" s="1"/>
      <c r="O44" s="1"/>
      <c r="P44" s="1"/>
      <c r="Q44" s="1"/>
      <c r="R44" s="1"/>
      <c r="S44" s="5"/>
      <c r="V44" s="238"/>
      <c r="Y44" s="318"/>
      <c r="AA44" s="184"/>
      <c r="AO44" s="284"/>
      <c r="AR44" s="42"/>
    </row>
    <row r="45" spans="1:45" x14ac:dyDescent="0.3">
      <c r="A45" s="283">
        <v>28</v>
      </c>
      <c r="C45" s="178" t="s">
        <v>205</v>
      </c>
      <c r="F45" s="1"/>
      <c r="G45" s="1"/>
      <c r="H45" s="1"/>
      <c r="I45" s="1"/>
      <c r="J45" s="5"/>
      <c r="K45" s="5"/>
      <c r="L45" s="1"/>
      <c r="M45" s="1"/>
      <c r="N45" s="1"/>
      <c r="O45" s="1"/>
      <c r="P45" s="1"/>
      <c r="Q45" s="1"/>
      <c r="R45" s="1"/>
      <c r="S45" s="5"/>
      <c r="V45" s="238"/>
      <c r="Y45" s="318"/>
      <c r="AA45" s="184"/>
      <c r="AO45" s="284"/>
      <c r="AR45" s="42"/>
    </row>
    <row r="46" spans="1:45" x14ac:dyDescent="0.3">
      <c r="A46" s="283">
        <v>29</v>
      </c>
      <c r="C46" s="45" t="s">
        <v>207</v>
      </c>
      <c r="F46" s="184">
        <v>272</v>
      </c>
      <c r="G46" s="1"/>
      <c r="H46" s="184">
        <f t="shared" ref="H46:H53" si="7">ROUND(F46*AC46/12,0)</f>
        <v>19811</v>
      </c>
      <c r="I46" s="159"/>
      <c r="J46" s="238">
        <v>13.41</v>
      </c>
      <c r="K46" s="258"/>
      <c r="L46" s="3">
        <f>ROUND((F46*J46),0)</f>
        <v>3648</v>
      </c>
      <c r="M46" s="3"/>
      <c r="N46" s="4">
        <f>ROUND((L46/L$139)*100,1)</f>
        <v>0.2</v>
      </c>
      <c r="O46" s="4"/>
      <c r="P46" s="3">
        <f>ROUND($P$139/$H$139*H46,0)</f>
        <v>69</v>
      </c>
      <c r="Q46" s="3"/>
      <c r="R46" s="3">
        <f>L46+P46</f>
        <v>3717</v>
      </c>
      <c r="S46" s="5"/>
      <c r="V46" s="238"/>
      <c r="Y46" s="318"/>
      <c r="AA46" s="184"/>
      <c r="AC46" s="41">
        <v>874</v>
      </c>
      <c r="AO46" s="284"/>
    </row>
    <row r="47" spans="1:45" x14ac:dyDescent="0.3">
      <c r="A47" s="283">
        <v>30</v>
      </c>
      <c r="C47" s="45" t="s">
        <v>206</v>
      </c>
      <c r="F47" s="184">
        <v>0</v>
      </c>
      <c r="G47" s="1"/>
      <c r="H47" s="184">
        <f t="shared" si="7"/>
        <v>0</v>
      </c>
      <c r="I47" s="159"/>
      <c r="J47" s="238">
        <v>11.16</v>
      </c>
      <c r="K47" s="258"/>
      <c r="L47" s="3">
        <f>ROUND((F47*J47),0)</f>
        <v>0</v>
      </c>
      <c r="M47" s="3"/>
      <c r="N47" s="4">
        <f>ROUND((L47/L$139)*100,1)</f>
        <v>0</v>
      </c>
      <c r="O47" s="4"/>
      <c r="P47" s="3">
        <f>ROUND($P$139/$H$139*H47,0)</f>
        <v>0</v>
      </c>
      <c r="Q47" s="3"/>
      <c r="R47" s="3">
        <f>L47+P47</f>
        <v>0</v>
      </c>
      <c r="S47" s="5"/>
      <c r="V47" s="238"/>
      <c r="Y47" s="318"/>
      <c r="AA47" s="184"/>
      <c r="AC47" s="41">
        <v>853</v>
      </c>
      <c r="AO47" s="284"/>
    </row>
    <row r="48" spans="1:45" x14ac:dyDescent="0.3">
      <c r="A48" s="283">
        <v>31</v>
      </c>
      <c r="B48" s="289"/>
      <c r="C48" s="45" t="s">
        <v>215</v>
      </c>
      <c r="F48" s="184">
        <v>132</v>
      </c>
      <c r="G48" s="1"/>
      <c r="H48" s="184">
        <f t="shared" si="7"/>
        <v>13365</v>
      </c>
      <c r="I48" s="159"/>
      <c r="J48" s="238">
        <v>15.72</v>
      </c>
      <c r="K48" s="258"/>
      <c r="L48" s="3">
        <f>ROUND((F48*J48),0)</f>
        <v>2075</v>
      </c>
      <c r="M48" s="3"/>
      <c r="N48" s="4">
        <f>ROUND((L48/L$139)*100,1)</f>
        <v>0.1</v>
      </c>
      <c r="O48" s="4"/>
      <c r="P48" s="3">
        <f>ROUND($P$139/$H$139*H48,0)</f>
        <v>47</v>
      </c>
      <c r="Q48" s="3"/>
      <c r="R48" s="3">
        <f>L48+P48</f>
        <v>2122</v>
      </c>
      <c r="S48" s="5"/>
      <c r="V48" s="238"/>
      <c r="Y48" s="318"/>
      <c r="AA48" s="184"/>
      <c r="AC48" s="41">
        <v>1215</v>
      </c>
      <c r="AO48" s="284"/>
    </row>
    <row r="49" spans="1:45" x14ac:dyDescent="0.3">
      <c r="A49" s="283">
        <v>32</v>
      </c>
      <c r="C49" s="45" t="s">
        <v>89</v>
      </c>
      <c r="F49" s="184">
        <v>228</v>
      </c>
      <c r="G49" s="1"/>
      <c r="H49" s="184">
        <f t="shared" si="7"/>
        <v>36366</v>
      </c>
      <c r="I49" s="159"/>
      <c r="J49" s="238">
        <v>21.48</v>
      </c>
      <c r="K49" s="258"/>
      <c r="L49" s="3">
        <f>ROUND((F49*J49),0)</f>
        <v>4897</v>
      </c>
      <c r="M49" s="3"/>
      <c r="N49" s="4">
        <f>ROUND((L49/L$139)*100,1)</f>
        <v>0.3</v>
      </c>
      <c r="O49" s="4"/>
      <c r="P49" s="3">
        <f>ROUND($P$139/$H$139*H49,0)</f>
        <v>127</v>
      </c>
      <c r="Q49" s="3"/>
      <c r="R49" s="3">
        <f>L49+P49</f>
        <v>5024</v>
      </c>
      <c r="S49" s="5"/>
      <c r="V49" s="238"/>
      <c r="Y49" s="318"/>
      <c r="AA49" s="184"/>
      <c r="AC49" s="41">
        <v>1914</v>
      </c>
      <c r="AO49" s="284"/>
    </row>
    <row r="50" spans="1:45" x14ac:dyDescent="0.3">
      <c r="A50" s="283">
        <v>33</v>
      </c>
      <c r="C50" s="132" t="s">
        <v>268</v>
      </c>
      <c r="F50" s="184"/>
      <c r="G50" s="1"/>
      <c r="H50" s="184"/>
      <c r="I50" s="159"/>
      <c r="J50" s="258"/>
      <c r="K50" s="258"/>
      <c r="L50" s="3"/>
      <c r="M50" s="3"/>
      <c r="N50" s="4"/>
      <c r="O50" s="4"/>
      <c r="P50" s="3"/>
      <c r="Q50" s="3"/>
      <c r="R50" s="3"/>
      <c r="S50" s="5"/>
      <c r="V50" s="238"/>
      <c r="Y50" s="318"/>
      <c r="AA50" s="184"/>
      <c r="AO50" s="284"/>
    </row>
    <row r="51" spans="1:45" x14ac:dyDescent="0.3">
      <c r="A51" s="283">
        <v>34</v>
      </c>
      <c r="C51" s="42" t="s">
        <v>271</v>
      </c>
      <c r="F51" s="184">
        <v>0</v>
      </c>
      <c r="G51" s="1"/>
      <c r="H51" s="184">
        <f t="shared" si="7"/>
        <v>0</v>
      </c>
      <c r="I51" s="159"/>
      <c r="J51" s="238">
        <v>13.41</v>
      </c>
      <c r="K51" s="258"/>
      <c r="L51" s="3">
        <f>ROUND((F51*J51),0)</f>
        <v>0</v>
      </c>
      <c r="M51" s="3"/>
      <c r="N51" s="4">
        <f>ROUND((L51/L$139)*100,1)</f>
        <v>0</v>
      </c>
      <c r="O51" s="4"/>
      <c r="P51" s="3">
        <f>ROUND($P$139/$H$139*H51,0)</f>
        <v>0</v>
      </c>
      <c r="Q51" s="3"/>
      <c r="R51" s="3">
        <f>L51+P51</f>
        <v>0</v>
      </c>
      <c r="S51" s="5"/>
      <c r="V51" s="238"/>
      <c r="Y51" s="318"/>
      <c r="AA51" s="184"/>
      <c r="AC51" s="41">
        <v>874</v>
      </c>
      <c r="AO51" s="284"/>
    </row>
    <row r="52" spans="1:45" x14ac:dyDescent="0.3">
      <c r="A52" s="283">
        <v>35</v>
      </c>
      <c r="C52" s="42" t="s">
        <v>272</v>
      </c>
      <c r="F52" s="184">
        <v>0</v>
      </c>
      <c r="G52" s="1"/>
      <c r="H52" s="184">
        <f t="shared" si="7"/>
        <v>0</v>
      </c>
      <c r="I52" s="159"/>
      <c r="J52" s="238">
        <v>15.72</v>
      </c>
      <c r="K52" s="258"/>
      <c r="L52" s="3">
        <f>ROUND((F52*J52),0)</f>
        <v>0</v>
      </c>
      <c r="M52" s="3"/>
      <c r="N52" s="4">
        <f>ROUND((L52/L$139)*100,1)</f>
        <v>0</v>
      </c>
      <c r="O52" s="4"/>
      <c r="P52" s="3">
        <f>ROUND($P$139/$H$139*H52,0)</f>
        <v>0</v>
      </c>
      <c r="Q52" s="3"/>
      <c r="R52" s="3">
        <f>L52+P52</f>
        <v>0</v>
      </c>
      <c r="S52" s="5"/>
      <c r="V52" s="238"/>
      <c r="Y52" s="318"/>
      <c r="AA52" s="184"/>
      <c r="AC52" s="41">
        <v>1215</v>
      </c>
      <c r="AO52" s="284"/>
    </row>
    <row r="53" spans="1:45" x14ac:dyDescent="0.3">
      <c r="A53" s="283">
        <v>36</v>
      </c>
      <c r="C53" s="42" t="s">
        <v>270</v>
      </c>
      <c r="F53" s="184">
        <v>0</v>
      </c>
      <c r="G53" s="1"/>
      <c r="H53" s="184">
        <f t="shared" si="7"/>
        <v>0</v>
      </c>
      <c r="I53" s="159"/>
      <c r="J53" s="238">
        <v>21.48</v>
      </c>
      <c r="K53" s="258"/>
      <c r="L53" s="3">
        <f>ROUND((F53*J53),0)</f>
        <v>0</v>
      </c>
      <c r="M53" s="3"/>
      <c r="N53" s="4">
        <f>ROUND((L53/L$139)*100,1)</f>
        <v>0</v>
      </c>
      <c r="O53" s="4"/>
      <c r="P53" s="3">
        <f>ROUND($P$139/$H$139*H53,0)</f>
        <v>0</v>
      </c>
      <c r="Q53" s="3"/>
      <c r="R53" s="3">
        <f>L53+P53</f>
        <v>0</v>
      </c>
      <c r="S53" s="5"/>
      <c r="V53" s="238"/>
      <c r="Y53" s="318"/>
      <c r="AA53" s="184"/>
      <c r="AC53" s="41">
        <v>1914</v>
      </c>
      <c r="AO53" s="284"/>
    </row>
    <row r="54" spans="1:45" x14ac:dyDescent="0.3">
      <c r="A54" s="283">
        <v>37</v>
      </c>
      <c r="S54" s="5"/>
      <c r="V54" s="238"/>
      <c r="Y54" s="318"/>
      <c r="AA54" s="184"/>
      <c r="AO54" s="284"/>
    </row>
    <row r="55" spans="1:45" x14ac:dyDescent="0.3">
      <c r="A55" s="283">
        <v>38</v>
      </c>
      <c r="C55" s="178" t="s">
        <v>203</v>
      </c>
      <c r="G55" s="1"/>
      <c r="H55" s="1"/>
      <c r="I55" s="1"/>
      <c r="J55" s="5"/>
      <c r="K55" s="5"/>
      <c r="L55" s="3">
        <f t="shared" ref="L55:L61" si="8">ROUND((F55*J55),0)</f>
        <v>0</v>
      </c>
      <c r="M55" s="1"/>
      <c r="N55" s="1"/>
      <c r="O55" s="1"/>
      <c r="P55" s="1"/>
      <c r="Q55" s="1"/>
      <c r="R55" s="1"/>
      <c r="S55" s="5"/>
      <c r="V55" s="238"/>
      <c r="AO55" s="284"/>
    </row>
    <row r="56" spans="1:45" x14ac:dyDescent="0.3">
      <c r="A56" s="283">
        <v>39</v>
      </c>
      <c r="C56" s="45" t="s">
        <v>399</v>
      </c>
      <c r="F56" s="184">
        <v>282</v>
      </c>
      <c r="G56" s="1"/>
      <c r="H56" s="184">
        <f t="shared" ref="H56:H61" si="9">ROUND(F56*AC56/12,0)</f>
        <v>11445</v>
      </c>
      <c r="I56" s="159"/>
      <c r="J56" s="238">
        <v>14.1</v>
      </c>
      <c r="K56" s="258"/>
      <c r="L56" s="3">
        <f t="shared" si="8"/>
        <v>3976</v>
      </c>
      <c r="M56" s="3"/>
      <c r="N56" s="4">
        <f t="shared" ref="N56:N61" si="10">ROUND((L56/L$139)*100,1)</f>
        <v>0.2</v>
      </c>
      <c r="O56" s="4"/>
      <c r="P56" s="3">
        <f t="shared" ref="P56:P61" si="11">ROUND($P$139/$H$139*H56,0)</f>
        <v>40</v>
      </c>
      <c r="Q56" s="3"/>
      <c r="R56" s="3">
        <f t="shared" ref="R56:R61" si="12">L56+P56</f>
        <v>4016</v>
      </c>
      <c r="S56" s="5"/>
      <c r="V56" s="238"/>
      <c r="Y56" s="318"/>
      <c r="AA56" s="184"/>
      <c r="AC56" s="41">
        <v>487</v>
      </c>
      <c r="AO56" s="284"/>
    </row>
    <row r="57" spans="1:45" x14ac:dyDescent="0.3">
      <c r="A57" s="283">
        <v>40</v>
      </c>
      <c r="C57" s="290" t="s">
        <v>210</v>
      </c>
      <c r="D57" s="291"/>
      <c r="F57" s="184">
        <v>0</v>
      </c>
      <c r="G57" s="1"/>
      <c r="H57" s="184">
        <f t="shared" si="9"/>
        <v>0</v>
      </c>
      <c r="I57" s="159"/>
      <c r="J57" s="238">
        <v>10.87</v>
      </c>
      <c r="K57" s="258"/>
      <c r="L57" s="3">
        <f t="shared" si="8"/>
        <v>0</v>
      </c>
      <c r="M57" s="3"/>
      <c r="N57" s="4">
        <f t="shared" si="10"/>
        <v>0</v>
      </c>
      <c r="O57" s="4"/>
      <c r="P57" s="3">
        <f t="shared" si="11"/>
        <v>0</v>
      </c>
      <c r="Q57" s="3"/>
      <c r="R57" s="3">
        <f t="shared" si="12"/>
        <v>0</v>
      </c>
      <c r="S57" s="5"/>
      <c r="V57" s="238"/>
      <c r="Y57" s="318"/>
      <c r="AA57" s="123"/>
      <c r="AC57" s="41">
        <v>487</v>
      </c>
      <c r="AO57" s="284"/>
    </row>
    <row r="58" spans="1:45" x14ac:dyDescent="0.3">
      <c r="A58" s="283">
        <v>41</v>
      </c>
      <c r="C58" s="290" t="s">
        <v>212</v>
      </c>
      <c r="D58" s="291"/>
      <c r="F58" s="184">
        <v>24</v>
      </c>
      <c r="G58" s="1"/>
      <c r="H58" s="184">
        <f t="shared" si="9"/>
        <v>1422</v>
      </c>
      <c r="I58" s="159"/>
      <c r="J58" s="238">
        <v>15.54</v>
      </c>
      <c r="K58" s="258"/>
      <c r="L58" s="3">
        <f t="shared" si="8"/>
        <v>373</v>
      </c>
      <c r="M58" s="3"/>
      <c r="N58" s="4">
        <f t="shared" si="10"/>
        <v>0</v>
      </c>
      <c r="O58" s="4"/>
      <c r="P58" s="3">
        <f t="shared" si="11"/>
        <v>5</v>
      </c>
      <c r="Q58" s="3"/>
      <c r="R58" s="3">
        <f t="shared" si="12"/>
        <v>378</v>
      </c>
      <c r="S58" s="5"/>
      <c r="V58" s="238"/>
      <c r="Y58" s="318"/>
      <c r="AA58" s="184"/>
      <c r="AC58" s="41">
        <v>711</v>
      </c>
      <c r="AO58" s="284"/>
    </row>
    <row r="59" spans="1:45" x14ac:dyDescent="0.3">
      <c r="A59" s="283">
        <v>42</v>
      </c>
      <c r="C59" s="45" t="s">
        <v>213</v>
      </c>
      <c r="F59" s="184">
        <v>204</v>
      </c>
      <c r="G59" s="1"/>
      <c r="H59" s="184">
        <f t="shared" si="9"/>
        <v>16116</v>
      </c>
      <c r="I59" s="159"/>
      <c r="J59" s="238">
        <v>20.22</v>
      </c>
      <c r="K59" s="258"/>
      <c r="L59" s="3">
        <f t="shared" si="8"/>
        <v>4125</v>
      </c>
      <c r="M59" s="3"/>
      <c r="N59" s="4">
        <f t="shared" si="10"/>
        <v>0.3</v>
      </c>
      <c r="O59" s="4"/>
      <c r="P59" s="3">
        <f t="shared" si="11"/>
        <v>56</v>
      </c>
      <c r="Q59" s="3"/>
      <c r="R59" s="3">
        <f t="shared" si="12"/>
        <v>4181</v>
      </c>
      <c r="S59" s="5"/>
      <c r="V59" s="238"/>
      <c r="Y59" s="318"/>
      <c r="AA59" s="184"/>
      <c r="AC59" s="41">
        <v>948</v>
      </c>
      <c r="AO59" s="284"/>
    </row>
    <row r="60" spans="1:45" x14ac:dyDescent="0.3">
      <c r="A60" s="283">
        <v>43</v>
      </c>
      <c r="C60" s="292" t="s">
        <v>279</v>
      </c>
      <c r="D60" s="293"/>
      <c r="F60" s="184">
        <v>12</v>
      </c>
      <c r="G60" s="1"/>
      <c r="H60" s="184">
        <f t="shared" si="9"/>
        <v>1323</v>
      </c>
      <c r="I60" s="159"/>
      <c r="J60" s="238">
        <v>20.61</v>
      </c>
      <c r="K60" s="258"/>
      <c r="L60" s="3">
        <f t="shared" si="8"/>
        <v>247</v>
      </c>
      <c r="M60" s="3"/>
      <c r="N60" s="4">
        <f t="shared" si="10"/>
        <v>0</v>
      </c>
      <c r="O60" s="4"/>
      <c r="P60" s="3">
        <f t="shared" si="11"/>
        <v>5</v>
      </c>
      <c r="Q60" s="3"/>
      <c r="R60" s="3">
        <f t="shared" si="12"/>
        <v>252</v>
      </c>
      <c r="S60" s="5"/>
      <c r="V60" s="238"/>
      <c r="Y60" s="318"/>
      <c r="AA60" s="184"/>
      <c r="AC60" s="41">
        <v>1323</v>
      </c>
      <c r="AO60" s="284"/>
    </row>
    <row r="61" spans="1:45" x14ac:dyDescent="0.3">
      <c r="A61" s="283">
        <v>44</v>
      </c>
      <c r="C61" s="45" t="s">
        <v>214</v>
      </c>
      <c r="F61" s="184">
        <v>96</v>
      </c>
      <c r="G61" s="1"/>
      <c r="H61" s="184">
        <f t="shared" si="9"/>
        <v>15672</v>
      </c>
      <c r="I61" s="159"/>
      <c r="J61" s="238">
        <v>27.91</v>
      </c>
      <c r="K61" s="258"/>
      <c r="L61" s="3">
        <f t="shared" si="8"/>
        <v>2679</v>
      </c>
      <c r="M61" s="3"/>
      <c r="N61" s="4">
        <f t="shared" si="10"/>
        <v>0.2</v>
      </c>
      <c r="O61" s="4"/>
      <c r="P61" s="3">
        <f t="shared" si="11"/>
        <v>55</v>
      </c>
      <c r="Q61" s="3"/>
      <c r="R61" s="3">
        <f t="shared" si="12"/>
        <v>2734</v>
      </c>
      <c r="S61" s="5"/>
      <c r="V61" s="238"/>
      <c r="Y61" s="318"/>
      <c r="AA61" s="184"/>
      <c r="AC61" s="41">
        <v>1959</v>
      </c>
      <c r="AO61" s="284"/>
    </row>
    <row r="63" spans="1:45" x14ac:dyDescent="0.3">
      <c r="A63" s="202" t="s">
        <v>76</v>
      </c>
      <c r="B63" s="294"/>
      <c r="C63" s="294"/>
      <c r="D63" s="294"/>
      <c r="E63" s="294"/>
      <c r="F63" s="294"/>
      <c r="G63" s="294"/>
      <c r="H63" s="294"/>
      <c r="I63" s="294"/>
      <c r="J63" s="264"/>
      <c r="K63" s="294"/>
      <c r="L63" s="295"/>
      <c r="M63" s="294"/>
      <c r="N63" s="294"/>
      <c r="O63" s="294"/>
      <c r="P63" s="264"/>
      <c r="Q63" s="153"/>
      <c r="R63" s="153"/>
      <c r="V63" s="42"/>
      <c r="AA63" s="123"/>
      <c r="AC63" s="123"/>
      <c r="AD63" s="123"/>
      <c r="AE63" s="219"/>
      <c r="AF63" s="219"/>
      <c r="AH63" s="123"/>
      <c r="AI63" s="160"/>
      <c r="AJ63" s="160"/>
      <c r="AL63" s="123"/>
      <c r="AM63" s="236"/>
      <c r="AN63" s="236"/>
      <c r="AO63" s="123"/>
      <c r="AP63" s="123"/>
      <c r="AR63" s="123"/>
      <c r="AS63" s="160"/>
    </row>
    <row r="64" spans="1:45" x14ac:dyDescent="0.3">
      <c r="A64" s="202" t="str">
        <f>"(1A) REFLECTS FUEL COST RECOVERY INCLUDED IN BASE RATES OF "&amp;TEXT(CUR_BASE_FUEL,"$0.000000;($0.000000)")&amp;"  PER KWH."</f>
        <v>(1A) REFLECTS FUEL COST RECOVERY INCLUDED IN BASE RATES OF $0.033780  PER KWH.</v>
      </c>
      <c r="B64" s="294"/>
      <c r="C64" s="294"/>
      <c r="D64" s="294"/>
      <c r="E64" s="294"/>
      <c r="F64" s="296"/>
      <c r="G64" s="294"/>
      <c r="H64" s="294"/>
      <c r="I64" s="294"/>
      <c r="J64" s="264"/>
      <c r="K64" s="294"/>
      <c r="L64" s="295"/>
      <c r="M64" s="294"/>
      <c r="N64" s="294"/>
      <c r="O64" s="294"/>
      <c r="P64" s="264"/>
      <c r="Q64" s="153"/>
      <c r="R64" s="153"/>
      <c r="V64" s="42"/>
      <c r="AA64" s="123"/>
      <c r="AC64" s="123"/>
      <c r="AD64" s="123"/>
      <c r="AE64" s="219"/>
      <c r="AF64" s="219"/>
      <c r="AH64" s="123"/>
      <c r="AI64" s="160"/>
      <c r="AJ64" s="160"/>
      <c r="AL64" s="123"/>
      <c r="AM64" s="236"/>
      <c r="AN64" s="236"/>
      <c r="AO64" s="123"/>
      <c r="AP64" s="123"/>
      <c r="AR64" s="123"/>
      <c r="AS64" s="160"/>
    </row>
    <row r="65" spans="1:45" x14ac:dyDescent="0.3">
      <c r="A65" s="202" t="str">
        <f>"(2) REFLECTS FUEL COMPONENT OF "&amp;TEXT(CUR_FAC,"$0.000000;($0.000000)")&amp;"  PER KWH."</f>
        <v>(2) REFLECTS FUEL COMPONENT OF $0.003487  PER KWH.</v>
      </c>
      <c r="B65" s="294"/>
      <c r="C65" s="294"/>
      <c r="D65" s="294"/>
      <c r="E65" s="294"/>
      <c r="F65" s="296"/>
      <c r="G65" s="294"/>
      <c r="H65" s="294"/>
      <c r="I65" s="294"/>
      <c r="J65" s="264"/>
      <c r="K65" s="294"/>
      <c r="L65" s="295"/>
      <c r="M65" s="294"/>
      <c r="N65" s="294"/>
      <c r="O65" s="294"/>
      <c r="P65" s="264"/>
      <c r="Q65" s="153"/>
      <c r="R65" s="153"/>
      <c r="V65" s="42"/>
      <c r="AA65" s="123"/>
      <c r="AC65" s="123"/>
      <c r="AD65" s="123"/>
      <c r="AE65" s="219"/>
      <c r="AF65" s="219"/>
      <c r="AH65" s="123"/>
      <c r="AI65" s="160"/>
      <c r="AJ65" s="160"/>
      <c r="AL65" s="123"/>
      <c r="AM65" s="236"/>
      <c r="AN65" s="236"/>
      <c r="AO65" s="123"/>
      <c r="AP65" s="123"/>
      <c r="AR65" s="123"/>
      <c r="AS65" s="160"/>
    </row>
    <row r="66" spans="1:45" x14ac:dyDescent="0.3">
      <c r="A66" s="264"/>
      <c r="B66" s="294"/>
      <c r="C66" s="294"/>
      <c r="D66" s="294"/>
      <c r="E66" s="294"/>
      <c r="F66" s="296"/>
      <c r="G66" s="294"/>
      <c r="H66" s="294"/>
      <c r="I66" s="294"/>
      <c r="J66" s="264"/>
      <c r="K66" s="294"/>
      <c r="L66" s="295"/>
      <c r="M66" s="294"/>
      <c r="N66" s="294"/>
      <c r="O66" s="294"/>
      <c r="P66" s="264"/>
      <c r="Q66" s="153"/>
      <c r="R66" s="153"/>
      <c r="V66" s="42"/>
      <c r="AA66" s="123"/>
      <c r="AC66" s="123"/>
      <c r="AD66" s="123"/>
      <c r="AE66" s="212"/>
      <c r="AF66" s="212"/>
      <c r="AH66" s="123"/>
      <c r="AI66" s="160"/>
      <c r="AJ66" s="160"/>
      <c r="AL66" s="123"/>
      <c r="AM66" s="236"/>
      <c r="AN66" s="236"/>
      <c r="AO66" s="123"/>
      <c r="AP66" s="123"/>
      <c r="AR66" s="123"/>
      <c r="AS66" s="160"/>
    </row>
    <row r="67" spans="1:45" x14ac:dyDescent="0.3">
      <c r="A67" s="264"/>
      <c r="B67" s="294"/>
      <c r="C67" s="294"/>
      <c r="D67" s="294"/>
      <c r="E67" s="294"/>
      <c r="F67" s="296"/>
      <c r="G67" s="294"/>
      <c r="H67" s="294"/>
      <c r="I67" s="294"/>
      <c r="J67" s="264"/>
      <c r="K67" s="294"/>
      <c r="L67" s="295"/>
      <c r="M67" s="294"/>
      <c r="N67" s="294"/>
      <c r="O67" s="294"/>
      <c r="P67" s="264"/>
      <c r="Q67" s="153"/>
      <c r="R67" s="153"/>
    </row>
    <row r="68" spans="1:45" x14ac:dyDescent="0.3">
      <c r="A68" s="45"/>
      <c r="F68" s="188"/>
      <c r="J68" s="45"/>
      <c r="V68" s="42"/>
      <c r="AA68" s="123"/>
      <c r="AC68" s="123"/>
      <c r="AD68" s="123"/>
      <c r="AE68" s="213"/>
      <c r="AF68" s="213"/>
      <c r="AH68" s="123"/>
      <c r="AI68" s="160"/>
      <c r="AJ68" s="160"/>
      <c r="AL68" s="123"/>
      <c r="AM68" s="160"/>
      <c r="AN68" s="160"/>
      <c r="AO68" s="123"/>
      <c r="AP68" s="123"/>
      <c r="AR68" s="123"/>
      <c r="AS68" s="160"/>
    </row>
    <row r="69" spans="1:45" x14ac:dyDescent="0.3">
      <c r="A69" s="45"/>
      <c r="F69" s="188"/>
      <c r="J69" s="45"/>
      <c r="N69" s="188"/>
      <c r="P69" s="45"/>
      <c r="V69" s="42"/>
      <c r="AA69" s="123"/>
      <c r="AC69" s="123"/>
      <c r="AD69" s="123"/>
      <c r="AE69" s="213"/>
      <c r="AF69" s="213"/>
      <c r="AH69" s="123"/>
      <c r="AI69" s="160"/>
      <c r="AJ69" s="160"/>
      <c r="AL69" s="123"/>
      <c r="AM69" s="160"/>
      <c r="AN69" s="160"/>
      <c r="AO69" s="123"/>
      <c r="AP69" s="123"/>
      <c r="AR69" s="123"/>
      <c r="AS69" s="160"/>
    </row>
    <row r="70" spans="1:45" x14ac:dyDescent="0.3">
      <c r="A70" s="40" t="str">
        <f>NAME</f>
        <v>DUKE ENERGY KENTUCKY, INC.</v>
      </c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AA70" s="42"/>
    </row>
    <row r="71" spans="1:45" x14ac:dyDescent="0.3">
      <c r="A71" s="40" t="str">
        <f>CASE_NO</f>
        <v>CASE NO.   2024-00354</v>
      </c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AA71" s="42"/>
    </row>
    <row r="72" spans="1:45" x14ac:dyDescent="0.3">
      <c r="A72" s="40" t="str">
        <f>TITLE</f>
        <v>ANNUALIZED TEST YEAR REVENUES AT REHEARING ORDER CALCULATED VS. MOST CURRENT RATES</v>
      </c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</row>
    <row r="73" spans="1:45" x14ac:dyDescent="0.3">
      <c r="A73" s="40" t="str">
        <f>DATE</f>
        <v>FOR THE TWELVE MONTHS ENDED June 30, 2026</v>
      </c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AC73" s="42"/>
      <c r="AD73" s="42"/>
    </row>
    <row r="74" spans="1:45" x14ac:dyDescent="0.3">
      <c r="A74" s="40" t="str">
        <f>SERVICE</f>
        <v>(ELECTRIC SERVICE)</v>
      </c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AM74" s="42"/>
      <c r="AN74" s="42"/>
    </row>
    <row r="75" spans="1:45" x14ac:dyDescent="0.3">
      <c r="A75" s="41" t="str">
        <f>DATA_PERIOD</f>
        <v>DATA: ____ BASE PERIOD   __X__FORECASTED PERIOD</v>
      </c>
      <c r="R75" s="42" t="s">
        <v>157</v>
      </c>
      <c r="AM75" s="42"/>
      <c r="AN75" s="42"/>
    </row>
    <row r="76" spans="1:45" x14ac:dyDescent="0.3">
      <c r="A76" s="41" t="str">
        <f>TYPE</f>
        <v>TYPE OF FILING: _X_ ORIGINAL   ___UPDATED  ___ REVISED</v>
      </c>
      <c r="R76" s="45" t="str">
        <f>"PAGE 14 OF "&amp;TEXT(Page_Num_2.3,"00")</f>
        <v>PAGE 14 OF 24</v>
      </c>
      <c r="AM76" s="42"/>
      <c r="AN76" s="42"/>
    </row>
    <row r="77" spans="1:45" x14ac:dyDescent="0.3">
      <c r="A77" s="42" t="s">
        <v>171</v>
      </c>
      <c r="R77" s="42" t="s">
        <v>3</v>
      </c>
      <c r="AM77" s="42"/>
      <c r="AN77" s="42"/>
    </row>
    <row r="78" spans="1:45" x14ac:dyDescent="0.3">
      <c r="A78" s="153" t="str">
        <f>TIME</f>
        <v>12 Months Projected with Riders</v>
      </c>
      <c r="M78" s="42"/>
      <c r="R78" s="41" t="str">
        <f>WIT</f>
        <v>B. L. Sailers</v>
      </c>
      <c r="AC78" s="42"/>
      <c r="AD78" s="42"/>
    </row>
    <row r="79" spans="1:45" x14ac:dyDescent="0.3">
      <c r="A79" s="40" t="s">
        <v>130</v>
      </c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AC79" s="42"/>
      <c r="AD79" s="42"/>
    </row>
    <row r="80" spans="1:45" x14ac:dyDescent="0.3">
      <c r="A80" s="135"/>
      <c r="B80" s="135"/>
      <c r="C80" s="135"/>
      <c r="D80" s="135"/>
      <c r="E80" s="135"/>
      <c r="G80" s="135"/>
      <c r="H80" s="135"/>
      <c r="I80" s="135"/>
      <c r="J80" s="135"/>
      <c r="K80" s="135"/>
      <c r="L80" s="43"/>
      <c r="M80" s="43"/>
      <c r="N80" s="43"/>
      <c r="O80" s="43"/>
      <c r="P80" s="43"/>
      <c r="Q80" s="43"/>
      <c r="R80" s="43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207"/>
      <c r="AH80" s="135"/>
      <c r="AI80" s="135"/>
      <c r="AJ80" s="135"/>
      <c r="AK80" s="207"/>
      <c r="AL80" s="135"/>
      <c r="AM80" s="135"/>
      <c r="AN80" s="135"/>
      <c r="AO80" s="135"/>
      <c r="AP80" s="135"/>
    </row>
    <row r="81" spans="1:49" ht="18" customHeight="1" x14ac:dyDescent="0.3">
      <c r="A81" s="191"/>
      <c r="B81" s="191"/>
      <c r="C81" s="191"/>
      <c r="D81" s="191"/>
      <c r="E81" s="191"/>
      <c r="F81" s="191"/>
      <c r="G81" s="191"/>
      <c r="H81" s="191"/>
      <c r="I81" s="191"/>
      <c r="J81" s="191"/>
      <c r="K81" s="191"/>
      <c r="L81" s="44" t="s">
        <v>6</v>
      </c>
      <c r="M81" s="44"/>
      <c r="N81" s="44" t="s">
        <v>7</v>
      </c>
      <c r="O81" s="44"/>
      <c r="R81" s="44" t="s">
        <v>6</v>
      </c>
      <c r="AC81" s="44"/>
      <c r="AD81" s="44"/>
      <c r="AE81" s="44"/>
      <c r="AF81" s="44"/>
      <c r="AG81" s="168"/>
      <c r="AH81" s="44"/>
      <c r="AI81" s="44"/>
      <c r="AJ81" s="44"/>
      <c r="AM81" s="44"/>
      <c r="AN81" s="44"/>
      <c r="AO81" s="44"/>
      <c r="AP81" s="44"/>
    </row>
    <row r="82" spans="1:49" x14ac:dyDescent="0.3">
      <c r="L82" s="44" t="s">
        <v>12</v>
      </c>
      <c r="M82" s="44"/>
      <c r="N82" s="44" t="s">
        <v>13</v>
      </c>
      <c r="O82" s="44"/>
      <c r="R82" s="44" t="s">
        <v>11</v>
      </c>
      <c r="AB82" s="44"/>
      <c r="AC82" s="44"/>
      <c r="AD82" s="44"/>
      <c r="AE82" s="44"/>
      <c r="AF82" s="44"/>
      <c r="AG82" s="168"/>
      <c r="AH82" s="44"/>
      <c r="AI82" s="44"/>
      <c r="AJ82" s="44"/>
      <c r="AM82" s="44"/>
      <c r="AN82" s="44"/>
      <c r="AO82" s="44"/>
      <c r="AP82" s="44"/>
    </row>
    <row r="83" spans="1:49" x14ac:dyDescent="0.3">
      <c r="A83" s="44" t="s">
        <v>17</v>
      </c>
      <c r="C83" s="44" t="s">
        <v>18</v>
      </c>
      <c r="D83" s="44" t="s">
        <v>19</v>
      </c>
      <c r="E83" s="44"/>
      <c r="F83" s="44" t="s">
        <v>20</v>
      </c>
      <c r="J83" s="44" t="s">
        <v>6</v>
      </c>
      <c r="K83" s="44"/>
      <c r="L83" s="44" t="s">
        <v>842</v>
      </c>
      <c r="M83" s="44"/>
      <c r="N83" s="44" t="s">
        <v>842</v>
      </c>
      <c r="O83" s="44"/>
      <c r="P83" s="44" t="s">
        <v>842</v>
      </c>
      <c r="Q83" s="44"/>
      <c r="R83" s="44" t="s">
        <v>9</v>
      </c>
      <c r="U83" s="44"/>
      <c r="V83" s="44"/>
      <c r="AB83" s="44"/>
      <c r="AC83" s="44"/>
      <c r="AD83" s="44"/>
      <c r="AE83" s="44"/>
      <c r="AF83" s="44"/>
      <c r="AG83" s="168"/>
      <c r="AH83" s="44"/>
      <c r="AI83" s="44"/>
      <c r="AJ83" s="44"/>
      <c r="AK83" s="168"/>
      <c r="AL83" s="44"/>
      <c r="AM83" s="44"/>
      <c r="AN83" s="44"/>
      <c r="AO83" s="44"/>
      <c r="AP83" s="44"/>
    </row>
    <row r="84" spans="1:49" x14ac:dyDescent="0.3">
      <c r="A84" s="44" t="s">
        <v>22</v>
      </c>
      <c r="C84" s="44" t="s">
        <v>23</v>
      </c>
      <c r="D84" s="44" t="s">
        <v>24</v>
      </c>
      <c r="E84" s="44"/>
      <c r="F84" s="44" t="s">
        <v>25</v>
      </c>
      <c r="H84" s="44" t="s">
        <v>26</v>
      </c>
      <c r="I84" s="44"/>
      <c r="J84" s="46" t="s">
        <v>326</v>
      </c>
      <c r="K84" s="44"/>
      <c r="L84" s="44" t="s">
        <v>9</v>
      </c>
      <c r="M84" s="44"/>
      <c r="N84" s="44" t="s">
        <v>9</v>
      </c>
      <c r="O84" s="44"/>
      <c r="P84" s="44" t="s">
        <v>324</v>
      </c>
      <c r="Q84" s="44"/>
      <c r="R84" s="141" t="s">
        <v>28</v>
      </c>
      <c r="U84" s="44"/>
      <c r="V84" s="44"/>
      <c r="AA84" s="44"/>
      <c r="AB84" s="44"/>
      <c r="AC84" s="44"/>
      <c r="AD84" s="44"/>
      <c r="AE84" s="44"/>
      <c r="AF84" s="44"/>
      <c r="AG84" s="168"/>
      <c r="AH84" s="44"/>
      <c r="AI84" s="44"/>
      <c r="AJ84" s="44"/>
      <c r="AK84" s="168"/>
      <c r="AL84" s="44"/>
      <c r="AM84" s="44"/>
      <c r="AN84" s="44"/>
      <c r="AO84" s="44"/>
      <c r="AP84" s="44"/>
    </row>
    <row r="85" spans="1:49" x14ac:dyDescent="0.3">
      <c r="C85" s="141" t="s">
        <v>33</v>
      </c>
      <c r="D85" s="141" t="s">
        <v>34</v>
      </c>
      <c r="E85" s="141"/>
      <c r="F85" s="141" t="s">
        <v>35</v>
      </c>
      <c r="G85" s="153"/>
      <c r="H85" s="141" t="s">
        <v>36</v>
      </c>
      <c r="I85" s="141"/>
      <c r="J85" s="141" t="s">
        <v>37</v>
      </c>
      <c r="K85" s="141"/>
      <c r="L85" s="141" t="s">
        <v>38</v>
      </c>
      <c r="M85" s="141"/>
      <c r="N85" s="141" t="s">
        <v>39</v>
      </c>
      <c r="O85" s="141"/>
      <c r="P85" s="141" t="s">
        <v>40</v>
      </c>
      <c r="Q85" s="141"/>
      <c r="R85" s="141" t="s">
        <v>41</v>
      </c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207"/>
      <c r="AH85" s="135"/>
      <c r="AI85" s="135"/>
      <c r="AJ85" s="135"/>
      <c r="AK85" s="207"/>
      <c r="AL85" s="135"/>
      <c r="AM85" s="135"/>
      <c r="AN85" s="135"/>
      <c r="AO85" s="135"/>
      <c r="AP85" s="135"/>
    </row>
    <row r="86" spans="1:49" ht="17.100000000000001" customHeight="1" x14ac:dyDescent="0.3">
      <c r="A86" s="191"/>
      <c r="B86" s="191"/>
      <c r="C86" s="191"/>
      <c r="D86" s="191"/>
      <c r="E86" s="191"/>
      <c r="F86" s="191"/>
      <c r="G86" s="191"/>
      <c r="H86" s="271" t="s">
        <v>49</v>
      </c>
      <c r="I86" s="271"/>
      <c r="J86" s="270" t="s">
        <v>69</v>
      </c>
      <c r="K86" s="271"/>
      <c r="L86" s="271" t="s">
        <v>50</v>
      </c>
      <c r="M86" s="271"/>
      <c r="N86" s="271" t="s">
        <v>51</v>
      </c>
      <c r="O86" s="271"/>
      <c r="P86" s="271" t="s">
        <v>50</v>
      </c>
      <c r="Q86" s="271"/>
      <c r="R86" s="271" t="s">
        <v>50</v>
      </c>
      <c r="AA86" s="44"/>
      <c r="AB86" s="44"/>
      <c r="AC86" s="44"/>
      <c r="AD86" s="44"/>
      <c r="AE86" s="44"/>
      <c r="AF86" s="44"/>
      <c r="AG86" s="168"/>
      <c r="AH86" s="44"/>
      <c r="AI86" s="44"/>
      <c r="AJ86" s="44"/>
      <c r="AK86" s="168"/>
      <c r="AL86" s="44"/>
      <c r="AM86" s="44"/>
      <c r="AN86" s="44"/>
      <c r="AO86" s="44"/>
      <c r="AP86" s="44"/>
    </row>
    <row r="87" spans="1:49" x14ac:dyDescent="0.3">
      <c r="A87" s="297">
        <v>45</v>
      </c>
      <c r="C87" s="132" t="s">
        <v>77</v>
      </c>
      <c r="D87" s="45" t="s">
        <v>266</v>
      </c>
      <c r="E87" s="42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U87" s="42"/>
    </row>
    <row r="88" spans="1:49" x14ac:dyDescent="0.3">
      <c r="A88" s="297">
        <v>46</v>
      </c>
      <c r="C88" s="132" t="s">
        <v>408</v>
      </c>
      <c r="D88" s="45"/>
      <c r="E88" s="42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U88" s="42"/>
    </row>
    <row r="89" spans="1:49" x14ac:dyDescent="0.3">
      <c r="A89" s="297">
        <v>47</v>
      </c>
      <c r="C89" s="178" t="s">
        <v>276</v>
      </c>
      <c r="G89" s="1"/>
      <c r="H89" s="184"/>
      <c r="I89" s="1"/>
      <c r="J89" s="5"/>
      <c r="K89" s="5"/>
      <c r="L89" s="3"/>
      <c r="M89" s="1"/>
      <c r="N89" s="1"/>
      <c r="O89" s="1"/>
      <c r="P89" s="1"/>
      <c r="Q89" s="1"/>
      <c r="R89" s="1"/>
      <c r="U89" s="42"/>
      <c r="Y89" s="318"/>
      <c r="AA89" s="184"/>
      <c r="AO89" s="284"/>
    </row>
    <row r="90" spans="1:49" ht="20.100000000000001" customHeight="1" x14ac:dyDescent="0.3">
      <c r="A90" s="297">
        <v>48</v>
      </c>
      <c r="C90" s="42" t="s">
        <v>273</v>
      </c>
      <c r="F90" s="184">
        <v>2743</v>
      </c>
      <c r="G90" s="1"/>
      <c r="H90" s="184">
        <f t="shared" ref="H90:H110" si="13">ROUND(F90*AC90/12,0)</f>
        <v>194982</v>
      </c>
      <c r="I90" s="159"/>
      <c r="J90" s="238">
        <v>13.84</v>
      </c>
      <c r="K90" s="258"/>
      <c r="L90" s="3">
        <f>ROUND((F90*J90),0)</f>
        <v>37963</v>
      </c>
      <c r="M90" s="3"/>
      <c r="N90" s="4">
        <f>ROUND((L90/L$139)*100,1)</f>
        <v>2.2999999999999998</v>
      </c>
      <c r="O90" s="4"/>
      <c r="P90" s="3">
        <f>ROUND($P$139/$H$139*H90,0)</f>
        <v>680</v>
      </c>
      <c r="Q90" s="3"/>
      <c r="R90" s="3">
        <f>L90+P90</f>
        <v>38643</v>
      </c>
      <c r="V90" s="44"/>
      <c r="W90" s="44"/>
      <c r="AA90" s="184"/>
      <c r="AC90" s="41">
        <v>853</v>
      </c>
      <c r="AE90" s="44"/>
      <c r="AF90" s="44"/>
      <c r="AG90" s="168"/>
      <c r="AH90" s="44"/>
      <c r="AI90" s="44"/>
      <c r="AJ90" s="44"/>
      <c r="AK90" s="168"/>
      <c r="AL90" s="44"/>
      <c r="AM90" s="44"/>
      <c r="AN90" s="44"/>
      <c r="AR90" s="44"/>
      <c r="AS90" s="44"/>
    </row>
    <row r="91" spans="1:49" x14ac:dyDescent="0.3">
      <c r="A91" s="297">
        <v>49</v>
      </c>
      <c r="C91" s="42" t="s">
        <v>274</v>
      </c>
      <c r="F91" s="184">
        <v>904</v>
      </c>
      <c r="G91" s="1"/>
      <c r="H91" s="184">
        <f t="shared" si="13"/>
        <v>65841</v>
      </c>
      <c r="I91" s="159"/>
      <c r="J91" s="238">
        <v>17.149999999999999</v>
      </c>
      <c r="K91" s="258"/>
      <c r="L91" s="3">
        <f>ROUND((F91*J91),0)</f>
        <v>15504</v>
      </c>
      <c r="M91" s="3"/>
      <c r="N91" s="4">
        <f>ROUND((L91/L$139)*100,1)</f>
        <v>1</v>
      </c>
      <c r="O91" s="4"/>
      <c r="P91" s="3">
        <f>ROUND($P$139/$H$139*H91,0)</f>
        <v>230</v>
      </c>
      <c r="Q91" s="3"/>
      <c r="R91" s="3">
        <f>L91+P91</f>
        <v>15734</v>
      </c>
      <c r="AA91" s="184"/>
      <c r="AC91" s="41">
        <v>874</v>
      </c>
    </row>
    <row r="92" spans="1:49" x14ac:dyDescent="0.3">
      <c r="A92" s="297">
        <v>50</v>
      </c>
      <c r="C92" s="45" t="s">
        <v>1076</v>
      </c>
      <c r="F92" s="319">
        <v>27</v>
      </c>
      <c r="G92" s="1"/>
      <c r="H92" s="184">
        <f t="shared" si="13"/>
        <v>1967</v>
      </c>
      <c r="I92" s="159"/>
      <c r="J92" s="238">
        <v>38.049999999999997</v>
      </c>
      <c r="K92" s="258"/>
      <c r="L92" s="3">
        <f>ROUND((F92*J92),0)</f>
        <v>1027</v>
      </c>
      <c r="M92" s="3"/>
      <c r="N92" s="4">
        <f>ROUND((L92/L$139)*100,1)</f>
        <v>0.1</v>
      </c>
      <c r="O92" s="4"/>
      <c r="P92" s="3">
        <f>ROUND($P$139/$H$139*H92,0)</f>
        <v>7</v>
      </c>
      <c r="Q92" s="3"/>
      <c r="R92" s="3">
        <f>L92+P92</f>
        <v>1034</v>
      </c>
      <c r="S92" s="1"/>
      <c r="T92" s="251"/>
      <c r="V92" s="238"/>
      <c r="W92" s="42"/>
      <c r="X92" s="44"/>
      <c r="Y92" s="44"/>
      <c r="Z92" s="44"/>
      <c r="AA92" s="184"/>
      <c r="AC92" s="44">
        <v>874</v>
      </c>
      <c r="AD92" s="44"/>
      <c r="AE92" s="44"/>
      <c r="AF92" s="44"/>
      <c r="AG92" s="168"/>
      <c r="AH92" s="44"/>
      <c r="AI92" s="44"/>
      <c r="AJ92" s="44"/>
      <c r="AK92" s="168"/>
      <c r="AL92" s="44"/>
      <c r="AM92" s="44"/>
      <c r="AN92" s="44"/>
      <c r="AO92" s="44"/>
      <c r="AP92" s="44"/>
      <c r="AR92" s="44"/>
      <c r="AS92" s="44"/>
      <c r="AU92" s="123"/>
      <c r="AV92" s="123"/>
      <c r="AW92" s="160"/>
    </row>
    <row r="93" spans="1:49" x14ac:dyDescent="0.3">
      <c r="A93" s="297">
        <v>51</v>
      </c>
      <c r="C93" s="42" t="s">
        <v>400</v>
      </c>
      <c r="F93" s="319">
        <v>0</v>
      </c>
      <c r="G93" s="1"/>
      <c r="H93" s="184">
        <f t="shared" si="13"/>
        <v>0</v>
      </c>
      <c r="I93" s="159"/>
      <c r="J93" s="238">
        <v>13.97</v>
      </c>
      <c r="K93" s="258"/>
      <c r="L93" s="3">
        <f>ROUND((F93*J93),0)</f>
        <v>0</v>
      </c>
      <c r="M93" s="3"/>
      <c r="N93" s="4">
        <f>ROUND((L93/L$139)*100,1)</f>
        <v>0</v>
      </c>
      <c r="O93" s="4"/>
      <c r="P93" s="3">
        <f>ROUND($P$139/$H$139*H93,0)</f>
        <v>0</v>
      </c>
      <c r="Q93" s="3"/>
      <c r="R93" s="3">
        <f>L93+P93</f>
        <v>0</v>
      </c>
      <c r="S93" s="1"/>
      <c r="V93" s="238"/>
      <c r="W93" s="42"/>
      <c r="AA93" s="1"/>
      <c r="AC93" s="44">
        <v>853</v>
      </c>
      <c r="AD93" s="44"/>
      <c r="AE93" s="44"/>
      <c r="AF93" s="44"/>
      <c r="AG93" s="168"/>
      <c r="AH93" s="44"/>
      <c r="AI93" s="44"/>
      <c r="AJ93" s="44"/>
      <c r="AK93" s="168"/>
      <c r="AL93" s="44"/>
      <c r="AM93" s="44"/>
      <c r="AN93" s="44"/>
      <c r="AO93" s="44"/>
      <c r="AP93" s="44"/>
      <c r="AR93" s="44"/>
      <c r="AS93" s="44"/>
      <c r="AU93" s="123"/>
      <c r="AV93" s="123"/>
      <c r="AW93" s="235"/>
    </row>
    <row r="94" spans="1:49" x14ac:dyDescent="0.3">
      <c r="A94" s="297">
        <v>52</v>
      </c>
      <c r="C94" s="42" t="s">
        <v>275</v>
      </c>
      <c r="F94" s="319">
        <v>24</v>
      </c>
      <c r="G94" s="1"/>
      <c r="H94" s="184">
        <f t="shared" si="13"/>
        <v>1748</v>
      </c>
      <c r="I94" s="159"/>
      <c r="J94" s="238">
        <v>24.44</v>
      </c>
      <c r="K94" s="258"/>
      <c r="L94" s="3">
        <f>ROUND((F94*J94),0)</f>
        <v>587</v>
      </c>
      <c r="M94" s="3"/>
      <c r="N94" s="4">
        <f>ROUND((L94/L$139)*100,1)</f>
        <v>0</v>
      </c>
      <c r="O94" s="4"/>
      <c r="P94" s="3">
        <f>ROUND($P$139/$H$139*H94,0)</f>
        <v>6</v>
      </c>
      <c r="Q94" s="3"/>
      <c r="R94" s="3">
        <f>L94+P94</f>
        <v>593</v>
      </c>
      <c r="S94" s="1"/>
      <c r="V94" s="238"/>
      <c r="W94" s="42"/>
      <c r="X94" s="42"/>
      <c r="Y94" s="318"/>
      <c r="Z94" s="42"/>
      <c r="AA94" s="184"/>
      <c r="AC94" s="41">
        <v>874</v>
      </c>
      <c r="AU94" s="123"/>
      <c r="AV94" s="123"/>
      <c r="AW94" s="160"/>
    </row>
    <row r="95" spans="1:49" x14ac:dyDescent="0.3">
      <c r="A95" s="297">
        <v>53</v>
      </c>
      <c r="C95" s="132" t="s">
        <v>280</v>
      </c>
      <c r="F95" s="319"/>
      <c r="G95" s="1"/>
      <c r="H95" s="184"/>
      <c r="I95" s="159"/>
      <c r="J95" s="258"/>
      <c r="K95" s="258"/>
      <c r="L95" s="3"/>
      <c r="M95" s="3"/>
      <c r="N95" s="4"/>
      <c r="O95" s="4"/>
      <c r="P95" s="3"/>
      <c r="Q95" s="3"/>
      <c r="R95" s="3"/>
      <c r="V95" s="238"/>
      <c r="X95" s="42"/>
      <c r="Y95" s="318"/>
      <c r="Z95" s="42"/>
      <c r="AA95" s="184"/>
      <c r="AU95" s="123"/>
      <c r="AV95" s="123"/>
      <c r="AW95" s="160"/>
    </row>
    <row r="96" spans="1:49" x14ac:dyDescent="0.3">
      <c r="A96" s="297">
        <v>54</v>
      </c>
      <c r="C96" s="298" t="s">
        <v>401</v>
      </c>
      <c r="D96" s="299"/>
      <c r="F96" s="319">
        <v>132</v>
      </c>
      <c r="G96" s="1"/>
      <c r="H96" s="184">
        <f t="shared" si="13"/>
        <v>9383</v>
      </c>
      <c r="I96" s="159"/>
      <c r="J96" s="238">
        <v>13.81</v>
      </c>
      <c r="K96" s="258"/>
      <c r="L96" s="3">
        <f>ROUND((F96*J96),0)</f>
        <v>1823</v>
      </c>
      <c r="M96" s="3"/>
      <c r="N96" s="4">
        <f>ROUND((L96/L$139)*100,1)</f>
        <v>0.1</v>
      </c>
      <c r="O96" s="4"/>
      <c r="P96" s="3">
        <f>ROUND($P$139/$H$139*H96,0)</f>
        <v>33</v>
      </c>
      <c r="Q96" s="3"/>
      <c r="R96" s="3">
        <f>L96+P96</f>
        <v>1856</v>
      </c>
      <c r="V96" s="238"/>
      <c r="X96" s="42"/>
      <c r="Y96" s="318"/>
      <c r="Z96" s="42"/>
      <c r="AA96" s="184"/>
      <c r="AC96" s="41">
        <v>853</v>
      </c>
      <c r="AU96" s="123"/>
      <c r="AV96" s="123"/>
      <c r="AW96" s="160"/>
    </row>
    <row r="97" spans="1:49" x14ac:dyDescent="0.3">
      <c r="A97" s="297">
        <v>55</v>
      </c>
      <c r="C97" s="298" t="s">
        <v>281</v>
      </c>
      <c r="D97" s="299"/>
      <c r="F97" s="319">
        <v>0</v>
      </c>
      <c r="G97" s="1"/>
      <c r="H97" s="184">
        <f t="shared" si="13"/>
        <v>0</v>
      </c>
      <c r="I97" s="159"/>
      <c r="J97" s="238">
        <v>24.44</v>
      </c>
      <c r="K97" s="258"/>
      <c r="L97" s="3">
        <f>ROUND((F97*J97),0)</f>
        <v>0</v>
      </c>
      <c r="M97" s="3"/>
      <c r="N97" s="4">
        <f>ROUND((L97/L$139)*100,1)</f>
        <v>0</v>
      </c>
      <c r="O97" s="4"/>
      <c r="P97" s="3">
        <f>ROUND($P$139/$H$139*H97,0)</f>
        <v>0</v>
      </c>
      <c r="Q97" s="3"/>
      <c r="R97" s="3">
        <f>L97+P97</f>
        <v>0</v>
      </c>
      <c r="S97" s="1"/>
      <c r="V97" s="238"/>
      <c r="W97" s="42"/>
      <c r="Y97" s="318"/>
      <c r="AA97" s="184"/>
      <c r="AC97" s="41">
        <v>874</v>
      </c>
      <c r="AE97" s="209"/>
      <c r="AF97" s="209"/>
      <c r="AH97" s="123"/>
      <c r="AR97" s="123"/>
      <c r="AU97" s="123"/>
      <c r="AV97" s="123"/>
      <c r="AW97" s="160"/>
    </row>
    <row r="98" spans="1:49" x14ac:dyDescent="0.3">
      <c r="A98" s="297">
        <v>56</v>
      </c>
      <c r="C98" s="300" t="s">
        <v>404</v>
      </c>
      <c r="D98" s="299"/>
      <c r="F98" s="319">
        <v>0</v>
      </c>
      <c r="G98" s="1"/>
      <c r="H98" s="184">
        <f t="shared" si="13"/>
        <v>0</v>
      </c>
      <c r="I98" s="159"/>
      <c r="J98" s="238">
        <v>38.19</v>
      </c>
      <c r="K98" s="258"/>
      <c r="L98" s="3">
        <f>ROUND((F98*J98),0)</f>
        <v>0</v>
      </c>
      <c r="M98" s="3"/>
      <c r="N98" s="4">
        <f>ROUND((L98/L$139)*100,1)</f>
        <v>0</v>
      </c>
      <c r="O98" s="4"/>
      <c r="P98" s="3">
        <f>ROUND($P$139/$H$139*H98,0)</f>
        <v>0</v>
      </c>
      <c r="Q98" s="3"/>
      <c r="R98" s="3">
        <f>L98+P98</f>
        <v>0</v>
      </c>
      <c r="V98" s="238"/>
      <c r="Y98" s="318"/>
      <c r="AA98" s="184"/>
      <c r="AC98" s="41">
        <v>874</v>
      </c>
      <c r="AD98" s="123"/>
      <c r="AE98" s="193"/>
      <c r="AF98" s="193"/>
      <c r="AH98" s="123"/>
      <c r="AI98" s="160"/>
      <c r="AJ98" s="160"/>
      <c r="AL98" s="123"/>
      <c r="AM98" s="236"/>
      <c r="AN98" s="236"/>
      <c r="AO98" s="123"/>
      <c r="AP98" s="123"/>
      <c r="AR98" s="123"/>
      <c r="AS98" s="160"/>
      <c r="AT98" s="123"/>
      <c r="AU98" s="123"/>
      <c r="AV98" s="123"/>
      <c r="AW98" s="160"/>
    </row>
    <row r="99" spans="1:49" x14ac:dyDescent="0.3">
      <c r="A99" s="297">
        <v>57</v>
      </c>
      <c r="C99" s="298" t="s">
        <v>479</v>
      </c>
      <c r="D99" s="299"/>
      <c r="F99" s="319">
        <v>298</v>
      </c>
      <c r="G99" s="1"/>
      <c r="H99" s="184">
        <f t="shared" si="13"/>
        <v>21382</v>
      </c>
      <c r="I99" s="159"/>
      <c r="J99" s="238">
        <v>38.17</v>
      </c>
      <c r="K99" s="258"/>
      <c r="L99" s="3">
        <f>ROUND((F99*J99),0)</f>
        <v>11375</v>
      </c>
      <c r="M99" s="3"/>
      <c r="N99" s="4">
        <f>ROUND((L99/L$139)*100,1)</f>
        <v>0.7</v>
      </c>
      <c r="O99" s="4"/>
      <c r="P99" s="3">
        <f>ROUND($P$139/$H$139*H99,0)</f>
        <v>75</v>
      </c>
      <c r="Q99" s="3"/>
      <c r="R99" s="3">
        <f>L99+P99</f>
        <v>11450</v>
      </c>
      <c r="S99" s="1"/>
      <c r="U99" s="40"/>
      <c r="V99" s="238"/>
      <c r="W99" s="40"/>
      <c r="X99" s="42"/>
      <c r="Y99" s="318"/>
      <c r="Z99" s="42"/>
      <c r="AA99" s="184"/>
      <c r="AC99" s="41">
        <v>861</v>
      </c>
      <c r="AU99" s="123"/>
      <c r="AV99" s="123"/>
      <c r="AW99" s="160"/>
    </row>
    <row r="100" spans="1:49" x14ac:dyDescent="0.3">
      <c r="A100" s="297">
        <v>58</v>
      </c>
      <c r="C100" s="178" t="s">
        <v>204</v>
      </c>
      <c r="G100" s="1"/>
      <c r="H100" s="184"/>
      <c r="I100" s="1"/>
      <c r="J100" s="5"/>
      <c r="K100" s="5"/>
      <c r="L100" s="1"/>
      <c r="M100" s="1"/>
      <c r="N100" s="1"/>
      <c r="O100" s="1"/>
      <c r="P100" s="1"/>
      <c r="Q100" s="1"/>
      <c r="R100" s="1"/>
      <c r="V100" s="301"/>
      <c r="Y100" s="318"/>
      <c r="AA100" s="184"/>
      <c r="AR100" s="123"/>
      <c r="AU100" s="123"/>
      <c r="AV100" s="123"/>
      <c r="AW100" s="160"/>
    </row>
    <row r="101" spans="1:49" x14ac:dyDescent="0.3">
      <c r="A101" s="297">
        <v>59</v>
      </c>
      <c r="C101" s="42" t="s">
        <v>277</v>
      </c>
      <c r="F101" s="319">
        <v>1598</v>
      </c>
      <c r="G101" s="1"/>
      <c r="H101" s="184">
        <f t="shared" si="13"/>
        <v>64852</v>
      </c>
      <c r="I101" s="1"/>
      <c r="J101" s="238">
        <v>19.39</v>
      </c>
      <c r="K101" s="5"/>
      <c r="L101" s="3">
        <f>ROUND((F101*J101),0)</f>
        <v>30985</v>
      </c>
      <c r="M101" s="1"/>
      <c r="N101" s="4">
        <f t="shared" ref="N101:N111" si="14">ROUND((L101/L$139)*100,1)</f>
        <v>1.9</v>
      </c>
      <c r="O101" s="1"/>
      <c r="P101" s="3">
        <f t="shared" ref="P101:P110" si="15">ROUND($P$139/$H$139*H101,0)</f>
        <v>226</v>
      </c>
      <c r="Q101" s="1"/>
      <c r="R101" s="3">
        <f t="shared" ref="R101:R110" si="16">L101+P101</f>
        <v>31211</v>
      </c>
      <c r="S101" s="1"/>
      <c r="V101" s="238"/>
      <c r="X101" s="40"/>
      <c r="Y101" s="318"/>
      <c r="Z101" s="40"/>
      <c r="AA101" s="184"/>
      <c r="AB101" s="40"/>
      <c r="AC101" s="41">
        <v>487</v>
      </c>
      <c r="AD101" s="40"/>
      <c r="AE101" s="40"/>
      <c r="AF101" s="40"/>
      <c r="AG101" s="166"/>
      <c r="AH101" s="40"/>
      <c r="AI101" s="40"/>
      <c r="AJ101" s="40"/>
      <c r="AK101" s="166"/>
      <c r="AL101" s="40"/>
      <c r="AM101" s="40"/>
      <c r="AT101" s="123"/>
      <c r="AU101" s="123"/>
      <c r="AV101" s="123"/>
      <c r="AW101" s="160"/>
    </row>
    <row r="102" spans="1:49" x14ac:dyDescent="0.3">
      <c r="A102" s="297">
        <v>60</v>
      </c>
      <c r="C102" s="42" t="s">
        <v>278</v>
      </c>
      <c r="F102" s="319">
        <v>868</v>
      </c>
      <c r="G102" s="1"/>
      <c r="H102" s="184">
        <f t="shared" si="13"/>
        <v>38481</v>
      </c>
      <c r="I102" s="1"/>
      <c r="J102" s="238">
        <v>21.01</v>
      </c>
      <c r="K102" s="5"/>
      <c r="L102" s="3">
        <f>ROUND((F102*J102),0)</f>
        <v>18237</v>
      </c>
      <c r="M102" s="1"/>
      <c r="N102" s="4">
        <f t="shared" si="14"/>
        <v>1.1000000000000001</v>
      </c>
      <c r="O102" s="1"/>
      <c r="P102" s="3">
        <f t="shared" si="15"/>
        <v>134</v>
      </c>
      <c r="Q102" s="1"/>
      <c r="R102" s="3">
        <f t="shared" si="16"/>
        <v>18371</v>
      </c>
      <c r="S102" s="1"/>
      <c r="V102" s="238"/>
      <c r="Y102" s="318"/>
      <c r="AA102" s="184"/>
      <c r="AC102" s="41">
        <v>532</v>
      </c>
      <c r="AU102" s="123"/>
      <c r="AV102" s="123"/>
      <c r="AW102" s="160"/>
    </row>
    <row r="103" spans="1:49" x14ac:dyDescent="0.3">
      <c r="A103" s="297">
        <v>61</v>
      </c>
      <c r="C103" s="45" t="s">
        <v>1077</v>
      </c>
      <c r="F103" s="319">
        <v>0</v>
      </c>
      <c r="G103" s="1"/>
      <c r="H103" s="184">
        <f t="shared" si="13"/>
        <v>0</v>
      </c>
      <c r="I103" s="1"/>
      <c r="J103" s="238">
        <v>15.95</v>
      </c>
      <c r="K103" s="5"/>
      <c r="L103" s="3">
        <f>ROUND((F103*J103),0)</f>
        <v>0</v>
      </c>
      <c r="M103" s="1"/>
      <c r="N103" s="4">
        <f t="shared" si="14"/>
        <v>0</v>
      </c>
      <c r="O103" s="1"/>
      <c r="P103" s="3">
        <f t="shared" si="15"/>
        <v>0</v>
      </c>
      <c r="Q103" s="1"/>
      <c r="R103" s="3">
        <f t="shared" si="16"/>
        <v>0</v>
      </c>
      <c r="S103" s="1"/>
      <c r="V103" s="238"/>
      <c r="Y103" s="318"/>
      <c r="AA103" s="184"/>
      <c r="AC103" s="41">
        <v>487</v>
      </c>
      <c r="AU103" s="123"/>
      <c r="AV103" s="123"/>
      <c r="AW103" s="160"/>
    </row>
    <row r="104" spans="1:49" x14ac:dyDescent="0.3">
      <c r="A104" s="297">
        <v>62</v>
      </c>
      <c r="C104" s="45" t="s">
        <v>1078</v>
      </c>
      <c r="F104" s="319">
        <v>252</v>
      </c>
      <c r="G104" s="1"/>
      <c r="H104" s="184">
        <f t="shared" si="13"/>
        <v>11172</v>
      </c>
      <c r="I104" s="1"/>
      <c r="J104" s="238">
        <v>40.25</v>
      </c>
      <c r="K104" s="5"/>
      <c r="L104" s="3">
        <f t="shared" ref="L104:L110" si="17">ROUND((F104*J104),0)</f>
        <v>10143</v>
      </c>
      <c r="M104" s="1"/>
      <c r="N104" s="4">
        <f t="shared" si="14"/>
        <v>0.6</v>
      </c>
      <c r="O104" s="1"/>
      <c r="P104" s="3">
        <f t="shared" si="15"/>
        <v>39</v>
      </c>
      <c r="Q104" s="1"/>
      <c r="R104" s="3">
        <f t="shared" si="16"/>
        <v>10182</v>
      </c>
      <c r="S104" s="1"/>
      <c r="T104" s="238"/>
      <c r="W104" s="238"/>
      <c r="Y104" s="318"/>
      <c r="AA104" s="184"/>
      <c r="AC104" s="41">
        <v>532</v>
      </c>
      <c r="AU104" s="123"/>
      <c r="AV104" s="123"/>
      <c r="AW104" s="160"/>
    </row>
    <row r="105" spans="1:49" x14ac:dyDescent="0.3">
      <c r="A105" s="297">
        <v>63</v>
      </c>
      <c r="C105" s="42" t="s">
        <v>763</v>
      </c>
      <c r="F105" s="319">
        <v>696</v>
      </c>
      <c r="G105" s="1"/>
      <c r="H105" s="184">
        <f t="shared" si="13"/>
        <v>30856</v>
      </c>
      <c r="I105" s="1"/>
      <c r="J105" s="238">
        <v>24.38</v>
      </c>
      <c r="K105" s="5"/>
      <c r="L105" s="3">
        <f t="shared" si="17"/>
        <v>16968</v>
      </c>
      <c r="M105" s="1"/>
      <c r="N105" s="4">
        <f t="shared" si="14"/>
        <v>1</v>
      </c>
      <c r="O105" s="1"/>
      <c r="P105" s="3">
        <f t="shared" si="15"/>
        <v>108</v>
      </c>
      <c r="Q105" s="1"/>
      <c r="R105" s="3">
        <f t="shared" si="16"/>
        <v>17076</v>
      </c>
      <c r="S105" s="1"/>
      <c r="V105" s="238"/>
      <c r="Y105" s="318"/>
      <c r="AA105" s="159"/>
      <c r="AC105" s="41">
        <v>532</v>
      </c>
      <c r="AU105" s="123"/>
      <c r="AV105" s="123"/>
      <c r="AW105" s="160"/>
    </row>
    <row r="106" spans="1:49" x14ac:dyDescent="0.3">
      <c r="A106" s="297">
        <v>64</v>
      </c>
      <c r="C106" s="42" t="s">
        <v>402</v>
      </c>
      <c r="F106" s="319">
        <v>622</v>
      </c>
      <c r="G106" s="1"/>
      <c r="H106" s="184">
        <f t="shared" si="13"/>
        <v>25243</v>
      </c>
      <c r="I106" s="1"/>
      <c r="J106" s="238">
        <v>19.39</v>
      </c>
      <c r="K106" s="5"/>
      <c r="L106" s="3">
        <f t="shared" si="17"/>
        <v>12061</v>
      </c>
      <c r="M106" s="1"/>
      <c r="N106" s="4">
        <f t="shared" si="14"/>
        <v>0.7</v>
      </c>
      <c r="O106" s="1"/>
      <c r="P106" s="3">
        <f t="shared" si="15"/>
        <v>88</v>
      </c>
      <c r="Q106" s="1"/>
      <c r="R106" s="3">
        <f t="shared" si="16"/>
        <v>12149</v>
      </c>
      <c r="Y106" s="318"/>
      <c r="AA106" s="184"/>
      <c r="AC106" s="41">
        <v>487</v>
      </c>
      <c r="AU106" s="123"/>
      <c r="AV106" s="123"/>
      <c r="AW106" s="160"/>
    </row>
    <row r="107" spans="1:49" x14ac:dyDescent="0.3">
      <c r="A107" s="297">
        <v>65</v>
      </c>
      <c r="C107" s="42" t="s">
        <v>403</v>
      </c>
      <c r="F107" s="319">
        <v>0</v>
      </c>
      <c r="G107" s="1"/>
      <c r="H107" s="184">
        <f t="shared" si="13"/>
        <v>0</v>
      </c>
      <c r="I107" s="1"/>
      <c r="J107" s="238">
        <v>24.38</v>
      </c>
      <c r="K107" s="5"/>
      <c r="L107" s="3">
        <f t="shared" si="17"/>
        <v>0</v>
      </c>
      <c r="M107" s="1"/>
      <c r="N107" s="4">
        <f t="shared" si="14"/>
        <v>0</v>
      </c>
      <c r="O107" s="1"/>
      <c r="P107" s="3">
        <f t="shared" si="15"/>
        <v>0</v>
      </c>
      <c r="Q107" s="1"/>
      <c r="R107" s="3">
        <f t="shared" si="16"/>
        <v>0</v>
      </c>
      <c r="S107" s="1"/>
      <c r="V107" s="238"/>
      <c r="Y107" s="318"/>
      <c r="AA107" s="184"/>
      <c r="AC107" s="41">
        <v>532</v>
      </c>
      <c r="AU107" s="123"/>
      <c r="AV107" s="123"/>
      <c r="AW107" s="160"/>
    </row>
    <row r="108" spans="1:49" x14ac:dyDescent="0.3">
      <c r="A108" s="297">
        <v>66</v>
      </c>
      <c r="C108" s="45" t="s">
        <v>396</v>
      </c>
      <c r="F108" s="184">
        <v>168</v>
      </c>
      <c r="G108" s="1"/>
      <c r="H108" s="184">
        <f t="shared" si="13"/>
        <v>14322</v>
      </c>
      <c r="I108" s="159"/>
      <c r="J108" s="238">
        <v>20.88</v>
      </c>
      <c r="K108" s="258"/>
      <c r="L108" s="3">
        <f t="shared" si="17"/>
        <v>3508</v>
      </c>
      <c r="M108" s="3"/>
      <c r="N108" s="4">
        <f t="shared" si="14"/>
        <v>0.2</v>
      </c>
      <c r="O108" s="4"/>
      <c r="P108" s="3">
        <f t="shared" si="15"/>
        <v>50</v>
      </c>
      <c r="Q108" s="3"/>
      <c r="R108" s="3">
        <f t="shared" si="16"/>
        <v>3558</v>
      </c>
      <c r="S108" s="1"/>
      <c r="V108" s="238"/>
      <c r="Y108" s="318"/>
      <c r="AA108" s="184"/>
      <c r="AC108" s="41">
        <v>1023</v>
      </c>
      <c r="AU108" s="123"/>
      <c r="AV108" s="123"/>
      <c r="AW108" s="160"/>
    </row>
    <row r="109" spans="1:49" x14ac:dyDescent="0.3">
      <c r="A109" s="297">
        <v>67</v>
      </c>
      <c r="C109" s="45" t="s">
        <v>397</v>
      </c>
      <c r="F109" s="184">
        <v>60</v>
      </c>
      <c r="G109" s="1"/>
      <c r="H109" s="184">
        <f t="shared" si="13"/>
        <v>9795</v>
      </c>
      <c r="I109" s="159"/>
      <c r="J109" s="238">
        <v>29.82</v>
      </c>
      <c r="K109" s="258"/>
      <c r="L109" s="3">
        <f t="shared" si="17"/>
        <v>1789</v>
      </c>
      <c r="M109" s="3"/>
      <c r="N109" s="4">
        <f t="shared" si="14"/>
        <v>0.1</v>
      </c>
      <c r="O109" s="4"/>
      <c r="P109" s="3">
        <f t="shared" si="15"/>
        <v>34</v>
      </c>
      <c r="Q109" s="3"/>
      <c r="R109" s="3">
        <f t="shared" si="16"/>
        <v>1823</v>
      </c>
      <c r="S109" s="1"/>
      <c r="V109" s="238"/>
      <c r="Y109" s="318"/>
      <c r="AA109" s="1"/>
      <c r="AC109" s="41">
        <v>1959</v>
      </c>
    </row>
    <row r="110" spans="1:49" x14ac:dyDescent="0.3">
      <c r="A110" s="297">
        <v>68</v>
      </c>
      <c r="C110" s="45" t="s">
        <v>398</v>
      </c>
      <c r="F110" s="184">
        <v>12</v>
      </c>
      <c r="G110" s="1"/>
      <c r="H110" s="184">
        <f t="shared" si="13"/>
        <v>1959</v>
      </c>
      <c r="I110" s="159"/>
      <c r="J110" s="238">
        <v>43.19</v>
      </c>
      <c r="K110" s="258"/>
      <c r="L110" s="3">
        <f t="shared" si="17"/>
        <v>518</v>
      </c>
      <c r="M110" s="3"/>
      <c r="N110" s="253">
        <f t="shared" si="14"/>
        <v>0</v>
      </c>
      <c r="O110" s="4"/>
      <c r="P110" s="49">
        <f t="shared" si="15"/>
        <v>7</v>
      </c>
      <c r="Q110" s="3"/>
      <c r="R110" s="3">
        <f t="shared" si="16"/>
        <v>525</v>
      </c>
      <c r="S110" s="1"/>
      <c r="V110" s="238"/>
      <c r="Y110" s="318"/>
      <c r="AA110" s="184"/>
      <c r="AC110" s="41">
        <v>1959</v>
      </c>
    </row>
    <row r="111" spans="1:49" x14ac:dyDescent="0.3">
      <c r="A111" s="297">
        <v>69</v>
      </c>
      <c r="B111" s="291"/>
      <c r="C111" s="178" t="s">
        <v>267</v>
      </c>
      <c r="F111" s="145">
        <f>SUM(F46:F110)</f>
        <v>9654</v>
      </c>
      <c r="G111" s="1"/>
      <c r="H111" s="145">
        <f>SUM(H46:H110)</f>
        <v>607503</v>
      </c>
      <c r="I111" s="3"/>
      <c r="J111" s="1"/>
      <c r="K111" s="1"/>
      <c r="L111" s="145">
        <f>SUM(L46:L110)</f>
        <v>184508</v>
      </c>
      <c r="M111" s="3"/>
      <c r="N111" s="211">
        <f t="shared" si="14"/>
        <v>11.4</v>
      </c>
      <c r="O111" s="6"/>
      <c r="P111" s="145">
        <f>ROUND(H111*CUR_FAC,0)</f>
        <v>2118</v>
      </c>
      <c r="Q111" s="3"/>
      <c r="R111" s="145">
        <f>SUM(R46:R110)</f>
        <v>186629</v>
      </c>
      <c r="Y111" s="318"/>
      <c r="AA111" s="184"/>
    </row>
    <row r="112" spans="1:49" x14ac:dyDescent="0.3">
      <c r="A112" s="297">
        <v>70</v>
      </c>
      <c r="B112" s="291"/>
      <c r="Y112" s="318"/>
      <c r="AA112" s="184"/>
    </row>
    <row r="113" spans="1:46" x14ac:dyDescent="0.3">
      <c r="A113" s="297">
        <v>71</v>
      </c>
      <c r="B113" s="291"/>
      <c r="C113" s="178" t="s">
        <v>1061</v>
      </c>
      <c r="F113" s="3"/>
      <c r="G113" s="1"/>
      <c r="H113" s="3"/>
      <c r="I113" s="3"/>
      <c r="J113" s="1"/>
      <c r="K113" s="1"/>
      <c r="L113" s="3"/>
      <c r="M113" s="3"/>
      <c r="N113" s="4"/>
      <c r="O113" s="6"/>
      <c r="P113" s="3"/>
      <c r="Q113" s="3"/>
      <c r="R113" s="3"/>
      <c r="S113" s="1"/>
      <c r="V113" s="238"/>
      <c r="Y113" s="318"/>
      <c r="AA113" s="184"/>
    </row>
    <row r="114" spans="1:46" x14ac:dyDescent="0.3">
      <c r="A114" s="297">
        <v>72</v>
      </c>
      <c r="B114" s="291"/>
      <c r="C114" s="45" t="s">
        <v>1062</v>
      </c>
      <c r="F114" s="319">
        <v>204</v>
      </c>
      <c r="G114" s="1"/>
      <c r="H114" s="3"/>
      <c r="I114" s="3"/>
      <c r="J114" s="238">
        <v>7.14</v>
      </c>
      <c r="K114" s="1"/>
      <c r="L114" s="3">
        <f>ROUND((F114*J114),0)</f>
        <v>1457</v>
      </c>
      <c r="M114" s="1"/>
      <c r="N114" s="4">
        <f t="shared" ref="N114:N128" si="18">ROUND((L114/L$139)*100,1)</f>
        <v>0.1</v>
      </c>
      <c r="O114" s="1"/>
      <c r="P114" s="3"/>
      <c r="Q114" s="1"/>
      <c r="R114" s="3">
        <f>L114+P114</f>
        <v>1457</v>
      </c>
      <c r="S114" s="1"/>
      <c r="V114" s="238"/>
      <c r="Y114" s="318"/>
      <c r="AA114" s="184"/>
    </row>
    <row r="115" spans="1:46" x14ac:dyDescent="0.3">
      <c r="A115" s="297">
        <v>73</v>
      </c>
      <c r="B115" s="291"/>
      <c r="C115" s="45" t="s">
        <v>1063</v>
      </c>
      <c r="F115" s="319">
        <v>212</v>
      </c>
      <c r="G115" s="1"/>
      <c r="H115" s="3"/>
      <c r="I115" s="3"/>
      <c r="J115" s="238">
        <v>7.05</v>
      </c>
      <c r="K115" s="1"/>
      <c r="L115" s="3">
        <f t="shared" ref="L115:L127" si="19">ROUND((F115*J115),0)</f>
        <v>1495</v>
      </c>
      <c r="M115" s="1"/>
      <c r="N115" s="4">
        <f t="shared" si="18"/>
        <v>0.1</v>
      </c>
      <c r="O115" s="1"/>
      <c r="P115" s="3"/>
      <c r="Q115" s="1"/>
      <c r="R115" s="3">
        <f t="shared" ref="R115:R127" si="20">L115+P115</f>
        <v>1495</v>
      </c>
      <c r="S115" s="1"/>
      <c r="V115" s="238"/>
      <c r="Y115" s="318"/>
      <c r="AA115" s="184"/>
    </row>
    <row r="116" spans="1:46" x14ac:dyDescent="0.3">
      <c r="A116" s="297">
        <v>74</v>
      </c>
      <c r="B116" s="291"/>
      <c r="C116" s="45" t="s">
        <v>1064</v>
      </c>
      <c r="F116" s="319">
        <v>1525</v>
      </c>
      <c r="G116" s="1"/>
      <c r="H116" s="3"/>
      <c r="I116" s="3"/>
      <c r="J116" s="238">
        <v>7.14</v>
      </c>
      <c r="K116" s="1"/>
      <c r="L116" s="3">
        <f t="shared" si="19"/>
        <v>10889</v>
      </c>
      <c r="M116" s="1"/>
      <c r="N116" s="4">
        <f t="shared" si="18"/>
        <v>0.7</v>
      </c>
      <c r="O116" s="1"/>
      <c r="P116" s="3"/>
      <c r="Q116" s="1"/>
      <c r="R116" s="3">
        <f t="shared" si="20"/>
        <v>10889</v>
      </c>
      <c r="S116" s="1"/>
      <c r="V116" s="238"/>
      <c r="Y116" s="318"/>
      <c r="AA116" s="184"/>
    </row>
    <row r="117" spans="1:46" x14ac:dyDescent="0.3">
      <c r="A117" s="297">
        <v>75</v>
      </c>
      <c r="B117" s="291"/>
      <c r="C117" s="45" t="s">
        <v>1065</v>
      </c>
      <c r="F117" s="319">
        <v>1611</v>
      </c>
      <c r="G117" s="1"/>
      <c r="H117" s="3"/>
      <c r="I117" s="3"/>
      <c r="J117" s="238">
        <v>8.5500000000000007</v>
      </c>
      <c r="K117" s="1"/>
      <c r="L117" s="3">
        <f t="shared" si="19"/>
        <v>13774</v>
      </c>
      <c r="M117" s="1"/>
      <c r="N117" s="4">
        <f t="shared" si="18"/>
        <v>0.9</v>
      </c>
      <c r="O117" s="1"/>
      <c r="P117" s="3"/>
      <c r="Q117" s="1"/>
      <c r="R117" s="3">
        <f t="shared" si="20"/>
        <v>13774</v>
      </c>
      <c r="S117" s="1"/>
      <c r="V117" s="238"/>
      <c r="Y117" s="318"/>
      <c r="AA117" s="184"/>
    </row>
    <row r="118" spans="1:46" x14ac:dyDescent="0.3">
      <c r="A118" s="297">
        <v>76</v>
      </c>
      <c r="C118" s="45" t="s">
        <v>1066</v>
      </c>
      <c r="F118" s="319">
        <v>780</v>
      </c>
      <c r="G118" s="1"/>
      <c r="H118" s="3"/>
      <c r="I118" s="3"/>
      <c r="J118" s="238">
        <v>19.399999999999999</v>
      </c>
      <c r="K118" s="1"/>
      <c r="L118" s="3">
        <f t="shared" si="19"/>
        <v>15132</v>
      </c>
      <c r="M118" s="1"/>
      <c r="N118" s="4">
        <f t="shared" si="18"/>
        <v>0.9</v>
      </c>
      <c r="O118" s="1"/>
      <c r="P118" s="3"/>
      <c r="Q118" s="1"/>
      <c r="R118" s="3">
        <f t="shared" si="20"/>
        <v>15132</v>
      </c>
      <c r="S118" s="1"/>
      <c r="V118" s="238"/>
      <c r="Y118" s="318"/>
      <c r="AA118" s="184"/>
    </row>
    <row r="119" spans="1:46" x14ac:dyDescent="0.3">
      <c r="A119" s="297">
        <v>77</v>
      </c>
      <c r="C119" s="45" t="s">
        <v>1067</v>
      </c>
      <c r="F119" s="319">
        <v>708</v>
      </c>
      <c r="G119" s="1"/>
      <c r="H119" s="3"/>
      <c r="I119" s="3"/>
      <c r="J119" s="238">
        <v>11.24</v>
      </c>
      <c r="K119" s="1"/>
      <c r="L119" s="3">
        <f t="shared" si="19"/>
        <v>7958</v>
      </c>
      <c r="M119" s="1"/>
      <c r="N119" s="4">
        <f t="shared" si="18"/>
        <v>0.5</v>
      </c>
      <c r="O119" s="1"/>
      <c r="P119" s="3"/>
      <c r="Q119" s="1"/>
      <c r="R119" s="3">
        <f t="shared" si="20"/>
        <v>7958</v>
      </c>
      <c r="S119" s="1"/>
      <c r="V119" s="238"/>
      <c r="Y119" s="318"/>
      <c r="AA119" s="184"/>
    </row>
    <row r="120" spans="1:46" x14ac:dyDescent="0.3">
      <c r="A120" s="297">
        <v>78</v>
      </c>
      <c r="C120" s="45" t="s">
        <v>1068</v>
      </c>
      <c r="F120" s="319">
        <v>168</v>
      </c>
      <c r="G120" s="1"/>
      <c r="H120" s="3"/>
      <c r="I120" s="3"/>
      <c r="J120" s="238">
        <v>11.37</v>
      </c>
      <c r="K120" s="1"/>
      <c r="L120" s="3">
        <f t="shared" si="19"/>
        <v>1910</v>
      </c>
      <c r="M120" s="1"/>
      <c r="N120" s="4">
        <f t="shared" si="18"/>
        <v>0.1</v>
      </c>
      <c r="O120" s="1"/>
      <c r="P120" s="3"/>
      <c r="Q120" s="1"/>
      <c r="R120" s="3">
        <f t="shared" si="20"/>
        <v>1910</v>
      </c>
      <c r="S120" s="1"/>
      <c r="U120" s="135"/>
      <c r="V120" s="238"/>
      <c r="W120" s="135"/>
      <c r="Y120" s="318"/>
      <c r="AA120" s="184"/>
    </row>
    <row r="121" spans="1:46" x14ac:dyDescent="0.3">
      <c r="A121" s="297">
        <v>79</v>
      </c>
      <c r="C121" s="45" t="s">
        <v>1069</v>
      </c>
      <c r="F121" s="319">
        <v>84</v>
      </c>
      <c r="G121" s="1"/>
      <c r="H121" s="3"/>
      <c r="I121" s="3"/>
      <c r="J121" s="238">
        <v>22.46</v>
      </c>
      <c r="K121" s="1"/>
      <c r="L121" s="3">
        <f t="shared" si="19"/>
        <v>1887</v>
      </c>
      <c r="M121" s="1"/>
      <c r="N121" s="4">
        <f t="shared" si="18"/>
        <v>0.1</v>
      </c>
      <c r="O121" s="1"/>
      <c r="P121" s="3"/>
      <c r="Q121" s="1"/>
      <c r="R121" s="3">
        <f t="shared" si="20"/>
        <v>1887</v>
      </c>
      <c r="S121" s="1"/>
      <c r="U121" s="135"/>
      <c r="V121" s="238"/>
      <c r="W121" s="135"/>
      <c r="Y121" s="318"/>
      <c r="AA121" s="184"/>
    </row>
    <row r="122" spans="1:46" x14ac:dyDescent="0.3">
      <c r="A122" s="297">
        <v>80</v>
      </c>
      <c r="B122" s="293"/>
      <c r="C122" s="45" t="s">
        <v>1070</v>
      </c>
      <c r="F122" s="319">
        <v>6003</v>
      </c>
      <c r="G122" s="1"/>
      <c r="H122" s="3"/>
      <c r="I122" s="3"/>
      <c r="J122" s="238">
        <v>7.14</v>
      </c>
      <c r="K122" s="1"/>
      <c r="L122" s="3">
        <f t="shared" si="19"/>
        <v>42861</v>
      </c>
      <c r="M122" s="1"/>
      <c r="N122" s="4">
        <f t="shared" si="18"/>
        <v>2.6</v>
      </c>
      <c r="O122" s="1"/>
      <c r="P122" s="3"/>
      <c r="Q122" s="1"/>
      <c r="R122" s="3">
        <f t="shared" si="20"/>
        <v>42861</v>
      </c>
      <c r="S122" s="1"/>
      <c r="U122" s="135"/>
      <c r="V122" s="238"/>
      <c r="W122" s="135"/>
      <c r="Y122" s="318"/>
      <c r="AA122" s="184"/>
    </row>
    <row r="123" spans="1:46" x14ac:dyDescent="0.3">
      <c r="A123" s="297">
        <v>81</v>
      </c>
      <c r="B123" s="293"/>
      <c r="C123" s="45" t="s">
        <v>1071</v>
      </c>
      <c r="F123" s="319">
        <v>216</v>
      </c>
      <c r="G123" s="1"/>
      <c r="H123" s="3"/>
      <c r="I123" s="3"/>
      <c r="J123" s="238">
        <v>20.86</v>
      </c>
      <c r="K123" s="1"/>
      <c r="L123" s="3">
        <f t="shared" si="19"/>
        <v>4506</v>
      </c>
      <c r="M123" s="1"/>
      <c r="N123" s="4">
        <f t="shared" si="18"/>
        <v>0.3</v>
      </c>
      <c r="O123" s="1"/>
      <c r="P123" s="3"/>
      <c r="Q123" s="1"/>
      <c r="R123" s="3">
        <f t="shared" si="20"/>
        <v>4506</v>
      </c>
      <c r="S123" s="1"/>
      <c r="U123" s="135"/>
      <c r="V123" s="238"/>
      <c r="W123" s="135"/>
      <c r="Y123" s="318"/>
      <c r="AA123" s="184"/>
    </row>
    <row r="124" spans="1:46" x14ac:dyDescent="0.3">
      <c r="A124" s="297">
        <v>82</v>
      </c>
      <c r="C124" s="45" t="s">
        <v>1072</v>
      </c>
      <c r="F124" s="319">
        <v>204</v>
      </c>
      <c r="G124" s="1"/>
      <c r="H124" s="3"/>
      <c r="I124" s="3"/>
      <c r="J124" s="238">
        <v>13.57</v>
      </c>
      <c r="K124" s="1"/>
      <c r="L124" s="3">
        <f t="shared" si="19"/>
        <v>2768</v>
      </c>
      <c r="M124" s="1"/>
      <c r="N124" s="4">
        <f t="shared" si="18"/>
        <v>0.2</v>
      </c>
      <c r="O124" s="1"/>
      <c r="P124" s="3"/>
      <c r="Q124" s="1"/>
      <c r="R124" s="3">
        <f t="shared" si="20"/>
        <v>2768</v>
      </c>
      <c r="S124" s="1"/>
      <c r="V124" s="238"/>
      <c r="Y124" s="318"/>
      <c r="AA124" s="184"/>
    </row>
    <row r="125" spans="1:46" x14ac:dyDescent="0.3">
      <c r="A125" s="297">
        <v>83</v>
      </c>
      <c r="C125" s="45" t="s">
        <v>1073</v>
      </c>
      <c r="F125" s="319">
        <v>27</v>
      </c>
      <c r="G125" s="1"/>
      <c r="H125" s="3"/>
      <c r="I125" s="3"/>
      <c r="J125" s="238">
        <v>13.95</v>
      </c>
      <c r="K125" s="1"/>
      <c r="L125" s="3">
        <f t="shared" si="19"/>
        <v>377</v>
      </c>
      <c r="M125" s="1"/>
      <c r="N125" s="4">
        <f t="shared" si="18"/>
        <v>0</v>
      </c>
      <c r="O125" s="1"/>
      <c r="P125" s="3"/>
      <c r="Q125" s="1"/>
      <c r="R125" s="3">
        <f t="shared" si="20"/>
        <v>377</v>
      </c>
      <c r="S125" s="1"/>
      <c r="V125" s="238"/>
      <c r="Y125" s="318"/>
      <c r="AA125" s="184"/>
    </row>
    <row r="126" spans="1:46" x14ac:dyDescent="0.3">
      <c r="A126" s="297">
        <v>84</v>
      </c>
      <c r="C126" s="45" t="s">
        <v>1074</v>
      </c>
      <c r="F126" s="319">
        <v>0</v>
      </c>
      <c r="G126" s="1"/>
      <c r="H126" s="3"/>
      <c r="I126" s="3"/>
      <c r="J126" s="238">
        <v>18.34</v>
      </c>
      <c r="K126" s="1"/>
      <c r="L126" s="3">
        <f t="shared" si="19"/>
        <v>0</v>
      </c>
      <c r="M126" s="1"/>
      <c r="N126" s="4">
        <f t="shared" si="18"/>
        <v>0</v>
      </c>
      <c r="O126" s="1"/>
      <c r="P126" s="3"/>
      <c r="Q126" s="1"/>
      <c r="R126" s="3">
        <f t="shared" si="20"/>
        <v>0</v>
      </c>
      <c r="S126" s="1"/>
      <c r="V126" s="238"/>
      <c r="Y126" s="318"/>
      <c r="AA126" s="184"/>
    </row>
    <row r="127" spans="1:46" x14ac:dyDescent="0.3">
      <c r="A127" s="297">
        <v>85</v>
      </c>
      <c r="C127" s="45" t="s">
        <v>1075</v>
      </c>
      <c r="F127" s="319">
        <v>0</v>
      </c>
      <c r="G127" s="1"/>
      <c r="H127" s="3"/>
      <c r="I127" s="3"/>
      <c r="J127" s="238">
        <v>27.02</v>
      </c>
      <c r="K127" s="1"/>
      <c r="L127" s="3">
        <f t="shared" si="19"/>
        <v>0</v>
      </c>
      <c r="M127" s="1"/>
      <c r="N127" s="4">
        <f t="shared" si="18"/>
        <v>0</v>
      </c>
      <c r="O127" s="1"/>
      <c r="P127" s="3"/>
      <c r="Q127" s="1"/>
      <c r="R127" s="3">
        <f t="shared" si="20"/>
        <v>0</v>
      </c>
      <c r="U127" s="40"/>
      <c r="V127" s="301"/>
      <c r="W127" s="40"/>
      <c r="X127" s="40"/>
      <c r="Y127" s="318"/>
      <c r="Z127" s="40"/>
      <c r="AA127" s="1"/>
      <c r="AB127" s="40"/>
      <c r="AC127" s="40"/>
      <c r="AD127" s="40"/>
      <c r="AE127" s="40"/>
      <c r="AF127" s="40"/>
      <c r="AG127" s="166"/>
      <c r="AH127" s="40"/>
      <c r="AI127" s="40"/>
      <c r="AJ127" s="40"/>
      <c r="AK127" s="166"/>
      <c r="AL127" s="40"/>
      <c r="AM127" s="40"/>
      <c r="AT127" s="123"/>
    </row>
    <row r="128" spans="1:46" x14ac:dyDescent="0.3">
      <c r="A128" s="297">
        <v>86</v>
      </c>
      <c r="C128" s="178" t="s">
        <v>1060</v>
      </c>
      <c r="F128" s="145">
        <f>SUM(F113:F127)</f>
        <v>11742</v>
      </c>
      <c r="G128" s="1"/>
      <c r="H128" s="145"/>
      <c r="I128" s="3"/>
      <c r="J128" s="1"/>
      <c r="K128" s="1"/>
      <c r="L128" s="145">
        <f>SUM(L113:L127)</f>
        <v>105014</v>
      </c>
      <c r="M128" s="3"/>
      <c r="N128" s="211">
        <f t="shared" si="18"/>
        <v>6.5</v>
      </c>
      <c r="O128" s="6"/>
      <c r="P128" s="145"/>
      <c r="Q128" s="3"/>
      <c r="R128" s="145">
        <f>SUM(R113:R127)</f>
        <v>105014</v>
      </c>
      <c r="S128" s="1"/>
      <c r="U128" s="40"/>
      <c r="V128" s="238"/>
      <c r="W128" s="40"/>
      <c r="X128" s="40"/>
      <c r="Y128" s="318"/>
      <c r="Z128" s="40"/>
      <c r="AA128" s="184"/>
      <c r="AB128" s="40"/>
      <c r="AD128" s="40"/>
      <c r="AE128" s="40"/>
      <c r="AF128" s="40"/>
      <c r="AG128" s="166"/>
      <c r="AH128" s="40"/>
      <c r="AI128" s="40"/>
      <c r="AJ128" s="40"/>
      <c r="AK128" s="166"/>
      <c r="AL128" s="40"/>
      <c r="AM128" s="40"/>
      <c r="AT128" s="184"/>
    </row>
    <row r="129" spans="1:46" x14ac:dyDescent="0.3">
      <c r="A129" s="297">
        <v>87</v>
      </c>
      <c r="S129" s="1"/>
      <c r="U129" s="40"/>
      <c r="V129" s="238"/>
      <c r="W129" s="40"/>
      <c r="X129" s="40"/>
      <c r="Y129" s="318"/>
      <c r="Z129" s="40"/>
      <c r="AA129" s="184"/>
      <c r="AB129" s="40"/>
      <c r="AD129" s="40"/>
      <c r="AE129" s="40"/>
      <c r="AF129" s="40"/>
      <c r="AG129" s="166"/>
      <c r="AH129" s="40"/>
      <c r="AI129" s="40"/>
      <c r="AJ129" s="40"/>
      <c r="AK129" s="166"/>
      <c r="AL129" s="40"/>
      <c r="AM129" s="40"/>
      <c r="AT129" s="184"/>
    </row>
    <row r="130" spans="1:46" x14ac:dyDescent="0.3">
      <c r="A130" s="297">
        <v>88</v>
      </c>
      <c r="C130" s="320" t="s">
        <v>1145</v>
      </c>
      <c r="F130" s="3"/>
      <c r="G130" s="1"/>
      <c r="H130" s="3"/>
      <c r="I130" s="3"/>
      <c r="J130" s="1"/>
      <c r="K130" s="1"/>
      <c r="L130" s="3"/>
      <c r="M130" s="3"/>
      <c r="N130" s="4"/>
      <c r="O130" s="6"/>
      <c r="P130" s="123"/>
      <c r="Q130" s="3"/>
      <c r="R130" s="3"/>
      <c r="S130" s="1"/>
      <c r="U130" s="40"/>
      <c r="V130" s="238"/>
      <c r="W130" s="40"/>
      <c r="X130" s="40"/>
      <c r="Y130" s="318"/>
      <c r="Z130" s="40"/>
      <c r="AA130" s="184"/>
      <c r="AB130" s="40"/>
      <c r="AD130" s="40"/>
      <c r="AE130" s="40"/>
      <c r="AF130" s="40"/>
      <c r="AG130" s="166"/>
      <c r="AH130" s="40"/>
      <c r="AI130" s="40"/>
      <c r="AJ130" s="40"/>
      <c r="AK130" s="166"/>
      <c r="AL130" s="40"/>
      <c r="AM130" s="40"/>
      <c r="AT130" s="184"/>
    </row>
    <row r="131" spans="1:46" x14ac:dyDescent="0.3">
      <c r="A131" s="297">
        <v>89</v>
      </c>
      <c r="C131" s="192" t="str">
        <f>ESM_Name</f>
        <v>ENVIRONMENTAL SURCHARGE MECHANISM RIDER (ESM)</v>
      </c>
      <c r="F131" s="3"/>
      <c r="G131" s="1"/>
      <c r="H131" s="3"/>
      <c r="I131" s="3"/>
      <c r="J131" s="318">
        <f>PRO_ESM_NONRES</f>
        <v>5.7995821086186533E-3</v>
      </c>
      <c r="K131" s="1"/>
      <c r="L131" s="3">
        <f>ROUND((R42-(PRO_BASE_FUEL*H42)-P42+R111-(PRO_BASE_FUEL*H111)-P111+R132+R128)*J131,0)</f>
        <v>7862</v>
      </c>
      <c r="M131" s="3"/>
      <c r="N131" s="4">
        <f>ROUND((L131/L$139)*100,1)</f>
        <v>0.5</v>
      </c>
      <c r="O131" s="6"/>
      <c r="P131" s="123"/>
      <c r="Q131" s="3"/>
      <c r="R131" s="3">
        <f>L131+P131</f>
        <v>7862</v>
      </c>
      <c r="S131" s="1"/>
      <c r="V131" s="238"/>
      <c r="Y131" s="318"/>
      <c r="AA131" s="184"/>
      <c r="AM131" s="42"/>
      <c r="AR131" s="42"/>
      <c r="AT131" s="123"/>
    </row>
    <row r="132" spans="1:46" x14ac:dyDescent="0.3">
      <c r="A132" s="297">
        <v>90</v>
      </c>
      <c r="C132" s="192" t="str">
        <f>PSM_Name</f>
        <v>PROFIT SHARING MECHANISM (PSM)</v>
      </c>
      <c r="F132" s="3"/>
      <c r="G132" s="1"/>
      <c r="H132" s="3"/>
      <c r="I132" s="3"/>
      <c r="J132" s="321">
        <f>PRO_PSM</f>
        <v>2.4750000000000002E-3</v>
      </c>
      <c r="K132" s="1"/>
      <c r="L132" s="49">
        <f>ROUND(($H$111+$H$42)*J132,0)</f>
        <v>16973</v>
      </c>
      <c r="M132" s="3"/>
      <c r="N132" s="177">
        <f>ROUND((L132/L$139)*100,1)</f>
        <v>1</v>
      </c>
      <c r="O132" s="6"/>
      <c r="P132" s="259"/>
      <c r="Q132" s="3"/>
      <c r="R132" s="49">
        <f>L132+P132</f>
        <v>16973</v>
      </c>
      <c r="S132" s="1"/>
      <c r="V132" s="238"/>
      <c r="Y132" s="318"/>
      <c r="AA132" s="184"/>
      <c r="AM132" s="42"/>
      <c r="AR132" s="42"/>
      <c r="AT132" s="123"/>
    </row>
    <row r="133" spans="1:46" x14ac:dyDescent="0.3">
      <c r="A133" s="297">
        <v>91</v>
      </c>
      <c r="C133" s="132" t="s">
        <v>465</v>
      </c>
      <c r="F133" s="3"/>
      <c r="G133" s="1"/>
      <c r="H133" s="3"/>
      <c r="I133" s="3"/>
      <c r="J133" s="1"/>
      <c r="K133" s="1"/>
      <c r="L133" s="145">
        <f>SUM(L131:L132)</f>
        <v>24835</v>
      </c>
      <c r="M133" s="3"/>
      <c r="N133" s="180">
        <f>ROUND((L133/L$139)*100,1)</f>
        <v>1.5</v>
      </c>
      <c r="O133" s="6"/>
      <c r="P133" s="276"/>
      <c r="Q133" s="3"/>
      <c r="R133" s="145">
        <f>SUM(R131:R132)</f>
        <v>24835</v>
      </c>
      <c r="S133" s="1"/>
      <c r="V133" s="238"/>
      <c r="Y133" s="318"/>
      <c r="AA133" s="184"/>
      <c r="AM133" s="42"/>
      <c r="AR133" s="42"/>
      <c r="AT133" s="123"/>
    </row>
    <row r="134" spans="1:46" x14ac:dyDescent="0.3">
      <c r="A134" s="297">
        <v>92</v>
      </c>
      <c r="S134" s="1"/>
      <c r="V134" s="238"/>
      <c r="Y134" s="318"/>
      <c r="AA134" s="184"/>
      <c r="AM134" s="42"/>
      <c r="AR134" s="42"/>
      <c r="AT134" s="123"/>
    </row>
    <row r="135" spans="1:46" x14ac:dyDescent="0.3">
      <c r="A135" s="297">
        <v>93</v>
      </c>
      <c r="C135" s="132" t="s">
        <v>304</v>
      </c>
      <c r="F135" s="3"/>
      <c r="G135" s="1"/>
      <c r="H135" s="123"/>
      <c r="I135" s="3"/>
      <c r="J135" s="1"/>
      <c r="K135" s="1"/>
      <c r="L135" s="1"/>
      <c r="M135" s="1"/>
      <c r="N135" s="4"/>
      <c r="O135" s="1"/>
      <c r="P135" s="3"/>
      <c r="Q135" s="3"/>
      <c r="R135" s="4"/>
      <c r="S135" s="1"/>
      <c r="V135" s="238"/>
      <c r="Y135" s="318"/>
      <c r="AA135" s="184"/>
      <c r="AM135" s="42"/>
      <c r="AR135" s="42"/>
      <c r="AT135" s="123"/>
    </row>
    <row r="136" spans="1:46" x14ac:dyDescent="0.3">
      <c r="A136" s="297">
        <v>94</v>
      </c>
      <c r="C136" s="42" t="s">
        <v>1125</v>
      </c>
      <c r="F136" s="184">
        <f>ROUND((F42/88045)*4932,0)</f>
        <v>4589</v>
      </c>
      <c r="G136" s="1"/>
      <c r="H136" s="3"/>
      <c r="I136" s="159"/>
      <c r="J136" s="238">
        <v>0.87</v>
      </c>
      <c r="K136" s="258"/>
      <c r="L136" s="3">
        <f>ROUND((F136*J136),0)</f>
        <v>3992</v>
      </c>
      <c r="M136" s="3"/>
      <c r="N136" s="4">
        <f>ROUND((L136/L$139)*100,1)</f>
        <v>0.2</v>
      </c>
      <c r="O136" s="4"/>
      <c r="P136" s="3"/>
      <c r="Q136" s="3"/>
      <c r="R136" s="3">
        <f>L136+P136</f>
        <v>3992</v>
      </c>
      <c r="S136" s="1"/>
      <c r="V136" s="238"/>
      <c r="Y136" s="318"/>
      <c r="AA136" s="184"/>
      <c r="AM136" s="42"/>
      <c r="AR136" s="42"/>
      <c r="AT136" s="123"/>
    </row>
    <row r="137" spans="1:46" x14ac:dyDescent="0.3">
      <c r="A137" s="297">
        <v>95</v>
      </c>
      <c r="C137" s="42" t="s">
        <v>1126</v>
      </c>
      <c r="F137" s="197">
        <f>ROUND(20364*(F111/12995),0)</f>
        <v>15128</v>
      </c>
      <c r="G137" s="1"/>
      <c r="H137" s="159"/>
      <c r="I137" s="159"/>
      <c r="J137" s="238">
        <v>1.26</v>
      </c>
      <c r="K137" s="258"/>
      <c r="L137" s="3">
        <f>ROUND((F137*J137),0)</f>
        <v>19061</v>
      </c>
      <c r="M137" s="3"/>
      <c r="N137" s="253">
        <f>ROUND((L137/L$139)*100,1)</f>
        <v>1.2</v>
      </c>
      <c r="O137" s="4"/>
      <c r="P137" s="3"/>
      <c r="Q137" s="3"/>
      <c r="R137" s="49">
        <f>L137+P137</f>
        <v>19061</v>
      </c>
      <c r="S137" s="1"/>
      <c r="V137" s="238"/>
      <c r="Y137" s="318"/>
      <c r="AA137" s="184"/>
      <c r="AM137" s="42"/>
      <c r="AR137" s="42"/>
      <c r="AT137" s="123"/>
    </row>
    <row r="138" spans="1:46" x14ac:dyDescent="0.3">
      <c r="A138" s="297">
        <v>96</v>
      </c>
      <c r="C138" s="132" t="s">
        <v>305</v>
      </c>
      <c r="F138" s="262">
        <f>SUM(F136:F137)</f>
        <v>19717</v>
      </c>
      <c r="G138" s="1"/>
      <c r="H138" s="159"/>
      <c r="I138" s="159"/>
      <c r="J138" s="258"/>
      <c r="K138" s="258"/>
      <c r="L138" s="262">
        <f>SUM(L136:L137)</f>
        <v>23053</v>
      </c>
      <c r="M138" s="258"/>
      <c r="N138" s="211">
        <f>ROUND((L138/L$139)*100,1)</f>
        <v>1.4</v>
      </c>
      <c r="O138" s="258"/>
      <c r="P138" s="145">
        <v>0</v>
      </c>
      <c r="Q138" s="3"/>
      <c r="R138" s="49">
        <f>SUM(R136:R137)</f>
        <v>23053</v>
      </c>
      <c r="S138" s="1"/>
      <c r="V138" s="238"/>
      <c r="Y138" s="318"/>
      <c r="AA138" s="184"/>
      <c r="AM138" s="42"/>
      <c r="AR138" s="42"/>
      <c r="AT138" s="123"/>
    </row>
    <row r="139" spans="1:46" ht="16.2" thickBot="1" x14ac:dyDescent="0.35">
      <c r="A139" s="297">
        <v>97</v>
      </c>
      <c r="C139" s="132" t="s">
        <v>477</v>
      </c>
      <c r="F139" s="162">
        <f>F42+F111+F128</f>
        <v>103310</v>
      </c>
      <c r="G139" s="1"/>
      <c r="H139" s="162">
        <f>H42+H111</f>
        <v>6857780</v>
      </c>
      <c r="I139" s="3"/>
      <c r="J139" s="1"/>
      <c r="K139" s="1"/>
      <c r="L139" s="162">
        <f>L42+L111+L133+L138+L128</f>
        <v>1618201</v>
      </c>
      <c r="M139" s="3"/>
      <c r="N139" s="302">
        <v>100</v>
      </c>
      <c r="O139" s="4"/>
      <c r="P139" s="151">
        <f>ROUND(H139*CUR_FAC,0)</f>
        <v>23915</v>
      </c>
      <c r="Q139" s="3"/>
      <c r="R139" s="162">
        <f>R42+R111+R133+R138+R128</f>
        <v>1642118</v>
      </c>
      <c r="S139" s="1"/>
      <c r="V139" s="238"/>
      <c r="Y139" s="318"/>
      <c r="AA139" s="184"/>
      <c r="AM139" s="42"/>
      <c r="AR139" s="42"/>
      <c r="AT139" s="123"/>
    </row>
    <row r="140" spans="1:46" ht="16.2" thickTop="1" x14ac:dyDescent="0.3">
      <c r="C140" s="42"/>
      <c r="F140" s="319"/>
      <c r="G140" s="1"/>
      <c r="H140" s="184"/>
      <c r="I140" s="159"/>
      <c r="J140" s="238"/>
      <c r="K140" s="258"/>
      <c r="L140" s="3"/>
      <c r="M140" s="3"/>
      <c r="N140" s="4"/>
      <c r="O140" s="4"/>
      <c r="P140" s="3"/>
      <c r="Q140" s="3"/>
      <c r="R140" s="3"/>
      <c r="S140" s="1"/>
      <c r="V140" s="238"/>
      <c r="Y140" s="188"/>
      <c r="AM140" s="42"/>
      <c r="AR140" s="42"/>
      <c r="AT140" s="123"/>
    </row>
    <row r="141" spans="1:46" x14ac:dyDescent="0.3">
      <c r="A141" s="202" t="s">
        <v>76</v>
      </c>
      <c r="B141" s="294"/>
      <c r="C141" s="294"/>
      <c r="D141" s="294"/>
      <c r="E141" s="294"/>
      <c r="F141" s="294"/>
      <c r="G141" s="294"/>
      <c r="H141" s="294"/>
      <c r="I141" s="294"/>
      <c r="J141" s="264"/>
      <c r="K141" s="294"/>
      <c r="L141" s="295"/>
      <c r="M141" s="294"/>
      <c r="N141" s="294"/>
      <c r="O141" s="294"/>
      <c r="P141" s="264"/>
      <c r="Q141" s="153"/>
      <c r="R141" s="153"/>
      <c r="V141" s="42"/>
      <c r="AA141" s="123"/>
      <c r="AC141" s="123"/>
      <c r="AD141" s="123"/>
      <c r="AE141" s="219"/>
      <c r="AF141" s="219"/>
      <c r="AH141" s="123"/>
      <c r="AI141" s="160"/>
      <c r="AJ141" s="160"/>
      <c r="AL141" s="123"/>
      <c r="AM141" s="236"/>
      <c r="AN141" s="236"/>
      <c r="AO141" s="123"/>
      <c r="AP141" s="123"/>
      <c r="AR141" s="123"/>
      <c r="AS141" s="160"/>
    </row>
    <row r="142" spans="1:46" x14ac:dyDescent="0.3">
      <c r="A142" s="202" t="str">
        <f>"(1A) REFLECTS FUEL COST RECOVERY INCLUDED IN BASE RATES OF "&amp;TEXT(CUR_BASE_FUEL,"$0.000000;($0.000000)")&amp;"  PER KWH."</f>
        <v>(1A) REFLECTS FUEL COST RECOVERY INCLUDED IN BASE RATES OF $0.033780  PER KWH.</v>
      </c>
      <c r="B142" s="294"/>
      <c r="C142" s="294"/>
      <c r="D142" s="294"/>
      <c r="E142" s="294"/>
      <c r="F142" s="296"/>
      <c r="G142" s="294"/>
      <c r="H142" s="294"/>
      <c r="I142" s="294"/>
      <c r="J142" s="264"/>
      <c r="K142" s="294"/>
      <c r="L142" s="295"/>
      <c r="M142" s="294"/>
      <c r="N142" s="294"/>
      <c r="O142" s="294"/>
      <c r="P142" s="264"/>
      <c r="Q142" s="153"/>
      <c r="R142" s="153"/>
      <c r="V142" s="42"/>
      <c r="AA142" s="123"/>
      <c r="AC142" s="123"/>
      <c r="AD142" s="123"/>
      <c r="AE142" s="219"/>
      <c r="AF142" s="219"/>
      <c r="AH142" s="123"/>
      <c r="AI142" s="160"/>
      <c r="AJ142" s="160"/>
      <c r="AL142" s="123"/>
      <c r="AM142" s="236"/>
      <c r="AN142" s="236"/>
      <c r="AO142" s="123"/>
      <c r="AP142" s="123"/>
      <c r="AR142" s="123"/>
      <c r="AS142" s="160"/>
    </row>
    <row r="143" spans="1:46" x14ac:dyDescent="0.3">
      <c r="A143" s="202" t="str">
        <f>"(2) REFLECTS FUEL COMPONENT OF "&amp;TEXT(CUR_FAC,"$0.000000;($0.000000)")&amp;"  PER KWH."</f>
        <v>(2) REFLECTS FUEL COMPONENT OF $0.003487  PER KWH.</v>
      </c>
      <c r="B143" s="294"/>
      <c r="C143" s="294"/>
      <c r="D143" s="294"/>
      <c r="E143" s="294"/>
      <c r="F143" s="296"/>
      <c r="G143" s="294"/>
      <c r="H143" s="294"/>
      <c r="I143" s="294"/>
      <c r="J143" s="264"/>
      <c r="K143" s="294"/>
      <c r="L143" s="295"/>
      <c r="M143" s="294"/>
      <c r="N143" s="294"/>
      <c r="O143" s="294"/>
      <c r="P143" s="264"/>
      <c r="Q143" s="153"/>
      <c r="R143" s="153"/>
      <c r="V143" s="42"/>
      <c r="AA143" s="123"/>
      <c r="AC143" s="123"/>
      <c r="AD143" s="123"/>
      <c r="AE143" s="219"/>
      <c r="AF143" s="219"/>
      <c r="AH143" s="123"/>
      <c r="AI143" s="160"/>
      <c r="AJ143" s="160"/>
      <c r="AL143" s="123"/>
      <c r="AM143" s="236"/>
      <c r="AN143" s="236"/>
      <c r="AO143" s="123"/>
      <c r="AP143" s="123"/>
      <c r="AR143" s="123"/>
      <c r="AS143" s="160"/>
    </row>
    <row r="144" spans="1:46" x14ac:dyDescent="0.3">
      <c r="A144" s="202" t="str">
        <f>"(3) REFLECTS REDUCTION IN LIGHTING SYSTEMS."</f>
        <v>(3) REFLECTS REDUCTION IN LIGHTING SYSTEMS.</v>
      </c>
      <c r="B144" s="294"/>
      <c r="C144" s="294"/>
      <c r="D144" s="294"/>
      <c r="E144" s="294"/>
      <c r="F144" s="296"/>
      <c r="G144" s="294"/>
      <c r="H144" s="294"/>
      <c r="I144" s="294"/>
      <c r="J144" s="264"/>
      <c r="K144" s="294"/>
      <c r="L144" s="295"/>
      <c r="M144" s="294"/>
      <c r="N144" s="294"/>
      <c r="O144" s="294"/>
      <c r="P144" s="264"/>
      <c r="Q144" s="153"/>
      <c r="R144" s="153"/>
      <c r="V144" s="42"/>
      <c r="AA144" s="123"/>
      <c r="AC144" s="123"/>
      <c r="AD144" s="123"/>
      <c r="AE144" s="212"/>
      <c r="AF144" s="212"/>
      <c r="AH144" s="123"/>
      <c r="AI144" s="160"/>
      <c r="AJ144" s="160"/>
      <c r="AL144" s="123"/>
      <c r="AM144" s="236"/>
      <c r="AN144" s="236"/>
      <c r="AO144" s="123"/>
      <c r="AP144" s="123"/>
      <c r="AR144" s="123"/>
      <c r="AS144" s="160"/>
    </row>
    <row r="145" spans="1:53" x14ac:dyDescent="0.3">
      <c r="A145" s="264"/>
      <c r="B145" s="294"/>
      <c r="C145" s="294"/>
      <c r="D145" s="294"/>
      <c r="E145" s="294"/>
      <c r="F145" s="296"/>
      <c r="G145" s="294"/>
      <c r="H145" s="294"/>
      <c r="I145" s="294"/>
      <c r="J145" s="264"/>
      <c r="K145" s="294"/>
      <c r="L145" s="295"/>
      <c r="M145" s="294"/>
      <c r="N145" s="294"/>
      <c r="O145" s="294"/>
      <c r="P145" s="264"/>
      <c r="Q145" s="153"/>
      <c r="R145" s="153"/>
    </row>
    <row r="146" spans="1:53" x14ac:dyDescent="0.3">
      <c r="C146" s="42"/>
      <c r="F146" s="319"/>
      <c r="G146" s="1"/>
      <c r="H146" s="184"/>
      <c r="I146" s="159"/>
      <c r="J146" s="238"/>
      <c r="K146" s="258"/>
      <c r="L146" s="3"/>
      <c r="M146" s="3"/>
      <c r="N146" s="4"/>
      <c r="O146" s="4"/>
      <c r="P146" s="3"/>
      <c r="Q146" s="3"/>
      <c r="R146" s="3"/>
      <c r="S146" s="1"/>
      <c r="V146" s="238"/>
      <c r="Y146" s="188"/>
      <c r="AM146" s="42"/>
      <c r="AR146" s="42"/>
      <c r="AT146" s="123"/>
    </row>
    <row r="147" spans="1:53" x14ac:dyDescent="0.3">
      <c r="C147" s="42"/>
      <c r="F147" s="319"/>
      <c r="G147" s="1"/>
      <c r="H147" s="184"/>
      <c r="I147" s="159"/>
      <c r="J147" s="238"/>
      <c r="K147" s="258"/>
      <c r="L147" s="3"/>
      <c r="M147" s="3"/>
      <c r="N147" s="4"/>
      <c r="O147" s="4"/>
      <c r="P147" s="3"/>
      <c r="Q147" s="3"/>
      <c r="R147" s="3"/>
      <c r="S147" s="1"/>
      <c r="V147" s="238"/>
      <c r="Y147" s="188"/>
      <c r="AM147" s="42"/>
      <c r="AR147" s="42"/>
      <c r="AT147" s="123"/>
    </row>
    <row r="148" spans="1:53" x14ac:dyDescent="0.3">
      <c r="A148" s="264"/>
      <c r="B148" s="294"/>
      <c r="C148" s="294"/>
      <c r="D148" s="294"/>
      <c r="E148" s="294"/>
      <c r="F148" s="296"/>
      <c r="G148" s="294"/>
      <c r="H148" s="294"/>
      <c r="I148" s="294"/>
      <c r="J148" s="264"/>
      <c r="K148" s="294"/>
      <c r="L148" s="295"/>
      <c r="M148" s="294"/>
      <c r="N148" s="294"/>
      <c r="O148" s="294"/>
      <c r="P148" s="264"/>
      <c r="Q148" s="153"/>
      <c r="R148" s="153"/>
      <c r="AA148" s="123"/>
      <c r="AC148" s="123"/>
      <c r="AD148" s="123"/>
      <c r="AE148" s="212"/>
      <c r="AF148" s="212"/>
      <c r="AH148" s="123"/>
      <c r="AI148" s="160"/>
      <c r="AJ148" s="160"/>
      <c r="AL148" s="123"/>
      <c r="AM148" s="236"/>
      <c r="AN148" s="236"/>
      <c r="AO148" s="123"/>
      <c r="AP148" s="123"/>
      <c r="AR148" s="123"/>
      <c r="AS148" s="160"/>
    </row>
    <row r="149" spans="1:53" x14ac:dyDescent="0.3">
      <c r="A149" s="264"/>
      <c r="B149" s="294"/>
      <c r="C149" s="294"/>
      <c r="D149" s="294"/>
      <c r="E149" s="294"/>
      <c r="F149" s="296"/>
      <c r="G149" s="294"/>
      <c r="H149" s="294"/>
      <c r="I149" s="294"/>
      <c r="J149" s="264"/>
      <c r="K149" s="294"/>
      <c r="L149" s="295"/>
      <c r="M149" s="294"/>
      <c r="N149" s="294"/>
      <c r="O149" s="294"/>
      <c r="P149" s="264"/>
      <c r="Q149" s="153"/>
      <c r="R149" s="153"/>
    </row>
    <row r="150" spans="1:53" ht="18" customHeight="1" x14ac:dyDescent="0.3">
      <c r="A150" s="45"/>
      <c r="F150" s="188"/>
      <c r="J150" s="45"/>
      <c r="V150" s="42"/>
      <c r="AA150" s="123"/>
      <c r="AC150" s="123"/>
      <c r="AD150" s="123"/>
      <c r="AE150" s="213"/>
      <c r="AF150" s="213"/>
      <c r="AH150" s="123"/>
      <c r="AI150" s="160"/>
      <c r="AJ150" s="160"/>
      <c r="AL150" s="123"/>
      <c r="AM150" s="160"/>
      <c r="AN150" s="160"/>
      <c r="AO150" s="123"/>
      <c r="AP150" s="123"/>
      <c r="AR150" s="123"/>
      <c r="AS150" s="160"/>
    </row>
    <row r="151" spans="1:53" ht="15" customHeight="1" x14ac:dyDescent="0.3">
      <c r="A151" s="45"/>
      <c r="F151" s="123"/>
      <c r="H151" s="123"/>
      <c r="J151" s="45"/>
      <c r="N151" s="188"/>
      <c r="P151" s="45"/>
      <c r="V151" s="42"/>
      <c r="AA151" s="184"/>
      <c r="AC151" s="184"/>
      <c r="AD151" s="184"/>
      <c r="AE151" s="213"/>
      <c r="AF151" s="213"/>
      <c r="AH151" s="123"/>
      <c r="AI151" s="160"/>
      <c r="AJ151" s="160"/>
      <c r="AL151" s="123"/>
      <c r="AO151" s="123"/>
      <c r="AP151" s="123"/>
      <c r="AR151" s="123"/>
      <c r="AS151" s="160"/>
    </row>
    <row r="153" spans="1:53" x14ac:dyDescent="0.3">
      <c r="V153" s="42"/>
      <c r="AA153" s="123"/>
      <c r="AC153" s="184"/>
      <c r="AD153" s="184"/>
      <c r="AE153" s="193"/>
      <c r="AF153" s="193"/>
      <c r="AH153" s="123"/>
      <c r="AI153" s="160"/>
      <c r="AJ153" s="160"/>
      <c r="AL153" s="123"/>
      <c r="AM153" s="236"/>
      <c r="AN153" s="236"/>
      <c r="AR153" s="123"/>
      <c r="AS153" s="160"/>
    </row>
    <row r="154" spans="1:53" x14ac:dyDescent="0.3">
      <c r="C154" s="42"/>
      <c r="F154" s="3"/>
      <c r="G154" s="1"/>
      <c r="H154" s="123"/>
      <c r="I154" s="3"/>
      <c r="J154" s="1"/>
      <c r="K154" s="1"/>
      <c r="L154" s="1"/>
      <c r="M154" s="1"/>
      <c r="N154" s="1"/>
      <c r="O154" s="1"/>
      <c r="P154" s="3"/>
      <c r="Q154" s="3"/>
      <c r="R154" s="4"/>
      <c r="S154" s="6"/>
      <c r="T154" s="3"/>
      <c r="U154" s="3"/>
      <c r="V154" s="3"/>
      <c r="Z154" s="44"/>
      <c r="AA154" s="44"/>
      <c r="AB154" s="44"/>
      <c r="AC154" s="44"/>
      <c r="AD154" s="44"/>
      <c r="AE154" s="44"/>
      <c r="AG154" s="168"/>
      <c r="AH154" s="44"/>
      <c r="AI154" s="44"/>
      <c r="AJ154" s="44"/>
      <c r="AK154" s="168"/>
      <c r="AL154" s="44"/>
      <c r="AM154" s="44"/>
      <c r="AN154" s="44"/>
      <c r="AO154" s="44"/>
      <c r="AP154" s="44"/>
      <c r="AQ154" s="168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</row>
    <row r="155" spans="1:53" x14ac:dyDescent="0.3">
      <c r="C155" s="42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4"/>
      <c r="T155" s="469" t="str">
        <f>NAME</f>
        <v>DUKE ENERGY KENTUCKY, INC.</v>
      </c>
      <c r="U155" s="469"/>
      <c r="V155" s="469"/>
      <c r="W155" s="469"/>
      <c r="X155" s="469"/>
      <c r="Y155" s="469"/>
      <c r="Z155" s="469"/>
      <c r="AA155" s="469"/>
      <c r="AB155" s="469"/>
      <c r="AC155" s="469"/>
      <c r="AD155" s="469"/>
      <c r="AE155" s="469"/>
      <c r="AF155" s="469"/>
      <c r="AG155" s="469"/>
      <c r="AH155" s="469"/>
      <c r="AI155" s="469"/>
      <c r="AJ155" s="469"/>
      <c r="AK155" s="469"/>
      <c r="AL155" s="469"/>
      <c r="AM155" s="469"/>
      <c r="AN155" s="469"/>
      <c r="AO155" s="469"/>
      <c r="AP155" s="469"/>
      <c r="AQ155" s="469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</row>
    <row r="156" spans="1:53" x14ac:dyDescent="0.3">
      <c r="C156" s="42"/>
      <c r="F156" s="159"/>
      <c r="G156" s="3"/>
      <c r="H156" s="159"/>
      <c r="I156" s="159"/>
      <c r="J156" s="159"/>
      <c r="K156" s="159"/>
      <c r="L156" s="258"/>
      <c r="M156" s="159"/>
      <c r="N156" s="159"/>
      <c r="O156" s="159"/>
      <c r="P156" s="3"/>
      <c r="Q156" s="3"/>
      <c r="R156" s="3"/>
      <c r="S156" s="4"/>
      <c r="T156" s="40" t="str">
        <f>CASE_NO</f>
        <v>CASE NO.   2024-00354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</row>
    <row r="157" spans="1:53" x14ac:dyDescent="0.3">
      <c r="C157" s="42"/>
      <c r="F157" s="159"/>
      <c r="G157" s="3"/>
      <c r="H157" s="159"/>
      <c r="I157" s="159"/>
      <c r="J157" s="159"/>
      <c r="K157" s="159"/>
      <c r="L157" s="159"/>
      <c r="M157" s="159"/>
      <c r="N157" s="159"/>
      <c r="O157" s="159"/>
      <c r="P157" s="159"/>
      <c r="Q157" s="3"/>
      <c r="R157" s="159"/>
      <c r="S157" s="4"/>
      <c r="T157" s="40" t="str">
        <f>TITLE</f>
        <v>ANNUALIZED TEST YEAR REVENUES AT REHEARING ORDER CALCULATED VS. MOST CURRENT RATES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</row>
    <row r="158" spans="1:53" x14ac:dyDescent="0.3">
      <c r="C158" s="42"/>
      <c r="F158" s="184"/>
      <c r="G158" s="123"/>
      <c r="H158" s="184"/>
      <c r="I158" s="184"/>
      <c r="J158" s="184"/>
      <c r="K158" s="184"/>
      <c r="L158" s="123"/>
      <c r="M158" s="123"/>
      <c r="N158" s="123"/>
      <c r="O158" s="123"/>
      <c r="P158" s="123"/>
      <c r="Q158" s="123"/>
      <c r="R158" s="123"/>
      <c r="T158" s="40" t="str">
        <f>DATE</f>
        <v>FOR THE TWELVE MONTHS ENDED June 30, 2026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123"/>
      <c r="AS158" s="160"/>
    </row>
    <row r="159" spans="1:53" x14ac:dyDescent="0.3">
      <c r="F159" s="210"/>
      <c r="H159" s="123"/>
      <c r="I159" s="123"/>
      <c r="J159" s="213"/>
      <c r="K159" s="213"/>
      <c r="L159" s="210"/>
      <c r="M159" s="210"/>
      <c r="N159" s="210"/>
      <c r="O159" s="210"/>
      <c r="P159" s="210"/>
      <c r="Q159" s="210"/>
      <c r="R159" s="210"/>
      <c r="T159" s="40" t="str">
        <f>SERVICE</f>
        <v>(ELECTRIC SERVICE)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123"/>
      <c r="AS159" s="160"/>
    </row>
    <row r="160" spans="1:53" x14ac:dyDescent="0.3">
      <c r="F160" s="210"/>
      <c r="H160" s="123"/>
      <c r="I160" s="123"/>
      <c r="J160" s="213"/>
      <c r="K160" s="213"/>
      <c r="L160" s="210"/>
      <c r="M160" s="210"/>
      <c r="N160" s="210"/>
      <c r="O160" s="210"/>
      <c r="P160" s="210"/>
      <c r="Q160" s="210"/>
      <c r="R160" s="210"/>
      <c r="T160" s="41" t="str">
        <f>DATA_PERIOD</f>
        <v>DATA: ____ BASE PERIOD   __X__FORECASTED PERIOD</v>
      </c>
      <c r="AG160" s="41"/>
      <c r="AK160" s="41"/>
      <c r="AO160" s="42" t="s">
        <v>158</v>
      </c>
      <c r="AQ160" s="41"/>
    </row>
    <row r="161" spans="3:51" x14ac:dyDescent="0.3">
      <c r="C161" s="42"/>
      <c r="F161" s="184"/>
      <c r="H161" s="184"/>
      <c r="I161" s="184"/>
      <c r="J161" s="237"/>
      <c r="K161" s="237"/>
      <c r="L161" s="123"/>
      <c r="M161" s="123"/>
      <c r="N161" s="160"/>
      <c r="O161" s="160"/>
      <c r="P161" s="123"/>
      <c r="Q161" s="123"/>
      <c r="R161" s="123"/>
      <c r="S161" s="123"/>
      <c r="T161" s="41" t="str">
        <f>TYPE</f>
        <v>TYPE OF FILING: _X_ ORIGINAL   ___UPDATED  ___ REVISED</v>
      </c>
      <c r="AG161" s="41"/>
      <c r="AK161" s="41"/>
      <c r="AO161" s="45" t="str">
        <f>"PAGE 13 OF "&amp;TEXT(Page_Num_2.2,"00")</f>
        <v>PAGE 13 OF 24</v>
      </c>
      <c r="AQ161" s="41"/>
      <c r="AR161" s="123"/>
      <c r="AS161" s="160"/>
    </row>
    <row r="162" spans="3:51" x14ac:dyDescent="0.3">
      <c r="C162" s="42"/>
      <c r="F162" s="184"/>
      <c r="H162" s="184"/>
      <c r="I162" s="184"/>
      <c r="J162" s="193"/>
      <c r="K162" s="193"/>
      <c r="L162" s="123"/>
      <c r="M162" s="123"/>
      <c r="N162" s="160"/>
      <c r="O162" s="160"/>
      <c r="P162" s="123"/>
      <c r="Q162" s="123"/>
      <c r="R162" s="123"/>
      <c r="T162" s="42" t="s">
        <v>171</v>
      </c>
      <c r="AO162" s="42" t="s">
        <v>4</v>
      </c>
      <c r="AP162" s="42"/>
    </row>
    <row r="163" spans="3:51" x14ac:dyDescent="0.3">
      <c r="F163" s="123"/>
      <c r="H163" s="210"/>
      <c r="I163" s="210"/>
      <c r="J163" s="213"/>
      <c r="K163" s="213"/>
      <c r="L163" s="210"/>
      <c r="M163" s="210"/>
      <c r="N163" s="210"/>
      <c r="O163" s="210"/>
      <c r="P163" s="210"/>
      <c r="Q163" s="210"/>
      <c r="R163" s="210"/>
      <c r="T163" s="153" t="str">
        <f>TIME</f>
        <v>12 Months Projected with Riders</v>
      </c>
      <c r="AF163" s="42"/>
      <c r="AO163" s="123" t="str">
        <f>WIT</f>
        <v>B. L. Sailers</v>
      </c>
      <c r="AR163" s="123"/>
      <c r="AS163" s="160"/>
    </row>
    <row r="164" spans="3:51" x14ac:dyDescent="0.3">
      <c r="F164" s="123"/>
      <c r="H164" s="210"/>
      <c r="I164" s="210"/>
      <c r="J164" s="213"/>
      <c r="K164" s="213"/>
      <c r="L164" s="210"/>
      <c r="M164" s="210"/>
      <c r="N164" s="210"/>
      <c r="O164" s="210"/>
      <c r="P164" s="210"/>
      <c r="Q164" s="210"/>
      <c r="R164" s="210"/>
      <c r="T164" s="40" t="s">
        <v>131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166"/>
      <c r="AH164" s="40"/>
      <c r="AI164" s="40"/>
      <c r="AJ164" s="40"/>
      <c r="AK164" s="166"/>
      <c r="AL164" s="40"/>
      <c r="AM164" s="40"/>
      <c r="AN164" s="40"/>
      <c r="AO164" s="40"/>
      <c r="AP164" s="40"/>
      <c r="AR164" s="123"/>
      <c r="AS164" s="160"/>
    </row>
    <row r="165" spans="3:51" x14ac:dyDescent="0.3">
      <c r="F165" s="123"/>
      <c r="H165" s="210"/>
      <c r="I165" s="210"/>
      <c r="J165" s="213"/>
      <c r="K165" s="213"/>
      <c r="L165" s="210"/>
      <c r="M165" s="210"/>
      <c r="N165" s="210"/>
      <c r="O165" s="210"/>
      <c r="P165" s="210"/>
      <c r="Q165" s="210"/>
      <c r="R165" s="210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43"/>
      <c r="AF165" s="43"/>
      <c r="AG165" s="167"/>
      <c r="AH165" s="43"/>
      <c r="AI165" s="43"/>
      <c r="AJ165" s="43"/>
      <c r="AK165" s="167"/>
      <c r="AL165" s="43"/>
      <c r="AM165" s="43"/>
      <c r="AN165" s="135"/>
      <c r="AO165" s="135"/>
      <c r="AP165" s="135"/>
    </row>
    <row r="166" spans="3:51" ht="18" customHeight="1" x14ac:dyDescent="0.3">
      <c r="C166" s="42"/>
      <c r="F166" s="123"/>
      <c r="H166" s="123"/>
      <c r="I166" s="123"/>
      <c r="J166" s="213"/>
      <c r="K166" s="213"/>
      <c r="L166" s="123"/>
      <c r="M166" s="123"/>
      <c r="N166" s="123"/>
      <c r="O166" s="123"/>
      <c r="P166" s="123"/>
      <c r="Q166" s="123"/>
      <c r="R166" s="123"/>
      <c r="T166" s="191"/>
      <c r="U166" s="191"/>
      <c r="V166" s="191"/>
      <c r="W166" s="191"/>
      <c r="X166" s="191"/>
      <c r="Y166" s="191"/>
      <c r="Z166" s="191"/>
      <c r="AA166" s="191"/>
      <c r="AB166" s="191"/>
      <c r="AC166" s="191"/>
      <c r="AD166" s="191"/>
      <c r="AE166" s="44" t="s">
        <v>8</v>
      </c>
      <c r="AF166" s="44"/>
      <c r="AG166" s="168" t="s">
        <v>7</v>
      </c>
      <c r="AH166" s="44"/>
      <c r="AI166" s="44" t="s">
        <v>9</v>
      </c>
      <c r="AJ166" s="44"/>
      <c r="AK166" s="168" t="s">
        <v>10</v>
      </c>
      <c r="AL166" s="44"/>
      <c r="AN166" s="191"/>
      <c r="AO166" s="272" t="s">
        <v>8</v>
      </c>
      <c r="AP166" s="272"/>
      <c r="AQ166" s="273" t="s">
        <v>11</v>
      </c>
      <c r="AR166" s="123"/>
    </row>
    <row r="167" spans="3:51" x14ac:dyDescent="0.3">
      <c r="C167" s="42"/>
      <c r="F167" s="123"/>
      <c r="H167" s="184"/>
      <c r="I167" s="184"/>
      <c r="J167" s="238"/>
      <c r="K167" s="238"/>
      <c r="L167" s="123"/>
      <c r="M167" s="123"/>
      <c r="N167" s="160"/>
      <c r="O167" s="160"/>
      <c r="P167" s="123"/>
      <c r="Q167" s="123"/>
      <c r="R167" s="123"/>
      <c r="AC167" s="44" t="s">
        <v>14</v>
      </c>
      <c r="AD167" s="44"/>
      <c r="AE167" s="44" t="s">
        <v>12</v>
      </c>
      <c r="AF167" s="44"/>
      <c r="AG167" s="168" t="s">
        <v>13</v>
      </c>
      <c r="AH167" s="44"/>
      <c r="AI167" s="44" t="s">
        <v>15</v>
      </c>
      <c r="AJ167" s="44"/>
      <c r="AK167" s="168" t="s">
        <v>16</v>
      </c>
      <c r="AL167" s="44"/>
      <c r="AO167" s="44" t="s">
        <v>11</v>
      </c>
      <c r="AP167" s="44"/>
      <c r="AQ167" s="168" t="s">
        <v>9</v>
      </c>
    </row>
    <row r="168" spans="3:51" x14ac:dyDescent="0.3">
      <c r="C168" s="42"/>
      <c r="H168" s="184"/>
      <c r="I168" s="184"/>
      <c r="J168" s="238"/>
      <c r="K168" s="238"/>
      <c r="L168" s="123"/>
      <c r="M168" s="123"/>
      <c r="N168" s="160"/>
      <c r="O168" s="160"/>
      <c r="P168" s="123"/>
      <c r="Q168" s="123"/>
      <c r="R168" s="123"/>
      <c r="T168" s="44" t="s">
        <v>17</v>
      </c>
      <c r="V168" s="44" t="s">
        <v>18</v>
      </c>
      <c r="W168" s="44" t="s">
        <v>19</v>
      </c>
      <c r="X168" s="44"/>
      <c r="Y168" s="44" t="s">
        <v>20</v>
      </c>
      <c r="AC168" s="44" t="s">
        <v>8</v>
      </c>
      <c r="AD168" s="44"/>
      <c r="AE168" s="44" t="s">
        <v>842</v>
      </c>
      <c r="AF168" s="44"/>
      <c r="AG168" s="168" t="s">
        <v>842</v>
      </c>
      <c r="AH168" s="44"/>
      <c r="AI168" s="46" t="s">
        <v>965</v>
      </c>
      <c r="AJ168" s="44"/>
      <c r="AK168" s="169" t="s">
        <v>965</v>
      </c>
      <c r="AL168" s="44"/>
      <c r="AM168" s="44" t="s">
        <v>842</v>
      </c>
      <c r="AN168" s="44"/>
      <c r="AO168" s="44" t="s">
        <v>9</v>
      </c>
      <c r="AP168" s="44"/>
      <c r="AQ168" s="168" t="s">
        <v>21</v>
      </c>
      <c r="AT168" s="44" t="s">
        <v>405</v>
      </c>
      <c r="AX168" s="41" t="s">
        <v>301</v>
      </c>
      <c r="AY168" s="41" t="s">
        <v>302</v>
      </c>
    </row>
    <row r="169" spans="3:51" x14ac:dyDescent="0.3">
      <c r="F169" s="123"/>
      <c r="H169" s="123"/>
      <c r="I169" s="123"/>
      <c r="J169" s="213"/>
      <c r="K169" s="213"/>
      <c r="L169" s="210"/>
      <c r="M169" s="210"/>
      <c r="N169" s="210"/>
      <c r="O169" s="210"/>
      <c r="P169" s="210"/>
      <c r="Q169" s="210"/>
      <c r="R169" s="210"/>
      <c r="T169" s="44" t="s">
        <v>22</v>
      </c>
      <c r="V169" s="44" t="s">
        <v>23</v>
      </c>
      <c r="W169" s="44" t="s">
        <v>24</v>
      </c>
      <c r="X169" s="44"/>
      <c r="Y169" s="44" t="s">
        <v>25</v>
      </c>
      <c r="AA169" s="44" t="s">
        <v>26</v>
      </c>
      <c r="AB169" s="44"/>
      <c r="AC169" s="46" t="s">
        <v>326</v>
      </c>
      <c r="AD169" s="44"/>
      <c r="AE169" s="44" t="s">
        <v>9</v>
      </c>
      <c r="AF169" s="44"/>
      <c r="AG169" s="168" t="s">
        <v>9</v>
      </c>
      <c r="AH169" s="44"/>
      <c r="AI169" s="141" t="s">
        <v>29</v>
      </c>
      <c r="AJ169" s="141"/>
      <c r="AK169" s="170" t="s">
        <v>30</v>
      </c>
      <c r="AL169" s="44"/>
      <c r="AM169" s="44" t="s">
        <v>324</v>
      </c>
      <c r="AN169" s="44"/>
      <c r="AO169" s="141" t="s">
        <v>31</v>
      </c>
      <c r="AP169" s="141"/>
      <c r="AQ169" s="170" t="s">
        <v>32</v>
      </c>
      <c r="AT169" s="44" t="s">
        <v>406</v>
      </c>
      <c r="AW169" s="41" t="s">
        <v>300</v>
      </c>
      <c r="AX169" s="41" t="s">
        <v>299</v>
      </c>
      <c r="AY169" s="41" t="s">
        <v>299</v>
      </c>
    </row>
    <row r="170" spans="3:51" x14ac:dyDescent="0.3">
      <c r="C170" s="42"/>
      <c r="F170" s="123"/>
      <c r="H170" s="123"/>
      <c r="I170" s="123"/>
      <c r="J170" s="219"/>
      <c r="K170" s="219"/>
      <c r="L170" s="123"/>
      <c r="M170" s="123"/>
      <c r="N170" s="160"/>
      <c r="O170" s="160"/>
      <c r="P170" s="123"/>
      <c r="Q170" s="123"/>
      <c r="R170" s="123"/>
      <c r="V170" s="141" t="s">
        <v>33</v>
      </c>
      <c r="W170" s="141" t="s">
        <v>34</v>
      </c>
      <c r="X170" s="141"/>
      <c r="Y170" s="141" t="s">
        <v>35</v>
      </c>
      <c r="Z170" s="153"/>
      <c r="AA170" s="141" t="s">
        <v>36</v>
      </c>
      <c r="AB170" s="141"/>
      <c r="AC170" s="141" t="s">
        <v>42</v>
      </c>
      <c r="AD170" s="141"/>
      <c r="AE170" s="141" t="s">
        <v>43</v>
      </c>
      <c r="AF170" s="141"/>
      <c r="AG170" s="170" t="s">
        <v>44</v>
      </c>
      <c r="AH170" s="141"/>
      <c r="AI170" s="141" t="s">
        <v>45</v>
      </c>
      <c r="AJ170" s="141"/>
      <c r="AK170" s="170" t="s">
        <v>46</v>
      </c>
      <c r="AL170" s="141"/>
      <c r="AM170" s="141" t="s">
        <v>40</v>
      </c>
      <c r="AN170" s="141"/>
      <c r="AO170" s="141" t="s">
        <v>47</v>
      </c>
      <c r="AP170" s="141"/>
      <c r="AQ170" s="170" t="s">
        <v>48</v>
      </c>
      <c r="AT170" s="44" t="s">
        <v>407</v>
      </c>
    </row>
    <row r="171" spans="3:51" ht="17.100000000000001" customHeight="1" x14ac:dyDescent="0.3">
      <c r="F171" s="123"/>
      <c r="H171" s="123"/>
      <c r="I171" s="123"/>
      <c r="J171" s="213"/>
      <c r="K171" s="213"/>
      <c r="L171" s="210"/>
      <c r="M171" s="210"/>
      <c r="N171" s="210"/>
      <c r="O171" s="210"/>
      <c r="P171" s="210"/>
      <c r="Q171" s="210"/>
      <c r="R171" s="210"/>
      <c r="T171" s="191"/>
      <c r="U171" s="191"/>
      <c r="V171" s="191"/>
      <c r="W171" s="191"/>
      <c r="X171" s="191"/>
      <c r="Y171" s="191"/>
      <c r="Z171" s="191"/>
      <c r="AA171" s="271" t="s">
        <v>49</v>
      </c>
      <c r="AB171" s="271"/>
      <c r="AC171" s="270" t="s">
        <v>69</v>
      </c>
      <c r="AD171" s="271"/>
      <c r="AE171" s="271" t="s">
        <v>50</v>
      </c>
      <c r="AF171" s="271"/>
      <c r="AG171" s="274" t="s">
        <v>51</v>
      </c>
      <c r="AH171" s="271"/>
      <c r="AI171" s="271" t="s">
        <v>50</v>
      </c>
      <c r="AJ171" s="271"/>
      <c r="AK171" s="274" t="s">
        <v>51</v>
      </c>
      <c r="AL171" s="271"/>
      <c r="AM171" s="271" t="s">
        <v>50</v>
      </c>
      <c r="AN171" s="271"/>
      <c r="AO171" s="271" t="s">
        <v>50</v>
      </c>
      <c r="AP171" s="271"/>
      <c r="AQ171" s="274" t="s">
        <v>51</v>
      </c>
      <c r="AX171" s="41">
        <f>CUR_BASE_FUEL</f>
        <v>3.3779999999999998E-2</v>
      </c>
      <c r="AY171" s="41">
        <f>PRO_BASE_FUEL</f>
        <v>3.3779999999999998E-2</v>
      </c>
    </row>
    <row r="172" spans="3:51" x14ac:dyDescent="0.3">
      <c r="C172" s="42"/>
      <c r="F172" s="184"/>
      <c r="H172" s="184"/>
      <c r="I172" s="184"/>
      <c r="J172" s="227"/>
      <c r="K172" s="227"/>
      <c r="L172" s="123"/>
      <c r="M172" s="123"/>
      <c r="N172" s="160"/>
      <c r="O172" s="160"/>
      <c r="P172" s="123"/>
      <c r="Q172" s="123"/>
      <c r="R172" s="123"/>
      <c r="T172" s="283">
        <v>1</v>
      </c>
      <c r="V172" s="132" t="s">
        <v>77</v>
      </c>
      <c r="W172" s="178" t="s">
        <v>260</v>
      </c>
      <c r="X172" s="42"/>
      <c r="Y172" s="1"/>
      <c r="Z172" s="1"/>
      <c r="AA172" s="1"/>
      <c r="AB172" s="1"/>
      <c r="AC172" s="1"/>
      <c r="AD172" s="1"/>
      <c r="AE172" s="1"/>
      <c r="AF172" s="1"/>
      <c r="AG172" s="175"/>
      <c r="AH172" s="1"/>
      <c r="AI172" s="1"/>
      <c r="AJ172" s="1"/>
      <c r="AK172" s="175"/>
      <c r="AL172" s="1"/>
      <c r="AM172" s="1"/>
      <c r="AN172" s="1"/>
      <c r="AO172" s="1"/>
      <c r="AP172" s="1"/>
      <c r="AQ172" s="181"/>
    </row>
    <row r="173" spans="3:51" x14ac:dyDescent="0.3">
      <c r="C173" s="42"/>
      <c r="F173" s="123"/>
      <c r="H173" s="123"/>
      <c r="I173" s="123"/>
      <c r="J173" s="213"/>
      <c r="K173" s="213"/>
      <c r="L173" s="123"/>
      <c r="M173" s="123"/>
      <c r="N173" s="160"/>
      <c r="O173" s="160"/>
      <c r="P173" s="123"/>
      <c r="Q173" s="123"/>
      <c r="R173" s="123"/>
      <c r="S173" s="123"/>
      <c r="T173" s="283">
        <v>2</v>
      </c>
      <c r="V173" s="132" t="s">
        <v>79</v>
      </c>
      <c r="W173" s="153"/>
      <c r="Y173" s="159"/>
      <c r="Z173" s="1"/>
      <c r="AA173" s="159"/>
      <c r="AB173" s="1"/>
      <c r="AC173" s="1"/>
      <c r="AD173" s="1"/>
      <c r="AE173" s="1"/>
      <c r="AF173" s="1"/>
      <c r="AG173" s="175"/>
      <c r="AH173" s="1"/>
      <c r="AI173" s="1"/>
      <c r="AJ173" s="1"/>
      <c r="AK173" s="175"/>
      <c r="AL173" s="1"/>
      <c r="AM173" s="1"/>
      <c r="AN173" s="1"/>
      <c r="AO173" s="1"/>
      <c r="AP173" s="1"/>
      <c r="AQ173" s="181"/>
    </row>
    <row r="174" spans="3:51" x14ac:dyDescent="0.3">
      <c r="F174" s="210"/>
      <c r="H174" s="210"/>
      <c r="I174" s="210"/>
      <c r="J174" s="213"/>
      <c r="K174" s="213"/>
      <c r="L174" s="210"/>
      <c r="M174" s="210"/>
      <c r="N174" s="210"/>
      <c r="O174" s="210"/>
      <c r="P174" s="210"/>
      <c r="Q174" s="210"/>
      <c r="R174" s="210"/>
      <c r="S174" s="123"/>
      <c r="T174" s="283">
        <v>3</v>
      </c>
      <c r="V174" s="178" t="s">
        <v>202</v>
      </c>
      <c r="W174" s="153"/>
      <c r="Y174" s="1"/>
      <c r="Z174" s="1"/>
      <c r="AA174" s="1"/>
      <c r="AB174" s="159"/>
      <c r="AC174" s="183"/>
      <c r="AD174" s="183"/>
      <c r="AE174" s="3"/>
      <c r="AF174" s="3"/>
      <c r="AG174" s="175"/>
      <c r="AH174" s="4"/>
      <c r="AI174" s="3"/>
      <c r="AJ174" s="3"/>
      <c r="AK174" s="175"/>
      <c r="AL174" s="6"/>
      <c r="AM174" s="3"/>
      <c r="AN174" s="3"/>
      <c r="AO174" s="3"/>
      <c r="AP174" s="3"/>
      <c r="AQ174" s="181"/>
    </row>
    <row r="175" spans="3:51" x14ac:dyDescent="0.3">
      <c r="F175" s="210"/>
      <c r="H175" s="210"/>
      <c r="I175" s="210"/>
      <c r="J175" s="213"/>
      <c r="K175" s="213"/>
      <c r="L175" s="210"/>
      <c r="M175" s="210"/>
      <c r="N175" s="210"/>
      <c r="O175" s="210"/>
      <c r="P175" s="210"/>
      <c r="Q175" s="210"/>
      <c r="R175" s="210"/>
      <c r="T175" s="283">
        <v>4</v>
      </c>
      <c r="V175" s="45" t="str">
        <f>C21</f>
        <v xml:space="preserve">     7,000 LUMEN</v>
      </c>
      <c r="Y175" s="159">
        <f>F21</f>
        <v>45142</v>
      </c>
      <c r="Z175" s="1"/>
      <c r="AA175" s="159">
        <f>H21</f>
        <v>3020752</v>
      </c>
      <c r="AB175" s="159"/>
      <c r="AC175" s="238">
        <v>11.49</v>
      </c>
      <c r="AD175" s="258"/>
      <c r="AE175" s="3">
        <f>ROUND((Y175*AC175),0)</f>
        <v>518682</v>
      </c>
      <c r="AF175" s="3"/>
      <c r="AG175" s="175">
        <f>ROUND((AE175/AE$293)*100,1)</f>
        <v>36.5</v>
      </c>
      <c r="AH175" s="4"/>
      <c r="AI175" s="3">
        <f>L21-AE175</f>
        <v>74032</v>
      </c>
      <c r="AJ175" s="3"/>
      <c r="AK175" s="181">
        <f>IF(AE175=0,"0.0 ",ROUND((AI175/AE175)*100,1))</f>
        <v>14.3</v>
      </c>
      <c r="AL175" s="6"/>
      <c r="AM175" s="3">
        <f>ROUND(CUR_FAC*AA175,0)</f>
        <v>10534</v>
      </c>
      <c r="AN175" s="3"/>
      <c r="AO175" s="3">
        <f>AE175+AM175</f>
        <v>529216</v>
      </c>
      <c r="AP175" s="3"/>
      <c r="AQ175" s="181">
        <f>IF(AO175=0,"0.0 ",ROUND((AI175/AO175)*100,1))</f>
        <v>14</v>
      </c>
      <c r="AS175" s="123"/>
      <c r="AT175" s="188">
        <f>AC175-AX175</f>
        <v>9.23</v>
      </c>
      <c r="AW175" s="184">
        <f>803</f>
        <v>803</v>
      </c>
      <c r="AX175" s="41">
        <f>ROUND((AW175/12)*CUR_BASE_FUEL,2)</f>
        <v>2.2599999999999998</v>
      </c>
      <c r="AY175" s="41">
        <f>ROUND((AW175/12)*PRO_BASE_FUEL,2)</f>
        <v>2.2599999999999998</v>
      </c>
    </row>
    <row r="176" spans="3:51" x14ac:dyDescent="0.3">
      <c r="C176" s="42"/>
      <c r="T176" s="283">
        <v>5</v>
      </c>
      <c r="V176" s="45" t="str">
        <f>C22</f>
        <v xml:space="preserve">     7,000 LUMEN (OPEN)</v>
      </c>
      <c r="Y176" s="159">
        <f>F22</f>
        <v>48</v>
      </c>
      <c r="Z176" s="1"/>
      <c r="AA176" s="159">
        <f>H22</f>
        <v>3412</v>
      </c>
      <c r="AB176" s="159"/>
      <c r="AC176" s="238">
        <v>9.77</v>
      </c>
      <c r="AD176" s="1"/>
      <c r="AE176" s="3">
        <f>ROUND((Y176*AC176),0)</f>
        <v>469</v>
      </c>
      <c r="AF176" s="1"/>
      <c r="AG176" s="175">
        <f>ROUND((AE176/AE$293)*100,1)</f>
        <v>0</v>
      </c>
      <c r="AH176" s="1"/>
      <c r="AI176" s="3">
        <f>L22-AE176</f>
        <v>67</v>
      </c>
      <c r="AJ176" s="1"/>
      <c r="AK176" s="175">
        <f>IF(AE176=0,"0.0 ",ROUND((AI176/AE176)*100,1))</f>
        <v>14.3</v>
      </c>
      <c r="AL176" s="1"/>
      <c r="AM176" s="3">
        <f>ROUND(CUR_FAC*AA176,0)</f>
        <v>12</v>
      </c>
      <c r="AN176" s="1"/>
      <c r="AO176" s="3">
        <f>AE176+AM176</f>
        <v>481</v>
      </c>
      <c r="AP176" s="1"/>
      <c r="AQ176" s="181">
        <f>IF(AO176=0,"0.0 ",ROUND((AI176/AO176)*100,1))</f>
        <v>13.9</v>
      </c>
      <c r="AS176" s="123"/>
      <c r="AT176" s="188">
        <f>AC176-AX176</f>
        <v>7.3699999999999992</v>
      </c>
      <c r="AW176" s="184">
        <f>853</f>
        <v>853</v>
      </c>
      <c r="AX176" s="41">
        <f>ROUND((AW176/12)*CUR_BASE_FUEL,2)</f>
        <v>2.4</v>
      </c>
      <c r="AY176" s="41">
        <f>ROUND((AW176/12)*PRO_BASE_FUEL,2)</f>
        <v>2.4</v>
      </c>
    </row>
    <row r="177" spans="1:51" x14ac:dyDescent="0.3">
      <c r="C177" s="42"/>
      <c r="F177" s="123"/>
      <c r="H177" s="123"/>
      <c r="I177" s="123"/>
      <c r="L177" s="123"/>
      <c r="M177" s="123"/>
      <c r="N177" s="160"/>
      <c r="O177" s="160"/>
      <c r="P177" s="184"/>
      <c r="Q177" s="184"/>
      <c r="R177" s="123"/>
      <c r="T177" s="283">
        <v>6</v>
      </c>
      <c r="V177" s="45" t="str">
        <f>C23</f>
        <v xml:space="preserve">    10,000 LUMEN</v>
      </c>
      <c r="Y177" s="159">
        <f>F23</f>
        <v>1453</v>
      </c>
      <c r="Z177" s="1"/>
      <c r="AA177" s="159">
        <f>H23</f>
        <v>138519</v>
      </c>
      <c r="AB177" s="159"/>
      <c r="AC177" s="238">
        <v>13.47</v>
      </c>
      <c r="AD177" s="258"/>
      <c r="AE177" s="3">
        <f>ROUND((Y177*AC177),0)</f>
        <v>19572</v>
      </c>
      <c r="AF177" s="3"/>
      <c r="AG177" s="175">
        <f>ROUND((AE177/AE$293)*100,1)</f>
        <v>1.4</v>
      </c>
      <c r="AH177" s="4"/>
      <c r="AI177" s="3">
        <f>L23-AE177</f>
        <v>2790</v>
      </c>
      <c r="AJ177" s="3"/>
      <c r="AK177" s="181">
        <f>IF(AE177=0,"0.0 ",ROUND((AI177/AE177)*100,1))</f>
        <v>14.3</v>
      </c>
      <c r="AL177" s="6"/>
      <c r="AM177" s="3">
        <f>ROUND(CUR_FAC*AA177,0)</f>
        <v>483</v>
      </c>
      <c r="AN177" s="3"/>
      <c r="AO177" s="3">
        <f>AE177+AM177</f>
        <v>20055</v>
      </c>
      <c r="AP177" s="3"/>
      <c r="AQ177" s="181">
        <f>IF(AO177=0,"0.0 ",ROUND((AI177/AO177)*100,1))</f>
        <v>13.9</v>
      </c>
      <c r="AS177" s="123"/>
      <c r="AT177" s="188">
        <f>AC177-AX177</f>
        <v>10.25</v>
      </c>
      <c r="AW177" s="184">
        <v>1144</v>
      </c>
      <c r="AX177" s="41">
        <f>ROUND((AW177/12)*CUR_BASE_FUEL,2)</f>
        <v>3.22</v>
      </c>
      <c r="AY177" s="41">
        <f>ROUND((AW177/12)*PRO_BASE_FUEL,2)</f>
        <v>3.22</v>
      </c>
    </row>
    <row r="178" spans="1:51" x14ac:dyDescent="0.3">
      <c r="F178" s="210"/>
      <c r="H178" s="210"/>
      <c r="I178" s="210"/>
      <c r="J178" s="213"/>
      <c r="K178" s="213"/>
      <c r="L178" s="210"/>
      <c r="M178" s="210"/>
      <c r="N178" s="210"/>
      <c r="O178" s="210"/>
      <c r="P178" s="210"/>
      <c r="Q178" s="210"/>
      <c r="R178" s="210"/>
      <c r="T178" s="283">
        <v>7</v>
      </c>
      <c r="V178" s="45" t="str">
        <f>C24</f>
        <v xml:space="preserve">    21,000 LUMEN</v>
      </c>
      <c r="Y178" s="159">
        <f>F24</f>
        <v>4963</v>
      </c>
      <c r="Z178" s="1"/>
      <c r="AA178" s="159">
        <f>H24</f>
        <v>739901</v>
      </c>
      <c r="AB178" s="159"/>
      <c r="AC178" s="238">
        <v>18.27</v>
      </c>
      <c r="AD178" s="258"/>
      <c r="AE178" s="3">
        <f>ROUND((Y178*AC178),0)</f>
        <v>90674</v>
      </c>
      <c r="AF178" s="3"/>
      <c r="AG178" s="175">
        <f>ROUND((AE178/AE$293)*100,1)</f>
        <v>6.4</v>
      </c>
      <c r="AH178" s="4"/>
      <c r="AI178" s="3">
        <f>L24-AE178</f>
        <v>12953</v>
      </c>
      <c r="AJ178" s="3"/>
      <c r="AK178" s="181">
        <f>IF(AE178=0,"0.0 ",ROUND((AI178/AE178)*100,1))</f>
        <v>14.3</v>
      </c>
      <c r="AL178" s="6"/>
      <c r="AM178" s="3">
        <f>ROUND(CUR_FAC*AA178,0)</f>
        <v>2580</v>
      </c>
      <c r="AN178" s="3"/>
      <c r="AO178" s="3">
        <f>AE178+AM178</f>
        <v>93254</v>
      </c>
      <c r="AP178" s="3"/>
      <c r="AQ178" s="181">
        <f>IF(AO178=0,"0.0 ",ROUND((AI178/AO178)*100,1))</f>
        <v>13.9</v>
      </c>
      <c r="AS178" s="123"/>
      <c r="AT178" s="188">
        <f>AC178-AX178</f>
        <v>13.23</v>
      </c>
      <c r="AW178" s="184">
        <v>1789</v>
      </c>
      <c r="AX178" s="41">
        <f>ROUND((AW178/12)*CUR_BASE_FUEL,2)</f>
        <v>5.04</v>
      </c>
      <c r="AY178" s="41">
        <f>ROUND((AW178/12)*PRO_BASE_FUEL,2)</f>
        <v>5.04</v>
      </c>
    </row>
    <row r="179" spans="1:51" x14ac:dyDescent="0.3">
      <c r="T179" s="283">
        <v>8</v>
      </c>
      <c r="V179" s="132" t="s">
        <v>268</v>
      </c>
      <c r="Y179" s="159"/>
      <c r="Z179" s="1"/>
      <c r="AA179" s="159"/>
      <c r="AB179" s="159"/>
      <c r="AC179" s="258"/>
      <c r="AD179" s="258"/>
      <c r="AE179" s="3"/>
      <c r="AF179" s="3"/>
      <c r="AG179" s="175"/>
      <c r="AH179" s="4"/>
      <c r="AI179" s="3"/>
      <c r="AJ179" s="3"/>
      <c r="AK179" s="181"/>
      <c r="AL179" s="6"/>
      <c r="AM179" s="3"/>
      <c r="AN179" s="3"/>
      <c r="AO179" s="3"/>
      <c r="AP179" s="3"/>
      <c r="AQ179" s="181"/>
      <c r="AS179" s="123"/>
      <c r="AW179" s="184"/>
    </row>
    <row r="180" spans="1:51" x14ac:dyDescent="0.3">
      <c r="C180" s="42"/>
      <c r="L180" s="123"/>
      <c r="M180" s="123"/>
      <c r="N180" s="123"/>
      <c r="O180" s="123"/>
      <c r="P180" s="123"/>
      <c r="Q180" s="123"/>
      <c r="R180" s="123"/>
      <c r="S180" s="123"/>
      <c r="T180" s="283">
        <v>9</v>
      </c>
      <c r="V180" s="45" t="str">
        <f>C26</f>
        <v xml:space="preserve">    14,000 LUMEN</v>
      </c>
      <c r="Y180" s="159">
        <f>F26</f>
        <v>292</v>
      </c>
      <c r="Z180" s="1"/>
      <c r="AA180" s="159">
        <f>H26</f>
        <v>19540</v>
      </c>
      <c r="AB180" s="159"/>
      <c r="AC180" s="238">
        <v>11.49</v>
      </c>
      <c r="AD180" s="258"/>
      <c r="AE180" s="3">
        <f>ROUND((Y180*AC180),0)</f>
        <v>3355</v>
      </c>
      <c r="AF180" s="3"/>
      <c r="AG180" s="175">
        <f>ROUND((AE180/AE$293)*100,1)</f>
        <v>0.2</v>
      </c>
      <c r="AH180" s="4"/>
      <c r="AI180" s="3">
        <f>L26-AE180</f>
        <v>479</v>
      </c>
      <c r="AJ180" s="3"/>
      <c r="AK180" s="181">
        <f>IF(AE180=0,"0.0 ",ROUND((AI180/AE180)*100,1))</f>
        <v>14.3</v>
      </c>
      <c r="AL180" s="6"/>
      <c r="AM180" s="3">
        <f>ROUND(CUR_FAC*AA180,0)</f>
        <v>68</v>
      </c>
      <c r="AN180" s="3"/>
      <c r="AO180" s="3">
        <f>AE180+AM180</f>
        <v>3423</v>
      </c>
      <c r="AP180" s="3"/>
      <c r="AQ180" s="181">
        <f>IF(AO180=0,"0.0 ",ROUND((AI180/AO180)*100,1))</f>
        <v>14</v>
      </c>
      <c r="AS180" s="123"/>
      <c r="AT180" s="188">
        <f>AC180-AX180</f>
        <v>9.23</v>
      </c>
      <c r="AW180" s="184">
        <v>803</v>
      </c>
      <c r="AX180" s="41">
        <f>ROUND((AW180/12)*CUR_BASE_FUEL,2)</f>
        <v>2.2599999999999998</v>
      </c>
      <c r="AY180" s="41">
        <f>ROUND((AW180/12)*PRO_BASE_FUEL,2)</f>
        <v>2.2599999999999998</v>
      </c>
    </row>
    <row r="181" spans="1:51" x14ac:dyDescent="0.3">
      <c r="C181" s="42"/>
      <c r="L181" s="123"/>
      <c r="M181" s="123"/>
      <c r="N181" s="123"/>
      <c r="O181" s="123"/>
      <c r="P181" s="123"/>
      <c r="Q181" s="123"/>
      <c r="R181" s="123"/>
      <c r="S181" s="123"/>
      <c r="T181" s="283">
        <v>10</v>
      </c>
      <c r="V181" s="45" t="str">
        <f>C27</f>
        <v xml:space="preserve">    20,500 LUMEN</v>
      </c>
      <c r="Y181" s="159">
        <f>F27</f>
        <v>155</v>
      </c>
      <c r="Z181" s="1"/>
      <c r="AA181" s="159">
        <f>H27</f>
        <v>14777</v>
      </c>
      <c r="AB181" s="159"/>
      <c r="AC181" s="238">
        <v>13.47</v>
      </c>
      <c r="AD181" s="258"/>
      <c r="AE181" s="3">
        <f>ROUND((Y181*AC181),0)</f>
        <v>2088</v>
      </c>
      <c r="AF181" s="3"/>
      <c r="AG181" s="175">
        <f>ROUND((AE181/AE$293)*100,1)</f>
        <v>0.1</v>
      </c>
      <c r="AH181" s="4"/>
      <c r="AI181" s="3">
        <f>L27-AE181</f>
        <v>297</v>
      </c>
      <c r="AJ181" s="3"/>
      <c r="AK181" s="181">
        <f>IF(AE181=0,"0.0 ",ROUND((AI181/AE181)*100,1))</f>
        <v>14.2</v>
      </c>
      <c r="AL181" s="6"/>
      <c r="AM181" s="3">
        <f>ROUND(CUR_FAC*AA181,0)</f>
        <v>52</v>
      </c>
      <c r="AN181" s="3"/>
      <c r="AO181" s="3">
        <f>AE181+AM181</f>
        <v>2140</v>
      </c>
      <c r="AP181" s="3"/>
      <c r="AQ181" s="181">
        <f>IF(AO181=0,"0.0 ",ROUND((AI181/AO181)*100,1))</f>
        <v>13.9</v>
      </c>
      <c r="AS181" s="123"/>
      <c r="AT181" s="188">
        <f>AC181-AX181</f>
        <v>10.25</v>
      </c>
      <c r="AW181" s="184">
        <v>1144</v>
      </c>
      <c r="AX181" s="41">
        <f>ROUND((AW181/12)*CUR_BASE_FUEL,2)</f>
        <v>3.22</v>
      </c>
      <c r="AY181" s="41">
        <f>ROUND((AW181/12)*PRO_BASE_FUEL,2)</f>
        <v>3.22</v>
      </c>
    </row>
    <row r="182" spans="1:51" x14ac:dyDescent="0.3">
      <c r="C182" s="42"/>
      <c r="L182" s="123"/>
      <c r="M182" s="123"/>
      <c r="N182" s="123"/>
      <c r="O182" s="123"/>
      <c r="P182" s="123"/>
      <c r="Q182" s="123"/>
      <c r="R182" s="123"/>
      <c r="S182" s="123"/>
      <c r="T182" s="283">
        <v>11</v>
      </c>
      <c r="V182" s="45" t="str">
        <f>C28</f>
        <v xml:space="preserve">    36,000 LUMEN</v>
      </c>
      <c r="Y182" s="159">
        <f>F28</f>
        <v>0</v>
      </c>
      <c r="Z182" s="1"/>
      <c r="AA182" s="159">
        <f>H28</f>
        <v>0</v>
      </c>
      <c r="AB182" s="159"/>
      <c r="AC182" s="238">
        <v>18.27</v>
      </c>
      <c r="AD182" s="258"/>
      <c r="AE182" s="3">
        <f>ROUND((Y182*AC182),0)</f>
        <v>0</v>
      </c>
      <c r="AF182" s="3"/>
      <c r="AG182" s="175">
        <f>ROUND((AE182/AE$293)*100,1)</f>
        <v>0</v>
      </c>
      <c r="AH182" s="4"/>
      <c r="AI182" s="3">
        <f>L28-AE182</f>
        <v>0</v>
      </c>
      <c r="AJ182" s="3"/>
      <c r="AK182" s="181" t="str">
        <f>IF(AE182=0,"0.0 ",ROUND((AI182/AE182)*100,1))</f>
        <v xml:space="preserve">0.0 </v>
      </c>
      <c r="AL182" s="6"/>
      <c r="AM182" s="3">
        <f>ROUND(CUR_FAC*AA182,0)</f>
        <v>0</v>
      </c>
      <c r="AN182" s="3"/>
      <c r="AO182" s="3">
        <f>AE182+AM182</f>
        <v>0</v>
      </c>
      <c r="AP182" s="3"/>
      <c r="AQ182" s="181" t="str">
        <f>IF(AO182=0,"0.0 ",ROUND((AI182/AO182)*100,1))</f>
        <v xml:space="preserve">0.0 </v>
      </c>
      <c r="AS182" s="123"/>
      <c r="AT182" s="188">
        <f>AC182-AX182</f>
        <v>13.23</v>
      </c>
      <c r="AW182" s="184">
        <v>1789</v>
      </c>
      <c r="AX182" s="41">
        <f>ROUND((AW182/12)*CUR_BASE_FUEL,2)</f>
        <v>5.04</v>
      </c>
      <c r="AY182" s="41">
        <f>ROUND((AW182/12)*PRO_BASE_FUEL,2)</f>
        <v>5.04</v>
      </c>
    </row>
    <row r="183" spans="1:51" x14ac:dyDescent="0.3">
      <c r="C183" s="42"/>
      <c r="L183" s="123"/>
      <c r="M183" s="123"/>
      <c r="N183" s="123"/>
      <c r="O183" s="123"/>
      <c r="P183" s="123"/>
      <c r="Q183" s="123"/>
      <c r="R183" s="123"/>
      <c r="S183" s="123"/>
      <c r="T183" s="283">
        <v>12</v>
      </c>
      <c r="V183" s="178" t="s">
        <v>203</v>
      </c>
      <c r="Y183" s="303"/>
      <c r="Z183" s="1"/>
      <c r="AA183" s="3"/>
      <c r="AB183" s="1"/>
      <c r="AC183" s="5"/>
      <c r="AD183" s="258"/>
      <c r="AE183" s="3"/>
      <c r="AF183" s="3"/>
      <c r="AG183" s="175"/>
      <c r="AH183" s="4"/>
      <c r="AI183" s="3"/>
      <c r="AJ183" s="3"/>
      <c r="AK183" s="181"/>
      <c r="AL183" s="6"/>
      <c r="AM183" s="3"/>
      <c r="AN183" s="3"/>
      <c r="AO183" s="3"/>
      <c r="AP183" s="3"/>
      <c r="AQ183" s="181"/>
      <c r="AS183" s="123"/>
      <c r="AW183" s="184"/>
    </row>
    <row r="184" spans="1:51" x14ac:dyDescent="0.3">
      <c r="A184" s="42"/>
      <c r="T184" s="283">
        <v>13</v>
      </c>
      <c r="V184" s="45" t="str">
        <f t="shared" ref="V184:V189" si="21">C30</f>
        <v xml:space="preserve">     9,500 LUMEN</v>
      </c>
      <c r="Y184" s="159">
        <f t="shared" ref="Y184:Y189" si="22">F30</f>
        <v>17891</v>
      </c>
      <c r="Z184" s="1"/>
      <c r="AA184" s="159">
        <f t="shared" ref="AA184:AA189" si="23">H30</f>
        <v>726076</v>
      </c>
      <c r="AB184" s="159"/>
      <c r="AC184" s="238">
        <v>12.34</v>
      </c>
      <c r="AD184" s="258"/>
      <c r="AE184" s="3">
        <f t="shared" ref="AE184:AE189" si="24">ROUND((Y184*AC184),0)</f>
        <v>220775</v>
      </c>
      <c r="AF184" s="3"/>
      <c r="AG184" s="175">
        <f t="shared" ref="AG184:AG189" si="25">ROUND((AE184/AE$293)*100,1)</f>
        <v>15.6</v>
      </c>
      <c r="AH184" s="4"/>
      <c r="AI184" s="3">
        <f t="shared" ref="AI184:AI189" si="26">L30-AE184</f>
        <v>31488</v>
      </c>
      <c r="AJ184" s="3"/>
      <c r="AK184" s="181">
        <f t="shared" ref="AK184:AK189" si="27">IF(AE184=0,"0.0 ",ROUND((AI184/AE184)*100,1))</f>
        <v>14.3</v>
      </c>
      <c r="AL184" s="6"/>
      <c r="AM184" s="3">
        <f t="shared" ref="AM184:AM189" si="28">ROUND(CUR_FAC*AA184,0)</f>
        <v>2532</v>
      </c>
      <c r="AN184" s="3"/>
      <c r="AO184" s="3">
        <f t="shared" ref="AO184:AO189" si="29">AE184+AM184</f>
        <v>223307</v>
      </c>
      <c r="AP184" s="3"/>
      <c r="AQ184" s="181">
        <f t="shared" ref="AQ184:AQ189" si="30">IF(AO184=0,"0.0 ",ROUND((AI184/AO184)*100,1))</f>
        <v>14.1</v>
      </c>
      <c r="AS184" s="123"/>
      <c r="AT184" s="188">
        <f t="shared" ref="AT184:AT189" si="31">AC184-AX184</f>
        <v>10.969999999999999</v>
      </c>
      <c r="AW184" s="184">
        <v>487</v>
      </c>
      <c r="AX184" s="41">
        <f t="shared" ref="AX184:AX189" si="32">ROUND((AW184/12)*CUR_BASE_FUEL,2)</f>
        <v>1.37</v>
      </c>
      <c r="AY184" s="41">
        <f t="shared" ref="AY184:AY189" si="33">ROUND((AW184/12)*PRO_BASE_FUEL,2)</f>
        <v>1.37</v>
      </c>
    </row>
    <row r="185" spans="1:51" x14ac:dyDescent="0.3">
      <c r="A185" s="42"/>
      <c r="T185" s="283">
        <v>14</v>
      </c>
      <c r="V185" s="45" t="str">
        <f t="shared" si="21"/>
        <v xml:space="preserve">     9,500 LUMEN (OPEN)</v>
      </c>
      <c r="Y185" s="159">
        <f t="shared" si="22"/>
        <v>96</v>
      </c>
      <c r="Z185" s="1"/>
      <c r="AA185" s="159">
        <f t="shared" si="23"/>
        <v>3896</v>
      </c>
      <c r="AB185" s="159"/>
      <c r="AC185" s="238">
        <v>9.3800000000000008</v>
      </c>
      <c r="AD185" s="258"/>
      <c r="AE185" s="3">
        <f t="shared" si="24"/>
        <v>900</v>
      </c>
      <c r="AF185" s="3"/>
      <c r="AG185" s="175">
        <f t="shared" si="25"/>
        <v>0.1</v>
      </c>
      <c r="AH185" s="4"/>
      <c r="AI185" s="3">
        <f t="shared" si="26"/>
        <v>129</v>
      </c>
      <c r="AJ185" s="3"/>
      <c r="AK185" s="181">
        <f t="shared" si="27"/>
        <v>14.3</v>
      </c>
      <c r="AL185" s="6"/>
      <c r="AM185" s="3">
        <f t="shared" si="28"/>
        <v>14</v>
      </c>
      <c r="AN185" s="3"/>
      <c r="AO185" s="3">
        <f t="shared" si="29"/>
        <v>914</v>
      </c>
      <c r="AP185" s="3"/>
      <c r="AQ185" s="181">
        <f t="shared" si="30"/>
        <v>14.1</v>
      </c>
      <c r="AS185" s="123"/>
      <c r="AT185" s="188">
        <f t="shared" si="31"/>
        <v>8.0100000000000016</v>
      </c>
      <c r="AW185" s="184">
        <v>487</v>
      </c>
      <c r="AX185" s="41">
        <f t="shared" si="32"/>
        <v>1.37</v>
      </c>
      <c r="AY185" s="41">
        <f t="shared" si="33"/>
        <v>1.37</v>
      </c>
    </row>
    <row r="186" spans="1:51" x14ac:dyDescent="0.3">
      <c r="A186" s="42"/>
      <c r="T186" s="283">
        <v>15</v>
      </c>
      <c r="V186" s="45" t="str">
        <f t="shared" si="21"/>
        <v xml:space="preserve">   16,000 LUMEN</v>
      </c>
      <c r="Y186" s="159">
        <f t="shared" si="22"/>
        <v>362</v>
      </c>
      <c r="Z186" s="1"/>
      <c r="AA186" s="159">
        <f t="shared" si="23"/>
        <v>21449</v>
      </c>
      <c r="AB186" s="159"/>
      <c r="AC186" s="238">
        <v>13.64</v>
      </c>
      <c r="AD186" s="258"/>
      <c r="AE186" s="3">
        <f t="shared" si="24"/>
        <v>4938</v>
      </c>
      <c r="AF186" s="3"/>
      <c r="AG186" s="175">
        <f t="shared" si="25"/>
        <v>0.3</v>
      </c>
      <c r="AH186" s="4"/>
      <c r="AI186" s="3">
        <f t="shared" si="26"/>
        <v>706</v>
      </c>
      <c r="AJ186" s="3"/>
      <c r="AK186" s="181">
        <f t="shared" si="27"/>
        <v>14.3</v>
      </c>
      <c r="AL186" s="6"/>
      <c r="AM186" s="3">
        <f t="shared" si="28"/>
        <v>75</v>
      </c>
      <c r="AN186" s="3"/>
      <c r="AO186" s="3">
        <f t="shared" si="29"/>
        <v>5013</v>
      </c>
      <c r="AP186" s="3"/>
      <c r="AQ186" s="181">
        <f t="shared" si="30"/>
        <v>14.1</v>
      </c>
      <c r="AS186" s="123"/>
      <c r="AT186" s="188">
        <f t="shared" si="31"/>
        <v>11.64</v>
      </c>
      <c r="AW186" s="184">
        <v>711</v>
      </c>
      <c r="AX186" s="41">
        <f t="shared" si="32"/>
        <v>2</v>
      </c>
      <c r="AY186" s="41">
        <f t="shared" si="33"/>
        <v>2</v>
      </c>
    </row>
    <row r="187" spans="1:51" x14ac:dyDescent="0.3">
      <c r="A187" s="42"/>
      <c r="T187" s="283">
        <v>16</v>
      </c>
      <c r="V187" s="45" t="str">
        <f t="shared" si="21"/>
        <v xml:space="preserve">   22,000 LUMEN</v>
      </c>
      <c r="Y187" s="159">
        <f t="shared" si="22"/>
        <v>3660</v>
      </c>
      <c r="Z187" s="1"/>
      <c r="AA187" s="159">
        <f t="shared" si="23"/>
        <v>289140</v>
      </c>
      <c r="AB187" s="159"/>
      <c r="AC187" s="238">
        <v>17.7</v>
      </c>
      <c r="AD187" s="5"/>
      <c r="AE187" s="3">
        <f t="shared" si="24"/>
        <v>64782</v>
      </c>
      <c r="AF187" s="1"/>
      <c r="AG187" s="175">
        <f t="shared" si="25"/>
        <v>4.5999999999999996</v>
      </c>
      <c r="AH187" s="1"/>
      <c r="AI187" s="3">
        <f t="shared" si="26"/>
        <v>9223</v>
      </c>
      <c r="AJ187" s="1"/>
      <c r="AK187" s="175">
        <f t="shared" si="27"/>
        <v>14.2</v>
      </c>
      <c r="AL187" s="1"/>
      <c r="AM187" s="3">
        <f t="shared" si="28"/>
        <v>1008</v>
      </c>
      <c r="AN187" s="1"/>
      <c r="AO187" s="3">
        <f t="shared" si="29"/>
        <v>65790</v>
      </c>
      <c r="AP187" s="1"/>
      <c r="AQ187" s="181">
        <f t="shared" si="30"/>
        <v>14</v>
      </c>
      <c r="AS187" s="123"/>
      <c r="AT187" s="188">
        <f t="shared" si="31"/>
        <v>15.03</v>
      </c>
      <c r="AW187" s="184">
        <v>948</v>
      </c>
      <c r="AX187" s="41">
        <f t="shared" si="32"/>
        <v>2.67</v>
      </c>
      <c r="AY187" s="41">
        <f t="shared" si="33"/>
        <v>2.67</v>
      </c>
    </row>
    <row r="188" spans="1:51" x14ac:dyDescent="0.3">
      <c r="A188" s="42"/>
      <c r="T188" s="283">
        <v>17</v>
      </c>
      <c r="U188" s="304"/>
      <c r="V188" s="45" t="str">
        <f t="shared" si="21"/>
        <v xml:space="preserve">   27,500 LUMEN</v>
      </c>
      <c r="Y188" s="159">
        <f t="shared" si="22"/>
        <v>96</v>
      </c>
      <c r="Z188" s="1"/>
      <c r="AA188" s="159">
        <f t="shared" si="23"/>
        <v>7584</v>
      </c>
      <c r="AB188" s="159"/>
      <c r="AC188" s="238">
        <v>17.7</v>
      </c>
      <c r="AD188" s="258"/>
      <c r="AE188" s="3">
        <f t="shared" si="24"/>
        <v>1699</v>
      </c>
      <c r="AF188" s="3"/>
      <c r="AG188" s="175">
        <f t="shared" si="25"/>
        <v>0.1</v>
      </c>
      <c r="AH188" s="4"/>
      <c r="AI188" s="3">
        <f t="shared" si="26"/>
        <v>242</v>
      </c>
      <c r="AJ188" s="3"/>
      <c r="AK188" s="181">
        <f t="shared" si="27"/>
        <v>14.2</v>
      </c>
      <c r="AL188" s="6"/>
      <c r="AM188" s="3">
        <f t="shared" si="28"/>
        <v>26</v>
      </c>
      <c r="AN188" s="3"/>
      <c r="AO188" s="3">
        <f t="shared" si="29"/>
        <v>1725</v>
      </c>
      <c r="AP188" s="3"/>
      <c r="AQ188" s="181">
        <f t="shared" si="30"/>
        <v>14</v>
      </c>
      <c r="AS188" s="123"/>
      <c r="AT188" s="188">
        <f t="shared" si="31"/>
        <v>15.03</v>
      </c>
      <c r="AW188" s="184">
        <v>948</v>
      </c>
      <c r="AX188" s="41">
        <f t="shared" si="32"/>
        <v>2.67</v>
      </c>
      <c r="AY188" s="41">
        <f t="shared" si="33"/>
        <v>2.67</v>
      </c>
    </row>
    <row r="189" spans="1:51" x14ac:dyDescent="0.3">
      <c r="A189" s="42"/>
      <c r="T189" s="283">
        <v>18</v>
      </c>
      <c r="U189" s="304"/>
      <c r="V189" s="45" t="str">
        <f t="shared" si="21"/>
        <v xml:space="preserve">   50,000 LUMEN</v>
      </c>
      <c r="Y189" s="159">
        <f t="shared" si="22"/>
        <v>7299</v>
      </c>
      <c r="Z189" s="1"/>
      <c r="AA189" s="159">
        <f t="shared" si="23"/>
        <v>1191562</v>
      </c>
      <c r="AB189" s="159"/>
      <c r="AC189" s="238">
        <v>24.43</v>
      </c>
      <c r="AD189" s="258"/>
      <c r="AE189" s="3">
        <f t="shared" si="24"/>
        <v>178315</v>
      </c>
      <c r="AF189" s="3"/>
      <c r="AG189" s="175">
        <f t="shared" si="25"/>
        <v>12.6</v>
      </c>
      <c r="AH189" s="4"/>
      <c r="AI189" s="3">
        <f t="shared" si="26"/>
        <v>25400</v>
      </c>
      <c r="AJ189" s="3"/>
      <c r="AK189" s="181">
        <f t="shared" si="27"/>
        <v>14.2</v>
      </c>
      <c r="AL189" s="6"/>
      <c r="AM189" s="3">
        <f t="shared" si="28"/>
        <v>4155</v>
      </c>
      <c r="AN189" s="3"/>
      <c r="AO189" s="3">
        <f t="shared" si="29"/>
        <v>182470</v>
      </c>
      <c r="AP189" s="3"/>
      <c r="AQ189" s="181">
        <f t="shared" si="30"/>
        <v>13.9</v>
      </c>
      <c r="AS189" s="123"/>
      <c r="AT189" s="188">
        <f t="shared" si="31"/>
        <v>18.920000000000002</v>
      </c>
      <c r="AW189" s="184">
        <v>1959</v>
      </c>
      <c r="AX189" s="41">
        <f t="shared" si="32"/>
        <v>5.51</v>
      </c>
      <c r="AY189" s="41">
        <f t="shared" si="33"/>
        <v>5.51</v>
      </c>
    </row>
    <row r="190" spans="1:51" x14ac:dyDescent="0.3">
      <c r="A190" s="42"/>
      <c r="T190" s="283">
        <v>19</v>
      </c>
      <c r="U190" s="304"/>
      <c r="V190" s="132" t="s">
        <v>204</v>
      </c>
      <c r="Y190" s="159"/>
      <c r="Z190" s="1"/>
      <c r="AA190" s="159"/>
      <c r="AB190" s="159"/>
      <c r="AC190" s="258"/>
      <c r="AD190" s="5"/>
      <c r="AE190" s="1"/>
      <c r="AF190" s="1"/>
      <c r="AG190" s="175"/>
      <c r="AH190" s="1"/>
      <c r="AI190" s="1"/>
      <c r="AJ190" s="1"/>
      <c r="AK190" s="175"/>
      <c r="AL190" s="1"/>
      <c r="AM190" s="1"/>
      <c r="AN190" s="1"/>
      <c r="AO190" s="1"/>
      <c r="AP190" s="1"/>
      <c r="AQ190" s="181"/>
      <c r="AS190" s="123"/>
      <c r="AW190" s="184"/>
    </row>
    <row r="191" spans="1:51" x14ac:dyDescent="0.3">
      <c r="A191" s="42"/>
      <c r="T191" s="283">
        <v>20</v>
      </c>
      <c r="V191" s="45" t="str">
        <f>C37</f>
        <v xml:space="preserve">     9,500 LUMEN RECTILINEAR</v>
      </c>
      <c r="Y191" s="159">
        <f>F37</f>
        <v>0</v>
      </c>
      <c r="Z191" s="1"/>
      <c r="AA191" s="159">
        <f>H37</f>
        <v>0</v>
      </c>
      <c r="AB191" s="159"/>
      <c r="AC191" s="238">
        <v>15.24</v>
      </c>
      <c r="AD191" s="5"/>
      <c r="AE191" s="3">
        <f>ROUND((Y191*AC191),0)</f>
        <v>0</v>
      </c>
      <c r="AF191" s="3"/>
      <c r="AG191" s="175">
        <f>ROUND((AE191/AE$293)*100,1)</f>
        <v>0</v>
      </c>
      <c r="AH191" s="4"/>
      <c r="AI191" s="3">
        <f>L37-AE191</f>
        <v>0</v>
      </c>
      <c r="AJ191" s="3"/>
      <c r="AK191" s="181" t="str">
        <f>IF(AE191=0,"0.0 ",ROUND((AI191/AE191)*100,1))</f>
        <v xml:space="preserve">0.0 </v>
      </c>
      <c r="AL191" s="6"/>
      <c r="AM191" s="3">
        <f>ROUND(CUR_FAC*AA191,0)</f>
        <v>0</v>
      </c>
      <c r="AN191" s="3"/>
      <c r="AO191" s="3">
        <f>AE191+AM191</f>
        <v>0</v>
      </c>
      <c r="AP191" s="3"/>
      <c r="AQ191" s="181" t="str">
        <f>IF(AO191=0,"0.0 ",ROUND((AI191/AO191)*100,1))</f>
        <v xml:space="preserve">0.0 </v>
      </c>
      <c r="AS191" s="123"/>
      <c r="AT191" s="188">
        <f>AC191-AX191</f>
        <v>13.870000000000001</v>
      </c>
      <c r="AW191" s="184">
        <v>487</v>
      </c>
      <c r="AX191" s="41">
        <f>ROUND((AW191/12)*CUR_BASE_FUEL,2)</f>
        <v>1.37</v>
      </c>
      <c r="AY191" s="41">
        <f>ROUND((AW191/12)*PRO_BASE_FUEL,2)</f>
        <v>1.37</v>
      </c>
    </row>
    <row r="192" spans="1:51" x14ac:dyDescent="0.3">
      <c r="A192" s="42"/>
      <c r="T192" s="283">
        <v>21</v>
      </c>
      <c r="U192" s="305"/>
      <c r="V192" s="45" t="str">
        <f>C38</f>
        <v xml:space="preserve">   22,000 LUMEN RECTILINEAR</v>
      </c>
      <c r="Y192" s="159">
        <f>F38</f>
        <v>12</v>
      </c>
      <c r="Z192" s="1"/>
      <c r="AA192" s="159">
        <f>H38</f>
        <v>1023</v>
      </c>
      <c r="AB192" s="159"/>
      <c r="AC192" s="238">
        <v>19.22</v>
      </c>
      <c r="AD192" s="258"/>
      <c r="AE192" s="3">
        <f>ROUND((Y192*AC192),0)</f>
        <v>231</v>
      </c>
      <c r="AF192" s="3"/>
      <c r="AG192" s="175">
        <f>ROUND((AE192/AE$293)*100,1)</f>
        <v>0</v>
      </c>
      <c r="AH192" s="4"/>
      <c r="AI192" s="3">
        <f>L38-AE192</f>
        <v>33</v>
      </c>
      <c r="AJ192" s="3"/>
      <c r="AK192" s="181">
        <f>IF(AE192=0,"0.0 ",ROUND((AI192/AE192)*100,1))</f>
        <v>14.3</v>
      </c>
      <c r="AL192" s="6"/>
      <c r="AM192" s="3">
        <f>ROUND(CUR_FAC*AA192,0)</f>
        <v>4</v>
      </c>
      <c r="AN192" s="3"/>
      <c r="AO192" s="3">
        <f>AE192+AM192</f>
        <v>235</v>
      </c>
      <c r="AP192" s="3"/>
      <c r="AQ192" s="181">
        <f>IF(AO192=0,"0.0 ",ROUND((AI192/AO192)*100,1))</f>
        <v>14</v>
      </c>
      <c r="AS192" s="123"/>
      <c r="AT192" s="188">
        <f>AC192-AX192</f>
        <v>16.34</v>
      </c>
      <c r="AW192" s="123">
        <v>1023</v>
      </c>
      <c r="AX192" s="41">
        <f>ROUND((AW192/12)*CUR_BASE_FUEL,2)</f>
        <v>2.88</v>
      </c>
      <c r="AY192" s="41">
        <f>ROUND((AW192/12)*PRO_BASE_FUEL,2)</f>
        <v>2.88</v>
      </c>
    </row>
    <row r="193" spans="1:51" x14ac:dyDescent="0.3">
      <c r="A193" s="42"/>
      <c r="T193" s="283">
        <v>22</v>
      </c>
      <c r="V193" s="45" t="str">
        <f>C39</f>
        <v xml:space="preserve">   50,000 LUMEN RECTILINEAR</v>
      </c>
      <c r="Y193" s="159">
        <f>F39</f>
        <v>204</v>
      </c>
      <c r="Z193" s="1"/>
      <c r="AA193" s="159">
        <f>H39</f>
        <v>33303</v>
      </c>
      <c r="AB193" s="159"/>
      <c r="AC193" s="238">
        <v>26.01</v>
      </c>
      <c r="AD193" s="258"/>
      <c r="AE193" s="3">
        <f>ROUND((Y193*AC193),0)</f>
        <v>5306</v>
      </c>
      <c r="AF193" s="3"/>
      <c r="AG193" s="175">
        <f>ROUND((AE193/AE$293)*100,1)</f>
        <v>0.4</v>
      </c>
      <c r="AH193" s="4"/>
      <c r="AI193" s="3">
        <f>L39-AE193</f>
        <v>757</v>
      </c>
      <c r="AJ193" s="3"/>
      <c r="AK193" s="181">
        <f>IF(AE193=0,"0.0 ",ROUND((AI193/AE193)*100,1))</f>
        <v>14.3</v>
      </c>
      <c r="AL193" s="6"/>
      <c r="AM193" s="3">
        <f>ROUND(CUR_FAC*AA193,0)</f>
        <v>116</v>
      </c>
      <c r="AN193" s="3"/>
      <c r="AO193" s="3">
        <f>AE193+AM193</f>
        <v>5422</v>
      </c>
      <c r="AP193" s="3"/>
      <c r="AQ193" s="181">
        <f>IF(AO193=0,"0.0 ",ROUND((AI193/AO193)*100,1))</f>
        <v>14</v>
      </c>
      <c r="AS193" s="123"/>
      <c r="AT193" s="188">
        <f>AC193-AX193</f>
        <v>20.5</v>
      </c>
      <c r="AW193" s="184">
        <v>1959</v>
      </c>
      <c r="AX193" s="41">
        <f>ROUND((AW193/12)*CUR_BASE_FUEL,2)</f>
        <v>5.51</v>
      </c>
      <c r="AY193" s="41">
        <f>ROUND((AW193/12)*PRO_BASE_FUEL,2)</f>
        <v>5.51</v>
      </c>
    </row>
    <row r="194" spans="1:51" x14ac:dyDescent="0.3">
      <c r="T194" s="283">
        <v>23</v>
      </c>
      <c r="V194" s="45" t="str">
        <f>C40</f>
        <v xml:space="preserve">   50,000 LUMEN SETBACK</v>
      </c>
      <c r="Y194" s="159">
        <f>F40</f>
        <v>241</v>
      </c>
      <c r="Z194" s="1"/>
      <c r="AA194" s="159">
        <f>H40</f>
        <v>39343</v>
      </c>
      <c r="AB194" s="159"/>
      <c r="AC194" s="238">
        <v>37.799999999999997</v>
      </c>
      <c r="AD194" s="258"/>
      <c r="AE194" s="3">
        <f>ROUND((Y194*AC194),0)</f>
        <v>9110</v>
      </c>
      <c r="AF194" s="3"/>
      <c r="AG194" s="175">
        <f>ROUND((AE194/AE$293)*100,1)</f>
        <v>0.6</v>
      </c>
      <c r="AH194" s="4"/>
      <c r="AI194" s="3">
        <f>L40-AE194</f>
        <v>1299</v>
      </c>
      <c r="AJ194" s="3"/>
      <c r="AK194" s="181">
        <f>IF(AE194=0,"0.0 ",ROUND((AI194/AE194)*100,1))</f>
        <v>14.3</v>
      </c>
      <c r="AL194" s="6"/>
      <c r="AM194" s="3">
        <f>ROUND(CUR_FAC*AA194,0)</f>
        <v>137</v>
      </c>
      <c r="AN194" s="3"/>
      <c r="AO194" s="3">
        <f>AE194+AM194</f>
        <v>9247</v>
      </c>
      <c r="AP194" s="3"/>
      <c r="AQ194" s="181">
        <f>IF(AO194=0,"0.0 ",ROUND((AI194/AO194)*100,1))</f>
        <v>14</v>
      </c>
      <c r="AS194" s="123"/>
      <c r="AT194" s="188">
        <f>AC194-AX194</f>
        <v>32.29</v>
      </c>
      <c r="AW194" s="184">
        <v>1959</v>
      </c>
      <c r="AX194" s="41">
        <f>ROUND((AW194/12)*CUR_BASE_FUEL,2)</f>
        <v>5.51</v>
      </c>
      <c r="AY194" s="41">
        <f>ROUND((AW194/12)*PRO_BASE_FUEL,2)</f>
        <v>5.51</v>
      </c>
    </row>
    <row r="195" spans="1:51" x14ac:dyDescent="0.3">
      <c r="T195" s="283">
        <v>24</v>
      </c>
      <c r="V195" s="45"/>
      <c r="Y195" s="159"/>
      <c r="Z195" s="1"/>
      <c r="AA195" s="159"/>
      <c r="AB195" s="159"/>
      <c r="AC195" s="238"/>
      <c r="AD195" s="258"/>
      <c r="AE195" s="3"/>
      <c r="AF195" s="3"/>
      <c r="AG195" s="175"/>
      <c r="AH195" s="4"/>
      <c r="AI195" s="3"/>
      <c r="AJ195" s="3"/>
      <c r="AK195" s="181"/>
      <c r="AL195" s="6"/>
      <c r="AM195" s="3"/>
      <c r="AN195" s="3"/>
      <c r="AO195" s="3"/>
      <c r="AP195" s="3"/>
      <c r="AQ195" s="181"/>
      <c r="AS195" s="123"/>
      <c r="AT195" s="188"/>
      <c r="AW195" s="184"/>
    </row>
    <row r="196" spans="1:51" x14ac:dyDescent="0.3">
      <c r="T196" s="283">
        <v>25</v>
      </c>
      <c r="V196" s="178" t="s">
        <v>265</v>
      </c>
      <c r="Y196" s="145">
        <f>SUM(Y175:Y194)</f>
        <v>81914</v>
      </c>
      <c r="Z196" s="1"/>
      <c r="AA196" s="145">
        <f>SUM(AA175:AA194)</f>
        <v>6250277</v>
      </c>
      <c r="AB196" s="3"/>
      <c r="AC196" s="5"/>
      <c r="AD196" s="258"/>
      <c r="AE196" s="145">
        <f>SUM(AE175:AE194)</f>
        <v>1120896</v>
      </c>
      <c r="AF196" s="3"/>
      <c r="AG196" s="180">
        <f>ROUND((AE196/AE$293)*100,1)</f>
        <v>79</v>
      </c>
      <c r="AH196" s="4"/>
      <c r="AI196" s="145">
        <f>SUM(AI175:AI194)</f>
        <v>159895</v>
      </c>
      <c r="AJ196" s="3"/>
      <c r="AK196" s="224">
        <f>IF(AE196=0,"0.0 ",ROUND((AI196/AE196)*100,1))</f>
        <v>14.3</v>
      </c>
      <c r="AL196" s="6"/>
      <c r="AM196" s="145">
        <f>SUM(AM175:AM194)</f>
        <v>21796</v>
      </c>
      <c r="AN196" s="3"/>
      <c r="AO196" s="145">
        <f>SUM(AO175:AO194)</f>
        <v>1142692</v>
      </c>
      <c r="AP196" s="3"/>
      <c r="AQ196" s="224">
        <f>IF(AO196=0,"0.0 ",ROUND((AI196/AO196)*100,1))</f>
        <v>14</v>
      </c>
      <c r="AS196" s="123"/>
    </row>
    <row r="197" spans="1:51" x14ac:dyDescent="0.3">
      <c r="T197" s="283">
        <v>26</v>
      </c>
      <c r="AS197" s="123"/>
    </row>
    <row r="198" spans="1:51" x14ac:dyDescent="0.3">
      <c r="H198" s="42"/>
      <c r="I198" s="42"/>
      <c r="T198" s="283">
        <v>27</v>
      </c>
      <c r="V198" s="132" t="s">
        <v>80</v>
      </c>
      <c r="W198" s="153"/>
      <c r="Y198" s="1"/>
      <c r="Z198" s="1"/>
      <c r="AA198" s="1"/>
      <c r="AB198" s="1"/>
      <c r="AC198" s="5"/>
      <c r="AD198" s="258"/>
      <c r="AE198" s="3"/>
      <c r="AF198" s="3"/>
      <c r="AG198" s="175"/>
      <c r="AH198" s="4"/>
      <c r="AI198" s="3"/>
      <c r="AJ198" s="3"/>
      <c r="AK198" s="181"/>
      <c r="AL198" s="6"/>
      <c r="AM198" s="3"/>
      <c r="AN198" s="3"/>
      <c r="AO198" s="3"/>
      <c r="AP198" s="3"/>
      <c r="AQ198" s="181"/>
      <c r="AS198" s="123"/>
      <c r="AW198" s="1"/>
    </row>
    <row r="199" spans="1:51" x14ac:dyDescent="0.3">
      <c r="H199" s="42"/>
      <c r="I199" s="42"/>
      <c r="T199" s="283">
        <v>28</v>
      </c>
      <c r="V199" s="178" t="s">
        <v>205</v>
      </c>
      <c r="W199" s="153"/>
      <c r="Y199" s="1"/>
      <c r="Z199" s="1"/>
      <c r="AA199" s="1"/>
      <c r="AB199" s="1"/>
      <c r="AC199" s="5"/>
      <c r="AD199" s="258"/>
      <c r="AE199" s="3"/>
      <c r="AF199" s="3"/>
      <c r="AG199" s="175"/>
      <c r="AH199" s="4"/>
      <c r="AI199" s="3"/>
      <c r="AJ199" s="3"/>
      <c r="AK199" s="175"/>
      <c r="AL199" s="6"/>
      <c r="AM199" s="3"/>
      <c r="AN199" s="3"/>
      <c r="AO199" s="3"/>
      <c r="AP199" s="3"/>
      <c r="AQ199" s="181"/>
      <c r="AS199" s="123"/>
      <c r="AW199" s="1"/>
    </row>
    <row r="200" spans="1:51" x14ac:dyDescent="0.3">
      <c r="T200" s="283">
        <v>29</v>
      </c>
      <c r="V200" s="45" t="str">
        <f>C46</f>
        <v xml:space="preserve">     7,000 LUMEN</v>
      </c>
      <c r="Y200" s="159">
        <f>F46</f>
        <v>272</v>
      </c>
      <c r="Z200" s="1"/>
      <c r="AA200" s="159">
        <f>H46</f>
        <v>19811</v>
      </c>
      <c r="AB200" s="159"/>
      <c r="AC200" s="238">
        <v>11.74</v>
      </c>
      <c r="AD200" s="258"/>
      <c r="AE200" s="3">
        <f>ROUND((Y200*AC200),0)</f>
        <v>3193</v>
      </c>
      <c r="AF200" s="3"/>
      <c r="AG200" s="175">
        <f>ROUND((AE200/AE$293)*100,1)</f>
        <v>0.2</v>
      </c>
      <c r="AH200" s="4"/>
      <c r="AI200" s="3">
        <f>L46-AE200</f>
        <v>455</v>
      </c>
      <c r="AJ200" s="3"/>
      <c r="AK200" s="181">
        <f>IF(AE200=0,"0.0 ",ROUND((AI200/AE200)*100,1))</f>
        <v>14.2</v>
      </c>
      <c r="AL200" s="6"/>
      <c r="AM200" s="3">
        <f>ROUND(CUR_FAC*AA200,0)</f>
        <v>69</v>
      </c>
      <c r="AN200" s="3"/>
      <c r="AO200" s="3">
        <f>AE200+AM200</f>
        <v>3262</v>
      </c>
      <c r="AP200" s="3"/>
      <c r="AQ200" s="181">
        <f>IF(AO200=0,"0.0 ",ROUND((AI200/AO200)*100,1))</f>
        <v>13.9</v>
      </c>
      <c r="AS200" s="123"/>
      <c r="AT200" s="188">
        <f>AC200-AX200</f>
        <v>9.2800000000000011</v>
      </c>
      <c r="AW200" s="184">
        <v>874</v>
      </c>
      <c r="AX200" s="41">
        <f>ROUND((AW200/12)*CUR_BASE_FUEL,2)</f>
        <v>2.46</v>
      </c>
      <c r="AY200" s="41">
        <f>ROUND((AW200/12)*PRO_BASE_FUEL,2)</f>
        <v>2.46</v>
      </c>
    </row>
    <row r="201" spans="1:51" x14ac:dyDescent="0.3">
      <c r="T201" s="283">
        <v>30</v>
      </c>
      <c r="V201" s="45" t="str">
        <f>C47</f>
        <v xml:space="preserve">     7,000 LUMEN (OPEN)</v>
      </c>
      <c r="Y201" s="159">
        <f>F47</f>
        <v>0</v>
      </c>
      <c r="Z201" s="1"/>
      <c r="AA201" s="159">
        <f>H47</f>
        <v>0</v>
      </c>
      <c r="AB201" s="159"/>
      <c r="AC201" s="238">
        <v>9.77</v>
      </c>
      <c r="AD201" s="258"/>
      <c r="AE201" s="3">
        <f>ROUND((Y201*AC201),0)</f>
        <v>0</v>
      </c>
      <c r="AF201" s="3"/>
      <c r="AG201" s="175">
        <f>ROUND((AE201/AE$293)*100,1)</f>
        <v>0</v>
      </c>
      <c r="AH201" s="4"/>
      <c r="AI201" s="3">
        <f>L47-AE201</f>
        <v>0</v>
      </c>
      <c r="AJ201" s="3"/>
      <c r="AK201" s="181" t="str">
        <f>IF(AE201=0,"0.0 ",ROUND((AI201/AE201)*100,1))</f>
        <v xml:space="preserve">0.0 </v>
      </c>
      <c r="AL201" s="6"/>
      <c r="AM201" s="3">
        <f>ROUND(CUR_FAC*AA201,0)</f>
        <v>0</v>
      </c>
      <c r="AN201" s="3"/>
      <c r="AO201" s="3">
        <f>AE201+AM201</f>
        <v>0</v>
      </c>
      <c r="AP201" s="3"/>
      <c r="AQ201" s="181" t="str">
        <f>IF(AO201=0,"0.0 ",ROUND((AI201/AO201)*100,1))</f>
        <v xml:space="preserve">0.0 </v>
      </c>
      <c r="AS201" s="123"/>
      <c r="AT201" s="188">
        <f>AC201-AX201</f>
        <v>7.3699999999999992</v>
      </c>
      <c r="AW201" s="184">
        <v>853</v>
      </c>
      <c r="AX201" s="41">
        <f>ROUND((AW201/12)*CUR_BASE_FUEL,2)</f>
        <v>2.4</v>
      </c>
      <c r="AY201" s="41">
        <f>ROUND((AW201/12)*PRO_BASE_FUEL,2)</f>
        <v>2.4</v>
      </c>
    </row>
    <row r="202" spans="1:51" x14ac:dyDescent="0.3">
      <c r="T202" s="283">
        <v>31</v>
      </c>
      <c r="V202" s="45" t="str">
        <f>C48</f>
        <v xml:space="preserve">  10,000 LUMEN</v>
      </c>
      <c r="Y202" s="159">
        <f>F48</f>
        <v>132</v>
      </c>
      <c r="Z202" s="1"/>
      <c r="AA202" s="159">
        <f>H48</f>
        <v>13365</v>
      </c>
      <c r="AB202" s="159"/>
      <c r="AC202" s="238">
        <v>13.76</v>
      </c>
      <c r="AD202" s="258"/>
      <c r="AE202" s="3">
        <f>ROUND((Y202*AC202),0)</f>
        <v>1816</v>
      </c>
      <c r="AF202" s="3"/>
      <c r="AG202" s="175">
        <f>ROUND((AE202/AE$293)*100,1)</f>
        <v>0.1</v>
      </c>
      <c r="AH202" s="4"/>
      <c r="AI202" s="3">
        <f>L48-AE202</f>
        <v>259</v>
      </c>
      <c r="AJ202" s="3"/>
      <c r="AK202" s="181">
        <f>IF(AE202=0,"0.0 ",ROUND((AI202/AE202)*100,1))</f>
        <v>14.3</v>
      </c>
      <c r="AL202" s="6"/>
      <c r="AM202" s="3">
        <f>ROUND(CUR_FAC*AA202,0)</f>
        <v>47</v>
      </c>
      <c r="AN202" s="3"/>
      <c r="AO202" s="3">
        <f>AE202+AM202</f>
        <v>1863</v>
      </c>
      <c r="AP202" s="3"/>
      <c r="AQ202" s="181">
        <f>IF(AO202=0,"0.0 ",ROUND((AI202/AO202)*100,1))</f>
        <v>13.9</v>
      </c>
      <c r="AS202" s="123"/>
      <c r="AT202" s="188">
        <f>AC202-AX202</f>
        <v>10.34</v>
      </c>
      <c r="AW202" s="184">
        <v>1215</v>
      </c>
      <c r="AX202" s="41">
        <f>ROUND((AW202/12)*CUR_BASE_FUEL,2)</f>
        <v>3.42</v>
      </c>
      <c r="AY202" s="41">
        <f>ROUND((AW202/12)*PRO_BASE_FUEL,2)</f>
        <v>3.42</v>
      </c>
    </row>
    <row r="203" spans="1:51" x14ac:dyDescent="0.3">
      <c r="T203" s="283">
        <v>32</v>
      </c>
      <c r="U203" s="306"/>
      <c r="V203" s="45" t="str">
        <f>C49</f>
        <v xml:space="preserve">  21,000 LUMEN</v>
      </c>
      <c r="Y203" s="159">
        <f>F49</f>
        <v>228</v>
      </c>
      <c r="Z203" s="1"/>
      <c r="AA203" s="159">
        <f>H49</f>
        <v>36366</v>
      </c>
      <c r="AB203" s="159"/>
      <c r="AC203" s="238">
        <v>18.8</v>
      </c>
      <c r="AD203" s="258"/>
      <c r="AE203" s="3">
        <f>ROUND((Y203*AC203),0)</f>
        <v>4286</v>
      </c>
      <c r="AF203" s="3"/>
      <c r="AG203" s="175">
        <f>ROUND((AE203/AE$293)*100,1)</f>
        <v>0.3</v>
      </c>
      <c r="AH203" s="4"/>
      <c r="AI203" s="3">
        <f>L49-AE203</f>
        <v>611</v>
      </c>
      <c r="AJ203" s="3"/>
      <c r="AK203" s="181">
        <f>IF(AE203=0,"0.0 ",ROUND((AI203/AE203)*100,1))</f>
        <v>14.3</v>
      </c>
      <c r="AL203" s="6"/>
      <c r="AM203" s="3">
        <f>ROUND(CUR_FAC*AA203,0)</f>
        <v>127</v>
      </c>
      <c r="AN203" s="3"/>
      <c r="AO203" s="3">
        <f>AE203+AM203</f>
        <v>4413</v>
      </c>
      <c r="AP203" s="3"/>
      <c r="AQ203" s="181">
        <f>IF(AO203=0,"0.0 ",ROUND((AI203/AO203)*100,1))</f>
        <v>13.8</v>
      </c>
      <c r="AS203" s="123"/>
      <c r="AT203" s="188">
        <f>AC203-AX203</f>
        <v>13.41</v>
      </c>
      <c r="AW203" s="184">
        <v>1914</v>
      </c>
      <c r="AX203" s="41">
        <f>ROUND((AW203/12)*CUR_BASE_FUEL,2)</f>
        <v>5.39</v>
      </c>
      <c r="AY203" s="41">
        <f>ROUND((AW203/12)*PRO_BASE_FUEL,2)</f>
        <v>5.39</v>
      </c>
    </row>
    <row r="204" spans="1:51" x14ac:dyDescent="0.3">
      <c r="L204" s="42"/>
      <c r="M204" s="42"/>
      <c r="T204" s="283">
        <v>33</v>
      </c>
      <c r="V204" s="132" t="s">
        <v>268</v>
      </c>
      <c r="Y204" s="159"/>
      <c r="Z204" s="1"/>
      <c r="AA204" s="159"/>
      <c r="AB204" s="159"/>
      <c r="AC204" s="258"/>
      <c r="AD204" s="258"/>
      <c r="AE204" s="3"/>
      <c r="AF204" s="3"/>
      <c r="AG204" s="175"/>
      <c r="AH204" s="4"/>
      <c r="AI204" s="3"/>
      <c r="AJ204" s="3"/>
      <c r="AK204" s="181"/>
      <c r="AL204" s="6"/>
      <c r="AM204" s="3"/>
      <c r="AN204" s="3"/>
      <c r="AO204" s="3"/>
      <c r="AP204" s="3"/>
      <c r="AQ204" s="181"/>
      <c r="AS204" s="123"/>
      <c r="AW204" s="184"/>
    </row>
    <row r="205" spans="1:51" x14ac:dyDescent="0.3">
      <c r="L205" s="42"/>
      <c r="M205" s="42"/>
      <c r="T205" s="283">
        <v>34</v>
      </c>
      <c r="V205" s="45" t="str">
        <f>C51</f>
        <v xml:space="preserve">    14,000 LUMEN</v>
      </c>
      <c r="Y205" s="159">
        <f>F51</f>
        <v>0</v>
      </c>
      <c r="Z205" s="1"/>
      <c r="AA205" s="159">
        <f>H51</f>
        <v>0</v>
      </c>
      <c r="AB205" s="159"/>
      <c r="AC205" s="238">
        <v>11.74</v>
      </c>
      <c r="AD205" s="258"/>
      <c r="AE205" s="3">
        <f>ROUND((Y205*AC205),0)</f>
        <v>0</v>
      </c>
      <c r="AF205" s="3"/>
      <c r="AG205" s="175">
        <f>ROUND((AE205/AE$293)*100,1)</f>
        <v>0</v>
      </c>
      <c r="AH205" s="4"/>
      <c r="AI205" s="3">
        <f>L51-AE205</f>
        <v>0</v>
      </c>
      <c r="AJ205" s="3"/>
      <c r="AK205" s="181" t="str">
        <f>IF(AE205=0,"0.0 ",ROUND((AI205/AE205)*100,1))</f>
        <v xml:space="preserve">0.0 </v>
      </c>
      <c r="AL205" s="6"/>
      <c r="AM205" s="3">
        <f>ROUND(CUR_FAC*AA205,0)</f>
        <v>0</v>
      </c>
      <c r="AN205" s="3"/>
      <c r="AO205" s="3">
        <f>AE205+AM205</f>
        <v>0</v>
      </c>
      <c r="AP205" s="3"/>
      <c r="AQ205" s="181" t="str">
        <f>IF(AO205=0,"0.0 ",ROUND((AI205/AO205)*100,1))</f>
        <v xml:space="preserve">0.0 </v>
      </c>
      <c r="AS205" s="123"/>
      <c r="AT205" s="188">
        <f>AC205-AX205</f>
        <v>9.2800000000000011</v>
      </c>
      <c r="AW205" s="184">
        <v>874</v>
      </c>
      <c r="AX205" s="41">
        <f>ROUND((AW205/12)*CUR_BASE_FUEL,2)</f>
        <v>2.46</v>
      </c>
      <c r="AY205" s="41">
        <f>ROUND((AW205/12)*PRO_BASE_FUEL,2)</f>
        <v>2.46</v>
      </c>
    </row>
    <row r="206" spans="1:51" x14ac:dyDescent="0.3">
      <c r="R206" s="42"/>
      <c r="T206" s="283">
        <v>35</v>
      </c>
      <c r="V206" s="45" t="str">
        <f>C52</f>
        <v xml:space="preserve">    20,500 LUMEN</v>
      </c>
      <c r="Y206" s="159">
        <f>F52</f>
        <v>0</v>
      </c>
      <c r="Z206" s="1"/>
      <c r="AA206" s="159">
        <f>H52</f>
        <v>0</v>
      </c>
      <c r="AB206" s="159"/>
      <c r="AC206" s="238">
        <v>13.76</v>
      </c>
      <c r="AD206" s="258"/>
      <c r="AE206" s="3">
        <f>ROUND((Y206*AC206),0)</f>
        <v>0</v>
      </c>
      <c r="AF206" s="3"/>
      <c r="AG206" s="175">
        <f>ROUND((AE206/AE$293)*100,1)</f>
        <v>0</v>
      </c>
      <c r="AH206" s="4"/>
      <c r="AI206" s="3">
        <f>L52-AE206</f>
        <v>0</v>
      </c>
      <c r="AJ206" s="3"/>
      <c r="AK206" s="181" t="str">
        <f>IF(AE206=0,"0.0 ",ROUND((AI206/AE206)*100,1))</f>
        <v xml:space="preserve">0.0 </v>
      </c>
      <c r="AL206" s="6"/>
      <c r="AM206" s="3">
        <f>ROUND(CUR_FAC*AA206,0)</f>
        <v>0</v>
      </c>
      <c r="AN206" s="3"/>
      <c r="AO206" s="3">
        <f>AE206+AM206</f>
        <v>0</v>
      </c>
      <c r="AP206" s="3"/>
      <c r="AQ206" s="181" t="str">
        <f>IF(AO206=0,"0.0 ",ROUND((AI206/AO206)*100,1))</f>
        <v xml:space="preserve">0.0 </v>
      </c>
      <c r="AS206" s="123"/>
      <c r="AT206" s="188">
        <f>AC206-AX206</f>
        <v>10.34</v>
      </c>
      <c r="AW206" s="184">
        <v>1215</v>
      </c>
      <c r="AX206" s="41">
        <f>ROUND((AW206/12)*CUR_BASE_FUEL,2)</f>
        <v>3.42</v>
      </c>
      <c r="AY206" s="41">
        <f>ROUND((AW206/12)*PRO_BASE_FUEL,2)</f>
        <v>3.42</v>
      </c>
    </row>
    <row r="207" spans="1:51" x14ac:dyDescent="0.3">
      <c r="R207" s="42"/>
      <c r="T207" s="283">
        <v>36</v>
      </c>
      <c r="V207" s="45" t="str">
        <f>C53</f>
        <v xml:space="preserve">    36,000 LUMEN</v>
      </c>
      <c r="Y207" s="159">
        <f>F53</f>
        <v>0</v>
      </c>
      <c r="Z207" s="1"/>
      <c r="AA207" s="159">
        <f>H53</f>
        <v>0</v>
      </c>
      <c r="AB207" s="159"/>
      <c r="AC207" s="238">
        <v>18.8</v>
      </c>
      <c r="AD207" s="258"/>
      <c r="AE207" s="3">
        <f>ROUND((Y207*AC207),0)</f>
        <v>0</v>
      </c>
      <c r="AF207" s="3"/>
      <c r="AG207" s="175">
        <f>ROUND((AE207/AE$293)*100,1)</f>
        <v>0</v>
      </c>
      <c r="AH207" s="4"/>
      <c r="AI207" s="3">
        <f>L53-AE207</f>
        <v>0</v>
      </c>
      <c r="AJ207" s="3"/>
      <c r="AK207" s="181" t="str">
        <f>IF(AE207=0,"0.0 ",ROUND((AI207/AE207)*100,1))</f>
        <v xml:space="preserve">0.0 </v>
      </c>
      <c r="AL207" s="6"/>
      <c r="AM207" s="3">
        <f>ROUND(CUR_FAC*AA207,0)</f>
        <v>0</v>
      </c>
      <c r="AN207" s="3"/>
      <c r="AO207" s="3">
        <f>AE207+AM207</f>
        <v>0</v>
      </c>
      <c r="AP207" s="3"/>
      <c r="AQ207" s="181" t="str">
        <f>IF(AO207=0,"0.0 ",ROUND((AI207/AO207)*100,1))</f>
        <v xml:space="preserve">0.0 </v>
      </c>
      <c r="AS207" s="123"/>
      <c r="AT207" s="188">
        <f>AC207-AX207</f>
        <v>13.41</v>
      </c>
      <c r="AW207" s="184">
        <v>1914</v>
      </c>
      <c r="AX207" s="41">
        <f>ROUND((AW207/12)*CUR_BASE_FUEL,2)</f>
        <v>5.39</v>
      </c>
      <c r="AY207" s="41">
        <f>ROUND((AW207/12)*PRO_BASE_FUEL,2)</f>
        <v>5.39</v>
      </c>
    </row>
    <row r="208" spans="1:51" x14ac:dyDescent="0.3">
      <c r="R208" s="42"/>
      <c r="T208" s="283">
        <v>37</v>
      </c>
      <c r="V208" s="45"/>
      <c r="Y208" s="159"/>
      <c r="Z208" s="1"/>
      <c r="AA208" s="159"/>
      <c r="AB208" s="159"/>
      <c r="AC208" s="238"/>
      <c r="AD208" s="258"/>
      <c r="AE208" s="3"/>
      <c r="AF208" s="3"/>
      <c r="AG208" s="175"/>
      <c r="AH208" s="4"/>
      <c r="AI208" s="3"/>
      <c r="AJ208" s="3"/>
      <c r="AK208" s="181"/>
      <c r="AL208" s="6"/>
      <c r="AM208" s="3"/>
      <c r="AN208" s="3"/>
      <c r="AO208" s="3"/>
      <c r="AP208" s="3"/>
      <c r="AQ208" s="181"/>
      <c r="AS208" s="123"/>
      <c r="AW208" s="184"/>
    </row>
    <row r="209" spans="1:51" x14ac:dyDescent="0.3">
      <c r="R209" s="42"/>
      <c r="T209" s="283">
        <v>38</v>
      </c>
      <c r="V209" s="178" t="s">
        <v>203</v>
      </c>
      <c r="AG209" s="41"/>
      <c r="AK209" s="41"/>
      <c r="AQ209" s="41"/>
    </row>
    <row r="210" spans="1:51" x14ac:dyDescent="0.3">
      <c r="R210" s="42"/>
      <c r="T210" s="283">
        <v>39</v>
      </c>
      <c r="V210" s="45" t="str">
        <f t="shared" ref="V210:V215" si="34">C56</f>
        <v xml:space="preserve">     9,500 LUMEN </v>
      </c>
      <c r="Y210" s="159">
        <f t="shared" ref="Y210:Y215" si="35">F56</f>
        <v>282</v>
      </c>
      <c r="Z210" s="1"/>
      <c r="AA210" s="159">
        <f t="shared" ref="AA210:AA215" si="36">H56</f>
        <v>11445</v>
      </c>
      <c r="AB210" s="159"/>
      <c r="AC210" s="238">
        <v>12.34</v>
      </c>
      <c r="AD210" s="258"/>
      <c r="AE210" s="3">
        <f t="shared" ref="AE210:AE215" si="37">ROUND((Y210*AC210),0)</f>
        <v>3480</v>
      </c>
      <c r="AF210" s="3"/>
      <c r="AG210" s="175">
        <f t="shared" ref="AG210:AG215" si="38">ROUND((AE210/AE$293)*100,1)</f>
        <v>0.2</v>
      </c>
      <c r="AH210" s="4"/>
      <c r="AI210" s="3">
        <f t="shared" ref="AI210:AI215" si="39">L56-AE210</f>
        <v>496</v>
      </c>
      <c r="AJ210" s="3"/>
      <c r="AK210" s="181">
        <f t="shared" ref="AK210:AK215" si="40">IF(AE210=0,"0.0 ",ROUND((AI210/AE210)*100,1))</f>
        <v>14.3</v>
      </c>
      <c r="AL210" s="6"/>
      <c r="AM210" s="3">
        <f t="shared" ref="AM210:AM215" si="41">ROUND(CUR_FAC*AA210,0)</f>
        <v>40</v>
      </c>
      <c r="AN210" s="3"/>
      <c r="AO210" s="3">
        <f t="shared" ref="AO210:AO215" si="42">AE210+AM210</f>
        <v>3520</v>
      </c>
      <c r="AP210" s="3"/>
      <c r="AQ210" s="181">
        <f t="shared" ref="AQ210:AQ215" si="43">IF(AO210=0,"0.0 ",ROUND((AI210/AO210)*100,1))</f>
        <v>14.1</v>
      </c>
      <c r="AS210" s="123"/>
      <c r="AT210" s="188">
        <f t="shared" ref="AT210:AT215" si="44">AC210-AX210</f>
        <v>10.969999999999999</v>
      </c>
      <c r="AW210" s="184">
        <v>487</v>
      </c>
      <c r="AX210" s="41">
        <f t="shared" ref="AX210:AX215" si="45">ROUND((AW210/12)*CUR_BASE_FUEL,2)</f>
        <v>1.37</v>
      </c>
      <c r="AY210" s="41">
        <f t="shared" ref="AY210:AY215" si="46">ROUND((AW210/12)*PRO_BASE_FUEL,2)</f>
        <v>1.37</v>
      </c>
    </row>
    <row r="211" spans="1:51" x14ac:dyDescent="0.3">
      <c r="R211" s="42"/>
      <c r="T211" s="283">
        <v>40</v>
      </c>
      <c r="V211" s="45" t="str">
        <f t="shared" si="34"/>
        <v xml:space="preserve">     9,500 LUMEN (OPEN)</v>
      </c>
      <c r="Y211" s="159">
        <f t="shared" si="35"/>
        <v>0</v>
      </c>
      <c r="Z211" s="1"/>
      <c r="AA211" s="159">
        <f t="shared" si="36"/>
        <v>0</v>
      </c>
      <c r="AB211" s="159"/>
      <c r="AC211" s="238">
        <v>9.51</v>
      </c>
      <c r="AD211" s="258"/>
      <c r="AE211" s="3">
        <f t="shared" si="37"/>
        <v>0</v>
      </c>
      <c r="AF211" s="3"/>
      <c r="AG211" s="175">
        <f t="shared" si="38"/>
        <v>0</v>
      </c>
      <c r="AH211" s="4"/>
      <c r="AI211" s="3">
        <f t="shared" si="39"/>
        <v>0</v>
      </c>
      <c r="AJ211" s="3"/>
      <c r="AK211" s="181" t="str">
        <f t="shared" si="40"/>
        <v xml:space="preserve">0.0 </v>
      </c>
      <c r="AL211" s="6"/>
      <c r="AM211" s="3">
        <f t="shared" si="41"/>
        <v>0</v>
      </c>
      <c r="AN211" s="3"/>
      <c r="AO211" s="3">
        <f t="shared" si="42"/>
        <v>0</v>
      </c>
      <c r="AP211" s="3"/>
      <c r="AQ211" s="181" t="str">
        <f t="shared" si="43"/>
        <v xml:space="preserve">0.0 </v>
      </c>
      <c r="AS211" s="123"/>
      <c r="AT211" s="188">
        <f t="shared" si="44"/>
        <v>8.14</v>
      </c>
      <c r="AW211" s="184">
        <v>487</v>
      </c>
      <c r="AX211" s="41">
        <f t="shared" si="45"/>
        <v>1.37</v>
      </c>
      <c r="AY211" s="41">
        <f t="shared" si="46"/>
        <v>1.37</v>
      </c>
    </row>
    <row r="212" spans="1:51" x14ac:dyDescent="0.3">
      <c r="R212" s="42"/>
      <c r="T212" s="283">
        <v>41</v>
      </c>
      <c r="V212" s="45" t="str">
        <f t="shared" si="34"/>
        <v xml:space="preserve">   16,000 LUMEN</v>
      </c>
      <c r="Y212" s="159">
        <f t="shared" si="35"/>
        <v>24</v>
      </c>
      <c r="Z212" s="1"/>
      <c r="AA212" s="159">
        <f t="shared" si="36"/>
        <v>1422</v>
      </c>
      <c r="AB212" s="159"/>
      <c r="AC212" s="238">
        <v>13.6</v>
      </c>
      <c r="AD212" s="258"/>
      <c r="AE212" s="3">
        <f t="shared" si="37"/>
        <v>326</v>
      </c>
      <c r="AF212" s="3"/>
      <c r="AG212" s="175">
        <f t="shared" si="38"/>
        <v>0</v>
      </c>
      <c r="AH212" s="4"/>
      <c r="AI212" s="3">
        <f t="shared" si="39"/>
        <v>47</v>
      </c>
      <c r="AJ212" s="3"/>
      <c r="AK212" s="181">
        <f t="shared" si="40"/>
        <v>14.4</v>
      </c>
      <c r="AL212" s="6"/>
      <c r="AM212" s="3">
        <f t="shared" si="41"/>
        <v>5</v>
      </c>
      <c r="AN212" s="3"/>
      <c r="AO212" s="3">
        <f t="shared" si="42"/>
        <v>331</v>
      </c>
      <c r="AP212" s="3"/>
      <c r="AQ212" s="181">
        <f t="shared" si="43"/>
        <v>14.2</v>
      </c>
      <c r="AS212" s="123"/>
      <c r="AT212" s="188">
        <f t="shared" si="44"/>
        <v>11.6</v>
      </c>
      <c r="AW212" s="184">
        <v>711</v>
      </c>
      <c r="AX212" s="41">
        <f t="shared" si="45"/>
        <v>2</v>
      </c>
      <c r="AY212" s="41">
        <f t="shared" si="46"/>
        <v>2</v>
      </c>
    </row>
    <row r="213" spans="1:51" x14ac:dyDescent="0.3">
      <c r="R213" s="42"/>
      <c r="T213" s="283">
        <v>42</v>
      </c>
      <c r="V213" s="45" t="str">
        <f t="shared" si="34"/>
        <v xml:space="preserve">   22,000 LUMEN</v>
      </c>
      <c r="Y213" s="159">
        <f t="shared" si="35"/>
        <v>204</v>
      </c>
      <c r="Z213" s="1"/>
      <c r="AA213" s="159">
        <f t="shared" si="36"/>
        <v>16116</v>
      </c>
      <c r="AB213" s="159"/>
      <c r="AC213" s="238">
        <v>17.7</v>
      </c>
      <c r="AD213" s="258"/>
      <c r="AE213" s="3">
        <f t="shared" si="37"/>
        <v>3611</v>
      </c>
      <c r="AF213" s="3"/>
      <c r="AG213" s="175">
        <f t="shared" si="38"/>
        <v>0.3</v>
      </c>
      <c r="AH213" s="4"/>
      <c r="AI213" s="3">
        <f t="shared" si="39"/>
        <v>514</v>
      </c>
      <c r="AJ213" s="3"/>
      <c r="AK213" s="181">
        <f t="shared" si="40"/>
        <v>14.2</v>
      </c>
      <c r="AL213" s="6"/>
      <c r="AM213" s="3">
        <f t="shared" si="41"/>
        <v>56</v>
      </c>
      <c r="AN213" s="3"/>
      <c r="AO213" s="3">
        <f t="shared" si="42"/>
        <v>3667</v>
      </c>
      <c r="AP213" s="3"/>
      <c r="AQ213" s="181">
        <f t="shared" si="43"/>
        <v>14</v>
      </c>
      <c r="AS213" s="123"/>
      <c r="AT213" s="188">
        <f t="shared" si="44"/>
        <v>15.03</v>
      </c>
      <c r="AW213" s="184">
        <v>948</v>
      </c>
      <c r="AX213" s="41">
        <f t="shared" si="45"/>
        <v>2.67</v>
      </c>
      <c r="AY213" s="41">
        <f t="shared" si="46"/>
        <v>2.67</v>
      </c>
    </row>
    <row r="214" spans="1:51" x14ac:dyDescent="0.3">
      <c r="R214" s="42"/>
      <c r="T214" s="283">
        <v>43</v>
      </c>
      <c r="V214" s="45" t="str">
        <f t="shared" si="34"/>
        <v xml:space="preserve">   27,500 LUMEN</v>
      </c>
      <c r="W214" s="307"/>
      <c r="Y214" s="159">
        <f t="shared" si="35"/>
        <v>12</v>
      </c>
      <c r="Z214" s="1"/>
      <c r="AA214" s="159">
        <f t="shared" si="36"/>
        <v>1323</v>
      </c>
      <c r="AB214" s="159"/>
      <c r="AC214" s="238">
        <v>18.04</v>
      </c>
      <c r="AD214" s="5"/>
      <c r="AE214" s="3">
        <f t="shared" si="37"/>
        <v>216</v>
      </c>
      <c r="AF214" s="3"/>
      <c r="AG214" s="175">
        <f t="shared" si="38"/>
        <v>0</v>
      </c>
      <c r="AH214" s="4"/>
      <c r="AI214" s="3">
        <f t="shared" si="39"/>
        <v>31</v>
      </c>
      <c r="AJ214" s="3"/>
      <c r="AK214" s="181">
        <f t="shared" si="40"/>
        <v>14.4</v>
      </c>
      <c r="AL214" s="6"/>
      <c r="AM214" s="3">
        <f t="shared" si="41"/>
        <v>5</v>
      </c>
      <c r="AN214" s="3"/>
      <c r="AO214" s="3">
        <f t="shared" si="42"/>
        <v>221</v>
      </c>
      <c r="AP214" s="3"/>
      <c r="AQ214" s="181">
        <f t="shared" si="43"/>
        <v>14</v>
      </c>
      <c r="AS214" s="123"/>
      <c r="AT214" s="188">
        <f t="shared" si="44"/>
        <v>16.669999999999998</v>
      </c>
      <c r="AW214" s="184">
        <v>487</v>
      </c>
      <c r="AX214" s="41">
        <f t="shared" si="45"/>
        <v>1.37</v>
      </c>
      <c r="AY214" s="41">
        <f t="shared" si="46"/>
        <v>1.37</v>
      </c>
    </row>
    <row r="215" spans="1:51" x14ac:dyDescent="0.3">
      <c r="A215" s="44"/>
      <c r="C215" s="44"/>
      <c r="D215" s="44"/>
      <c r="E215" s="44"/>
      <c r="F215" s="44"/>
      <c r="J215" s="44"/>
      <c r="K215" s="44"/>
      <c r="L215" s="44"/>
      <c r="M215" s="44"/>
      <c r="N215" s="44"/>
      <c r="O215" s="44"/>
      <c r="P215" s="44"/>
      <c r="Q215" s="44"/>
      <c r="R215" s="44"/>
      <c r="T215" s="283">
        <v>44</v>
      </c>
      <c r="V215" s="45" t="str">
        <f t="shared" si="34"/>
        <v xml:space="preserve">   50,000 LUMEN</v>
      </c>
      <c r="Y215" s="159">
        <f t="shared" si="35"/>
        <v>96</v>
      </c>
      <c r="Z215" s="1"/>
      <c r="AA215" s="159">
        <f t="shared" si="36"/>
        <v>15672</v>
      </c>
      <c r="AB215" s="159"/>
      <c r="AC215" s="238">
        <v>24.43</v>
      </c>
      <c r="AD215" s="258"/>
      <c r="AE215" s="3">
        <f t="shared" si="37"/>
        <v>2345</v>
      </c>
      <c r="AF215" s="1"/>
      <c r="AG215" s="175">
        <f t="shared" si="38"/>
        <v>0.2</v>
      </c>
      <c r="AH215" s="1"/>
      <c r="AI215" s="3">
        <f t="shared" si="39"/>
        <v>334</v>
      </c>
      <c r="AJ215" s="1"/>
      <c r="AK215" s="181">
        <f t="shared" si="40"/>
        <v>14.2</v>
      </c>
      <c r="AL215" s="1"/>
      <c r="AM215" s="3">
        <f t="shared" si="41"/>
        <v>55</v>
      </c>
      <c r="AN215" s="1"/>
      <c r="AO215" s="3">
        <f t="shared" si="42"/>
        <v>2400</v>
      </c>
      <c r="AP215" s="1"/>
      <c r="AQ215" s="181">
        <f t="shared" si="43"/>
        <v>13.9</v>
      </c>
      <c r="AS215" s="123"/>
      <c r="AT215" s="188">
        <f t="shared" si="44"/>
        <v>18.920000000000002</v>
      </c>
      <c r="AW215" s="184">
        <v>1959</v>
      </c>
      <c r="AX215" s="41">
        <f t="shared" si="45"/>
        <v>5.51</v>
      </c>
      <c r="AY215" s="41">
        <f t="shared" si="46"/>
        <v>5.51</v>
      </c>
    </row>
    <row r="216" spans="1:51" x14ac:dyDescent="0.3">
      <c r="AS216" s="123"/>
    </row>
    <row r="217" spans="1:51" x14ac:dyDescent="0.3">
      <c r="C217" s="42"/>
      <c r="D217" s="42"/>
      <c r="E217" s="42"/>
      <c r="T217" s="202" t="s">
        <v>76</v>
      </c>
      <c r="U217" s="294"/>
      <c r="V217" s="294"/>
      <c r="W217" s="294"/>
      <c r="X217" s="294"/>
      <c r="Y217" s="294"/>
      <c r="Z217" s="294"/>
      <c r="AA217" s="294"/>
      <c r="AB217" s="294"/>
      <c r="AC217" s="294"/>
      <c r="AD217" s="294"/>
      <c r="AE217" s="264"/>
      <c r="AF217" s="294"/>
      <c r="AG217" s="295"/>
      <c r="AH217" s="294"/>
      <c r="AI217" s="294"/>
      <c r="AJ217" s="294"/>
      <c r="AK217" s="264"/>
      <c r="AL217" s="294"/>
      <c r="AM217" s="294"/>
      <c r="AN217" s="308"/>
      <c r="AO217" s="308"/>
      <c r="AP217" s="308"/>
      <c r="AQ217" s="309"/>
      <c r="AS217" s="123"/>
    </row>
    <row r="218" spans="1:51" x14ac:dyDescent="0.3">
      <c r="C218" s="42"/>
      <c r="D218" s="42"/>
      <c r="E218" s="42"/>
      <c r="T218" s="202" t="str">
        <f>"(1A) REFLECTS FUEL COST RECOVERY INCLUDED IN BASE RATES OF "&amp;TEXT(CUR_BASE_FUEL,"$0.000000;($0.000000)")&amp;"  PER KWH."</f>
        <v>(1A) REFLECTS FUEL COST RECOVERY INCLUDED IN BASE RATES OF $0.033780  PER KWH.</v>
      </c>
      <c r="U218" s="294"/>
      <c r="V218" s="294"/>
      <c r="W218" s="294"/>
      <c r="X218" s="294"/>
      <c r="Y218" s="296"/>
      <c r="Z218" s="294"/>
      <c r="AA218" s="294"/>
      <c r="AB218" s="294"/>
      <c r="AC218" s="294"/>
      <c r="AD218" s="294"/>
      <c r="AE218" s="264"/>
      <c r="AF218" s="294"/>
      <c r="AG218" s="295"/>
      <c r="AH218" s="294"/>
      <c r="AI218" s="294"/>
      <c r="AJ218" s="294"/>
      <c r="AK218" s="264"/>
      <c r="AL218" s="294"/>
      <c r="AM218" s="294"/>
      <c r="AN218" s="308"/>
      <c r="AO218" s="308"/>
      <c r="AP218" s="308"/>
      <c r="AQ218" s="309"/>
      <c r="AS218" s="123"/>
    </row>
    <row r="219" spans="1:51" x14ac:dyDescent="0.3">
      <c r="C219" s="42"/>
      <c r="D219" s="42"/>
      <c r="E219" s="42"/>
      <c r="T219" s="202" t="str">
        <f>"(2) REFLECTS FUEL COMPONENT OF "&amp;TEXT(CUR_FAC,"$0.000000;($0.000000)")&amp;"  PER KWH."</f>
        <v>(2) REFLECTS FUEL COMPONENT OF $0.003487  PER KWH.</v>
      </c>
      <c r="U219" s="294"/>
      <c r="V219" s="294"/>
      <c r="W219" s="294"/>
      <c r="X219" s="294"/>
      <c r="Y219" s="296"/>
      <c r="Z219" s="294"/>
      <c r="AA219" s="294"/>
      <c r="AB219" s="294"/>
      <c r="AC219" s="294"/>
      <c r="AD219" s="294"/>
      <c r="AE219" s="264"/>
      <c r="AF219" s="294"/>
      <c r="AG219" s="295"/>
      <c r="AH219" s="294"/>
      <c r="AI219" s="294"/>
      <c r="AJ219" s="294"/>
      <c r="AK219" s="264"/>
      <c r="AL219" s="294"/>
      <c r="AM219" s="294"/>
      <c r="AN219" s="308"/>
      <c r="AO219" s="308"/>
      <c r="AP219" s="308"/>
      <c r="AQ219" s="309"/>
      <c r="AS219" s="123"/>
    </row>
    <row r="220" spans="1:51" x14ac:dyDescent="0.3">
      <c r="C220" s="42"/>
      <c r="D220" s="42"/>
      <c r="E220" s="42"/>
      <c r="T220" s="264"/>
      <c r="U220" s="294"/>
      <c r="V220" s="294"/>
      <c r="W220" s="294"/>
      <c r="X220" s="294"/>
      <c r="Y220" s="296"/>
      <c r="Z220" s="294"/>
      <c r="AA220" s="294"/>
      <c r="AB220" s="294"/>
      <c r="AC220" s="294"/>
      <c r="AD220" s="294"/>
      <c r="AE220" s="264"/>
      <c r="AF220" s="294"/>
      <c r="AG220" s="295"/>
      <c r="AH220" s="294"/>
      <c r="AI220" s="294"/>
      <c r="AJ220" s="294"/>
      <c r="AK220" s="264"/>
      <c r="AL220" s="294"/>
      <c r="AM220" s="294"/>
      <c r="AN220" s="308"/>
      <c r="AO220" s="308"/>
      <c r="AP220" s="308"/>
      <c r="AQ220" s="309"/>
      <c r="AS220" s="123"/>
    </row>
    <row r="221" spans="1:51" x14ac:dyDescent="0.3">
      <c r="C221" s="42"/>
      <c r="D221" s="42"/>
      <c r="E221" s="42"/>
      <c r="T221" s="264"/>
      <c r="U221" s="294"/>
      <c r="V221" s="294"/>
      <c r="W221" s="294"/>
      <c r="X221" s="294"/>
      <c r="Y221" s="296"/>
      <c r="Z221" s="294"/>
      <c r="AA221" s="294"/>
      <c r="AB221" s="294"/>
      <c r="AC221" s="294"/>
      <c r="AD221" s="294"/>
      <c r="AE221" s="264"/>
      <c r="AF221" s="294"/>
      <c r="AG221" s="295"/>
      <c r="AH221" s="294"/>
      <c r="AI221" s="294"/>
      <c r="AJ221" s="294"/>
      <c r="AK221" s="264"/>
      <c r="AL221" s="294"/>
      <c r="AM221" s="294"/>
      <c r="AN221" s="308"/>
      <c r="AO221" s="308"/>
      <c r="AP221" s="308"/>
      <c r="AQ221" s="309"/>
      <c r="AS221" s="123"/>
    </row>
    <row r="222" spans="1:51" x14ac:dyDescent="0.3">
      <c r="C222" s="42"/>
      <c r="D222" s="42"/>
      <c r="E222" s="42"/>
      <c r="T222" s="45"/>
      <c r="Y222" s="188"/>
      <c r="AC222" s="45"/>
      <c r="AS222" s="123"/>
    </row>
    <row r="223" spans="1:51" x14ac:dyDescent="0.3">
      <c r="C223" s="42"/>
      <c r="D223" s="42"/>
      <c r="E223" s="42"/>
      <c r="T223" s="44"/>
      <c r="U223" s="44"/>
      <c r="V223" s="44"/>
      <c r="AA223" s="44"/>
      <c r="AB223" s="44"/>
      <c r="AC223" s="44"/>
      <c r="AD223" s="44"/>
      <c r="AE223" s="44"/>
      <c r="AF223" s="44"/>
      <c r="AG223" s="168"/>
      <c r="AH223" s="44"/>
      <c r="AI223" s="44"/>
      <c r="AJ223" s="44"/>
      <c r="AK223" s="168"/>
      <c r="AL223" s="44"/>
      <c r="AM223" s="44"/>
      <c r="AN223" s="44"/>
      <c r="AO223" s="44"/>
      <c r="AP223" s="44"/>
      <c r="AS223" s="123"/>
    </row>
    <row r="224" spans="1:51" x14ac:dyDescent="0.3">
      <c r="C224" s="42"/>
      <c r="D224" s="42"/>
      <c r="E224" s="42"/>
      <c r="T224" s="469" t="str">
        <f>NAME</f>
        <v>DUKE ENERGY KENTUCKY, INC.</v>
      </c>
      <c r="U224" s="469"/>
      <c r="V224" s="469"/>
      <c r="W224" s="469"/>
      <c r="X224" s="469"/>
      <c r="Y224" s="469"/>
      <c r="Z224" s="469"/>
      <c r="AA224" s="469"/>
      <c r="AB224" s="469"/>
      <c r="AC224" s="469"/>
      <c r="AD224" s="469"/>
      <c r="AE224" s="469"/>
      <c r="AF224" s="469"/>
      <c r="AG224" s="469"/>
      <c r="AH224" s="469"/>
      <c r="AI224" s="469"/>
      <c r="AJ224" s="469"/>
      <c r="AK224" s="469"/>
      <c r="AL224" s="469"/>
      <c r="AM224" s="469"/>
      <c r="AN224" s="469"/>
      <c r="AO224" s="469"/>
      <c r="AP224" s="469"/>
      <c r="AQ224" s="469"/>
      <c r="AS224" s="123"/>
      <c r="AW224" s="40"/>
    </row>
    <row r="225" spans="3:51" x14ac:dyDescent="0.3">
      <c r="C225" s="42"/>
      <c r="D225" s="42"/>
      <c r="E225" s="42"/>
      <c r="T225" s="40" t="str">
        <f>CASE_NO</f>
        <v>CASE NO.   2024-00354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S225" s="123"/>
      <c r="AW225" s="40"/>
    </row>
    <row r="226" spans="3:51" x14ac:dyDescent="0.3">
      <c r="C226" s="42"/>
      <c r="D226" s="42"/>
      <c r="E226" s="42"/>
      <c r="T226" s="40" t="str">
        <f>TITLE</f>
        <v>ANNUALIZED TEST YEAR REVENUES AT REHEARING ORDER CALCULATED VS. MOST CURRENT RATES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S226" s="123"/>
      <c r="AW226" s="40"/>
    </row>
    <row r="227" spans="3:51" x14ac:dyDescent="0.3">
      <c r="C227" s="42"/>
      <c r="D227" s="42"/>
      <c r="E227" s="42"/>
      <c r="T227" s="40" t="str">
        <f>DATE</f>
        <v>FOR THE TWELVE MONTHS ENDED June 30, 2026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S227" s="123"/>
      <c r="AW227" s="40"/>
    </row>
    <row r="228" spans="3:51" x14ac:dyDescent="0.3">
      <c r="C228" s="42"/>
      <c r="D228" s="42"/>
      <c r="E228" s="42"/>
      <c r="T228" s="40" t="str">
        <f>SERVICE</f>
        <v>(ELECTRIC SERVICE)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S228" s="123"/>
      <c r="AW228" s="40"/>
    </row>
    <row r="229" spans="3:51" x14ac:dyDescent="0.3">
      <c r="C229" s="42"/>
      <c r="D229" s="42"/>
      <c r="E229" s="42"/>
      <c r="T229" s="41" t="str">
        <f>DATA_PERIOD</f>
        <v>DATA: ____ BASE PERIOD   __X__FORECASTED PERIOD</v>
      </c>
      <c r="AO229" s="42" t="s">
        <v>158</v>
      </c>
      <c r="AP229" s="42"/>
      <c r="AS229" s="123"/>
    </row>
    <row r="230" spans="3:51" x14ac:dyDescent="0.3">
      <c r="C230" s="42"/>
      <c r="D230" s="42"/>
      <c r="E230" s="42"/>
      <c r="T230" s="41" t="str">
        <f>TYPE</f>
        <v>TYPE OF FILING: _X_ ORIGINAL   ___UPDATED  ___ REVISED</v>
      </c>
      <c r="AO230" s="45" t="str">
        <f>"PAGE 14 OF "&amp;TEXT(Page_Num_2.2,"00")</f>
        <v>PAGE 14 OF 24</v>
      </c>
      <c r="AP230" s="42"/>
      <c r="AS230" s="123"/>
    </row>
    <row r="231" spans="3:51" x14ac:dyDescent="0.3">
      <c r="C231" s="42"/>
      <c r="D231" s="42"/>
      <c r="E231" s="42"/>
      <c r="T231" s="42" t="s">
        <v>171</v>
      </c>
      <c r="AO231" s="42" t="s">
        <v>4</v>
      </c>
      <c r="AP231" s="42"/>
      <c r="AS231" s="123"/>
    </row>
    <row r="232" spans="3:51" x14ac:dyDescent="0.3">
      <c r="C232" s="42"/>
      <c r="D232" s="42"/>
      <c r="E232" s="42"/>
      <c r="T232" s="153" t="str">
        <f>TIME</f>
        <v>12 Months Projected with Riders</v>
      </c>
      <c r="AF232" s="42"/>
      <c r="AO232" s="123" t="str">
        <f>WIT</f>
        <v>B. L. Sailers</v>
      </c>
      <c r="AS232" s="123"/>
    </row>
    <row r="233" spans="3:51" x14ac:dyDescent="0.3">
      <c r="C233" s="42"/>
      <c r="D233" s="42"/>
      <c r="E233" s="42"/>
      <c r="T233" s="40" t="s">
        <v>131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166"/>
      <c r="AH233" s="40"/>
      <c r="AI233" s="40"/>
      <c r="AJ233" s="40"/>
      <c r="AK233" s="166"/>
      <c r="AL233" s="40"/>
      <c r="AM233" s="40"/>
      <c r="AN233" s="40"/>
      <c r="AO233" s="40"/>
      <c r="AP233" s="40"/>
      <c r="AS233" s="123"/>
      <c r="AW233" s="40"/>
    </row>
    <row r="234" spans="3:51" x14ac:dyDescent="0.3">
      <c r="C234" s="42"/>
      <c r="D234" s="42"/>
      <c r="E234" s="42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43"/>
      <c r="AF234" s="43"/>
      <c r="AG234" s="167"/>
      <c r="AH234" s="43"/>
      <c r="AI234" s="43"/>
      <c r="AJ234" s="43"/>
      <c r="AK234" s="167"/>
      <c r="AL234" s="43"/>
      <c r="AM234" s="43"/>
      <c r="AN234" s="135"/>
      <c r="AO234" s="135"/>
      <c r="AP234" s="135"/>
      <c r="AS234" s="123"/>
      <c r="AW234" s="135"/>
    </row>
    <row r="235" spans="3:51" ht="18" customHeight="1" x14ac:dyDescent="0.3">
      <c r="C235" s="42"/>
      <c r="D235" s="42"/>
      <c r="E235" s="42"/>
      <c r="T235" s="191"/>
      <c r="U235" s="191"/>
      <c r="V235" s="191"/>
      <c r="W235" s="191"/>
      <c r="X235" s="191"/>
      <c r="Y235" s="191"/>
      <c r="Z235" s="191"/>
      <c r="AA235" s="191"/>
      <c r="AB235" s="191"/>
      <c r="AC235" s="191"/>
      <c r="AD235" s="191"/>
      <c r="AE235" s="44" t="s">
        <v>8</v>
      </c>
      <c r="AF235" s="44"/>
      <c r="AG235" s="168" t="s">
        <v>7</v>
      </c>
      <c r="AH235" s="44"/>
      <c r="AI235" s="44" t="s">
        <v>9</v>
      </c>
      <c r="AJ235" s="44"/>
      <c r="AK235" s="168" t="s">
        <v>10</v>
      </c>
      <c r="AL235" s="44"/>
      <c r="AN235" s="191"/>
      <c r="AO235" s="272" t="s">
        <v>8</v>
      </c>
      <c r="AP235" s="272"/>
      <c r="AQ235" s="273" t="s">
        <v>11</v>
      </c>
      <c r="AS235" s="123"/>
    </row>
    <row r="236" spans="3:51" x14ac:dyDescent="0.3">
      <c r="C236" s="42"/>
      <c r="D236" s="42"/>
      <c r="E236" s="42"/>
      <c r="AC236" s="44" t="s">
        <v>14</v>
      </c>
      <c r="AD236" s="44"/>
      <c r="AE236" s="44" t="s">
        <v>12</v>
      </c>
      <c r="AF236" s="44"/>
      <c r="AG236" s="168" t="s">
        <v>13</v>
      </c>
      <c r="AH236" s="44"/>
      <c r="AI236" s="44" t="s">
        <v>15</v>
      </c>
      <c r="AJ236" s="44"/>
      <c r="AK236" s="168" t="s">
        <v>16</v>
      </c>
      <c r="AL236" s="44"/>
      <c r="AO236" s="44" t="s">
        <v>11</v>
      </c>
      <c r="AP236" s="44"/>
      <c r="AQ236" s="168" t="s">
        <v>9</v>
      </c>
      <c r="AS236" s="123"/>
      <c r="AT236" s="44" t="s">
        <v>405</v>
      </c>
    </row>
    <row r="237" spans="3:51" x14ac:dyDescent="0.3">
      <c r="C237" s="42"/>
      <c r="D237" s="42"/>
      <c r="E237" s="42"/>
      <c r="T237" s="44" t="s">
        <v>17</v>
      </c>
      <c r="V237" s="44" t="s">
        <v>18</v>
      </c>
      <c r="W237" s="44" t="s">
        <v>19</v>
      </c>
      <c r="X237" s="44"/>
      <c r="Y237" s="44" t="s">
        <v>20</v>
      </c>
      <c r="AC237" s="44" t="s">
        <v>8</v>
      </c>
      <c r="AD237" s="44"/>
      <c r="AE237" s="44" t="s">
        <v>842</v>
      </c>
      <c r="AF237" s="44"/>
      <c r="AG237" s="168" t="s">
        <v>842</v>
      </c>
      <c r="AH237" s="44"/>
      <c r="AI237" s="46" t="s">
        <v>965</v>
      </c>
      <c r="AJ237" s="44"/>
      <c r="AK237" s="169" t="s">
        <v>965</v>
      </c>
      <c r="AL237" s="44"/>
      <c r="AM237" s="44" t="s">
        <v>842</v>
      </c>
      <c r="AN237" s="44"/>
      <c r="AO237" s="44" t="s">
        <v>9</v>
      </c>
      <c r="AP237" s="44"/>
      <c r="AQ237" s="168" t="s">
        <v>21</v>
      </c>
      <c r="AS237" s="123"/>
      <c r="AT237" s="44" t="s">
        <v>406</v>
      </c>
    </row>
    <row r="238" spans="3:51" x14ac:dyDescent="0.3">
      <c r="C238" s="42"/>
      <c r="D238" s="42"/>
      <c r="E238" s="42"/>
      <c r="T238" s="44" t="s">
        <v>22</v>
      </c>
      <c r="V238" s="44" t="s">
        <v>23</v>
      </c>
      <c r="W238" s="44" t="s">
        <v>24</v>
      </c>
      <c r="X238" s="44"/>
      <c r="Y238" s="44" t="s">
        <v>25</v>
      </c>
      <c r="AA238" s="44" t="s">
        <v>26</v>
      </c>
      <c r="AB238" s="44"/>
      <c r="AC238" s="46" t="s">
        <v>326</v>
      </c>
      <c r="AD238" s="44"/>
      <c r="AE238" s="44" t="s">
        <v>9</v>
      </c>
      <c r="AF238" s="44"/>
      <c r="AG238" s="168" t="s">
        <v>9</v>
      </c>
      <c r="AH238" s="44"/>
      <c r="AI238" s="141" t="s">
        <v>29</v>
      </c>
      <c r="AJ238" s="141"/>
      <c r="AK238" s="170" t="s">
        <v>30</v>
      </c>
      <c r="AL238" s="44"/>
      <c r="AM238" s="44" t="s">
        <v>324</v>
      </c>
      <c r="AN238" s="44"/>
      <c r="AO238" s="141" t="s">
        <v>31</v>
      </c>
      <c r="AP238" s="141"/>
      <c r="AQ238" s="170" t="s">
        <v>32</v>
      </c>
      <c r="AS238" s="123"/>
      <c r="AT238" s="44" t="s">
        <v>407</v>
      </c>
      <c r="AW238" s="44"/>
      <c r="AX238" s="41" t="s">
        <v>301</v>
      </c>
      <c r="AY238" s="41" t="s">
        <v>302</v>
      </c>
    </row>
    <row r="239" spans="3:51" x14ac:dyDescent="0.3">
      <c r="C239" s="42"/>
      <c r="D239" s="42"/>
      <c r="E239" s="42"/>
      <c r="V239" s="141" t="s">
        <v>33</v>
      </c>
      <c r="W239" s="141" t="s">
        <v>34</v>
      </c>
      <c r="X239" s="141"/>
      <c r="Y239" s="141" t="s">
        <v>35</v>
      </c>
      <c r="Z239" s="153"/>
      <c r="AA239" s="141" t="s">
        <v>36</v>
      </c>
      <c r="AB239" s="141"/>
      <c r="AC239" s="141" t="s">
        <v>42</v>
      </c>
      <c r="AD239" s="141"/>
      <c r="AE239" s="141" t="s">
        <v>43</v>
      </c>
      <c r="AF239" s="141"/>
      <c r="AG239" s="170" t="s">
        <v>44</v>
      </c>
      <c r="AH239" s="141"/>
      <c r="AI239" s="141" t="s">
        <v>45</v>
      </c>
      <c r="AJ239" s="141"/>
      <c r="AK239" s="170" t="s">
        <v>46</v>
      </c>
      <c r="AL239" s="141"/>
      <c r="AM239" s="141" t="s">
        <v>40</v>
      </c>
      <c r="AN239" s="141"/>
      <c r="AO239" s="141" t="s">
        <v>47</v>
      </c>
      <c r="AP239" s="141"/>
      <c r="AQ239" s="170" t="s">
        <v>48</v>
      </c>
      <c r="AS239" s="123"/>
      <c r="AW239" s="41" t="s">
        <v>300</v>
      </c>
      <c r="AX239" s="41" t="s">
        <v>299</v>
      </c>
      <c r="AY239" s="41" t="s">
        <v>299</v>
      </c>
    </row>
    <row r="240" spans="3:51" ht="17.100000000000001" customHeight="1" x14ac:dyDescent="0.3">
      <c r="C240" s="42"/>
      <c r="D240" s="42"/>
      <c r="E240" s="42"/>
      <c r="T240" s="191"/>
      <c r="U240" s="191"/>
      <c r="V240" s="191"/>
      <c r="W240" s="191"/>
      <c r="X240" s="191"/>
      <c r="Y240" s="191"/>
      <c r="Z240" s="191"/>
      <c r="AA240" s="271" t="s">
        <v>49</v>
      </c>
      <c r="AB240" s="271"/>
      <c r="AC240" s="270" t="s">
        <v>69</v>
      </c>
      <c r="AD240" s="271"/>
      <c r="AE240" s="271" t="s">
        <v>50</v>
      </c>
      <c r="AF240" s="271"/>
      <c r="AG240" s="274" t="s">
        <v>51</v>
      </c>
      <c r="AH240" s="271"/>
      <c r="AI240" s="271" t="s">
        <v>50</v>
      </c>
      <c r="AJ240" s="271"/>
      <c r="AK240" s="274" t="s">
        <v>51</v>
      </c>
      <c r="AL240" s="271"/>
      <c r="AM240" s="271" t="s">
        <v>50</v>
      </c>
      <c r="AN240" s="271"/>
      <c r="AO240" s="271" t="s">
        <v>50</v>
      </c>
      <c r="AP240" s="271"/>
      <c r="AQ240" s="274" t="s">
        <v>51</v>
      </c>
      <c r="AS240" s="123"/>
      <c r="AW240" s="44"/>
    </row>
    <row r="241" spans="3:51" x14ac:dyDescent="0.3">
      <c r="C241" s="42"/>
      <c r="D241" s="42"/>
      <c r="E241" s="42"/>
      <c r="T241" s="297">
        <v>45</v>
      </c>
      <c r="V241" s="132" t="s">
        <v>77</v>
      </c>
      <c r="W241" s="178" t="s">
        <v>266</v>
      </c>
      <c r="X241" s="42"/>
      <c r="Y241" s="1"/>
      <c r="Z241" s="1"/>
      <c r="AA241" s="1"/>
      <c r="AB241" s="1"/>
      <c r="AC241" s="1"/>
      <c r="AD241" s="1"/>
      <c r="AE241" s="1"/>
      <c r="AF241" s="1"/>
      <c r="AG241" s="175"/>
      <c r="AH241" s="1"/>
      <c r="AI241" s="1"/>
      <c r="AJ241" s="1"/>
      <c r="AK241" s="175"/>
      <c r="AL241" s="1"/>
      <c r="AM241" s="1"/>
      <c r="AN241" s="1"/>
      <c r="AO241" s="1"/>
      <c r="AP241" s="1"/>
      <c r="AQ241" s="181"/>
      <c r="AS241" s="123"/>
      <c r="AW241" s="1"/>
    </row>
    <row r="242" spans="3:51" x14ac:dyDescent="0.3">
      <c r="C242" s="42"/>
      <c r="D242" s="42"/>
      <c r="E242" s="42"/>
      <c r="T242" s="297">
        <v>46</v>
      </c>
      <c r="V242" s="132" t="s">
        <v>408</v>
      </c>
      <c r="W242" s="178"/>
      <c r="X242" s="42"/>
      <c r="Y242" s="1"/>
      <c r="Z242" s="1"/>
      <c r="AA242" s="1"/>
      <c r="AB242" s="1"/>
      <c r="AC242" s="1"/>
      <c r="AD242" s="1"/>
      <c r="AE242" s="1"/>
      <c r="AF242" s="1"/>
      <c r="AG242" s="175"/>
      <c r="AH242" s="1"/>
      <c r="AI242" s="1"/>
      <c r="AJ242" s="1"/>
      <c r="AK242" s="175"/>
      <c r="AL242" s="1"/>
      <c r="AM242" s="1"/>
      <c r="AN242" s="1"/>
      <c r="AO242" s="1"/>
      <c r="AP242" s="1"/>
      <c r="AQ242" s="181"/>
      <c r="AS242" s="123"/>
      <c r="AW242" s="1"/>
    </row>
    <row r="243" spans="3:51" x14ac:dyDescent="0.3">
      <c r="C243" s="42"/>
      <c r="D243" s="42"/>
      <c r="E243" s="42"/>
      <c r="T243" s="297">
        <v>47</v>
      </c>
      <c r="V243" s="178" t="s">
        <v>276</v>
      </c>
      <c r="Y243" s="159"/>
      <c r="Z243" s="1"/>
      <c r="AA243" s="159"/>
      <c r="AB243" s="1"/>
      <c r="AC243" s="5"/>
      <c r="AD243" s="258"/>
      <c r="AE243" s="3"/>
      <c r="AF243" s="3"/>
      <c r="AG243" s="175"/>
      <c r="AH243" s="4"/>
      <c r="AI243" s="3"/>
      <c r="AJ243" s="3"/>
      <c r="AK243" s="181"/>
      <c r="AL243" s="6"/>
      <c r="AM243" s="3"/>
      <c r="AN243" s="3"/>
      <c r="AO243" s="3"/>
      <c r="AP243" s="3"/>
      <c r="AQ243" s="181"/>
      <c r="AS243" s="123"/>
    </row>
    <row r="244" spans="3:51" ht="20.100000000000001" customHeight="1" x14ac:dyDescent="0.3">
      <c r="C244" s="42"/>
      <c r="D244" s="42"/>
      <c r="E244" s="42"/>
      <c r="T244" s="297">
        <v>48</v>
      </c>
      <c r="V244" s="45" t="str">
        <f>C90</f>
        <v xml:space="preserve">  7,000 LUMEN  TOWN &amp; COUNTRY</v>
      </c>
      <c r="Y244" s="159">
        <f>F90</f>
        <v>2743</v>
      </c>
      <c r="Z244" s="1"/>
      <c r="AA244" s="159">
        <f>H90</f>
        <v>194982</v>
      </c>
      <c r="AB244" s="159"/>
      <c r="AC244" s="238">
        <v>12.11</v>
      </c>
      <c r="AD244" s="258"/>
      <c r="AE244" s="3">
        <f>ROUND((Y244*AC244),0)</f>
        <v>33218</v>
      </c>
      <c r="AF244" s="3"/>
      <c r="AG244" s="175">
        <f>ROUND((AE244/AE$293)*100,1)</f>
        <v>2.2999999999999998</v>
      </c>
      <c r="AH244" s="4"/>
      <c r="AI244" s="3">
        <f>L90-AE244</f>
        <v>4745</v>
      </c>
      <c r="AJ244" s="3"/>
      <c r="AK244" s="181">
        <f>IF(AE244=0,"0.0 ",ROUND((AI244/AE244)*100,1))</f>
        <v>14.3</v>
      </c>
      <c r="AL244" s="6"/>
      <c r="AM244" s="3">
        <f>ROUND(CUR_FAC*AA244,0)</f>
        <v>680</v>
      </c>
      <c r="AN244" s="3"/>
      <c r="AO244" s="3">
        <f>AE244+AM244</f>
        <v>33898</v>
      </c>
      <c r="AP244" s="3"/>
      <c r="AQ244" s="181">
        <f>IF(AO244=0,"0.0 ",ROUND((AI244/AO244)*100,1))</f>
        <v>14</v>
      </c>
      <c r="AS244" s="123"/>
      <c r="AT244" s="188">
        <f>AC244-AX244</f>
        <v>9.7099999999999991</v>
      </c>
      <c r="AW244" s="184">
        <v>853</v>
      </c>
      <c r="AX244" s="41">
        <f>ROUND((AW244/12)*CUR_BASE_FUEL,2)</f>
        <v>2.4</v>
      </c>
      <c r="AY244" s="41">
        <f>ROUND((AW244/12)*PRO_BASE_FUEL,2)</f>
        <v>2.4</v>
      </c>
    </row>
    <row r="245" spans="3:51" x14ac:dyDescent="0.3">
      <c r="C245" s="42"/>
      <c r="D245" s="42"/>
      <c r="E245" s="42"/>
      <c r="T245" s="297">
        <v>49</v>
      </c>
      <c r="V245" s="45" t="str">
        <f>C91</f>
        <v xml:space="preserve">  7,000 LUMEN HOLOPHANE</v>
      </c>
      <c r="Y245" s="159">
        <f>F91</f>
        <v>904</v>
      </c>
      <c r="Z245" s="1"/>
      <c r="AA245" s="159">
        <f>H91</f>
        <v>65841</v>
      </c>
      <c r="AB245" s="159"/>
      <c r="AC245" s="238">
        <v>15.01</v>
      </c>
      <c r="AD245" s="258"/>
      <c r="AE245" s="3">
        <f>ROUND((Y245*AC245),0)</f>
        <v>13569</v>
      </c>
      <c r="AF245" s="3"/>
      <c r="AG245" s="175">
        <f>ROUND((AE245/AE$293)*100,1)</f>
        <v>1</v>
      </c>
      <c r="AH245" s="4"/>
      <c r="AI245" s="3">
        <f>L91-AE245</f>
        <v>1935</v>
      </c>
      <c r="AJ245" s="3"/>
      <c r="AK245" s="181">
        <f>IF(AE245=0,"0.0 ",ROUND((AI245/AE245)*100,1))</f>
        <v>14.3</v>
      </c>
      <c r="AL245" s="6"/>
      <c r="AM245" s="3">
        <f>ROUND(CUR_FAC*AA245,0)</f>
        <v>230</v>
      </c>
      <c r="AN245" s="3"/>
      <c r="AO245" s="3">
        <f>AE245+AM245</f>
        <v>13799</v>
      </c>
      <c r="AP245" s="3"/>
      <c r="AQ245" s="181">
        <f>IF(AO245=0,"0.0 ",ROUND((AI245/AO245)*100,1))</f>
        <v>14</v>
      </c>
      <c r="AS245" s="123"/>
      <c r="AT245" s="188">
        <f>AC245-AX245</f>
        <v>12.55</v>
      </c>
      <c r="AW245" s="184">
        <v>874</v>
      </c>
      <c r="AX245" s="41">
        <f>ROUND((AW245/12)*CUR_BASE_FUEL,2)</f>
        <v>2.46</v>
      </c>
      <c r="AY245" s="41">
        <f>ROUND((AW245/12)*PRO_BASE_FUEL,2)</f>
        <v>2.46</v>
      </c>
    </row>
    <row r="246" spans="3:51" x14ac:dyDescent="0.3">
      <c r="D246" s="42"/>
      <c r="E246" s="42"/>
      <c r="T246" s="297">
        <v>50</v>
      </c>
      <c r="V246" s="45" t="str">
        <f>C92</f>
        <v xml:space="preserve">  7,000 LUMEN GAS REPLICA</v>
      </c>
      <c r="Y246" s="159">
        <f>F92</f>
        <v>27</v>
      </c>
      <c r="Z246" s="1"/>
      <c r="AA246" s="159">
        <f>H92</f>
        <v>1967</v>
      </c>
      <c r="AB246" s="159"/>
      <c r="AC246" s="238">
        <v>33.299999999999997</v>
      </c>
      <c r="AD246" s="258"/>
      <c r="AE246" s="3">
        <f>ROUND((Y246*AC246),0)</f>
        <v>899</v>
      </c>
      <c r="AF246" s="3"/>
      <c r="AG246" s="175">
        <f>ROUND((AE246/AE$293)*100,1)</f>
        <v>0.1</v>
      </c>
      <c r="AH246" s="4"/>
      <c r="AI246" s="3">
        <f>L92-AE246</f>
        <v>128</v>
      </c>
      <c r="AJ246" s="3"/>
      <c r="AK246" s="181">
        <f>IF(AE246=0,"0.0 ",ROUND((AI246/AE246)*100,1))</f>
        <v>14.2</v>
      </c>
      <c r="AL246" s="6"/>
      <c r="AM246" s="3">
        <f>ROUND(CUR_FAC*AA246,0)</f>
        <v>7</v>
      </c>
      <c r="AN246" s="3"/>
      <c r="AO246" s="3">
        <f>AE246+AM246</f>
        <v>906</v>
      </c>
      <c r="AP246" s="3"/>
      <c r="AQ246" s="181">
        <f>IF(AO246=0,"0.0 ",ROUND((AI246/AO246)*100,1))</f>
        <v>14.1</v>
      </c>
      <c r="AS246" s="123"/>
      <c r="AT246" s="188">
        <f>AC246-AX246</f>
        <v>30.839999999999996</v>
      </c>
      <c r="AW246" s="184">
        <v>874</v>
      </c>
      <c r="AX246" s="41">
        <f>ROUND((AW246/12)*CUR_BASE_FUEL,2)</f>
        <v>2.46</v>
      </c>
      <c r="AY246" s="41">
        <f>ROUND((AW246/12)*PRO_BASE_FUEL,2)</f>
        <v>2.46</v>
      </c>
    </row>
    <row r="247" spans="3:51" x14ac:dyDescent="0.3">
      <c r="D247" s="42"/>
      <c r="E247" s="42"/>
      <c r="T247" s="297">
        <v>51</v>
      </c>
      <c r="V247" s="45" t="str">
        <f>C93</f>
        <v xml:space="preserve">  7,000 LUMEN GRANVILLE </v>
      </c>
      <c r="Y247" s="159">
        <f>F93</f>
        <v>0</v>
      </c>
      <c r="Z247" s="1"/>
      <c r="AA247" s="159">
        <f>H93</f>
        <v>0</v>
      </c>
      <c r="AB247" s="159"/>
      <c r="AC247" s="238">
        <v>12.23</v>
      </c>
      <c r="AD247" s="258"/>
      <c r="AE247" s="3">
        <f>ROUND((Y247*AC247),0)</f>
        <v>0</v>
      </c>
      <c r="AF247" s="3"/>
      <c r="AG247" s="175">
        <f>ROUND((AE247/AE$293)*100,1)</f>
        <v>0</v>
      </c>
      <c r="AH247" s="4"/>
      <c r="AI247" s="3">
        <f>L93-AE247</f>
        <v>0</v>
      </c>
      <c r="AJ247" s="3"/>
      <c r="AK247" s="181" t="str">
        <f>IF(AE247=0,"0.0 ",ROUND((AI247/AE247)*100,1))</f>
        <v xml:space="preserve">0.0 </v>
      </c>
      <c r="AL247" s="6"/>
      <c r="AM247" s="3">
        <f>ROUND(CUR_FAC*AA247,0)</f>
        <v>0</v>
      </c>
      <c r="AN247" s="3"/>
      <c r="AO247" s="3">
        <f>AE247+AM247</f>
        <v>0</v>
      </c>
      <c r="AP247" s="3"/>
      <c r="AQ247" s="181" t="str">
        <f>IF(AO247=0,"0.0 ",ROUND((AI247/AO247)*100,1))</f>
        <v xml:space="preserve">0.0 </v>
      </c>
      <c r="AS247" s="123"/>
      <c r="AT247" s="188">
        <f>AC247-AX247</f>
        <v>9.83</v>
      </c>
      <c r="AW247" s="184">
        <v>853</v>
      </c>
      <c r="AX247" s="41">
        <f>ROUND((AW247/12)*CUR_BASE_FUEL,2)</f>
        <v>2.4</v>
      </c>
      <c r="AY247" s="41">
        <f>ROUND((AW247/12)*PRO_BASE_FUEL,2)</f>
        <v>2.4</v>
      </c>
    </row>
    <row r="248" spans="3:51" x14ac:dyDescent="0.3">
      <c r="T248" s="297">
        <v>52</v>
      </c>
      <c r="V248" s="45" t="str">
        <f>C94</f>
        <v xml:space="preserve">  7,000 LUMEN ASPEN</v>
      </c>
      <c r="Y248" s="159">
        <f>F94</f>
        <v>24</v>
      </c>
      <c r="Z248" s="1"/>
      <c r="AA248" s="159">
        <f>H94</f>
        <v>1748</v>
      </c>
      <c r="AB248" s="159"/>
      <c r="AC248" s="238">
        <v>21.39</v>
      </c>
      <c r="AD248" s="258"/>
      <c r="AE248" s="3">
        <f>ROUND((Y248*AC248),0)</f>
        <v>513</v>
      </c>
      <c r="AF248" s="3"/>
      <c r="AG248" s="175">
        <f>ROUND((AE248/AE$293)*100,1)</f>
        <v>0</v>
      </c>
      <c r="AH248" s="4"/>
      <c r="AI248" s="3">
        <f>L94-AE248</f>
        <v>74</v>
      </c>
      <c r="AJ248" s="3"/>
      <c r="AK248" s="181">
        <f>IF(AE248=0,"0.0 ",ROUND((AI248/AE248)*100,1))</f>
        <v>14.4</v>
      </c>
      <c r="AL248" s="6"/>
      <c r="AM248" s="3">
        <f>ROUND(CUR_FAC*AA248,0)</f>
        <v>6</v>
      </c>
      <c r="AN248" s="3"/>
      <c r="AO248" s="3">
        <f>AE248+AM248</f>
        <v>519</v>
      </c>
      <c r="AP248" s="3"/>
      <c r="AQ248" s="181">
        <f>IF(AO248=0,"0.0 ",ROUND((AI248/AO248)*100,1))</f>
        <v>14.3</v>
      </c>
      <c r="AS248" s="123"/>
      <c r="AT248" s="188">
        <f>AC248-AX248</f>
        <v>18.93</v>
      </c>
      <c r="AW248" s="184">
        <v>874</v>
      </c>
      <c r="AX248" s="41">
        <f>ROUND((AW248/12)*CUR_BASE_FUEL,2)</f>
        <v>2.46</v>
      </c>
      <c r="AY248" s="41">
        <f>ROUND((AW248/12)*PRO_BASE_FUEL,2)</f>
        <v>2.46</v>
      </c>
    </row>
    <row r="249" spans="3:51" x14ac:dyDescent="0.3">
      <c r="T249" s="297">
        <v>53</v>
      </c>
      <c r="V249" s="132" t="s">
        <v>280</v>
      </c>
      <c r="Y249" s="159"/>
      <c r="Z249" s="1"/>
      <c r="AA249" s="159"/>
      <c r="AB249" s="159"/>
      <c r="AC249" s="258"/>
      <c r="AD249" s="258"/>
      <c r="AE249" s="3"/>
      <c r="AF249" s="3"/>
      <c r="AG249" s="175"/>
      <c r="AH249" s="4"/>
      <c r="AI249" s="3"/>
      <c r="AJ249" s="3"/>
      <c r="AK249" s="181"/>
      <c r="AL249" s="6"/>
      <c r="AM249" s="3"/>
      <c r="AN249" s="3"/>
      <c r="AO249" s="3"/>
      <c r="AP249" s="3"/>
      <c r="AQ249" s="181"/>
      <c r="AS249" s="123"/>
      <c r="AW249" s="123"/>
    </row>
    <row r="250" spans="3:51" x14ac:dyDescent="0.3">
      <c r="T250" s="297">
        <v>54</v>
      </c>
      <c r="V250" s="310" t="str">
        <f>C96</f>
        <v xml:space="preserve"> 14,000 LUMEN TRADITIONAIRE</v>
      </c>
      <c r="W250" s="311"/>
      <c r="Y250" s="159">
        <f>F96</f>
        <v>132</v>
      </c>
      <c r="Z250" s="1"/>
      <c r="AA250" s="159">
        <f>H96</f>
        <v>9383</v>
      </c>
      <c r="AB250" s="159"/>
      <c r="AC250" s="238">
        <v>12.09</v>
      </c>
      <c r="AD250" s="258"/>
      <c r="AE250" s="3">
        <f>ROUND((Y250*AC250),0)</f>
        <v>1596</v>
      </c>
      <c r="AF250" s="3"/>
      <c r="AG250" s="175">
        <f>ROUND((AE250/AE$293)*100,1)</f>
        <v>0.1</v>
      </c>
      <c r="AH250" s="4"/>
      <c r="AI250" s="3">
        <f>L96-AE250</f>
        <v>227</v>
      </c>
      <c r="AJ250" s="3"/>
      <c r="AK250" s="181">
        <f>IF(AE250=0,"0.0 ",ROUND((AI250/AE250)*100,1))</f>
        <v>14.2</v>
      </c>
      <c r="AL250" s="6"/>
      <c r="AM250" s="3">
        <f>ROUND(CUR_FAC*AA250,0)</f>
        <v>33</v>
      </c>
      <c r="AN250" s="3"/>
      <c r="AO250" s="3">
        <f>AE250+AM250</f>
        <v>1629</v>
      </c>
      <c r="AP250" s="3"/>
      <c r="AQ250" s="181">
        <f>IF(AO250=0,"0.0 ",ROUND((AI250/AO250)*100,1))</f>
        <v>13.9</v>
      </c>
      <c r="AS250" s="123"/>
      <c r="AT250" s="188">
        <f>AC250-AX250</f>
        <v>9.69</v>
      </c>
      <c r="AW250" s="184">
        <v>853</v>
      </c>
      <c r="AX250" s="41">
        <f>ROUND((AW250/12)*CUR_BASE_FUEL,2)</f>
        <v>2.4</v>
      </c>
      <c r="AY250" s="41">
        <f>ROUND((AW250/12)*PRO_BASE_FUEL,2)</f>
        <v>2.4</v>
      </c>
    </row>
    <row r="251" spans="3:51" x14ac:dyDescent="0.3">
      <c r="C251" s="42"/>
      <c r="F251" s="184"/>
      <c r="H251" s="184"/>
      <c r="I251" s="184"/>
      <c r="J251" s="193"/>
      <c r="K251" s="193"/>
      <c r="L251" s="123"/>
      <c r="M251" s="123"/>
      <c r="N251" s="160"/>
      <c r="O251" s="160"/>
      <c r="R251" s="123"/>
      <c r="T251" s="297">
        <v>55</v>
      </c>
      <c r="V251" s="310" t="str">
        <f>C97</f>
        <v xml:space="preserve"> 14,000 LUMEN GRANVILLE</v>
      </c>
      <c r="W251" s="311"/>
      <c r="Y251" s="159">
        <f>F97</f>
        <v>0</v>
      </c>
      <c r="Z251" s="1"/>
      <c r="AA251" s="159">
        <f>H97</f>
        <v>0</v>
      </c>
      <c r="AB251" s="159"/>
      <c r="AC251" s="238">
        <v>21.39</v>
      </c>
      <c r="AD251" s="258"/>
      <c r="AE251" s="3">
        <f>ROUND((Y251*AC251),0)</f>
        <v>0</v>
      </c>
      <c r="AF251" s="3"/>
      <c r="AG251" s="175">
        <f>ROUND((AE251/AE$293)*100,1)</f>
        <v>0</v>
      </c>
      <c r="AH251" s="4"/>
      <c r="AI251" s="3">
        <f>L97-AE251</f>
        <v>0</v>
      </c>
      <c r="AJ251" s="3"/>
      <c r="AK251" s="181" t="str">
        <f>IF(AE251=0,"0.0 ",ROUND((AI251/AE251)*100,1))</f>
        <v xml:space="preserve">0.0 </v>
      </c>
      <c r="AL251" s="6"/>
      <c r="AM251" s="3">
        <f>ROUND(CUR_FAC*AA251,0)</f>
        <v>0</v>
      </c>
      <c r="AN251" s="3"/>
      <c r="AO251" s="3">
        <f>AE251+AM251</f>
        <v>0</v>
      </c>
      <c r="AP251" s="3"/>
      <c r="AQ251" s="181" t="str">
        <f>IF(AO251=0,"0.0 ",ROUND((AI251/AO251)*100,1))</f>
        <v xml:space="preserve">0.0 </v>
      </c>
      <c r="AS251" s="123"/>
      <c r="AT251" s="188">
        <f>AC251-AX251</f>
        <v>18.93</v>
      </c>
      <c r="AW251" s="184">
        <v>874</v>
      </c>
      <c r="AX251" s="41">
        <f>ROUND((AW251/12)*CUR_BASE_FUEL,2)</f>
        <v>2.46</v>
      </c>
      <c r="AY251" s="41">
        <f>ROUND((AW251/12)*PRO_BASE_FUEL,2)</f>
        <v>2.46</v>
      </c>
    </row>
    <row r="252" spans="3:51" x14ac:dyDescent="0.3">
      <c r="C252" s="42"/>
      <c r="F252" s="184"/>
      <c r="H252" s="184"/>
      <c r="I252" s="184"/>
      <c r="J252" s="193"/>
      <c r="K252" s="193"/>
      <c r="L252" s="123"/>
      <c r="M252" s="123"/>
      <c r="N252" s="160"/>
      <c r="O252" s="160"/>
      <c r="R252" s="123"/>
      <c r="T252" s="297">
        <v>56</v>
      </c>
      <c r="V252" s="310" t="str">
        <f>C98</f>
        <v xml:space="preserve"> 14,000 LUMEN GAS REPLICA</v>
      </c>
      <c r="W252" s="311"/>
      <c r="Y252" s="159">
        <f>F98</f>
        <v>0</v>
      </c>
      <c r="Z252" s="1"/>
      <c r="AA252" s="159">
        <f>H98</f>
        <v>0</v>
      </c>
      <c r="AB252" s="159"/>
      <c r="AC252" s="238">
        <v>33.42</v>
      </c>
      <c r="AD252" s="258"/>
      <c r="AE252" s="3">
        <f>ROUND((Y252*AC252),0)</f>
        <v>0</v>
      </c>
      <c r="AF252" s="3"/>
      <c r="AG252" s="175">
        <f>ROUND((AE252/AE$293)*100,1)</f>
        <v>0</v>
      </c>
      <c r="AH252" s="4"/>
      <c r="AI252" s="3">
        <f>L98-AE252</f>
        <v>0</v>
      </c>
      <c r="AJ252" s="3"/>
      <c r="AK252" s="181" t="str">
        <f>IF(AE252=0,"0.0 ",ROUND((AI252/AE252)*100,1))</f>
        <v xml:space="preserve">0.0 </v>
      </c>
      <c r="AL252" s="6"/>
      <c r="AM252" s="3">
        <f>ROUND(CUR_FAC*AA252,0)</f>
        <v>0</v>
      </c>
      <c r="AN252" s="3"/>
      <c r="AO252" s="3">
        <f>AE252+AM252</f>
        <v>0</v>
      </c>
      <c r="AP252" s="3"/>
      <c r="AQ252" s="181" t="str">
        <f>IF(AO252=0,"0.0 ",ROUND((AI252/AO252)*100,1))</f>
        <v xml:space="preserve">0.0 </v>
      </c>
      <c r="AS252" s="123"/>
      <c r="AT252" s="188">
        <f>AC252-AX252</f>
        <v>30.96</v>
      </c>
      <c r="AW252" s="184">
        <v>874</v>
      </c>
      <c r="AX252" s="41">
        <f>ROUND((AW252/12)*CUR_BASE_FUEL,2)</f>
        <v>2.46</v>
      </c>
      <c r="AY252" s="41">
        <f>ROUND((AW252/12)*PRO_BASE_FUEL,2)</f>
        <v>2.46</v>
      </c>
    </row>
    <row r="253" spans="3:51" x14ac:dyDescent="0.3">
      <c r="F253" s="210"/>
      <c r="H253" s="123"/>
      <c r="I253" s="123"/>
      <c r="J253" s="213"/>
      <c r="K253" s="213"/>
      <c r="L253" s="210"/>
      <c r="M253" s="210"/>
      <c r="N253" s="210"/>
      <c r="O253" s="210"/>
      <c r="P253" s="210"/>
      <c r="Q253" s="210"/>
      <c r="R253" s="210"/>
      <c r="T253" s="297">
        <v>57</v>
      </c>
      <c r="V253" s="310" t="str">
        <f>C99</f>
        <v xml:space="preserve"> 14,500 LUMEN GAS REPLICA </v>
      </c>
      <c r="W253" s="311"/>
      <c r="Y253" s="159">
        <f>F99</f>
        <v>298</v>
      </c>
      <c r="Z253" s="1"/>
      <c r="AA253" s="159">
        <f>H99</f>
        <v>21382</v>
      </c>
      <c r="AB253" s="159"/>
      <c r="AC253" s="238">
        <v>33.409999999999997</v>
      </c>
      <c r="AD253" s="258"/>
      <c r="AE253" s="3">
        <f>ROUND((Y253*AC253),0)</f>
        <v>9956</v>
      </c>
      <c r="AF253" s="3"/>
      <c r="AG253" s="175">
        <f>ROUND((AE253/AE$293)*100,1)</f>
        <v>0.7</v>
      </c>
      <c r="AH253" s="4"/>
      <c r="AI253" s="3">
        <f>L99-AE253</f>
        <v>1419</v>
      </c>
      <c r="AJ253" s="3"/>
      <c r="AK253" s="181">
        <f>IF(AE253=0,"0.0 ",ROUND((AI253/AE253)*100,1))</f>
        <v>14.3</v>
      </c>
      <c r="AL253" s="6"/>
      <c r="AM253" s="3">
        <f>ROUND(CUR_FAC*AA253,0)</f>
        <v>75</v>
      </c>
      <c r="AN253" s="3"/>
      <c r="AO253" s="3">
        <f>AE253+AM253</f>
        <v>10031</v>
      </c>
      <c r="AP253" s="3"/>
      <c r="AQ253" s="181">
        <f>IF(AO253=0,"0.0 ",ROUND((AI253/AO253)*100,1))</f>
        <v>14.1</v>
      </c>
      <c r="AS253" s="123"/>
      <c r="AT253" s="188">
        <f>AC253-AX253</f>
        <v>30.989999999999995</v>
      </c>
      <c r="AW253" s="184">
        <v>861</v>
      </c>
      <c r="AX253" s="41">
        <f>ROUND((AW253/12)*CUR_BASE_FUEL,2)</f>
        <v>2.42</v>
      </c>
      <c r="AY253" s="41">
        <f>ROUND((AW253/12)*PRO_BASE_FUEL,2)</f>
        <v>2.42</v>
      </c>
    </row>
    <row r="254" spans="3:51" x14ac:dyDescent="0.3">
      <c r="C254" s="42"/>
      <c r="F254" s="123"/>
      <c r="H254" s="123"/>
      <c r="I254" s="123"/>
      <c r="J254" s="213"/>
      <c r="K254" s="213"/>
      <c r="L254" s="123"/>
      <c r="M254" s="123"/>
      <c r="N254" s="160"/>
      <c r="O254" s="160"/>
      <c r="P254" s="123"/>
      <c r="Q254" s="123"/>
      <c r="R254" s="123"/>
      <c r="T254" s="297">
        <v>58</v>
      </c>
      <c r="V254" s="178" t="s">
        <v>204</v>
      </c>
      <c r="Y254" s="159"/>
      <c r="Z254" s="1"/>
      <c r="AA254" s="159"/>
      <c r="AB254" s="1"/>
      <c r="AC254" s="5"/>
      <c r="AD254" s="258"/>
      <c r="AE254" s="3"/>
      <c r="AF254" s="3"/>
      <c r="AG254" s="175"/>
      <c r="AH254" s="4"/>
      <c r="AI254" s="3"/>
      <c r="AJ254" s="3"/>
      <c r="AK254" s="181"/>
      <c r="AL254" s="6"/>
      <c r="AM254" s="3"/>
      <c r="AN254" s="3"/>
      <c r="AO254" s="3"/>
      <c r="AP254" s="3"/>
      <c r="AQ254" s="181"/>
      <c r="AS254" s="123"/>
      <c r="AW254" s="1"/>
    </row>
    <row r="255" spans="3:51" x14ac:dyDescent="0.3">
      <c r="F255" s="210"/>
      <c r="H255" s="123"/>
      <c r="I255" s="123"/>
      <c r="J255" s="213"/>
      <c r="K255" s="213"/>
      <c r="L255" s="210"/>
      <c r="M255" s="210"/>
      <c r="N255" s="210"/>
      <c r="O255" s="210"/>
      <c r="P255" s="210"/>
      <c r="Q255" s="210"/>
      <c r="R255" s="210"/>
      <c r="T255" s="297">
        <v>59</v>
      </c>
      <c r="V255" s="310" t="str">
        <f t="shared" ref="V255:V264" si="47">C101</f>
        <v xml:space="preserve">  9,500 LUMEN TOWN &amp; COUNTRY</v>
      </c>
      <c r="Y255" s="159">
        <f t="shared" ref="Y255:Y264" si="48">F101</f>
        <v>1598</v>
      </c>
      <c r="Z255" s="1"/>
      <c r="AA255" s="159">
        <f t="shared" ref="AA255:AA264" si="49">H101</f>
        <v>64852</v>
      </c>
      <c r="AB255" s="1"/>
      <c r="AC255" s="188">
        <v>16.97</v>
      </c>
      <c r="AD255" s="1"/>
      <c r="AE255" s="3">
        <f>ROUND((Y255*AC255),0)</f>
        <v>27118</v>
      </c>
      <c r="AF255" s="3"/>
      <c r="AG255" s="175">
        <f t="shared" ref="AG255:AG265" si="50">ROUND((AE255/AE$293)*100,1)</f>
        <v>1.9</v>
      </c>
      <c r="AH255" s="4"/>
      <c r="AI255" s="3">
        <f t="shared" ref="AI255:AI264" si="51">L101-AE255</f>
        <v>3867</v>
      </c>
      <c r="AJ255" s="3"/>
      <c r="AK255" s="181">
        <f t="shared" ref="AK255:AK265" si="52">IF(AE255=0,"0.0 ",ROUND((AI255/AE255)*100,1))</f>
        <v>14.3</v>
      </c>
      <c r="AL255" s="6"/>
      <c r="AM255" s="3">
        <f t="shared" ref="AM255:AM264" si="53">ROUND(CUR_FAC*AA255,0)</f>
        <v>226</v>
      </c>
      <c r="AN255" s="3"/>
      <c r="AO255" s="3">
        <f>AE255+AM255</f>
        <v>27344</v>
      </c>
      <c r="AP255" s="3"/>
      <c r="AQ255" s="181">
        <f t="shared" ref="AQ255:AQ265" si="54">IF(AO255=0,"0.0 ",ROUND((AI255/AO255)*100,1))</f>
        <v>14.1</v>
      </c>
      <c r="AS255" s="123"/>
      <c r="AT255" s="188">
        <f t="shared" ref="AT255:AT264" si="55">AC255-AX255</f>
        <v>15.599999999999998</v>
      </c>
      <c r="AW255" s="184">
        <v>487</v>
      </c>
      <c r="AX255" s="41">
        <f t="shared" ref="AX255:AX264" si="56">ROUND((AW255/12)*CUR_BASE_FUEL,2)</f>
        <v>1.37</v>
      </c>
      <c r="AY255" s="41">
        <f t="shared" ref="AY255:AY264" si="57">ROUND((AW255/12)*PRO_BASE_FUEL,2)</f>
        <v>1.37</v>
      </c>
    </row>
    <row r="256" spans="3:51" x14ac:dyDescent="0.3">
      <c r="F256" s="123"/>
      <c r="H256" s="123"/>
      <c r="I256" s="123"/>
      <c r="J256" s="213"/>
      <c r="K256" s="213"/>
      <c r="L256" s="123"/>
      <c r="M256" s="123"/>
      <c r="N256" s="160"/>
      <c r="O256" s="160"/>
      <c r="P256" s="123"/>
      <c r="Q256" s="123"/>
      <c r="R256" s="123"/>
      <c r="T256" s="297">
        <v>60</v>
      </c>
      <c r="V256" s="310" t="str">
        <f t="shared" si="47"/>
        <v xml:space="preserve">  9,500 LUMEN HOLOPHANE</v>
      </c>
      <c r="Y256" s="159">
        <f t="shared" si="48"/>
        <v>868</v>
      </c>
      <c r="Z256" s="1"/>
      <c r="AA256" s="159">
        <f t="shared" si="49"/>
        <v>38481</v>
      </c>
      <c r="AB256" s="1"/>
      <c r="AC256" s="188">
        <v>18.39</v>
      </c>
      <c r="AD256" s="194"/>
      <c r="AE256" s="3">
        <f>ROUND((Y256*AC256),0)</f>
        <v>15963</v>
      </c>
      <c r="AF256" s="3"/>
      <c r="AG256" s="175">
        <f t="shared" si="50"/>
        <v>1.1000000000000001</v>
      </c>
      <c r="AH256" s="4"/>
      <c r="AI256" s="3">
        <f t="shared" si="51"/>
        <v>2274</v>
      </c>
      <c r="AJ256" s="3"/>
      <c r="AK256" s="181">
        <f t="shared" si="52"/>
        <v>14.2</v>
      </c>
      <c r="AL256" s="6"/>
      <c r="AM256" s="3">
        <f t="shared" si="53"/>
        <v>134</v>
      </c>
      <c r="AN256" s="3"/>
      <c r="AO256" s="3">
        <f>AE256+AM256</f>
        <v>16097</v>
      </c>
      <c r="AP256" s="3"/>
      <c r="AQ256" s="181">
        <f t="shared" si="54"/>
        <v>14.1</v>
      </c>
      <c r="AS256" s="123"/>
      <c r="AT256" s="188">
        <f t="shared" si="55"/>
        <v>16.89</v>
      </c>
      <c r="AW256" s="184">
        <v>532</v>
      </c>
      <c r="AX256" s="41">
        <f t="shared" si="56"/>
        <v>1.5</v>
      </c>
      <c r="AY256" s="41">
        <f t="shared" si="57"/>
        <v>1.5</v>
      </c>
    </row>
    <row r="257" spans="3:51" x14ac:dyDescent="0.3">
      <c r="C257" s="42"/>
      <c r="F257" s="184"/>
      <c r="H257" s="184"/>
      <c r="I257" s="184"/>
      <c r="J257" s="193"/>
      <c r="K257" s="193"/>
      <c r="L257" s="123"/>
      <c r="M257" s="123"/>
      <c r="N257" s="160"/>
      <c r="O257" s="160"/>
      <c r="P257" s="123"/>
      <c r="Q257" s="123"/>
      <c r="R257" s="123"/>
      <c r="T257" s="297">
        <v>61</v>
      </c>
      <c r="V257" s="310" t="str">
        <f t="shared" si="47"/>
        <v xml:space="preserve">  9,500 LUMEN RECTILINEAR</v>
      </c>
      <c r="Y257" s="159">
        <f t="shared" si="48"/>
        <v>0</v>
      </c>
      <c r="Z257" s="1"/>
      <c r="AA257" s="159">
        <f t="shared" si="49"/>
        <v>0</v>
      </c>
      <c r="AB257" s="1"/>
      <c r="AC257" s="188">
        <v>13.96</v>
      </c>
      <c r="AD257" s="194"/>
      <c r="AE257" s="3">
        <f>ROUND((Y257*AC257),0)</f>
        <v>0</v>
      </c>
      <c r="AF257" s="3"/>
      <c r="AG257" s="175">
        <f t="shared" si="50"/>
        <v>0</v>
      </c>
      <c r="AH257" s="4"/>
      <c r="AI257" s="3">
        <f t="shared" si="51"/>
        <v>0</v>
      </c>
      <c r="AJ257" s="3"/>
      <c r="AK257" s="181" t="str">
        <f t="shared" si="52"/>
        <v xml:space="preserve">0.0 </v>
      </c>
      <c r="AL257" s="6"/>
      <c r="AM257" s="3">
        <f t="shared" si="53"/>
        <v>0</v>
      </c>
      <c r="AN257" s="3"/>
      <c r="AO257" s="3">
        <f>AE257+AM257</f>
        <v>0</v>
      </c>
      <c r="AP257" s="3"/>
      <c r="AQ257" s="181" t="str">
        <f t="shared" si="54"/>
        <v xml:space="preserve">0.0 </v>
      </c>
      <c r="AS257" s="123"/>
      <c r="AT257" s="188">
        <f t="shared" si="55"/>
        <v>12.59</v>
      </c>
      <c r="AW257" s="184">
        <v>487</v>
      </c>
      <c r="AX257" s="41">
        <f t="shared" si="56"/>
        <v>1.37</v>
      </c>
      <c r="AY257" s="41">
        <f t="shared" si="57"/>
        <v>1.37</v>
      </c>
    </row>
    <row r="258" spans="3:51" x14ac:dyDescent="0.3">
      <c r="C258" s="42"/>
      <c r="F258" s="184"/>
      <c r="H258" s="184"/>
      <c r="I258" s="184"/>
      <c r="J258" s="193"/>
      <c r="K258" s="193"/>
      <c r="L258" s="123"/>
      <c r="M258" s="123"/>
      <c r="N258" s="160"/>
      <c r="O258" s="160"/>
      <c r="P258" s="123"/>
      <c r="Q258" s="123"/>
      <c r="R258" s="123"/>
      <c r="T258" s="297">
        <v>62</v>
      </c>
      <c r="V258" s="310" t="str">
        <f t="shared" si="47"/>
        <v xml:space="preserve">  9,500 LUMEN GAS REPLICA</v>
      </c>
      <c r="Y258" s="159">
        <f t="shared" si="48"/>
        <v>252</v>
      </c>
      <c r="Z258" s="1"/>
      <c r="AA258" s="159">
        <f t="shared" si="49"/>
        <v>11172</v>
      </c>
      <c r="AB258" s="1"/>
      <c r="AC258" s="188">
        <v>35.229999999999997</v>
      </c>
      <c r="AD258" s="194"/>
      <c r="AE258" s="3">
        <f>ROUND((Y258*AC258),0)</f>
        <v>8878</v>
      </c>
      <c r="AF258" s="3"/>
      <c r="AG258" s="175">
        <f t="shared" si="50"/>
        <v>0.6</v>
      </c>
      <c r="AH258" s="4"/>
      <c r="AI258" s="3">
        <f t="shared" si="51"/>
        <v>1265</v>
      </c>
      <c r="AJ258" s="3"/>
      <c r="AK258" s="181">
        <f t="shared" si="52"/>
        <v>14.2</v>
      </c>
      <c r="AL258" s="6"/>
      <c r="AM258" s="3">
        <f t="shared" si="53"/>
        <v>39</v>
      </c>
      <c r="AN258" s="3"/>
      <c r="AO258" s="3">
        <f>AE258+AM258</f>
        <v>8917</v>
      </c>
      <c r="AP258" s="3"/>
      <c r="AQ258" s="181">
        <f t="shared" si="54"/>
        <v>14.2</v>
      </c>
      <c r="AS258" s="123"/>
      <c r="AT258" s="188">
        <f t="shared" si="55"/>
        <v>33.729999999999997</v>
      </c>
      <c r="AW258" s="184">
        <v>532</v>
      </c>
      <c r="AX258" s="41">
        <f t="shared" si="56"/>
        <v>1.5</v>
      </c>
      <c r="AY258" s="41">
        <f t="shared" si="57"/>
        <v>1.5</v>
      </c>
    </row>
    <row r="259" spans="3:51" x14ac:dyDescent="0.3">
      <c r="C259" s="42"/>
      <c r="F259" s="184"/>
      <c r="H259" s="184"/>
      <c r="I259" s="184"/>
      <c r="J259" s="193"/>
      <c r="K259" s="193"/>
      <c r="L259" s="123"/>
      <c r="M259" s="123"/>
      <c r="N259" s="160"/>
      <c r="O259" s="160"/>
      <c r="P259" s="123"/>
      <c r="Q259" s="123"/>
      <c r="R259" s="123"/>
      <c r="T259" s="297">
        <v>63</v>
      </c>
      <c r="V259" s="310" t="str">
        <f t="shared" si="47"/>
        <v xml:space="preserve">  9,500 LUMEN ASPEN</v>
      </c>
      <c r="Y259" s="159">
        <f t="shared" si="48"/>
        <v>696</v>
      </c>
      <c r="Z259" s="1"/>
      <c r="AA259" s="159">
        <f t="shared" si="49"/>
        <v>30856</v>
      </c>
      <c r="AB259" s="159"/>
      <c r="AC259" s="188">
        <v>21.34</v>
      </c>
      <c r="AD259" s="1"/>
      <c r="AE259" s="3">
        <f t="shared" ref="AE259:AE264" si="58">ROUND((Y259*AC259),0)</f>
        <v>14853</v>
      </c>
      <c r="AF259" s="3"/>
      <c r="AG259" s="175">
        <f t="shared" si="50"/>
        <v>1</v>
      </c>
      <c r="AH259" s="4"/>
      <c r="AI259" s="3">
        <f t="shared" si="51"/>
        <v>2115</v>
      </c>
      <c r="AJ259" s="3"/>
      <c r="AK259" s="181">
        <f t="shared" si="52"/>
        <v>14.2</v>
      </c>
      <c r="AL259" s="6"/>
      <c r="AM259" s="3">
        <f t="shared" si="53"/>
        <v>108</v>
      </c>
      <c r="AN259" s="159"/>
      <c r="AO259" s="3">
        <f t="shared" ref="AO259:AO264" si="59">AE259+AM259</f>
        <v>14961</v>
      </c>
      <c r="AP259" s="3"/>
      <c r="AQ259" s="181">
        <f t="shared" si="54"/>
        <v>14.1</v>
      </c>
      <c r="AS259" s="123"/>
      <c r="AT259" s="188">
        <f t="shared" si="55"/>
        <v>19.84</v>
      </c>
      <c r="AW259" s="184">
        <v>532</v>
      </c>
      <c r="AX259" s="41">
        <f t="shared" si="56"/>
        <v>1.5</v>
      </c>
      <c r="AY259" s="41">
        <f t="shared" si="57"/>
        <v>1.5</v>
      </c>
    </row>
    <row r="260" spans="3:51" x14ac:dyDescent="0.3">
      <c r="C260" s="42"/>
      <c r="F260" s="184"/>
      <c r="H260" s="184"/>
      <c r="I260" s="184"/>
      <c r="J260" s="193"/>
      <c r="K260" s="193"/>
      <c r="L260" s="123"/>
      <c r="M260" s="123"/>
      <c r="N260" s="160"/>
      <c r="O260" s="160"/>
      <c r="P260" s="123"/>
      <c r="Q260" s="123"/>
      <c r="R260" s="123"/>
      <c r="T260" s="297">
        <v>64</v>
      </c>
      <c r="V260" s="310" t="str">
        <f t="shared" si="47"/>
        <v xml:space="preserve">  9,500 LUMEN TRADITIONAIRE</v>
      </c>
      <c r="Y260" s="159">
        <f t="shared" si="48"/>
        <v>622</v>
      </c>
      <c r="Z260" s="1"/>
      <c r="AA260" s="159">
        <f t="shared" si="49"/>
        <v>25243</v>
      </c>
      <c r="AB260" s="159"/>
      <c r="AC260" s="188">
        <v>16.97</v>
      </c>
      <c r="AD260" s="1"/>
      <c r="AE260" s="3">
        <f t="shared" si="58"/>
        <v>10555</v>
      </c>
      <c r="AF260" s="1"/>
      <c r="AG260" s="175">
        <f t="shared" si="50"/>
        <v>0.7</v>
      </c>
      <c r="AH260" s="1"/>
      <c r="AI260" s="3">
        <f t="shared" si="51"/>
        <v>1506</v>
      </c>
      <c r="AJ260" s="1"/>
      <c r="AK260" s="181">
        <f t="shared" si="52"/>
        <v>14.3</v>
      </c>
      <c r="AL260" s="1"/>
      <c r="AM260" s="3">
        <f t="shared" si="53"/>
        <v>88</v>
      </c>
      <c r="AN260" s="1"/>
      <c r="AO260" s="3">
        <f t="shared" si="59"/>
        <v>10643</v>
      </c>
      <c r="AP260" s="1"/>
      <c r="AQ260" s="181">
        <f t="shared" si="54"/>
        <v>14.2</v>
      </c>
      <c r="AS260" s="123"/>
      <c r="AT260" s="188">
        <f t="shared" si="55"/>
        <v>15.599999999999998</v>
      </c>
      <c r="AW260" s="184">
        <v>487</v>
      </c>
      <c r="AX260" s="41">
        <f t="shared" si="56"/>
        <v>1.37</v>
      </c>
      <c r="AY260" s="41">
        <f t="shared" si="57"/>
        <v>1.37</v>
      </c>
    </row>
    <row r="261" spans="3:51" x14ac:dyDescent="0.3">
      <c r="C261" s="42"/>
      <c r="F261" s="184"/>
      <c r="H261" s="184"/>
      <c r="I261" s="184"/>
      <c r="J261" s="193"/>
      <c r="K261" s="193"/>
      <c r="L261" s="123"/>
      <c r="M261" s="123"/>
      <c r="N261" s="160"/>
      <c r="O261" s="160"/>
      <c r="P261" s="123"/>
      <c r="Q261" s="123"/>
      <c r="R261" s="123"/>
      <c r="T261" s="297">
        <v>65</v>
      </c>
      <c r="V261" s="310" t="str">
        <f t="shared" si="47"/>
        <v xml:space="preserve">  9,500 LUMEN GRANVILLE </v>
      </c>
      <c r="Y261" s="159">
        <f t="shared" si="48"/>
        <v>0</v>
      </c>
      <c r="Z261" s="1"/>
      <c r="AA261" s="159">
        <f t="shared" si="49"/>
        <v>0</v>
      </c>
      <c r="AB261" s="1"/>
      <c r="AC261" s="188">
        <v>21.34</v>
      </c>
      <c r="AD261" s="194"/>
      <c r="AE261" s="3">
        <f t="shared" si="58"/>
        <v>0</v>
      </c>
      <c r="AF261" s="3"/>
      <c r="AG261" s="175">
        <f t="shared" si="50"/>
        <v>0</v>
      </c>
      <c r="AH261" s="4"/>
      <c r="AI261" s="3">
        <f t="shared" si="51"/>
        <v>0</v>
      </c>
      <c r="AJ261" s="3"/>
      <c r="AK261" s="181" t="str">
        <f t="shared" si="52"/>
        <v xml:space="preserve">0.0 </v>
      </c>
      <c r="AL261" s="6"/>
      <c r="AM261" s="3">
        <f t="shared" si="53"/>
        <v>0</v>
      </c>
      <c r="AN261" s="3"/>
      <c r="AO261" s="3">
        <f t="shared" si="59"/>
        <v>0</v>
      </c>
      <c r="AP261" s="3"/>
      <c r="AQ261" s="181" t="str">
        <f t="shared" si="54"/>
        <v xml:space="preserve">0.0 </v>
      </c>
      <c r="AS261" s="123"/>
      <c r="AT261" s="188">
        <f t="shared" si="55"/>
        <v>19.84</v>
      </c>
      <c r="AW261" s="184">
        <v>532</v>
      </c>
      <c r="AX261" s="41">
        <f t="shared" si="56"/>
        <v>1.5</v>
      </c>
      <c r="AY261" s="41">
        <f t="shared" si="57"/>
        <v>1.5</v>
      </c>
    </row>
    <row r="262" spans="3:51" x14ac:dyDescent="0.3">
      <c r="C262" s="42"/>
      <c r="F262" s="184"/>
      <c r="H262" s="184"/>
      <c r="I262" s="184"/>
      <c r="J262" s="193"/>
      <c r="K262" s="193"/>
      <c r="L262" s="123"/>
      <c r="M262" s="123"/>
      <c r="N262" s="160"/>
      <c r="O262" s="160"/>
      <c r="P262" s="123"/>
      <c r="Q262" s="123"/>
      <c r="R262" s="123"/>
      <c r="T262" s="297">
        <v>66</v>
      </c>
      <c r="V262" s="310" t="str">
        <f t="shared" si="47"/>
        <v xml:space="preserve">  22,000 LUMEN RECTILINEAR</v>
      </c>
      <c r="Y262" s="159">
        <f t="shared" si="48"/>
        <v>168</v>
      </c>
      <c r="Z262" s="1"/>
      <c r="AA262" s="159">
        <f t="shared" si="49"/>
        <v>14322</v>
      </c>
      <c r="AB262" s="159"/>
      <c r="AC262" s="238">
        <v>19.32</v>
      </c>
      <c r="AD262" s="1"/>
      <c r="AE262" s="3">
        <f t="shared" si="58"/>
        <v>3246</v>
      </c>
      <c r="AF262" s="1"/>
      <c r="AG262" s="175">
        <f t="shared" si="50"/>
        <v>0.2</v>
      </c>
      <c r="AH262" s="1"/>
      <c r="AI262" s="3">
        <f t="shared" si="51"/>
        <v>262</v>
      </c>
      <c r="AJ262" s="1"/>
      <c r="AK262" s="181">
        <f t="shared" si="52"/>
        <v>8.1</v>
      </c>
      <c r="AL262" s="1"/>
      <c r="AM262" s="3">
        <f t="shared" si="53"/>
        <v>50</v>
      </c>
      <c r="AN262" s="1"/>
      <c r="AO262" s="3">
        <f t="shared" si="59"/>
        <v>3296</v>
      </c>
      <c r="AP262" s="1"/>
      <c r="AQ262" s="181">
        <f t="shared" si="54"/>
        <v>7.9</v>
      </c>
      <c r="AS262" s="123"/>
      <c r="AT262" s="188">
        <f t="shared" si="55"/>
        <v>16.440000000000001</v>
      </c>
      <c r="AW262" s="184">
        <v>1023</v>
      </c>
      <c r="AX262" s="41">
        <f t="shared" si="56"/>
        <v>2.88</v>
      </c>
      <c r="AY262" s="41">
        <f t="shared" si="57"/>
        <v>2.88</v>
      </c>
    </row>
    <row r="263" spans="3:51" x14ac:dyDescent="0.3">
      <c r="C263" s="42"/>
      <c r="F263" s="184"/>
      <c r="H263" s="184"/>
      <c r="I263" s="184"/>
      <c r="J263" s="193"/>
      <c r="K263" s="193"/>
      <c r="L263" s="123"/>
      <c r="M263" s="123"/>
      <c r="N263" s="160"/>
      <c r="O263" s="160"/>
      <c r="P263" s="123"/>
      <c r="Q263" s="123"/>
      <c r="R263" s="123"/>
      <c r="T263" s="297">
        <v>67</v>
      </c>
      <c r="V263" s="310" t="str">
        <f t="shared" si="47"/>
        <v xml:space="preserve">  50,000 LUMEN RECTILINEAR</v>
      </c>
      <c r="Y263" s="159">
        <f t="shared" si="48"/>
        <v>60</v>
      </c>
      <c r="Z263" s="1"/>
      <c r="AA263" s="159">
        <f t="shared" si="49"/>
        <v>9795</v>
      </c>
      <c r="AB263" s="159"/>
      <c r="AC263" s="238">
        <v>26.1</v>
      </c>
      <c r="AE263" s="3">
        <f t="shared" si="58"/>
        <v>1566</v>
      </c>
      <c r="AG263" s="175">
        <f t="shared" si="50"/>
        <v>0.1</v>
      </c>
      <c r="AI263" s="3">
        <f t="shared" si="51"/>
        <v>223</v>
      </c>
      <c r="AK263" s="181">
        <f t="shared" si="52"/>
        <v>14.2</v>
      </c>
      <c r="AL263" s="123"/>
      <c r="AM263" s="3">
        <f t="shared" si="53"/>
        <v>34</v>
      </c>
      <c r="AN263" s="236"/>
      <c r="AO263" s="3">
        <f t="shared" si="59"/>
        <v>1600</v>
      </c>
      <c r="AP263" s="123"/>
      <c r="AQ263" s="181">
        <f t="shared" si="54"/>
        <v>13.9</v>
      </c>
      <c r="AS263" s="123"/>
      <c r="AT263" s="188">
        <f t="shared" si="55"/>
        <v>20.590000000000003</v>
      </c>
      <c r="AW263" s="184">
        <v>1959</v>
      </c>
      <c r="AX263" s="41">
        <f t="shared" si="56"/>
        <v>5.51</v>
      </c>
      <c r="AY263" s="41">
        <f t="shared" si="57"/>
        <v>5.51</v>
      </c>
    </row>
    <row r="264" spans="3:51" x14ac:dyDescent="0.3">
      <c r="C264" s="42"/>
      <c r="F264" s="184"/>
      <c r="H264" s="184"/>
      <c r="I264" s="184"/>
      <c r="J264" s="193"/>
      <c r="K264" s="193"/>
      <c r="L264" s="123"/>
      <c r="M264" s="123"/>
      <c r="N264" s="160"/>
      <c r="O264" s="160"/>
      <c r="P264" s="123"/>
      <c r="Q264" s="123"/>
      <c r="R264" s="123"/>
      <c r="T264" s="297">
        <v>68</v>
      </c>
      <c r="U264" s="312"/>
      <c r="V264" s="310" t="str">
        <f t="shared" si="47"/>
        <v xml:space="preserve">  50,000 LUMEN SETBACK</v>
      </c>
      <c r="Y264" s="159">
        <f t="shared" si="48"/>
        <v>12</v>
      </c>
      <c r="Z264" s="1"/>
      <c r="AA264" s="159">
        <f t="shared" si="49"/>
        <v>1959</v>
      </c>
      <c r="AC264" s="238">
        <v>37.799999999999997</v>
      </c>
      <c r="AE264" s="49">
        <f t="shared" si="58"/>
        <v>454</v>
      </c>
      <c r="AG264" s="177">
        <f t="shared" si="50"/>
        <v>0</v>
      </c>
      <c r="AI264" s="49">
        <f t="shared" si="51"/>
        <v>64</v>
      </c>
      <c r="AK264" s="223">
        <f t="shared" si="52"/>
        <v>14.1</v>
      </c>
      <c r="AL264" s="123"/>
      <c r="AM264" s="49">
        <f t="shared" si="53"/>
        <v>7</v>
      </c>
      <c r="AN264" s="236"/>
      <c r="AO264" s="49">
        <f t="shared" si="59"/>
        <v>461</v>
      </c>
      <c r="AP264" s="123"/>
      <c r="AQ264" s="223">
        <f t="shared" si="54"/>
        <v>13.9</v>
      </c>
      <c r="AR264" s="123"/>
      <c r="AS264" s="123"/>
      <c r="AT264" s="188">
        <f t="shared" si="55"/>
        <v>32.29</v>
      </c>
      <c r="AW264" s="184">
        <v>1959</v>
      </c>
      <c r="AX264" s="41">
        <f t="shared" si="56"/>
        <v>5.51</v>
      </c>
      <c r="AY264" s="41">
        <f t="shared" si="57"/>
        <v>5.51</v>
      </c>
    </row>
    <row r="265" spans="3:51" x14ac:dyDescent="0.3">
      <c r="C265" s="42"/>
      <c r="F265" s="184"/>
      <c r="H265" s="184"/>
      <c r="I265" s="184"/>
      <c r="J265" s="193"/>
      <c r="K265" s="193"/>
      <c r="L265" s="123"/>
      <c r="M265" s="123"/>
      <c r="N265" s="160"/>
      <c r="O265" s="160"/>
      <c r="P265" s="123"/>
      <c r="Q265" s="123"/>
      <c r="R265" s="123"/>
      <c r="T265" s="297">
        <v>69</v>
      </c>
      <c r="V265" s="178" t="s">
        <v>267</v>
      </c>
      <c r="Y265" s="145">
        <f>SUM(Y200:Y264)</f>
        <v>9654</v>
      </c>
      <c r="Z265" s="1"/>
      <c r="AA265" s="145">
        <f>SUM(AA200:AA264)</f>
        <v>607503</v>
      </c>
      <c r="AB265" s="3"/>
      <c r="AE265" s="49">
        <f>SUM(AE200:AE264)</f>
        <v>161657</v>
      </c>
      <c r="AG265" s="177">
        <f t="shared" si="50"/>
        <v>11.4</v>
      </c>
      <c r="AI265" s="49">
        <f>SUM(AI200:AI264)</f>
        <v>22851</v>
      </c>
      <c r="AK265" s="223">
        <f t="shared" si="52"/>
        <v>14.1</v>
      </c>
      <c r="AL265" s="123"/>
      <c r="AM265" s="49">
        <f>SUM(AM200:AM264)</f>
        <v>2121</v>
      </c>
      <c r="AN265" s="236"/>
      <c r="AO265" s="49">
        <f>SUM(AO200:AO264)</f>
        <v>163778</v>
      </c>
      <c r="AP265" s="123"/>
      <c r="AQ265" s="224">
        <f t="shared" si="54"/>
        <v>14</v>
      </c>
    </row>
    <row r="266" spans="3:51" x14ac:dyDescent="0.3">
      <c r="C266" s="42"/>
      <c r="F266" s="184"/>
      <c r="H266" s="184"/>
      <c r="I266" s="184"/>
      <c r="J266" s="193"/>
      <c r="K266" s="193"/>
      <c r="L266" s="123"/>
      <c r="M266" s="123"/>
      <c r="N266" s="160"/>
      <c r="O266" s="160"/>
      <c r="P266" s="123"/>
      <c r="Q266" s="123"/>
      <c r="R266" s="123"/>
      <c r="T266" s="297">
        <v>70</v>
      </c>
      <c r="U266" s="313"/>
      <c r="V266" s="310"/>
      <c r="Y266" s="159"/>
      <c r="Z266" s="1"/>
      <c r="AA266" s="159"/>
      <c r="AB266" s="1"/>
      <c r="AC266" s="188"/>
      <c r="AD266" s="194"/>
      <c r="AE266" s="3"/>
      <c r="AF266" s="3"/>
      <c r="AG266" s="175"/>
      <c r="AH266" s="4"/>
      <c r="AI266" s="3"/>
      <c r="AJ266" s="3"/>
      <c r="AK266" s="181"/>
      <c r="AL266" s="6"/>
      <c r="AM266" s="3"/>
      <c r="AN266" s="3"/>
      <c r="AO266" s="3"/>
      <c r="AP266" s="3"/>
      <c r="AQ266" s="181"/>
      <c r="AS266" s="123"/>
      <c r="AT266" s="188"/>
      <c r="AW266" s="184"/>
    </row>
    <row r="267" spans="3:51" x14ac:dyDescent="0.3">
      <c r="C267" s="42"/>
      <c r="F267" s="184"/>
      <c r="H267" s="184"/>
      <c r="I267" s="184"/>
      <c r="J267" s="193"/>
      <c r="K267" s="193"/>
      <c r="L267" s="123"/>
      <c r="M267" s="123"/>
      <c r="N267" s="160"/>
      <c r="O267" s="160"/>
      <c r="P267" s="123"/>
      <c r="Q267" s="123"/>
      <c r="R267" s="123"/>
      <c r="T267" s="297">
        <v>71</v>
      </c>
      <c r="U267" s="313"/>
      <c r="V267" s="178" t="s">
        <v>1061</v>
      </c>
      <c r="Y267" s="3"/>
      <c r="Z267" s="1"/>
      <c r="AA267" s="3"/>
      <c r="AB267" s="3"/>
      <c r="AE267" s="3"/>
      <c r="AG267" s="175"/>
      <c r="AI267" s="3"/>
      <c r="AK267" s="181"/>
      <c r="AL267" s="123"/>
      <c r="AM267" s="3"/>
      <c r="AN267" s="236"/>
      <c r="AO267" s="3"/>
      <c r="AP267" s="123"/>
      <c r="AQ267" s="181"/>
      <c r="AS267" s="123"/>
      <c r="AT267" s="188"/>
      <c r="AW267" s="184"/>
    </row>
    <row r="268" spans="3:51" x14ac:dyDescent="0.3">
      <c r="C268" s="42"/>
      <c r="F268" s="184"/>
      <c r="H268" s="184"/>
      <c r="I268" s="184"/>
      <c r="J268" s="193"/>
      <c r="K268" s="193"/>
      <c r="L268" s="123"/>
      <c r="M268" s="123"/>
      <c r="N268" s="160"/>
      <c r="O268" s="160"/>
      <c r="P268" s="123"/>
      <c r="Q268" s="123"/>
      <c r="R268" s="123"/>
      <c r="T268" s="297">
        <v>72</v>
      </c>
      <c r="V268" s="45" t="s">
        <v>1062</v>
      </c>
      <c r="Y268" s="159">
        <f t="shared" ref="Y268:Y279" si="60">F114</f>
        <v>204</v>
      </c>
      <c r="Z268" s="1"/>
      <c r="AA268" s="3"/>
      <c r="AB268" s="3"/>
      <c r="AC268" s="238">
        <v>6.25</v>
      </c>
      <c r="AE268" s="3">
        <f t="shared" ref="AE268:AE281" si="61">ROUND((Y268*AC268),0)</f>
        <v>1275</v>
      </c>
      <c r="AG268" s="175">
        <f t="shared" ref="AG268:AG282" si="62">ROUND((AE268/AE$293)*100,1)</f>
        <v>0.1</v>
      </c>
      <c r="AI268" s="3">
        <f t="shared" ref="AI268:AI281" si="63">L114-AE268</f>
        <v>182</v>
      </c>
      <c r="AK268" s="181">
        <f t="shared" ref="AK268:AK282" si="64">IF(AE268=0,"0.0 ",ROUND((AI268/AE268)*100,1))</f>
        <v>14.3</v>
      </c>
      <c r="AL268" s="123"/>
      <c r="AM268" s="3"/>
      <c r="AN268" s="236"/>
      <c r="AO268" s="3">
        <f t="shared" ref="AO268:AO279" si="65">AE268+AM268</f>
        <v>1275</v>
      </c>
      <c r="AP268" s="123"/>
      <c r="AQ268" s="181">
        <f t="shared" ref="AQ268:AQ282" si="66">IF(AO268=0,"0.0 ",ROUND((AI268/AO268)*100,1))</f>
        <v>14.3</v>
      </c>
      <c r="AS268" s="123"/>
      <c r="AT268" s="188"/>
      <c r="AW268" s="184"/>
    </row>
    <row r="269" spans="3:51" x14ac:dyDescent="0.3">
      <c r="C269" s="42"/>
      <c r="F269" s="184"/>
      <c r="H269" s="184"/>
      <c r="I269" s="184"/>
      <c r="J269" s="193"/>
      <c r="K269" s="193"/>
      <c r="L269" s="123"/>
      <c r="M269" s="123"/>
      <c r="N269" s="160"/>
      <c r="O269" s="160"/>
      <c r="P269" s="123"/>
      <c r="Q269" s="123"/>
      <c r="R269" s="123"/>
      <c r="T269" s="297">
        <v>73</v>
      </c>
      <c r="V269" s="45" t="s">
        <v>1063</v>
      </c>
      <c r="Y269" s="3">
        <f t="shared" si="60"/>
        <v>212</v>
      </c>
      <c r="Z269" s="1"/>
      <c r="AA269" s="3"/>
      <c r="AB269" s="3"/>
      <c r="AC269" s="238">
        <v>6.17</v>
      </c>
      <c r="AE269" s="3">
        <f t="shared" si="61"/>
        <v>1308</v>
      </c>
      <c r="AG269" s="175">
        <f t="shared" si="62"/>
        <v>0.1</v>
      </c>
      <c r="AI269" s="3">
        <f t="shared" si="63"/>
        <v>187</v>
      </c>
      <c r="AK269" s="181">
        <f t="shared" si="64"/>
        <v>14.3</v>
      </c>
      <c r="AL269" s="123"/>
      <c r="AM269" s="3"/>
      <c r="AN269" s="236"/>
      <c r="AO269" s="3">
        <f t="shared" si="65"/>
        <v>1308</v>
      </c>
      <c r="AP269" s="123"/>
      <c r="AQ269" s="181">
        <f t="shared" si="66"/>
        <v>14.3</v>
      </c>
    </row>
    <row r="270" spans="3:51" x14ac:dyDescent="0.3">
      <c r="C270" s="42"/>
      <c r="F270" s="184"/>
      <c r="H270" s="184"/>
      <c r="I270" s="184"/>
      <c r="J270" s="193"/>
      <c r="K270" s="193"/>
      <c r="L270" s="123"/>
      <c r="M270" s="123"/>
      <c r="N270" s="160"/>
      <c r="O270" s="160"/>
      <c r="P270" s="123"/>
      <c r="Q270" s="123"/>
      <c r="R270" s="123"/>
      <c r="T270" s="297">
        <v>74</v>
      </c>
      <c r="U270" s="314"/>
      <c r="V270" s="45" t="s">
        <v>1064</v>
      </c>
      <c r="Y270" s="3">
        <f t="shared" si="60"/>
        <v>1525</v>
      </c>
      <c r="Z270" s="1"/>
      <c r="AA270" s="3"/>
      <c r="AB270" s="3"/>
      <c r="AC270" s="238">
        <v>6.25</v>
      </c>
      <c r="AE270" s="3">
        <f t="shared" si="61"/>
        <v>9531</v>
      </c>
      <c r="AG270" s="175">
        <f t="shared" si="62"/>
        <v>0.7</v>
      </c>
      <c r="AI270" s="3">
        <f t="shared" si="63"/>
        <v>1358</v>
      </c>
      <c r="AK270" s="181">
        <f t="shared" si="64"/>
        <v>14.2</v>
      </c>
      <c r="AL270" s="123"/>
      <c r="AM270" s="3"/>
      <c r="AN270" s="236"/>
      <c r="AO270" s="3">
        <f t="shared" si="65"/>
        <v>9531</v>
      </c>
      <c r="AP270" s="123"/>
      <c r="AQ270" s="181">
        <f t="shared" si="66"/>
        <v>14.2</v>
      </c>
      <c r="AS270" s="123"/>
      <c r="AT270" s="188"/>
      <c r="AW270" s="184"/>
    </row>
    <row r="271" spans="3:51" x14ac:dyDescent="0.3">
      <c r="C271" s="42"/>
      <c r="F271" s="184"/>
      <c r="H271" s="184"/>
      <c r="I271" s="184"/>
      <c r="J271" s="193"/>
      <c r="K271" s="193"/>
      <c r="L271" s="123"/>
      <c r="M271" s="123"/>
      <c r="N271" s="160"/>
      <c r="O271" s="160"/>
      <c r="P271" s="123"/>
      <c r="Q271" s="123"/>
      <c r="R271" s="123"/>
      <c r="T271" s="297">
        <v>75</v>
      </c>
      <c r="V271" s="45" t="s">
        <v>1065</v>
      </c>
      <c r="Y271" s="3">
        <f t="shared" si="60"/>
        <v>1611</v>
      </c>
      <c r="Z271" s="1"/>
      <c r="AA271" s="3"/>
      <c r="AB271" s="3"/>
      <c r="AC271" s="238">
        <v>7.48</v>
      </c>
      <c r="AE271" s="3">
        <f t="shared" si="61"/>
        <v>12050</v>
      </c>
      <c r="AG271" s="175">
        <f t="shared" si="62"/>
        <v>0.8</v>
      </c>
      <c r="AI271" s="3">
        <f t="shared" si="63"/>
        <v>1724</v>
      </c>
      <c r="AK271" s="181">
        <f t="shared" si="64"/>
        <v>14.3</v>
      </c>
      <c r="AL271" s="123"/>
      <c r="AM271" s="3"/>
      <c r="AN271" s="236"/>
      <c r="AO271" s="3">
        <f t="shared" si="65"/>
        <v>12050</v>
      </c>
      <c r="AP271" s="123"/>
      <c r="AQ271" s="181">
        <f t="shared" si="66"/>
        <v>14.3</v>
      </c>
    </row>
    <row r="272" spans="3:51" x14ac:dyDescent="0.3">
      <c r="F272" s="123"/>
      <c r="H272" s="210"/>
      <c r="I272" s="210"/>
      <c r="J272" s="213"/>
      <c r="K272" s="213"/>
      <c r="L272" s="210"/>
      <c r="M272" s="210"/>
      <c r="N272" s="210"/>
      <c r="O272" s="210"/>
      <c r="P272" s="210"/>
      <c r="Q272" s="210"/>
      <c r="R272" s="210"/>
      <c r="T272" s="297">
        <v>76</v>
      </c>
      <c r="V272" s="45" t="s">
        <v>1066</v>
      </c>
      <c r="Y272" s="3">
        <f t="shared" si="60"/>
        <v>780</v>
      </c>
      <c r="Z272" s="1"/>
      <c r="AA272" s="3"/>
      <c r="AB272" s="3"/>
      <c r="AC272" s="238">
        <v>16.98</v>
      </c>
      <c r="AE272" s="3">
        <f t="shared" si="61"/>
        <v>13244</v>
      </c>
      <c r="AG272" s="175">
        <f t="shared" si="62"/>
        <v>0.9</v>
      </c>
      <c r="AI272" s="3">
        <f t="shared" si="63"/>
        <v>1888</v>
      </c>
      <c r="AK272" s="181">
        <f t="shared" si="64"/>
        <v>14.3</v>
      </c>
      <c r="AL272" s="123"/>
      <c r="AM272" s="3"/>
      <c r="AN272" s="236"/>
      <c r="AO272" s="3">
        <f t="shared" si="65"/>
        <v>13244</v>
      </c>
      <c r="AP272" s="123"/>
      <c r="AQ272" s="181">
        <f t="shared" si="66"/>
        <v>14.3</v>
      </c>
      <c r="AS272" s="123"/>
      <c r="AT272" s="188"/>
      <c r="AW272" s="184"/>
    </row>
    <row r="273" spans="3:49" x14ac:dyDescent="0.3">
      <c r="F273" s="123"/>
      <c r="H273" s="210"/>
      <c r="I273" s="210"/>
      <c r="J273" s="213"/>
      <c r="K273" s="213"/>
      <c r="L273" s="210"/>
      <c r="M273" s="210"/>
      <c r="N273" s="210"/>
      <c r="O273" s="210"/>
      <c r="P273" s="210"/>
      <c r="Q273" s="210"/>
      <c r="R273" s="210"/>
      <c r="T273" s="297">
        <v>77</v>
      </c>
      <c r="V273" s="45" t="s">
        <v>1067</v>
      </c>
      <c r="Y273" s="3">
        <f t="shared" si="60"/>
        <v>708</v>
      </c>
      <c r="Z273" s="1"/>
      <c r="AA273" s="3"/>
      <c r="AB273" s="3"/>
      <c r="AC273" s="238">
        <v>9.84</v>
      </c>
      <c r="AE273" s="3">
        <f t="shared" si="61"/>
        <v>6967</v>
      </c>
      <c r="AG273" s="175">
        <f t="shared" si="62"/>
        <v>0.5</v>
      </c>
      <c r="AI273" s="3">
        <f t="shared" si="63"/>
        <v>991</v>
      </c>
      <c r="AK273" s="181">
        <f t="shared" si="64"/>
        <v>14.2</v>
      </c>
      <c r="AL273" s="123"/>
      <c r="AM273" s="3"/>
      <c r="AN273" s="236"/>
      <c r="AO273" s="3">
        <f t="shared" si="65"/>
        <v>6967</v>
      </c>
      <c r="AP273" s="123"/>
      <c r="AQ273" s="181">
        <f t="shared" si="66"/>
        <v>14.2</v>
      </c>
      <c r="AS273" s="123"/>
      <c r="AT273" s="188"/>
      <c r="AW273" s="184"/>
    </row>
    <row r="274" spans="3:49" x14ac:dyDescent="0.3">
      <c r="F274" s="123"/>
      <c r="H274" s="210"/>
      <c r="I274" s="210"/>
      <c r="J274" s="213"/>
      <c r="K274" s="213"/>
      <c r="L274" s="210"/>
      <c r="M274" s="210"/>
      <c r="N274" s="210"/>
      <c r="O274" s="210"/>
      <c r="P274" s="210"/>
      <c r="Q274" s="210"/>
      <c r="R274" s="210"/>
      <c r="T274" s="297">
        <v>78</v>
      </c>
      <c r="V274" s="45" t="s">
        <v>1068</v>
      </c>
      <c r="Y274" s="3">
        <f t="shared" si="60"/>
        <v>168</v>
      </c>
      <c r="Z274" s="1"/>
      <c r="AA274" s="3"/>
      <c r="AB274" s="3"/>
      <c r="AC274" s="238">
        <v>9.9499999999999993</v>
      </c>
      <c r="AE274" s="3">
        <f t="shared" si="61"/>
        <v>1672</v>
      </c>
      <c r="AG274" s="175">
        <f t="shared" si="62"/>
        <v>0.1</v>
      </c>
      <c r="AI274" s="3">
        <f t="shared" si="63"/>
        <v>238</v>
      </c>
      <c r="AK274" s="181">
        <f t="shared" si="64"/>
        <v>14.2</v>
      </c>
      <c r="AL274" s="123"/>
      <c r="AM274" s="3"/>
      <c r="AN274" s="236"/>
      <c r="AO274" s="3">
        <f t="shared" si="65"/>
        <v>1672</v>
      </c>
      <c r="AP274" s="123"/>
      <c r="AQ274" s="181">
        <f t="shared" si="66"/>
        <v>14.2</v>
      </c>
    </row>
    <row r="275" spans="3:49" x14ac:dyDescent="0.3">
      <c r="F275" s="123"/>
      <c r="H275" s="210"/>
      <c r="I275" s="210"/>
      <c r="J275" s="213"/>
      <c r="K275" s="213"/>
      <c r="L275" s="210"/>
      <c r="M275" s="210"/>
      <c r="N275" s="210"/>
      <c r="O275" s="210"/>
      <c r="P275" s="210"/>
      <c r="Q275" s="210"/>
      <c r="R275" s="210"/>
      <c r="T275" s="297">
        <v>79</v>
      </c>
      <c r="U275" s="307"/>
      <c r="V275" s="45" t="s">
        <v>1069</v>
      </c>
      <c r="Y275" s="3">
        <f t="shared" si="60"/>
        <v>84</v>
      </c>
      <c r="Z275" s="1"/>
      <c r="AA275" s="3"/>
      <c r="AB275" s="3"/>
      <c r="AC275" s="238">
        <v>19.66</v>
      </c>
      <c r="AE275" s="3">
        <f t="shared" si="61"/>
        <v>1651</v>
      </c>
      <c r="AG275" s="175">
        <f t="shared" si="62"/>
        <v>0.1</v>
      </c>
      <c r="AI275" s="3">
        <f t="shared" si="63"/>
        <v>236</v>
      </c>
      <c r="AK275" s="181">
        <f t="shared" si="64"/>
        <v>14.3</v>
      </c>
      <c r="AL275" s="123"/>
      <c r="AM275" s="3"/>
      <c r="AN275" s="236"/>
      <c r="AO275" s="3">
        <f t="shared" si="65"/>
        <v>1651</v>
      </c>
      <c r="AP275" s="123"/>
      <c r="AQ275" s="181">
        <f t="shared" si="66"/>
        <v>14.3</v>
      </c>
    </row>
    <row r="276" spans="3:49" x14ac:dyDescent="0.3">
      <c r="F276" s="123"/>
      <c r="H276" s="210"/>
      <c r="I276" s="210"/>
      <c r="J276" s="213"/>
      <c r="K276" s="213"/>
      <c r="L276" s="210"/>
      <c r="M276" s="210"/>
      <c r="N276" s="210"/>
      <c r="O276" s="210"/>
      <c r="P276" s="210"/>
      <c r="Q276" s="210"/>
      <c r="R276" s="210"/>
      <c r="T276" s="297">
        <v>80</v>
      </c>
      <c r="U276" s="307"/>
      <c r="V276" s="45" t="s">
        <v>1070</v>
      </c>
      <c r="Y276" s="3">
        <f t="shared" si="60"/>
        <v>6003</v>
      </c>
      <c r="Z276" s="1"/>
      <c r="AA276" s="3"/>
      <c r="AB276" s="3"/>
      <c r="AC276" s="238">
        <v>6.25</v>
      </c>
      <c r="AE276" s="3">
        <f t="shared" si="61"/>
        <v>37519</v>
      </c>
      <c r="AG276" s="175">
        <f t="shared" si="62"/>
        <v>2.6</v>
      </c>
      <c r="AI276" s="3">
        <f t="shared" si="63"/>
        <v>5342</v>
      </c>
      <c r="AK276" s="181">
        <f t="shared" si="64"/>
        <v>14.2</v>
      </c>
      <c r="AL276" s="123"/>
      <c r="AM276" s="3"/>
      <c r="AN276" s="236"/>
      <c r="AO276" s="3">
        <f t="shared" si="65"/>
        <v>37519</v>
      </c>
      <c r="AP276" s="123"/>
      <c r="AQ276" s="181">
        <f t="shared" si="66"/>
        <v>14.2</v>
      </c>
    </row>
    <row r="277" spans="3:49" x14ac:dyDescent="0.3">
      <c r="C277" s="42"/>
      <c r="F277" s="123"/>
      <c r="H277" s="123"/>
      <c r="I277" s="123"/>
      <c r="J277" s="213"/>
      <c r="K277" s="213"/>
      <c r="L277" s="123"/>
      <c r="M277" s="123"/>
      <c r="N277" s="160"/>
      <c r="O277" s="160"/>
      <c r="P277" s="123"/>
      <c r="Q277" s="123"/>
      <c r="R277" s="123"/>
      <c r="T277" s="297">
        <v>81</v>
      </c>
      <c r="V277" s="45" t="s">
        <v>1071</v>
      </c>
      <c r="Y277" s="3">
        <f t="shared" si="60"/>
        <v>216</v>
      </c>
      <c r="Z277" s="1"/>
      <c r="AA277" s="3"/>
      <c r="AB277" s="3"/>
      <c r="AC277" s="238">
        <v>18.260000000000002</v>
      </c>
      <c r="AE277" s="3">
        <f t="shared" si="61"/>
        <v>3944</v>
      </c>
      <c r="AG277" s="175">
        <f t="shared" si="62"/>
        <v>0.3</v>
      </c>
      <c r="AI277" s="3">
        <f t="shared" si="63"/>
        <v>562</v>
      </c>
      <c r="AK277" s="181">
        <f t="shared" si="64"/>
        <v>14.2</v>
      </c>
      <c r="AL277" s="123"/>
      <c r="AM277" s="3"/>
      <c r="AN277" s="236"/>
      <c r="AO277" s="3">
        <f t="shared" si="65"/>
        <v>3944</v>
      </c>
      <c r="AP277" s="123"/>
      <c r="AQ277" s="181">
        <f t="shared" si="66"/>
        <v>14.2</v>
      </c>
    </row>
    <row r="278" spans="3:49" x14ac:dyDescent="0.3">
      <c r="C278" s="42"/>
      <c r="F278" s="123"/>
      <c r="H278" s="123"/>
      <c r="I278" s="123"/>
      <c r="J278" s="213"/>
      <c r="K278" s="213"/>
      <c r="L278" s="123"/>
      <c r="M278" s="123"/>
      <c r="N278" s="160"/>
      <c r="O278" s="160"/>
      <c r="P278" s="123"/>
      <c r="Q278" s="123"/>
      <c r="R278" s="123"/>
      <c r="T278" s="297">
        <v>82</v>
      </c>
      <c r="V278" s="45" t="s">
        <v>1072</v>
      </c>
      <c r="Y278" s="3">
        <f t="shared" si="60"/>
        <v>204</v>
      </c>
      <c r="Z278" s="1"/>
      <c r="AA278" s="3"/>
      <c r="AB278" s="3"/>
      <c r="AC278" s="238">
        <v>11.88</v>
      </c>
      <c r="AE278" s="3">
        <f t="shared" si="61"/>
        <v>2424</v>
      </c>
      <c r="AG278" s="175">
        <f t="shared" si="62"/>
        <v>0.2</v>
      </c>
      <c r="AI278" s="3">
        <f t="shared" si="63"/>
        <v>344</v>
      </c>
      <c r="AK278" s="181">
        <f t="shared" si="64"/>
        <v>14.2</v>
      </c>
      <c r="AL278" s="123"/>
      <c r="AM278" s="3"/>
      <c r="AN278" s="236"/>
      <c r="AO278" s="3">
        <f t="shared" si="65"/>
        <v>2424</v>
      </c>
      <c r="AP278" s="123"/>
      <c r="AQ278" s="181">
        <f t="shared" si="66"/>
        <v>14.2</v>
      </c>
      <c r="AS278" s="123"/>
      <c r="AW278" s="184"/>
    </row>
    <row r="279" spans="3:49" x14ac:dyDescent="0.3">
      <c r="C279" s="42"/>
      <c r="F279" s="123"/>
      <c r="H279" s="123"/>
      <c r="I279" s="123"/>
      <c r="J279" s="213"/>
      <c r="K279" s="213"/>
      <c r="L279" s="123"/>
      <c r="M279" s="123"/>
      <c r="N279" s="160"/>
      <c r="O279" s="160"/>
      <c r="P279" s="123"/>
      <c r="Q279" s="123"/>
      <c r="R279" s="123"/>
      <c r="T279" s="297">
        <v>83</v>
      </c>
      <c r="V279" s="45" t="s">
        <v>1073</v>
      </c>
      <c r="Y279" s="3">
        <f t="shared" si="60"/>
        <v>27</v>
      </c>
      <c r="Z279" s="1"/>
      <c r="AA279" s="3"/>
      <c r="AB279" s="3"/>
      <c r="AC279" s="238">
        <v>12.21</v>
      </c>
      <c r="AE279" s="3">
        <f t="shared" si="61"/>
        <v>330</v>
      </c>
      <c r="AG279" s="175">
        <f t="shared" si="62"/>
        <v>0</v>
      </c>
      <c r="AI279" s="3">
        <f t="shared" si="63"/>
        <v>47</v>
      </c>
      <c r="AK279" s="181">
        <f t="shared" si="64"/>
        <v>14.2</v>
      </c>
      <c r="AL279" s="123"/>
      <c r="AM279" s="3"/>
      <c r="AN279" s="236"/>
      <c r="AO279" s="3">
        <f t="shared" si="65"/>
        <v>330</v>
      </c>
      <c r="AP279" s="123"/>
      <c r="AQ279" s="181">
        <f t="shared" si="66"/>
        <v>14.2</v>
      </c>
      <c r="AS279" s="123"/>
      <c r="AW279" s="184"/>
    </row>
    <row r="280" spans="3:49" x14ac:dyDescent="0.3">
      <c r="F280" s="123"/>
      <c r="H280" s="210"/>
      <c r="I280" s="210"/>
      <c r="J280" s="213"/>
      <c r="K280" s="213"/>
      <c r="L280" s="210"/>
      <c r="M280" s="210"/>
      <c r="N280" s="210"/>
      <c r="O280" s="210"/>
      <c r="P280" s="210"/>
      <c r="Q280" s="210"/>
      <c r="R280" s="210"/>
      <c r="T280" s="297">
        <v>84</v>
      </c>
      <c r="V280" s="45" t="s">
        <v>1074</v>
      </c>
      <c r="Y280" s="3">
        <f t="shared" ref="Y280:Y281" si="67">F126</f>
        <v>0</v>
      </c>
      <c r="Z280" s="1"/>
      <c r="AA280" s="3"/>
      <c r="AB280" s="3"/>
      <c r="AC280" s="238">
        <v>16.05</v>
      </c>
      <c r="AE280" s="3">
        <f t="shared" si="61"/>
        <v>0</v>
      </c>
      <c r="AG280" s="175">
        <f t="shared" si="62"/>
        <v>0</v>
      </c>
      <c r="AI280" s="3">
        <f t="shared" si="63"/>
        <v>0</v>
      </c>
      <c r="AK280" s="181" t="str">
        <f t="shared" si="64"/>
        <v xml:space="preserve">0.0 </v>
      </c>
      <c r="AL280" s="123"/>
      <c r="AM280" s="3"/>
      <c r="AN280" s="236"/>
      <c r="AO280" s="3">
        <f>AE280+AM280</f>
        <v>0</v>
      </c>
      <c r="AP280" s="123"/>
      <c r="AQ280" s="181" t="str">
        <f t="shared" si="66"/>
        <v xml:space="preserve">0.0 </v>
      </c>
    </row>
    <row r="281" spans="3:49" x14ac:dyDescent="0.3">
      <c r="F281" s="123"/>
      <c r="H281" s="123"/>
      <c r="I281" s="123"/>
      <c r="J281" s="213"/>
      <c r="K281" s="213"/>
      <c r="L281" s="123"/>
      <c r="M281" s="123"/>
      <c r="N281" s="123"/>
      <c r="O281" s="123"/>
      <c r="P281" s="123"/>
      <c r="Q281" s="123"/>
      <c r="R281" s="123"/>
      <c r="T281" s="297">
        <v>85</v>
      </c>
      <c r="V281" s="45" t="s">
        <v>1075</v>
      </c>
      <c r="Y281" s="3">
        <f t="shared" si="67"/>
        <v>0</v>
      </c>
      <c r="Z281" s="1"/>
      <c r="AA281" s="3"/>
      <c r="AB281" s="3"/>
      <c r="AC281" s="238">
        <v>23.69</v>
      </c>
      <c r="AE281" s="3">
        <f t="shared" si="61"/>
        <v>0</v>
      </c>
      <c r="AG281" s="177">
        <f t="shared" si="62"/>
        <v>0</v>
      </c>
      <c r="AI281" s="49">
        <f t="shared" si="63"/>
        <v>0</v>
      </c>
      <c r="AK281" s="223" t="str">
        <f t="shared" si="64"/>
        <v xml:space="preserve">0.0 </v>
      </c>
      <c r="AL281" s="123"/>
      <c r="AM281" s="3"/>
      <c r="AN281" s="236"/>
      <c r="AO281" s="49">
        <f>AE281+AM281</f>
        <v>0</v>
      </c>
      <c r="AP281" s="123"/>
      <c r="AQ281" s="223" t="str">
        <f t="shared" si="66"/>
        <v xml:space="preserve">0.0 </v>
      </c>
    </row>
    <row r="282" spans="3:49" x14ac:dyDescent="0.3">
      <c r="F282" s="123"/>
      <c r="H282" s="123"/>
      <c r="I282" s="123"/>
      <c r="J282" s="213"/>
      <c r="K282" s="213"/>
      <c r="L282" s="123"/>
      <c r="M282" s="123"/>
      <c r="N282" s="123"/>
      <c r="O282" s="123"/>
      <c r="P282" s="123"/>
      <c r="Q282" s="123"/>
      <c r="R282" s="123"/>
      <c r="T282" s="297">
        <v>86</v>
      </c>
      <c r="V282" s="178" t="s">
        <v>1060</v>
      </c>
      <c r="Y282" s="145">
        <f>SUM(Y267:Y281)</f>
        <v>11742</v>
      </c>
      <c r="Z282" s="1"/>
      <c r="AA282" s="145"/>
      <c r="AB282" s="3"/>
      <c r="AE282" s="145">
        <f>SUM(AE267:AE281)</f>
        <v>91915</v>
      </c>
      <c r="AG282" s="177">
        <f t="shared" si="62"/>
        <v>6.5</v>
      </c>
      <c r="AI282" s="145">
        <f>SUM(AI267:AI281)</f>
        <v>13099</v>
      </c>
      <c r="AK282" s="223">
        <f t="shared" si="64"/>
        <v>14.3</v>
      </c>
      <c r="AL282" s="123"/>
      <c r="AM282" s="145"/>
      <c r="AN282" s="236"/>
      <c r="AO282" s="145">
        <f>SUM(AO267:AO281)</f>
        <v>91915</v>
      </c>
      <c r="AP282" s="123"/>
      <c r="AQ282" s="224">
        <f t="shared" si="66"/>
        <v>14.3</v>
      </c>
    </row>
    <row r="283" spans="3:49" x14ac:dyDescent="0.3">
      <c r="F283" s="123"/>
      <c r="H283" s="123"/>
      <c r="I283" s="123"/>
      <c r="J283" s="213"/>
      <c r="K283" s="213"/>
      <c r="L283" s="123"/>
      <c r="M283" s="123"/>
      <c r="N283" s="123"/>
      <c r="O283" s="123"/>
      <c r="P283" s="123"/>
      <c r="Q283" s="123"/>
      <c r="R283" s="123"/>
      <c r="T283" s="297">
        <v>87</v>
      </c>
      <c r="V283" s="178"/>
      <c r="Y283" s="3"/>
      <c r="Z283" s="1"/>
      <c r="AA283" s="3"/>
      <c r="AB283" s="3"/>
      <c r="AE283" s="3"/>
      <c r="AG283" s="175"/>
      <c r="AI283" s="3"/>
      <c r="AK283" s="181"/>
      <c r="AL283" s="123"/>
      <c r="AM283" s="3"/>
      <c r="AN283" s="236"/>
      <c r="AO283" s="3"/>
      <c r="AP283" s="123"/>
      <c r="AQ283" s="181"/>
    </row>
    <row r="284" spans="3:49" x14ac:dyDescent="0.3">
      <c r="F284" s="123"/>
      <c r="H284" s="123"/>
      <c r="I284" s="123"/>
      <c r="J284" s="213"/>
      <c r="K284" s="213"/>
      <c r="L284" s="123"/>
      <c r="M284" s="123"/>
      <c r="N284" s="123"/>
      <c r="O284" s="123"/>
      <c r="P284" s="123"/>
      <c r="Q284" s="123"/>
      <c r="R284" s="123"/>
      <c r="T284" s="297">
        <v>88</v>
      </c>
      <c r="V284" s="320" t="s">
        <v>1145</v>
      </c>
      <c r="Y284" s="3"/>
      <c r="Z284" s="1"/>
      <c r="AA284" s="3"/>
      <c r="AB284" s="3"/>
      <c r="AE284" s="3"/>
      <c r="AG284" s="175"/>
      <c r="AI284" s="3"/>
      <c r="AK284" s="181"/>
      <c r="AL284" s="123"/>
      <c r="AM284" s="123"/>
      <c r="AN284" s="236"/>
      <c r="AO284" s="3"/>
      <c r="AP284" s="123"/>
      <c r="AQ284" s="181"/>
    </row>
    <row r="285" spans="3:49" x14ac:dyDescent="0.3">
      <c r="F285" s="123"/>
      <c r="H285" s="123"/>
      <c r="I285" s="123"/>
      <c r="J285" s="213"/>
      <c r="K285" s="213"/>
      <c r="L285" s="123"/>
      <c r="M285" s="123"/>
      <c r="N285" s="123"/>
      <c r="O285" s="123"/>
      <c r="P285" s="123"/>
      <c r="Q285" s="123"/>
      <c r="R285" s="123"/>
      <c r="T285" s="297">
        <v>89</v>
      </c>
      <c r="V285" s="192" t="str">
        <f>C131</f>
        <v>ENVIRONMENTAL SURCHARGE MECHANISM RIDER (ESM)</v>
      </c>
      <c r="Y285" s="3"/>
      <c r="Z285" s="1"/>
      <c r="AA285" s="3"/>
      <c r="AB285" s="3"/>
      <c r="AC285" s="318">
        <f>CUR_ESM_NonRes</f>
        <v>6.4941608437496566E-3</v>
      </c>
      <c r="AE285" s="3">
        <f>ROUND(($AO$265+$AO$196-AM265-AM196+AE290+AE291-(CUR_BASE_FUEL*AA293)+AO286+AO282)*AC285,0)</f>
        <v>7663</v>
      </c>
      <c r="AG285" s="175">
        <f>ROUND((AE285/AE$293)*100,1)</f>
        <v>0.5</v>
      </c>
      <c r="AI285" s="3">
        <f>L131-AE285</f>
        <v>199</v>
      </c>
      <c r="AK285" s="181">
        <f>IF(AE285=0,"0.0 ",ROUND((AI285/AE285)*100,1))</f>
        <v>2.6</v>
      </c>
      <c r="AL285" s="123"/>
      <c r="AM285" s="123"/>
      <c r="AN285" s="236"/>
      <c r="AO285" s="3">
        <f>AE285+AM285</f>
        <v>7663</v>
      </c>
      <c r="AP285" s="123"/>
      <c r="AQ285" s="181">
        <f>IF(AO285=0,"0.0 ",ROUND((AI285/AO285)*100,1))</f>
        <v>2.6</v>
      </c>
    </row>
    <row r="286" spans="3:49" x14ac:dyDescent="0.3">
      <c r="F286" s="123"/>
      <c r="H286" s="123"/>
      <c r="I286" s="123"/>
      <c r="J286" s="213"/>
      <c r="K286" s="213"/>
      <c r="L286" s="123"/>
      <c r="M286" s="123"/>
      <c r="N286" s="123"/>
      <c r="O286" s="123"/>
      <c r="P286" s="123"/>
      <c r="Q286" s="123"/>
      <c r="R286" s="123"/>
      <c r="T286" s="297">
        <v>90</v>
      </c>
      <c r="V286" s="192" t="str">
        <f>C132</f>
        <v>PROFIT SHARING MECHANISM (PSM)</v>
      </c>
      <c r="Y286" s="3"/>
      <c r="Z286" s="1"/>
      <c r="AA286" s="3"/>
      <c r="AB286" s="3"/>
      <c r="AC286" s="321">
        <f>RS_PSM</f>
        <v>2.4750000000000002E-3</v>
      </c>
      <c r="AE286" s="49">
        <f>ROUND(($AA$265+$AA$196)*AC286,0)</f>
        <v>16973</v>
      </c>
      <c r="AG286" s="177">
        <f>ROUND((AE286/AE$293)*100,1)</f>
        <v>1.2</v>
      </c>
      <c r="AI286" s="49">
        <f>L132-AE286</f>
        <v>0</v>
      </c>
      <c r="AK286" s="223">
        <f>IF(AE286=0,"0.0 ",ROUND((AI286/AE286)*100,1))</f>
        <v>0</v>
      </c>
      <c r="AL286" s="123"/>
      <c r="AM286" s="259"/>
      <c r="AN286" s="236"/>
      <c r="AO286" s="49">
        <f>AE286+AM286</f>
        <v>16973</v>
      </c>
      <c r="AP286" s="1"/>
      <c r="AQ286" s="223">
        <f>IF(AO286=0,"0.0 ",ROUND((AI286/AO286)*100,1))</f>
        <v>0</v>
      </c>
    </row>
    <row r="287" spans="3:49" x14ac:dyDescent="0.3">
      <c r="F287" s="123"/>
      <c r="H287" s="123"/>
      <c r="I287" s="123"/>
      <c r="J287" s="213"/>
      <c r="K287" s="213"/>
      <c r="L287" s="123"/>
      <c r="M287" s="123"/>
      <c r="N287" s="123"/>
      <c r="O287" s="123"/>
      <c r="P287" s="123"/>
      <c r="Q287" s="123"/>
      <c r="R287" s="123"/>
      <c r="T287" s="297">
        <v>91</v>
      </c>
      <c r="V287" s="132" t="s">
        <v>465</v>
      </c>
      <c r="Y287" s="3"/>
      <c r="Z287" s="1"/>
      <c r="AA287" s="3"/>
      <c r="AB287" s="3"/>
      <c r="AE287" s="145">
        <f>SUM(AE285:AE286)</f>
        <v>24636</v>
      </c>
      <c r="AG287" s="180">
        <f>ROUND((AE287/AE$293)*100,1)</f>
        <v>1.7</v>
      </c>
      <c r="AI287" s="145">
        <f>SUM(AI285:AI286)</f>
        <v>199</v>
      </c>
      <c r="AK287" s="224">
        <f>IF(AE287=0,"0.0 ",ROUND((AI287/AE287)*100,1))</f>
        <v>0.8</v>
      </c>
      <c r="AL287" s="123"/>
      <c r="AM287" s="276"/>
      <c r="AN287" s="236"/>
      <c r="AO287" s="145">
        <f>SUM(AO285:AO286)</f>
        <v>24636</v>
      </c>
      <c r="AP287" s="123"/>
      <c r="AQ287" s="224">
        <f>IF(AO287=0,"0.0 ",ROUND((AI287/AO287)*100,1))</f>
        <v>0.8</v>
      </c>
    </row>
    <row r="288" spans="3:49" x14ac:dyDescent="0.3">
      <c r="F288" s="123"/>
      <c r="H288" s="123"/>
      <c r="I288" s="123"/>
      <c r="J288" s="213"/>
      <c r="K288" s="213"/>
      <c r="L288" s="123"/>
      <c r="M288" s="123"/>
      <c r="N288" s="123"/>
      <c r="O288" s="123"/>
      <c r="P288" s="123"/>
      <c r="Q288" s="123"/>
      <c r="R288" s="123"/>
      <c r="T288" s="297">
        <v>92</v>
      </c>
    </row>
    <row r="289" spans="1:51" x14ac:dyDescent="0.3">
      <c r="C289" s="42"/>
      <c r="F289" s="184"/>
      <c r="H289" s="184"/>
      <c r="I289" s="184"/>
      <c r="J289" s="227"/>
      <c r="K289" s="227"/>
      <c r="L289" s="123"/>
      <c r="M289" s="123"/>
      <c r="N289" s="160"/>
      <c r="O289" s="160"/>
      <c r="P289" s="184"/>
      <c r="Q289" s="184"/>
      <c r="R289" s="123"/>
      <c r="T289" s="297">
        <v>93</v>
      </c>
      <c r="V289" s="132" t="s">
        <v>304</v>
      </c>
      <c r="Y289" s="3"/>
      <c r="Z289" s="1"/>
      <c r="AA289" s="3"/>
      <c r="AB289" s="3"/>
      <c r="AE289" s="3"/>
      <c r="AG289" s="175"/>
      <c r="AI289" s="3"/>
      <c r="AK289" s="181"/>
      <c r="AL289" s="123"/>
      <c r="AM289" s="3"/>
      <c r="AN289" s="236"/>
      <c r="AO289" s="3"/>
      <c r="AP289" s="123"/>
      <c r="AQ289" s="181"/>
    </row>
    <row r="290" spans="1:51" x14ac:dyDescent="0.3">
      <c r="C290" s="42"/>
      <c r="F290" s="184"/>
      <c r="H290" s="184"/>
      <c r="I290" s="184"/>
      <c r="J290" s="227"/>
      <c r="K290" s="227"/>
      <c r="L290" s="123"/>
      <c r="M290" s="123"/>
      <c r="N290" s="160"/>
      <c r="O290" s="160"/>
      <c r="P290" s="184"/>
      <c r="Q290" s="184"/>
      <c r="R290" s="123"/>
      <c r="T290" s="297">
        <v>94</v>
      </c>
      <c r="V290" s="42" t="s">
        <v>1125</v>
      </c>
      <c r="Y290" s="159">
        <f>F136</f>
        <v>4589</v>
      </c>
      <c r="Z290" s="1"/>
      <c r="AA290" s="3"/>
      <c r="AB290" s="3"/>
      <c r="AC290" s="322">
        <v>0.76</v>
      </c>
      <c r="AE290" s="3">
        <f>ROUND((Y290*AC290),0)</f>
        <v>3488</v>
      </c>
      <c r="AG290" s="175">
        <f>ROUND((AE290/AE$293)*100,1)</f>
        <v>0.2</v>
      </c>
      <c r="AI290" s="3">
        <f>L136-AE290</f>
        <v>504</v>
      </c>
      <c r="AK290" s="181">
        <f>IF(AE290=0,"0.0 ",ROUND((AI290/AE290)*100,1))</f>
        <v>14.4</v>
      </c>
      <c r="AL290" s="123"/>
      <c r="AM290" s="3"/>
      <c r="AN290" s="236"/>
      <c r="AO290" s="3">
        <f>AE290+AM290</f>
        <v>3488</v>
      </c>
      <c r="AP290" s="123"/>
      <c r="AQ290" s="181">
        <f>IF(AO290=0,"0.0 ",ROUND((AI290/AO290)*100,1))</f>
        <v>14.4</v>
      </c>
    </row>
    <row r="291" spans="1:51" x14ac:dyDescent="0.3">
      <c r="C291" s="42"/>
      <c r="F291" s="184"/>
      <c r="H291" s="184"/>
      <c r="I291" s="184"/>
      <c r="J291" s="227"/>
      <c r="K291" s="227"/>
      <c r="L291" s="123"/>
      <c r="M291" s="123"/>
      <c r="N291" s="160"/>
      <c r="O291" s="160"/>
      <c r="P291" s="184"/>
      <c r="Q291" s="184"/>
      <c r="R291" s="123"/>
      <c r="T291" s="297">
        <v>95</v>
      </c>
      <c r="V291" s="42" t="s">
        <v>1126</v>
      </c>
      <c r="Y291" s="159">
        <f>F137</f>
        <v>15128</v>
      </c>
      <c r="Z291" s="1"/>
      <c r="AA291" s="3"/>
      <c r="AB291" s="3"/>
      <c r="AC291" s="322">
        <v>1.1000000000000001</v>
      </c>
      <c r="AE291" s="49">
        <f>ROUND((Y291*AC291),0)</f>
        <v>16641</v>
      </c>
      <c r="AG291" s="177">
        <f>ROUND((AE291/AE$293)*100,1)</f>
        <v>1.2</v>
      </c>
      <c r="AI291" s="49">
        <f>L137-AE291</f>
        <v>2420</v>
      </c>
      <c r="AK291" s="223">
        <f>IF(AE291=0,"0.0 ",ROUND((AI291/AE291)*100,1))</f>
        <v>14.5</v>
      </c>
      <c r="AL291" s="123"/>
      <c r="AM291" s="49"/>
      <c r="AN291" s="236"/>
      <c r="AO291" s="49">
        <f>AE291+AM291</f>
        <v>16641</v>
      </c>
      <c r="AP291" s="123"/>
      <c r="AQ291" s="223">
        <f>IF(AO291=0,"0.0 ",ROUND((AI291/AO291)*100,1))</f>
        <v>14.5</v>
      </c>
    </row>
    <row r="292" spans="1:51" x14ac:dyDescent="0.3">
      <c r="C292" s="42"/>
      <c r="F292" s="184"/>
      <c r="H292" s="184"/>
      <c r="I292" s="184"/>
      <c r="J292" s="227"/>
      <c r="K292" s="227"/>
      <c r="L292" s="123"/>
      <c r="M292" s="123"/>
      <c r="N292" s="160"/>
      <c r="O292" s="160"/>
      <c r="P292" s="184"/>
      <c r="Q292" s="184"/>
      <c r="R292" s="123"/>
      <c r="T292" s="297">
        <v>96</v>
      </c>
      <c r="V292" s="132" t="s">
        <v>305</v>
      </c>
      <c r="Y292" s="72">
        <f>SUM(Y290:Y291)</f>
        <v>19717</v>
      </c>
      <c r="Z292" s="1"/>
      <c r="AA292" s="3"/>
      <c r="AB292" s="3"/>
      <c r="AE292" s="3">
        <f>SUM(AE290:AE291)</f>
        <v>20129</v>
      </c>
      <c r="AG292" s="177">
        <f>ROUND((AE292/AE$293)*100,1)</f>
        <v>1.4</v>
      </c>
      <c r="AI292" s="3">
        <f>SUM(AI290:AI291)</f>
        <v>2924</v>
      </c>
      <c r="AK292" s="223">
        <f>IF(AE292=0,"0.0 ",ROUND((AI292/AE292)*100,1))</f>
        <v>14.5</v>
      </c>
      <c r="AL292" s="123"/>
      <c r="AM292" s="49">
        <v>0</v>
      </c>
      <c r="AN292" s="236"/>
      <c r="AO292" s="3">
        <f>SUM(AO290:AO291)</f>
        <v>20129</v>
      </c>
      <c r="AP292" s="123"/>
      <c r="AQ292" s="224">
        <f>IF(AO292=0,"0.0 ",ROUND((AI292/AO292)*100,1))</f>
        <v>14.5</v>
      </c>
    </row>
    <row r="293" spans="1:51" ht="16.2" thickBot="1" x14ac:dyDescent="0.35">
      <c r="C293" s="42"/>
      <c r="F293" s="184"/>
      <c r="H293" s="184"/>
      <c r="I293" s="184"/>
      <c r="J293" s="227"/>
      <c r="K293" s="227"/>
      <c r="L293" s="123"/>
      <c r="M293" s="123"/>
      <c r="N293" s="160"/>
      <c r="O293" s="160"/>
      <c r="P293" s="184"/>
      <c r="Q293" s="184"/>
      <c r="R293" s="123"/>
      <c r="T293" s="297">
        <v>97</v>
      </c>
      <c r="V293" s="132" t="s">
        <v>476</v>
      </c>
      <c r="Y293" s="162">
        <f>Y196+Y265+Y282</f>
        <v>103310</v>
      </c>
      <c r="Z293" s="1"/>
      <c r="AA293" s="162">
        <f>AA196+AA265</f>
        <v>6857780</v>
      </c>
      <c r="AB293" s="3"/>
      <c r="AE293" s="162">
        <f>AE196+AE265+AE287+AE292+AE282</f>
        <v>1419233</v>
      </c>
      <c r="AG293" s="315">
        <v>100</v>
      </c>
      <c r="AI293" s="162">
        <f>AI196+AI265+AI287+AI292+AI282</f>
        <v>198968</v>
      </c>
      <c r="AK293" s="316">
        <f>IF(AE293=0,"0.0 ",ROUND((AI293/AE293)*100,1))</f>
        <v>14</v>
      </c>
      <c r="AM293" s="151">
        <f>AM265+AM196</f>
        <v>23917</v>
      </c>
      <c r="AO293" s="162">
        <f>AO196+AO265+AO287+AO292+AO282</f>
        <v>1443150</v>
      </c>
      <c r="AQ293" s="316">
        <f>IF(AO293=0,"0.0 ",ROUND((AI293/AO293)*100,1))</f>
        <v>13.8</v>
      </c>
    </row>
    <row r="294" spans="1:51" ht="16.2" thickTop="1" x14ac:dyDescent="0.3">
      <c r="C294" s="42"/>
      <c r="F294" s="184"/>
      <c r="H294" s="184"/>
      <c r="I294" s="184"/>
      <c r="J294" s="227"/>
      <c r="K294" s="227"/>
      <c r="L294" s="123"/>
      <c r="M294" s="123"/>
      <c r="N294" s="160"/>
      <c r="O294" s="160"/>
      <c r="P294" s="184"/>
      <c r="Q294" s="184"/>
      <c r="R294" s="123"/>
      <c r="T294" s="202" t="s">
        <v>76</v>
      </c>
      <c r="U294" s="294"/>
      <c r="V294" s="294"/>
      <c r="W294" s="294"/>
      <c r="X294" s="294"/>
      <c r="Y294" s="294"/>
      <c r="Z294" s="294"/>
      <c r="AA294" s="294"/>
      <c r="AB294" s="294"/>
      <c r="AC294" s="294"/>
      <c r="AD294" s="294"/>
      <c r="AE294" s="264"/>
      <c r="AF294" s="294"/>
      <c r="AG294" s="295"/>
      <c r="AH294" s="294"/>
      <c r="AI294" s="294"/>
      <c r="AJ294" s="294"/>
      <c r="AK294" s="264"/>
      <c r="AL294" s="294"/>
      <c r="AM294" s="294"/>
      <c r="AN294" s="294"/>
      <c r="AO294" s="294"/>
      <c r="AP294" s="308"/>
      <c r="AQ294" s="309"/>
      <c r="AS294" s="123"/>
      <c r="AT294" s="188"/>
      <c r="AW294" s="159"/>
      <c r="AX294" s="1"/>
      <c r="AY294" s="1"/>
    </row>
    <row r="295" spans="1:51" x14ac:dyDescent="0.3">
      <c r="C295" s="42"/>
      <c r="F295" s="184"/>
      <c r="H295" s="184"/>
      <c r="I295" s="184"/>
      <c r="J295" s="227"/>
      <c r="K295" s="227"/>
      <c r="L295" s="123"/>
      <c r="M295" s="123"/>
      <c r="N295" s="160"/>
      <c r="O295" s="160"/>
      <c r="P295" s="184"/>
      <c r="Q295" s="184"/>
      <c r="R295" s="123"/>
      <c r="T295" s="202" t="str">
        <f>"(1A) REFLECTS FUEL COST RECOVERY INCLUDED IN BASE RATES OF "&amp;TEXT(CUR_BASE_FUEL,"$0.000000;($0.000000)")&amp;"  PER KWH."</f>
        <v>(1A) REFLECTS FUEL COST RECOVERY INCLUDED IN BASE RATES OF $0.033780  PER KWH.</v>
      </c>
      <c r="U295" s="294"/>
      <c r="V295" s="294"/>
      <c r="W295" s="294"/>
      <c r="X295" s="294"/>
      <c r="Y295" s="296"/>
      <c r="Z295" s="294"/>
      <c r="AA295" s="294"/>
      <c r="AB295" s="294"/>
      <c r="AC295" s="294"/>
      <c r="AD295" s="294"/>
      <c r="AE295" s="264"/>
      <c r="AF295" s="294"/>
      <c r="AG295" s="295"/>
      <c r="AH295" s="294"/>
      <c r="AI295" s="294"/>
      <c r="AJ295" s="294"/>
      <c r="AK295" s="264"/>
      <c r="AL295" s="294"/>
      <c r="AM295" s="294"/>
      <c r="AN295" s="294"/>
      <c r="AO295" s="294"/>
      <c r="AP295" s="308"/>
      <c r="AQ295" s="309"/>
      <c r="AS295" s="123"/>
      <c r="AT295" s="188"/>
      <c r="AW295" s="159"/>
      <c r="AX295" s="1"/>
      <c r="AY295" s="1"/>
    </row>
    <row r="296" spans="1:51" x14ac:dyDescent="0.3">
      <c r="C296" s="42"/>
      <c r="F296" s="184"/>
      <c r="H296" s="184"/>
      <c r="I296" s="184"/>
      <c r="J296" s="227"/>
      <c r="K296" s="227"/>
      <c r="L296" s="123"/>
      <c r="M296" s="123"/>
      <c r="N296" s="160"/>
      <c r="O296" s="160"/>
      <c r="P296" s="184"/>
      <c r="Q296" s="184"/>
      <c r="R296" s="123"/>
      <c r="T296" s="202" t="str">
        <f>"(2) REFLECTS FUEL COMPONENT OF "&amp;TEXT(CUR_FAC,"$0.000000;($0.000000)")&amp;"  PER KWH."</f>
        <v>(2) REFLECTS FUEL COMPONENT OF $0.003487  PER KWH.</v>
      </c>
      <c r="U296" s="294"/>
      <c r="V296" s="294"/>
      <c r="W296" s="294"/>
      <c r="X296" s="294"/>
      <c r="Y296" s="296"/>
      <c r="Z296" s="294"/>
      <c r="AA296" s="294"/>
      <c r="AB296" s="294"/>
      <c r="AC296" s="294"/>
      <c r="AD296" s="294"/>
      <c r="AE296" s="264"/>
      <c r="AF296" s="294"/>
      <c r="AG296" s="295"/>
      <c r="AH296" s="294"/>
      <c r="AI296" s="294"/>
      <c r="AJ296" s="294"/>
      <c r="AK296" s="264"/>
      <c r="AL296" s="294"/>
      <c r="AM296" s="294"/>
      <c r="AN296" s="294"/>
      <c r="AO296" s="294"/>
      <c r="AP296" s="308"/>
      <c r="AQ296" s="309"/>
      <c r="AS296" s="123"/>
      <c r="AT296" s="188"/>
      <c r="AW296" s="159"/>
      <c r="AX296" s="1"/>
      <c r="AY296" s="1"/>
    </row>
    <row r="297" spans="1:51" x14ac:dyDescent="0.3">
      <c r="C297" s="42"/>
      <c r="F297" s="184"/>
      <c r="H297" s="184"/>
      <c r="I297" s="184"/>
      <c r="J297" s="227"/>
      <c r="K297" s="227"/>
      <c r="L297" s="123"/>
      <c r="M297" s="123"/>
      <c r="N297" s="160"/>
      <c r="O297" s="160"/>
      <c r="P297" s="184"/>
      <c r="Q297" s="184"/>
      <c r="R297" s="123"/>
      <c r="T297" s="202" t="str">
        <f>"(3) REFLECTS REDUCTION IN LIGHTING SYSTEMS."</f>
        <v>(3) REFLECTS REDUCTION IN LIGHTING SYSTEMS.</v>
      </c>
      <c r="U297" s="294"/>
      <c r="V297" s="294"/>
      <c r="W297" s="294"/>
      <c r="X297" s="294"/>
      <c r="Y297" s="296"/>
      <c r="Z297" s="294"/>
      <c r="AA297" s="294"/>
      <c r="AB297" s="294"/>
      <c r="AC297" s="294"/>
      <c r="AD297" s="294"/>
      <c r="AE297" s="264"/>
      <c r="AF297" s="294"/>
      <c r="AG297" s="295"/>
      <c r="AH297" s="294"/>
      <c r="AI297" s="294"/>
      <c r="AJ297" s="294"/>
      <c r="AK297" s="264"/>
      <c r="AL297" s="294"/>
      <c r="AM297" s="294"/>
      <c r="AN297" s="294"/>
      <c r="AO297" s="294"/>
      <c r="AP297" s="308"/>
      <c r="AQ297" s="309"/>
      <c r="AS297" s="123"/>
      <c r="AT297" s="188"/>
      <c r="AW297" s="159"/>
      <c r="AX297" s="1"/>
      <c r="AY297" s="1"/>
    </row>
    <row r="298" spans="1:51" x14ac:dyDescent="0.3">
      <c r="C298" s="42"/>
      <c r="F298" s="184"/>
      <c r="H298" s="184"/>
      <c r="I298" s="184"/>
      <c r="J298" s="227"/>
      <c r="K298" s="227"/>
      <c r="L298" s="123"/>
      <c r="M298" s="123"/>
      <c r="N298" s="160"/>
      <c r="O298" s="160"/>
      <c r="P298" s="184"/>
      <c r="Q298" s="184"/>
      <c r="R298" s="123"/>
      <c r="T298" s="264"/>
      <c r="U298" s="294"/>
      <c r="V298" s="294"/>
      <c r="W298" s="294"/>
      <c r="X298" s="294"/>
      <c r="Y298" s="296"/>
      <c r="Z298" s="294"/>
      <c r="AA298" s="294"/>
      <c r="AB298" s="294"/>
      <c r="AC298" s="294"/>
      <c r="AD298" s="294"/>
      <c r="AE298" s="264"/>
      <c r="AF298" s="294"/>
      <c r="AG298" s="295"/>
      <c r="AH298" s="294"/>
      <c r="AI298" s="294"/>
      <c r="AJ298" s="294"/>
      <c r="AK298" s="264"/>
      <c r="AL298" s="294"/>
      <c r="AM298" s="294"/>
      <c r="AN298" s="294"/>
      <c r="AO298" s="294"/>
      <c r="AP298" s="308"/>
      <c r="AQ298" s="309"/>
      <c r="AS298" s="123"/>
      <c r="AT298" s="188"/>
      <c r="AW298" s="159"/>
      <c r="AX298" s="1"/>
      <c r="AY298" s="1"/>
    </row>
    <row r="299" spans="1:51" x14ac:dyDescent="0.3">
      <c r="L299" s="42"/>
      <c r="M299" s="42"/>
      <c r="AC299" s="42"/>
      <c r="AD299" s="42"/>
    </row>
    <row r="300" spans="1:51" x14ac:dyDescent="0.3">
      <c r="A300" s="135"/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207"/>
      <c r="AH300" s="135"/>
      <c r="AI300" s="135"/>
      <c r="AJ300" s="135"/>
      <c r="AK300" s="207"/>
      <c r="AL300" s="135"/>
      <c r="AM300" s="135"/>
      <c r="AN300" s="135"/>
      <c r="AO300" s="135"/>
      <c r="AP300" s="135"/>
    </row>
    <row r="301" spans="1:51" x14ac:dyDescent="0.3">
      <c r="L301" s="44"/>
      <c r="M301" s="44"/>
      <c r="N301" s="44"/>
      <c r="O301" s="44"/>
      <c r="R301" s="44"/>
      <c r="AC301" s="44"/>
      <c r="AD301" s="44"/>
      <c r="AE301" s="44"/>
      <c r="AF301" s="44"/>
      <c r="AG301" s="168"/>
      <c r="AH301" s="44"/>
      <c r="AI301" s="44"/>
      <c r="AJ301" s="44"/>
      <c r="AM301" s="44"/>
      <c r="AN301" s="44"/>
      <c r="AO301" s="44"/>
      <c r="AP301" s="44"/>
    </row>
    <row r="302" spans="1:51" x14ac:dyDescent="0.3">
      <c r="L302" s="44"/>
      <c r="M302" s="44"/>
      <c r="N302" s="44"/>
      <c r="O302" s="44"/>
      <c r="R302" s="44"/>
      <c r="AB302" s="44"/>
      <c r="AC302" s="44"/>
      <c r="AD302" s="44"/>
      <c r="AE302" s="44"/>
      <c r="AF302" s="44"/>
      <c r="AG302" s="168"/>
      <c r="AH302" s="44"/>
      <c r="AI302" s="44"/>
      <c r="AJ302" s="44"/>
      <c r="AM302" s="44"/>
      <c r="AN302" s="44"/>
      <c r="AO302" s="44"/>
      <c r="AP302" s="44"/>
    </row>
    <row r="303" spans="1:51" x14ac:dyDescent="0.3">
      <c r="A303" s="44"/>
      <c r="C303" s="44"/>
      <c r="D303" s="44"/>
      <c r="E303" s="44"/>
      <c r="F303" s="44"/>
      <c r="J303" s="44"/>
      <c r="K303" s="44"/>
      <c r="L303" s="44"/>
      <c r="M303" s="44"/>
      <c r="N303" s="44"/>
      <c r="O303" s="44"/>
      <c r="P303" s="44"/>
      <c r="Q303" s="44"/>
      <c r="R303" s="44"/>
      <c r="T303" s="44"/>
      <c r="U303" s="44"/>
      <c r="V303" s="44"/>
      <c r="AB303" s="44"/>
      <c r="AC303" s="44"/>
      <c r="AD303" s="44"/>
      <c r="AE303" s="44"/>
      <c r="AF303" s="44"/>
      <c r="AG303" s="168"/>
      <c r="AH303" s="44"/>
      <c r="AI303" s="44"/>
      <c r="AJ303" s="44"/>
      <c r="AK303" s="168"/>
      <c r="AL303" s="44"/>
      <c r="AM303" s="44"/>
      <c r="AN303" s="44"/>
      <c r="AO303" s="44"/>
      <c r="AP303" s="44"/>
    </row>
    <row r="304" spans="1:51" x14ac:dyDescent="0.3">
      <c r="A304" s="44"/>
      <c r="C304" s="44"/>
      <c r="D304" s="44"/>
      <c r="E304" s="44"/>
      <c r="F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T304" s="44"/>
      <c r="U304" s="44"/>
      <c r="V304" s="44"/>
      <c r="AA304" s="44"/>
      <c r="AB304" s="44"/>
      <c r="AC304" s="44"/>
      <c r="AD304" s="44"/>
      <c r="AE304" s="44"/>
      <c r="AF304" s="44"/>
      <c r="AG304" s="168"/>
      <c r="AH304" s="44"/>
      <c r="AI304" s="44"/>
      <c r="AJ304" s="44"/>
      <c r="AK304" s="168"/>
      <c r="AL304" s="44"/>
      <c r="AM304" s="44"/>
      <c r="AN304" s="44"/>
      <c r="AO304" s="44"/>
      <c r="AP304" s="44"/>
    </row>
    <row r="305" spans="1:42" x14ac:dyDescent="0.3">
      <c r="C305" s="44"/>
      <c r="D305" s="44"/>
      <c r="E305" s="44"/>
      <c r="F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T305" s="44"/>
      <c r="U305" s="44"/>
      <c r="V305" s="44"/>
      <c r="AA305" s="44"/>
      <c r="AB305" s="44"/>
      <c r="AC305" s="44"/>
      <c r="AD305" s="44"/>
      <c r="AE305" s="44"/>
      <c r="AF305" s="44"/>
      <c r="AG305" s="168"/>
      <c r="AH305" s="44"/>
      <c r="AI305" s="44"/>
      <c r="AJ305" s="44"/>
      <c r="AK305" s="168"/>
      <c r="AL305" s="44"/>
      <c r="AM305" s="44"/>
      <c r="AN305" s="44"/>
      <c r="AO305" s="44"/>
      <c r="AP305" s="44"/>
    </row>
    <row r="306" spans="1:42" x14ac:dyDescent="0.3">
      <c r="A306" s="135"/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207"/>
      <c r="AH306" s="135"/>
      <c r="AI306" s="135"/>
      <c r="AJ306" s="135"/>
      <c r="AK306" s="207"/>
      <c r="AL306" s="135"/>
      <c r="AM306" s="135"/>
      <c r="AN306" s="135"/>
      <c r="AO306" s="135"/>
      <c r="AP306" s="135"/>
    </row>
    <row r="307" spans="1:42" x14ac:dyDescent="0.3"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AA307" s="44"/>
      <c r="AB307" s="44"/>
      <c r="AC307" s="44"/>
      <c r="AD307" s="44"/>
      <c r="AE307" s="44"/>
      <c r="AF307" s="44"/>
      <c r="AG307" s="168"/>
      <c r="AH307" s="44"/>
      <c r="AI307" s="44"/>
      <c r="AJ307" s="44"/>
      <c r="AK307" s="168"/>
      <c r="AL307" s="44"/>
      <c r="AM307" s="44"/>
      <c r="AN307" s="44"/>
      <c r="AO307" s="44"/>
      <c r="AP307" s="44"/>
    </row>
    <row r="308" spans="1:42" x14ac:dyDescent="0.3">
      <c r="C308" s="42"/>
      <c r="D308" s="42"/>
      <c r="E308" s="42"/>
      <c r="T308" s="42"/>
      <c r="U308" s="42"/>
    </row>
    <row r="309" spans="1:42" x14ac:dyDescent="0.3">
      <c r="D309" s="42"/>
      <c r="E309" s="42"/>
      <c r="U309" s="42"/>
    </row>
    <row r="311" spans="1:42" x14ac:dyDescent="0.3">
      <c r="C311" s="42"/>
      <c r="T311" s="42"/>
    </row>
    <row r="312" spans="1:42" x14ac:dyDescent="0.3">
      <c r="C312" s="42"/>
      <c r="F312" s="184"/>
      <c r="H312" s="184"/>
      <c r="I312" s="184"/>
      <c r="J312" s="238"/>
      <c r="K312" s="238"/>
      <c r="L312" s="123"/>
      <c r="M312" s="123"/>
      <c r="N312" s="160"/>
      <c r="O312" s="160"/>
      <c r="P312" s="123"/>
      <c r="Q312" s="123"/>
      <c r="R312" s="123"/>
      <c r="T312" s="42"/>
      <c r="V312" s="184"/>
      <c r="W312" s="123"/>
      <c r="X312" s="123"/>
      <c r="Y312" s="123"/>
      <c r="Z312" s="123"/>
      <c r="AA312" s="184"/>
      <c r="AB312" s="238"/>
      <c r="AC312" s="123"/>
      <c r="AD312" s="123"/>
      <c r="AE312" s="160"/>
      <c r="AF312" s="160"/>
      <c r="AH312" s="123"/>
      <c r="AI312" s="236"/>
      <c r="AJ312" s="236"/>
      <c r="AL312" s="123"/>
      <c r="AM312" s="123"/>
      <c r="AN312" s="123"/>
      <c r="AO312" s="160"/>
      <c r="AP312" s="160"/>
    </row>
    <row r="313" spans="1:42" x14ac:dyDescent="0.3">
      <c r="C313" s="42"/>
      <c r="F313" s="123"/>
      <c r="H313" s="123"/>
      <c r="I313" s="123"/>
      <c r="J313" s="213"/>
      <c r="K313" s="213"/>
      <c r="L313" s="123"/>
      <c r="M313" s="123"/>
      <c r="N313" s="160"/>
      <c r="O313" s="160"/>
      <c r="P313" s="123"/>
      <c r="Q313" s="123"/>
      <c r="R313" s="123"/>
      <c r="T313" s="42"/>
      <c r="V313" s="184"/>
      <c r="W313" s="123"/>
      <c r="X313" s="123"/>
      <c r="Y313" s="123"/>
      <c r="Z313" s="123"/>
      <c r="AA313" s="184"/>
      <c r="AB313" s="213"/>
      <c r="AC313" s="123"/>
      <c r="AD313" s="123"/>
      <c r="AE313" s="160"/>
      <c r="AF313" s="160"/>
      <c r="AH313" s="123"/>
      <c r="AI313" s="236"/>
      <c r="AJ313" s="236"/>
      <c r="AL313" s="123"/>
      <c r="AM313" s="123"/>
      <c r="AN313" s="123"/>
      <c r="AO313" s="160"/>
      <c r="AP313" s="160"/>
    </row>
    <row r="314" spans="1:42" x14ac:dyDescent="0.3">
      <c r="C314" s="42"/>
      <c r="F314" s="184"/>
      <c r="H314" s="184"/>
      <c r="I314" s="184"/>
      <c r="J314" s="238"/>
      <c r="K314" s="238"/>
      <c r="L314" s="123"/>
      <c r="M314" s="123"/>
      <c r="N314" s="160"/>
      <c r="O314" s="160"/>
      <c r="P314" s="123"/>
      <c r="Q314" s="123"/>
      <c r="R314" s="123"/>
      <c r="T314" s="42"/>
      <c r="V314" s="184"/>
      <c r="W314" s="123"/>
      <c r="X314" s="123"/>
      <c r="Y314" s="123"/>
      <c r="Z314" s="123"/>
      <c r="AA314" s="184"/>
      <c r="AB314" s="238"/>
      <c r="AC314" s="123"/>
      <c r="AD314" s="123"/>
      <c r="AE314" s="160"/>
      <c r="AF314" s="160"/>
      <c r="AH314" s="123"/>
      <c r="AI314" s="236"/>
      <c r="AJ314" s="236"/>
      <c r="AL314" s="123"/>
      <c r="AM314" s="123"/>
      <c r="AN314" s="123"/>
      <c r="AO314" s="160"/>
      <c r="AP314" s="160"/>
    </row>
    <row r="315" spans="1:42" x14ac:dyDescent="0.3">
      <c r="C315" s="42"/>
      <c r="F315" s="184"/>
      <c r="H315" s="184"/>
      <c r="I315" s="184"/>
      <c r="J315" s="238"/>
      <c r="K315" s="238"/>
      <c r="L315" s="123"/>
      <c r="M315" s="123"/>
      <c r="N315" s="160"/>
      <c r="O315" s="160"/>
      <c r="P315" s="123"/>
      <c r="Q315" s="123"/>
      <c r="R315" s="123"/>
      <c r="T315" s="42"/>
      <c r="V315" s="184"/>
      <c r="W315" s="123"/>
      <c r="X315" s="123"/>
      <c r="Y315" s="123"/>
      <c r="Z315" s="123"/>
      <c r="AA315" s="184"/>
      <c r="AB315" s="238"/>
      <c r="AC315" s="123"/>
      <c r="AD315" s="123"/>
      <c r="AE315" s="160"/>
      <c r="AF315" s="160"/>
      <c r="AH315" s="123"/>
      <c r="AI315" s="236"/>
      <c r="AJ315" s="236"/>
      <c r="AL315" s="123"/>
      <c r="AM315" s="123"/>
      <c r="AN315" s="123"/>
      <c r="AO315" s="160"/>
      <c r="AP315" s="160"/>
    </row>
    <row r="316" spans="1:42" x14ac:dyDescent="0.3">
      <c r="C316" s="42"/>
      <c r="F316" s="184"/>
      <c r="H316" s="184"/>
      <c r="I316" s="184"/>
      <c r="J316" s="238"/>
      <c r="K316" s="238"/>
      <c r="L316" s="123"/>
      <c r="M316" s="123"/>
      <c r="N316" s="160"/>
      <c r="O316" s="160"/>
      <c r="P316" s="123"/>
      <c r="Q316" s="123"/>
      <c r="R316" s="123"/>
      <c r="T316" s="42"/>
      <c r="V316" s="184"/>
      <c r="W316" s="123"/>
      <c r="X316" s="123"/>
      <c r="Y316" s="123"/>
      <c r="Z316" s="123"/>
      <c r="AA316" s="184"/>
      <c r="AB316" s="238"/>
      <c r="AC316" s="123"/>
      <c r="AD316" s="123"/>
      <c r="AE316" s="160"/>
      <c r="AF316" s="160"/>
      <c r="AH316" s="123"/>
      <c r="AI316" s="236"/>
      <c r="AJ316" s="236"/>
      <c r="AL316" s="123"/>
      <c r="AM316" s="123"/>
      <c r="AN316" s="123"/>
      <c r="AO316" s="160"/>
      <c r="AP316" s="160"/>
    </row>
    <row r="317" spans="1:42" x14ac:dyDescent="0.3">
      <c r="C317" s="42"/>
      <c r="F317" s="123"/>
      <c r="H317" s="123"/>
      <c r="I317" s="123"/>
      <c r="J317" s="238"/>
      <c r="K317" s="238"/>
      <c r="L317" s="123"/>
      <c r="M317" s="123"/>
      <c r="N317" s="160"/>
      <c r="O317" s="160"/>
      <c r="P317" s="123"/>
      <c r="Q317" s="123"/>
      <c r="R317" s="123"/>
      <c r="T317" s="42"/>
      <c r="V317" s="184"/>
      <c r="W317" s="123"/>
      <c r="X317" s="123"/>
      <c r="Y317" s="123"/>
      <c r="Z317" s="123"/>
      <c r="AA317" s="184"/>
      <c r="AB317" s="238"/>
      <c r="AC317" s="123"/>
      <c r="AD317" s="123"/>
      <c r="AE317" s="160"/>
      <c r="AF317" s="160"/>
      <c r="AH317" s="123"/>
      <c r="AI317" s="236"/>
      <c r="AJ317" s="236"/>
      <c r="AL317" s="123"/>
      <c r="AM317" s="123"/>
      <c r="AN317" s="123"/>
      <c r="AO317" s="160"/>
      <c r="AP317" s="160"/>
    </row>
    <row r="318" spans="1:42" x14ac:dyDescent="0.3">
      <c r="C318" s="42"/>
      <c r="F318" s="123"/>
      <c r="H318" s="123"/>
      <c r="I318" s="123"/>
      <c r="J318" s="238"/>
      <c r="K318" s="238"/>
      <c r="L318" s="123"/>
      <c r="M318" s="123"/>
      <c r="N318" s="160"/>
      <c r="O318" s="160"/>
      <c r="P318" s="123"/>
      <c r="Q318" s="123"/>
      <c r="R318" s="123"/>
      <c r="T318" s="42"/>
      <c r="V318" s="184"/>
      <c r="W318" s="123"/>
      <c r="X318" s="123"/>
      <c r="Y318" s="123"/>
      <c r="Z318" s="123"/>
      <c r="AA318" s="184"/>
      <c r="AB318" s="238"/>
      <c r="AC318" s="123"/>
      <c r="AD318" s="123"/>
      <c r="AE318" s="160"/>
      <c r="AF318" s="160"/>
      <c r="AH318" s="123"/>
      <c r="AI318" s="236"/>
      <c r="AJ318" s="236"/>
      <c r="AL318" s="123"/>
      <c r="AM318" s="123"/>
      <c r="AN318" s="123"/>
      <c r="AO318" s="160"/>
      <c r="AP318" s="160"/>
    </row>
    <row r="319" spans="1:42" x14ac:dyDescent="0.3">
      <c r="F319" s="241"/>
      <c r="H319" s="242"/>
      <c r="I319" s="242"/>
      <c r="J319" s="238"/>
      <c r="K319" s="238"/>
      <c r="L319" s="241"/>
      <c r="M319" s="241"/>
      <c r="N319" s="210"/>
      <c r="O319" s="210"/>
      <c r="P319" s="241"/>
      <c r="Q319" s="241"/>
      <c r="R319" s="241"/>
      <c r="V319" s="241"/>
      <c r="W319" s="123"/>
      <c r="X319" s="123"/>
      <c r="Y319" s="123"/>
      <c r="Z319" s="123"/>
      <c r="AA319" s="241"/>
      <c r="AB319" s="238"/>
      <c r="AC319" s="241"/>
      <c r="AD319" s="241"/>
      <c r="AE319" s="243"/>
      <c r="AF319" s="243"/>
      <c r="AG319" s="207"/>
      <c r="AH319" s="241"/>
      <c r="AI319" s="236"/>
      <c r="AJ319" s="236"/>
      <c r="AK319" s="207"/>
      <c r="AL319" s="241"/>
      <c r="AM319" s="241"/>
      <c r="AN319" s="241"/>
      <c r="AO319" s="160"/>
      <c r="AP319" s="160"/>
    </row>
    <row r="320" spans="1:42" x14ac:dyDescent="0.3">
      <c r="C320" s="42"/>
      <c r="F320" s="123"/>
      <c r="H320" s="123"/>
      <c r="I320" s="123"/>
      <c r="J320" s="238"/>
      <c r="K320" s="238"/>
      <c r="L320" s="123"/>
      <c r="M320" s="123"/>
      <c r="N320" s="236"/>
      <c r="O320" s="236"/>
      <c r="P320" s="123"/>
      <c r="Q320" s="123"/>
      <c r="R320" s="123"/>
      <c r="T320" s="44"/>
      <c r="V320" s="123"/>
      <c r="W320" s="123"/>
      <c r="X320" s="123"/>
      <c r="Y320" s="123"/>
      <c r="Z320" s="123"/>
      <c r="AA320" s="123"/>
      <c r="AB320" s="238"/>
      <c r="AC320" s="123"/>
      <c r="AD320" s="123"/>
      <c r="AE320" s="236"/>
      <c r="AF320" s="236"/>
      <c r="AH320" s="123"/>
      <c r="AI320" s="236"/>
      <c r="AJ320" s="236"/>
      <c r="AL320" s="123"/>
      <c r="AM320" s="123"/>
      <c r="AN320" s="123"/>
      <c r="AO320" s="160"/>
      <c r="AP320" s="160"/>
    </row>
    <row r="321" spans="1:42" x14ac:dyDescent="0.3">
      <c r="F321" s="135"/>
      <c r="H321" s="135"/>
      <c r="I321" s="135"/>
      <c r="L321" s="135"/>
      <c r="M321" s="135"/>
      <c r="N321" s="243"/>
      <c r="O321" s="243"/>
      <c r="P321" s="241"/>
      <c r="Q321" s="241"/>
      <c r="R321" s="241"/>
      <c r="V321" s="241"/>
      <c r="AA321" s="241"/>
      <c r="AB321" s="213"/>
      <c r="AC321" s="241"/>
      <c r="AD321" s="241"/>
      <c r="AE321" s="241"/>
      <c r="AF321" s="241"/>
      <c r="AG321" s="207"/>
      <c r="AH321" s="241"/>
      <c r="AK321" s="207"/>
      <c r="AL321" s="241"/>
      <c r="AM321" s="241"/>
      <c r="AN321" s="241"/>
      <c r="AO321" s="243"/>
      <c r="AP321" s="243"/>
    </row>
    <row r="326" spans="1:42" x14ac:dyDescent="0.3">
      <c r="N326" s="123"/>
      <c r="O326" s="123"/>
      <c r="P326" s="123"/>
      <c r="Q326" s="123"/>
      <c r="R326" s="123"/>
      <c r="V326" s="123"/>
      <c r="AA326" s="123"/>
      <c r="AB326" s="219"/>
      <c r="AC326" s="123"/>
      <c r="AD326" s="123"/>
      <c r="AE326" s="160"/>
      <c r="AF326" s="160"/>
      <c r="AH326" s="123"/>
      <c r="AI326" s="236"/>
      <c r="AJ326" s="236"/>
      <c r="AL326" s="123"/>
      <c r="AM326" s="123"/>
      <c r="AN326" s="123"/>
      <c r="AO326" s="160"/>
      <c r="AP326" s="160"/>
    </row>
    <row r="327" spans="1:42" x14ac:dyDescent="0.3">
      <c r="C327" s="42"/>
      <c r="D327" s="42"/>
      <c r="E327" s="42"/>
      <c r="J327" s="188"/>
      <c r="K327" s="188"/>
      <c r="T327" s="42"/>
      <c r="U327" s="42"/>
      <c r="AB327" s="188"/>
      <c r="AH327" s="123"/>
      <c r="AL327" s="123"/>
      <c r="AM327" s="123"/>
      <c r="AN327" s="123"/>
      <c r="AO327" s="160"/>
      <c r="AP327" s="160"/>
    </row>
    <row r="328" spans="1:42" x14ac:dyDescent="0.3">
      <c r="D328" s="42"/>
      <c r="E328" s="42"/>
      <c r="F328" s="123"/>
      <c r="H328" s="123"/>
      <c r="I328" s="123"/>
      <c r="J328" s="238"/>
      <c r="K328" s="238"/>
      <c r="L328" s="123"/>
      <c r="M328" s="123"/>
      <c r="N328" s="160"/>
      <c r="O328" s="160"/>
      <c r="P328" s="123"/>
      <c r="Q328" s="123"/>
      <c r="R328" s="123"/>
      <c r="U328" s="42"/>
      <c r="V328" s="123"/>
      <c r="AA328" s="123"/>
      <c r="AB328" s="238"/>
      <c r="AC328" s="123"/>
      <c r="AD328" s="123"/>
      <c r="AE328" s="160"/>
      <c r="AF328" s="160"/>
      <c r="AH328" s="123"/>
      <c r="AI328" s="236"/>
      <c r="AJ328" s="236"/>
      <c r="AL328" s="123"/>
      <c r="AM328" s="123"/>
      <c r="AN328" s="123"/>
      <c r="AO328" s="160"/>
      <c r="AP328" s="160"/>
    </row>
    <row r="329" spans="1:42" x14ac:dyDescent="0.3">
      <c r="F329" s="123"/>
      <c r="H329" s="123"/>
      <c r="I329" s="123"/>
      <c r="J329" s="213"/>
      <c r="K329" s="213"/>
      <c r="L329" s="123"/>
      <c r="M329" s="123"/>
      <c r="N329" s="123"/>
      <c r="O329" s="123"/>
      <c r="P329" s="123"/>
      <c r="Q329" s="123"/>
      <c r="R329" s="123"/>
      <c r="V329" s="123"/>
      <c r="AA329" s="123"/>
      <c r="AB329" s="213"/>
      <c r="AC329" s="123"/>
      <c r="AD329" s="123"/>
      <c r="AE329" s="123"/>
      <c r="AF329" s="123"/>
      <c r="AH329" s="123"/>
      <c r="AI329" s="236"/>
      <c r="AJ329" s="236"/>
      <c r="AK329" s="233"/>
      <c r="AL329" s="184"/>
      <c r="AM329" s="123"/>
      <c r="AN329" s="123"/>
      <c r="AO329" s="160"/>
      <c r="AP329" s="160"/>
    </row>
    <row r="330" spans="1:42" x14ac:dyDescent="0.3">
      <c r="C330" s="42"/>
      <c r="F330" s="184"/>
      <c r="H330" s="184"/>
      <c r="I330" s="184"/>
      <c r="J330" s="212"/>
      <c r="K330" s="212"/>
      <c r="L330" s="123"/>
      <c r="M330" s="123"/>
      <c r="N330" s="160"/>
      <c r="O330" s="160"/>
      <c r="P330" s="123"/>
      <c r="Q330" s="123"/>
      <c r="R330" s="123"/>
      <c r="T330" s="42"/>
      <c r="V330" s="184"/>
      <c r="AA330" s="184"/>
      <c r="AB330" s="212"/>
      <c r="AC330" s="123"/>
      <c r="AD330" s="123"/>
      <c r="AE330" s="160"/>
      <c r="AF330" s="160"/>
      <c r="AH330" s="123"/>
      <c r="AI330" s="236"/>
      <c r="AJ330" s="236"/>
      <c r="AL330" s="123"/>
      <c r="AM330" s="123"/>
      <c r="AN330" s="123"/>
      <c r="AO330" s="160"/>
      <c r="AP330" s="160"/>
    </row>
    <row r="331" spans="1:42" x14ac:dyDescent="0.3">
      <c r="F331" s="135"/>
      <c r="H331" s="135"/>
      <c r="I331" s="135"/>
      <c r="L331" s="135"/>
      <c r="M331" s="135"/>
      <c r="N331" s="135"/>
      <c r="O331" s="135"/>
      <c r="P331" s="135"/>
      <c r="Q331" s="135"/>
      <c r="R331" s="135"/>
      <c r="V331" s="135"/>
      <c r="AA331" s="135"/>
      <c r="AC331" s="135"/>
      <c r="AD331" s="135"/>
      <c r="AE331" s="135"/>
      <c r="AF331" s="135"/>
      <c r="AG331" s="207"/>
      <c r="AH331" s="135"/>
      <c r="AI331" s="135"/>
      <c r="AJ331" s="135"/>
      <c r="AK331" s="207"/>
      <c r="AL331" s="135"/>
      <c r="AM331" s="135"/>
      <c r="AN331" s="135"/>
      <c r="AO331" s="135"/>
      <c r="AP331" s="135"/>
    </row>
    <row r="332" spans="1:42" x14ac:dyDescent="0.3">
      <c r="C332" s="44"/>
      <c r="F332" s="184"/>
      <c r="H332" s="184"/>
      <c r="I332" s="184"/>
      <c r="J332" s="193"/>
      <c r="K332" s="193"/>
      <c r="L332" s="184"/>
      <c r="M332" s="184"/>
      <c r="N332" s="160"/>
      <c r="O332" s="160"/>
      <c r="P332" s="184"/>
      <c r="Q332" s="184"/>
      <c r="R332" s="184"/>
      <c r="T332" s="44"/>
      <c r="V332" s="123"/>
      <c r="AA332" s="123"/>
      <c r="AB332" s="219"/>
      <c r="AC332" s="123"/>
      <c r="AD332" s="123"/>
      <c r="AE332" s="160"/>
      <c r="AF332" s="160"/>
      <c r="AI332" s="236"/>
      <c r="AJ332" s="236"/>
      <c r="AL332" s="123"/>
      <c r="AM332" s="123"/>
      <c r="AN332" s="123"/>
      <c r="AO332" s="160"/>
      <c r="AP332" s="160"/>
    </row>
    <row r="333" spans="1:42" x14ac:dyDescent="0.3">
      <c r="F333" s="241"/>
      <c r="H333" s="241"/>
      <c r="I333" s="241"/>
      <c r="J333" s="213"/>
      <c r="K333" s="213"/>
      <c r="L333" s="241"/>
      <c r="M333" s="241"/>
      <c r="N333" s="241"/>
      <c r="O333" s="241"/>
      <c r="P333" s="241"/>
      <c r="Q333" s="241"/>
      <c r="R333" s="241"/>
      <c r="V333" s="135"/>
      <c r="AA333" s="135"/>
      <c r="AC333" s="135"/>
      <c r="AD333" s="135"/>
      <c r="AE333" s="135"/>
      <c r="AF333" s="135"/>
      <c r="AG333" s="207"/>
      <c r="AH333" s="135"/>
      <c r="AI333" s="135"/>
      <c r="AJ333" s="135"/>
      <c r="AK333" s="207"/>
      <c r="AL333" s="135"/>
      <c r="AM333" s="135"/>
      <c r="AN333" s="135"/>
      <c r="AO333" s="135"/>
      <c r="AP333" s="135"/>
    </row>
    <row r="334" spans="1:42" x14ac:dyDescent="0.3">
      <c r="F334" s="184"/>
      <c r="H334" s="184"/>
      <c r="I334" s="184"/>
      <c r="J334" s="237"/>
      <c r="K334" s="237"/>
      <c r="L334" s="123"/>
      <c r="M334" s="123"/>
      <c r="N334" s="160"/>
      <c r="O334" s="160"/>
      <c r="P334" s="123"/>
      <c r="Q334" s="123"/>
      <c r="R334" s="123"/>
    </row>
    <row r="335" spans="1:42" x14ac:dyDescent="0.3">
      <c r="A335" s="42"/>
      <c r="F335" s="184"/>
      <c r="H335" s="184"/>
      <c r="I335" s="184"/>
      <c r="J335" s="193"/>
      <c r="K335" s="193"/>
      <c r="L335" s="123"/>
      <c r="M335" s="123"/>
      <c r="N335" s="160"/>
      <c r="O335" s="160"/>
      <c r="P335" s="123"/>
      <c r="Q335" s="123"/>
      <c r="R335" s="123"/>
    </row>
    <row r="336" spans="1:42" x14ac:dyDescent="0.3">
      <c r="F336" s="184"/>
      <c r="H336" s="184"/>
      <c r="I336" s="184"/>
      <c r="J336" s="193"/>
      <c r="K336" s="193"/>
      <c r="L336" s="123"/>
      <c r="M336" s="123"/>
      <c r="N336" s="160"/>
      <c r="O336" s="160"/>
      <c r="P336" s="123"/>
      <c r="Q336" s="123"/>
      <c r="R336" s="123"/>
    </row>
    <row r="337" spans="1:42" x14ac:dyDescent="0.3">
      <c r="A337" s="42"/>
    </row>
    <row r="340" spans="1:42" x14ac:dyDescent="0.3">
      <c r="H340" s="42"/>
      <c r="I340" s="42"/>
      <c r="AA340" s="42"/>
    </row>
    <row r="342" spans="1:42" x14ac:dyDescent="0.3">
      <c r="L342" s="42"/>
      <c r="M342" s="42"/>
      <c r="AC342" s="42"/>
      <c r="AD342" s="42"/>
    </row>
    <row r="343" spans="1:42" x14ac:dyDescent="0.3">
      <c r="R343" s="42"/>
      <c r="AM343" s="42"/>
      <c r="AN343" s="42"/>
    </row>
    <row r="344" spans="1:42" x14ac:dyDescent="0.3">
      <c r="R344" s="42"/>
      <c r="AM344" s="42"/>
      <c r="AN344" s="42"/>
    </row>
    <row r="345" spans="1:42" x14ac:dyDescent="0.3">
      <c r="A345" s="42"/>
      <c r="R345" s="42"/>
      <c r="AM345" s="42"/>
      <c r="AN345" s="42"/>
    </row>
    <row r="346" spans="1:42" x14ac:dyDescent="0.3">
      <c r="L346" s="42"/>
      <c r="M346" s="42"/>
      <c r="AC346" s="42"/>
      <c r="AD346" s="42"/>
    </row>
    <row r="347" spans="1:42" x14ac:dyDescent="0.3">
      <c r="A347" s="135"/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207"/>
      <c r="AH347" s="135"/>
      <c r="AI347" s="135"/>
      <c r="AJ347" s="135"/>
      <c r="AK347" s="207"/>
      <c r="AL347" s="135"/>
      <c r="AM347" s="135"/>
      <c r="AN347" s="135"/>
      <c r="AO347" s="135"/>
      <c r="AP347" s="135"/>
    </row>
    <row r="348" spans="1:42" x14ac:dyDescent="0.3">
      <c r="L348" s="44"/>
      <c r="M348" s="44"/>
      <c r="N348" s="44"/>
      <c r="O348" s="44"/>
      <c r="R348" s="44"/>
      <c r="AC348" s="44"/>
      <c r="AD348" s="44"/>
      <c r="AE348" s="44"/>
      <c r="AF348" s="44"/>
      <c r="AG348" s="168"/>
      <c r="AH348" s="44"/>
      <c r="AI348" s="44"/>
      <c r="AJ348" s="44"/>
      <c r="AM348" s="44"/>
      <c r="AN348" s="44"/>
      <c r="AO348" s="44"/>
      <c r="AP348" s="44"/>
    </row>
    <row r="349" spans="1:42" x14ac:dyDescent="0.3">
      <c r="L349" s="44"/>
      <c r="M349" s="44"/>
      <c r="N349" s="44"/>
      <c r="O349" s="44"/>
      <c r="R349" s="44"/>
      <c r="AB349" s="44"/>
      <c r="AC349" s="44"/>
      <c r="AD349" s="44"/>
      <c r="AE349" s="44"/>
      <c r="AF349" s="44"/>
      <c r="AG349" s="168"/>
      <c r="AH349" s="44"/>
      <c r="AI349" s="44"/>
      <c r="AJ349" s="44"/>
      <c r="AM349" s="44"/>
      <c r="AN349" s="44"/>
      <c r="AO349" s="44"/>
      <c r="AP349" s="44"/>
    </row>
    <row r="350" spans="1:42" x14ac:dyDescent="0.3">
      <c r="A350" s="44"/>
      <c r="C350" s="44"/>
      <c r="D350" s="44"/>
      <c r="E350" s="44"/>
      <c r="F350" s="44"/>
      <c r="J350" s="44"/>
      <c r="K350" s="44"/>
      <c r="L350" s="44"/>
      <c r="M350" s="44"/>
      <c r="N350" s="44"/>
      <c r="O350" s="44"/>
      <c r="P350" s="44"/>
      <c r="Q350" s="44"/>
      <c r="R350" s="44"/>
      <c r="T350" s="44"/>
      <c r="U350" s="44"/>
      <c r="V350" s="44"/>
      <c r="AB350" s="44"/>
      <c r="AC350" s="44"/>
      <c r="AD350" s="44"/>
      <c r="AE350" s="44"/>
      <c r="AF350" s="44"/>
      <c r="AG350" s="168"/>
      <c r="AH350" s="44"/>
      <c r="AI350" s="44"/>
      <c r="AJ350" s="44"/>
      <c r="AK350" s="168"/>
      <c r="AL350" s="44"/>
      <c r="AM350" s="44"/>
      <c r="AN350" s="44"/>
      <c r="AO350" s="44"/>
      <c r="AP350" s="44"/>
    </row>
    <row r="351" spans="1:42" x14ac:dyDescent="0.3">
      <c r="A351" s="44"/>
      <c r="C351" s="44"/>
      <c r="D351" s="44"/>
      <c r="E351" s="44"/>
      <c r="F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T351" s="44"/>
      <c r="U351" s="44"/>
      <c r="V351" s="44"/>
      <c r="AA351" s="44"/>
      <c r="AB351" s="44"/>
      <c r="AC351" s="44"/>
      <c r="AD351" s="44"/>
      <c r="AE351" s="44"/>
      <c r="AF351" s="44"/>
      <c r="AG351" s="168"/>
      <c r="AH351" s="44"/>
      <c r="AI351" s="44"/>
      <c r="AJ351" s="44"/>
      <c r="AK351" s="168"/>
      <c r="AL351" s="44"/>
      <c r="AM351" s="44"/>
      <c r="AN351" s="44"/>
      <c r="AO351" s="44"/>
      <c r="AP351" s="44"/>
    </row>
    <row r="352" spans="1:42" x14ac:dyDescent="0.3">
      <c r="C352" s="44"/>
      <c r="D352" s="44"/>
      <c r="E352" s="44"/>
      <c r="F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T352" s="44"/>
      <c r="U352" s="44"/>
      <c r="V352" s="44"/>
      <c r="AA352" s="44"/>
      <c r="AB352" s="44"/>
      <c r="AC352" s="44"/>
      <c r="AD352" s="44"/>
      <c r="AE352" s="44"/>
      <c r="AF352" s="44"/>
      <c r="AG352" s="168"/>
      <c r="AH352" s="44"/>
      <c r="AI352" s="44"/>
      <c r="AJ352" s="44"/>
      <c r="AK352" s="168"/>
      <c r="AL352" s="44"/>
      <c r="AM352" s="44"/>
      <c r="AN352" s="44"/>
      <c r="AO352" s="44"/>
      <c r="AP352" s="44"/>
    </row>
    <row r="353" spans="1:42" x14ac:dyDescent="0.3">
      <c r="A353" s="135"/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207"/>
      <c r="AH353" s="135"/>
      <c r="AI353" s="135"/>
      <c r="AJ353" s="135"/>
      <c r="AK353" s="207"/>
      <c r="AL353" s="135"/>
      <c r="AM353" s="135"/>
      <c r="AN353" s="135"/>
      <c r="AO353" s="135"/>
      <c r="AP353" s="135"/>
    </row>
    <row r="354" spans="1:42" x14ac:dyDescent="0.3"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AA354" s="44"/>
      <c r="AB354" s="44"/>
      <c r="AC354" s="44"/>
      <c r="AD354" s="44"/>
      <c r="AE354" s="44"/>
      <c r="AF354" s="44"/>
      <c r="AG354" s="168"/>
      <c r="AH354" s="44"/>
      <c r="AI354" s="44"/>
      <c r="AJ354" s="44"/>
      <c r="AK354" s="168"/>
      <c r="AL354" s="44"/>
      <c r="AM354" s="44"/>
      <c r="AN354" s="44"/>
      <c r="AO354" s="44"/>
      <c r="AP354" s="44"/>
    </row>
    <row r="355" spans="1:42" x14ac:dyDescent="0.3">
      <c r="C355" s="42"/>
      <c r="D355" s="42"/>
      <c r="E355" s="42"/>
      <c r="T355" s="42"/>
      <c r="U355" s="42"/>
    </row>
    <row r="357" spans="1:42" x14ac:dyDescent="0.3">
      <c r="C357" s="42"/>
      <c r="T357" s="42"/>
    </row>
    <row r="358" spans="1:42" x14ac:dyDescent="0.3">
      <c r="C358" s="42"/>
      <c r="F358" s="184"/>
      <c r="H358" s="184"/>
      <c r="I358" s="184"/>
      <c r="J358" s="213"/>
      <c r="K358" s="213"/>
      <c r="L358" s="123"/>
      <c r="M358" s="123"/>
      <c r="N358" s="160"/>
      <c r="O358" s="160"/>
      <c r="P358" s="123"/>
      <c r="Q358" s="123"/>
      <c r="R358" s="123"/>
      <c r="T358" s="42"/>
      <c r="V358" s="184"/>
      <c r="AA358" s="184"/>
      <c r="AB358" s="213"/>
      <c r="AC358" s="123"/>
      <c r="AD358" s="123"/>
      <c r="AE358" s="160"/>
      <c r="AF358" s="160"/>
      <c r="AH358" s="123"/>
      <c r="AI358" s="236"/>
      <c r="AJ358" s="236"/>
      <c r="AL358" s="123"/>
      <c r="AM358" s="123"/>
      <c r="AN358" s="123"/>
      <c r="AO358" s="160"/>
      <c r="AP358" s="160"/>
    </row>
    <row r="359" spans="1:42" x14ac:dyDescent="0.3">
      <c r="C359" s="42"/>
      <c r="T359" s="42"/>
    </row>
    <row r="360" spans="1:42" x14ac:dyDescent="0.3">
      <c r="C360" s="42"/>
      <c r="F360" s="184"/>
      <c r="H360" s="184"/>
      <c r="I360" s="184"/>
      <c r="J360" s="238"/>
      <c r="K360" s="238"/>
      <c r="L360" s="123"/>
      <c r="M360" s="123"/>
      <c r="N360" s="160"/>
      <c r="O360" s="160"/>
      <c r="P360" s="123"/>
      <c r="Q360" s="123"/>
      <c r="R360" s="123"/>
      <c r="T360" s="42"/>
      <c r="V360" s="123"/>
      <c r="AA360" s="123"/>
      <c r="AB360" s="238"/>
      <c r="AC360" s="123"/>
      <c r="AD360" s="123"/>
      <c r="AE360" s="160"/>
      <c r="AF360" s="160"/>
      <c r="AH360" s="123"/>
      <c r="AI360" s="236"/>
      <c r="AJ360" s="236"/>
      <c r="AL360" s="123"/>
      <c r="AM360" s="123"/>
      <c r="AN360" s="123"/>
      <c r="AO360" s="160"/>
      <c r="AP360" s="160"/>
    </row>
    <row r="361" spans="1:42" x14ac:dyDescent="0.3">
      <c r="C361" s="42"/>
      <c r="F361" s="184"/>
      <c r="H361" s="184"/>
      <c r="I361" s="184"/>
      <c r="J361" s="238"/>
      <c r="K361" s="238"/>
      <c r="L361" s="123"/>
      <c r="M361" s="123"/>
      <c r="N361" s="160"/>
      <c r="O361" s="160"/>
      <c r="P361" s="123"/>
      <c r="Q361" s="123"/>
      <c r="R361" s="123"/>
      <c r="T361" s="42"/>
      <c r="V361" s="123"/>
      <c r="AA361" s="123"/>
      <c r="AB361" s="238"/>
      <c r="AC361" s="123"/>
      <c r="AD361" s="123"/>
      <c r="AE361" s="160"/>
      <c r="AF361" s="160"/>
      <c r="AH361" s="123"/>
      <c r="AI361" s="236"/>
      <c r="AJ361" s="236"/>
      <c r="AL361" s="123"/>
      <c r="AM361" s="123"/>
      <c r="AN361" s="123"/>
      <c r="AO361" s="160"/>
      <c r="AP361" s="160"/>
    </row>
    <row r="362" spans="1:42" x14ac:dyDescent="0.3">
      <c r="C362" s="42"/>
      <c r="F362" s="184"/>
      <c r="H362" s="184"/>
      <c r="I362" s="184"/>
      <c r="J362" s="238"/>
      <c r="K362" s="238"/>
      <c r="L362" s="123"/>
      <c r="M362" s="123"/>
      <c r="N362" s="160"/>
      <c r="O362" s="160"/>
      <c r="P362" s="123"/>
      <c r="Q362" s="123"/>
      <c r="R362" s="123"/>
      <c r="T362" s="42"/>
      <c r="V362" s="123"/>
      <c r="AA362" s="123"/>
      <c r="AB362" s="238"/>
      <c r="AC362" s="123"/>
      <c r="AD362" s="123"/>
      <c r="AE362" s="160"/>
      <c r="AF362" s="160"/>
      <c r="AH362" s="123"/>
      <c r="AI362" s="236"/>
      <c r="AJ362" s="236"/>
      <c r="AL362" s="123"/>
      <c r="AM362" s="123"/>
      <c r="AN362" s="123"/>
      <c r="AO362" s="160"/>
      <c r="AP362" s="160"/>
    </row>
    <row r="363" spans="1:42" x14ac:dyDescent="0.3">
      <c r="C363" s="42"/>
      <c r="F363" s="184"/>
      <c r="H363" s="184"/>
      <c r="I363" s="184"/>
      <c r="J363" s="238"/>
      <c r="K363" s="238"/>
      <c r="L363" s="123"/>
      <c r="M363" s="123"/>
      <c r="N363" s="160"/>
      <c r="O363" s="160"/>
      <c r="P363" s="123"/>
      <c r="Q363" s="123"/>
      <c r="R363" s="123"/>
      <c r="T363" s="42"/>
      <c r="V363" s="123"/>
      <c r="AA363" s="123"/>
      <c r="AB363" s="238"/>
      <c r="AC363" s="123"/>
      <c r="AD363" s="123"/>
      <c r="AE363" s="160"/>
      <c r="AF363" s="160"/>
      <c r="AH363" s="123"/>
      <c r="AI363" s="236"/>
      <c r="AJ363" s="236"/>
      <c r="AL363" s="123"/>
      <c r="AM363" s="123"/>
      <c r="AN363" s="123"/>
      <c r="AO363" s="160"/>
      <c r="AP363" s="160"/>
    </row>
    <row r="364" spans="1:42" x14ac:dyDescent="0.3">
      <c r="C364" s="42"/>
      <c r="J364" s="188"/>
      <c r="K364" s="188"/>
      <c r="T364" s="42"/>
      <c r="AB364" s="188"/>
    </row>
    <row r="365" spans="1:42" x14ac:dyDescent="0.3">
      <c r="C365" s="42"/>
      <c r="F365" s="184"/>
      <c r="H365" s="184"/>
      <c r="I365" s="184"/>
      <c r="J365" s="238"/>
      <c r="K365" s="238"/>
      <c r="L365" s="123"/>
      <c r="M365" s="123"/>
      <c r="N365" s="160"/>
      <c r="O365" s="160"/>
      <c r="P365" s="123"/>
      <c r="Q365" s="123"/>
      <c r="R365" s="123"/>
      <c r="T365" s="42"/>
      <c r="V365" s="123"/>
      <c r="AA365" s="123"/>
      <c r="AB365" s="238"/>
      <c r="AC365" s="123"/>
      <c r="AD365" s="123"/>
      <c r="AE365" s="160"/>
      <c r="AF365" s="160"/>
      <c r="AH365" s="123"/>
      <c r="AI365" s="236"/>
      <c r="AJ365" s="236"/>
      <c r="AL365" s="123"/>
      <c r="AM365" s="123"/>
      <c r="AN365" s="123"/>
      <c r="AO365" s="160"/>
      <c r="AP365" s="160"/>
    </row>
    <row r="366" spans="1:42" x14ac:dyDescent="0.3">
      <c r="C366" s="42"/>
      <c r="F366" s="184"/>
      <c r="H366" s="184"/>
      <c r="I366" s="184"/>
      <c r="J366" s="238"/>
      <c r="K366" s="238"/>
      <c r="L366" s="123"/>
      <c r="M366" s="123"/>
      <c r="N366" s="160"/>
      <c r="O366" s="160"/>
      <c r="P366" s="123"/>
      <c r="Q366" s="123"/>
      <c r="R366" s="123"/>
      <c r="T366" s="42"/>
      <c r="V366" s="123"/>
      <c r="AA366" s="123"/>
      <c r="AB366" s="238"/>
      <c r="AC366" s="123"/>
      <c r="AD366" s="123"/>
      <c r="AE366" s="160"/>
      <c r="AF366" s="160"/>
      <c r="AH366" s="123"/>
      <c r="AI366" s="236"/>
      <c r="AJ366" s="236"/>
      <c r="AL366" s="123"/>
      <c r="AM366" s="123"/>
      <c r="AN366" s="123"/>
      <c r="AO366" s="160"/>
      <c r="AP366" s="160"/>
    </row>
    <row r="367" spans="1:42" x14ac:dyDescent="0.3">
      <c r="C367" s="42"/>
      <c r="F367" s="184"/>
      <c r="H367" s="184"/>
      <c r="I367" s="184"/>
      <c r="J367" s="238"/>
      <c r="K367" s="238"/>
      <c r="L367" s="123"/>
      <c r="M367" s="123"/>
      <c r="N367" s="160"/>
      <c r="O367" s="160"/>
      <c r="P367" s="123"/>
      <c r="Q367" s="123"/>
      <c r="R367" s="123"/>
      <c r="T367" s="42"/>
      <c r="V367" s="123"/>
      <c r="AA367" s="123"/>
      <c r="AB367" s="238"/>
      <c r="AC367" s="123"/>
      <c r="AD367" s="123"/>
      <c r="AE367" s="160"/>
      <c r="AF367" s="160"/>
      <c r="AH367" s="123"/>
      <c r="AI367" s="236"/>
      <c r="AJ367" s="236"/>
      <c r="AL367" s="123"/>
      <c r="AM367" s="123"/>
      <c r="AN367" s="123"/>
      <c r="AO367" s="160"/>
      <c r="AP367" s="160"/>
    </row>
    <row r="368" spans="1:42" x14ac:dyDescent="0.3">
      <c r="C368" s="42"/>
      <c r="J368" s="188"/>
      <c r="K368" s="188"/>
      <c r="T368" s="42"/>
      <c r="AB368" s="188"/>
    </row>
    <row r="369" spans="3:42" x14ac:dyDescent="0.3">
      <c r="C369" s="42"/>
      <c r="F369" s="184"/>
      <c r="H369" s="184"/>
      <c r="I369" s="184"/>
      <c r="J369" s="238"/>
      <c r="K369" s="238"/>
      <c r="L369" s="123"/>
      <c r="M369" s="123"/>
      <c r="N369" s="160"/>
      <c r="O369" s="160"/>
      <c r="P369" s="123"/>
      <c r="Q369" s="123"/>
      <c r="R369" s="123"/>
      <c r="T369" s="42"/>
      <c r="V369" s="123"/>
      <c r="AA369" s="123"/>
      <c r="AB369" s="238"/>
      <c r="AC369" s="123"/>
      <c r="AD369" s="123"/>
      <c r="AE369" s="160"/>
      <c r="AF369" s="160"/>
      <c r="AH369" s="123"/>
      <c r="AI369" s="236"/>
      <c r="AJ369" s="236"/>
      <c r="AL369" s="123"/>
      <c r="AM369" s="123"/>
      <c r="AN369" s="123"/>
      <c r="AO369" s="160"/>
      <c r="AP369" s="160"/>
    </row>
    <row r="370" spans="3:42" x14ac:dyDescent="0.3">
      <c r="C370" s="42"/>
      <c r="F370" s="184"/>
      <c r="H370" s="184"/>
      <c r="I370" s="184"/>
      <c r="J370" s="238"/>
      <c r="K370" s="238"/>
      <c r="L370" s="123"/>
      <c r="M370" s="123"/>
      <c r="N370" s="160"/>
      <c r="O370" s="160"/>
      <c r="P370" s="123"/>
      <c r="Q370" s="123"/>
      <c r="R370" s="123"/>
      <c r="T370" s="42"/>
      <c r="V370" s="123"/>
      <c r="AA370" s="123"/>
      <c r="AB370" s="238"/>
      <c r="AC370" s="123"/>
      <c r="AD370" s="123"/>
      <c r="AE370" s="160"/>
      <c r="AF370" s="160"/>
      <c r="AH370" s="123"/>
      <c r="AI370" s="236"/>
      <c r="AJ370" s="236"/>
      <c r="AL370" s="123"/>
      <c r="AM370" s="123"/>
      <c r="AN370" s="123"/>
      <c r="AO370" s="160"/>
      <c r="AP370" s="160"/>
    </row>
    <row r="371" spans="3:42" x14ac:dyDescent="0.3">
      <c r="C371" s="42"/>
      <c r="J371" s="188"/>
      <c r="K371" s="188"/>
      <c r="T371" s="42"/>
      <c r="AB371" s="188"/>
    </row>
    <row r="372" spans="3:42" x14ac:dyDescent="0.3">
      <c r="C372" s="42"/>
      <c r="F372" s="184"/>
      <c r="H372" s="184"/>
      <c r="I372" s="184"/>
      <c r="J372" s="238"/>
      <c r="K372" s="238"/>
      <c r="L372" s="123"/>
      <c r="M372" s="123"/>
      <c r="N372" s="160"/>
      <c r="O372" s="160"/>
      <c r="P372" s="123"/>
      <c r="Q372" s="123"/>
      <c r="R372" s="123"/>
      <c r="T372" s="42"/>
      <c r="V372" s="123"/>
      <c r="AA372" s="123"/>
      <c r="AB372" s="238"/>
      <c r="AC372" s="123"/>
      <c r="AD372" s="123"/>
      <c r="AE372" s="160"/>
      <c r="AF372" s="160"/>
      <c r="AH372" s="123"/>
      <c r="AI372" s="236"/>
      <c r="AJ372" s="236"/>
      <c r="AL372" s="123"/>
      <c r="AM372" s="123"/>
      <c r="AN372" s="123"/>
      <c r="AO372" s="160"/>
      <c r="AP372" s="160"/>
    </row>
    <row r="373" spans="3:42" x14ac:dyDescent="0.3">
      <c r="C373" s="42"/>
      <c r="F373" s="184"/>
      <c r="H373" s="184"/>
      <c r="I373" s="184"/>
      <c r="J373" s="238"/>
      <c r="K373" s="238"/>
      <c r="L373" s="123"/>
      <c r="M373" s="123"/>
      <c r="N373" s="160"/>
      <c r="O373" s="160"/>
      <c r="P373" s="123"/>
      <c r="Q373" s="123"/>
      <c r="R373" s="123"/>
      <c r="T373" s="42"/>
      <c r="V373" s="123"/>
      <c r="AA373" s="123"/>
      <c r="AB373" s="238"/>
      <c r="AC373" s="123"/>
      <c r="AD373" s="123"/>
      <c r="AE373" s="160"/>
      <c r="AF373" s="160"/>
      <c r="AH373" s="123"/>
      <c r="AI373" s="236"/>
      <c r="AJ373" s="236"/>
      <c r="AL373" s="123"/>
      <c r="AM373" s="123"/>
      <c r="AN373" s="123"/>
      <c r="AO373" s="160"/>
      <c r="AP373" s="160"/>
    </row>
    <row r="374" spans="3:42" x14ac:dyDescent="0.3">
      <c r="C374" s="42"/>
      <c r="F374" s="184"/>
      <c r="H374" s="184"/>
      <c r="I374" s="184"/>
      <c r="J374" s="238"/>
      <c r="K374" s="238"/>
      <c r="L374" s="123"/>
      <c r="M374" s="123"/>
      <c r="N374" s="160"/>
      <c r="O374" s="160"/>
      <c r="P374" s="123"/>
      <c r="Q374" s="123"/>
      <c r="R374" s="123"/>
      <c r="T374" s="42"/>
      <c r="V374" s="123"/>
      <c r="AA374" s="123"/>
      <c r="AB374" s="238"/>
      <c r="AC374" s="123"/>
      <c r="AD374" s="123"/>
      <c r="AE374" s="160"/>
      <c r="AF374" s="160"/>
      <c r="AH374" s="123"/>
      <c r="AI374" s="236"/>
      <c r="AJ374" s="236"/>
      <c r="AL374" s="123"/>
      <c r="AM374" s="123"/>
      <c r="AN374" s="123"/>
      <c r="AO374" s="160"/>
      <c r="AP374" s="160"/>
    </row>
    <row r="375" spans="3:42" x14ac:dyDescent="0.3">
      <c r="F375" s="210"/>
      <c r="H375" s="210"/>
      <c r="I375" s="210"/>
      <c r="J375" s="238"/>
      <c r="K375" s="238"/>
      <c r="L375" s="210"/>
      <c r="M375" s="210"/>
      <c r="N375" s="210"/>
      <c r="O375" s="210"/>
      <c r="P375" s="210"/>
      <c r="Q375" s="210"/>
      <c r="R375" s="210"/>
      <c r="V375" s="210"/>
      <c r="AA375" s="210"/>
      <c r="AB375" s="238"/>
      <c r="AC375" s="210"/>
      <c r="AD375" s="210"/>
      <c r="AE375" s="210"/>
      <c r="AF375" s="210"/>
      <c r="AG375" s="214"/>
      <c r="AH375" s="210"/>
      <c r="AK375" s="214"/>
      <c r="AL375" s="210"/>
      <c r="AM375" s="210"/>
      <c r="AN375" s="210"/>
    </row>
    <row r="376" spans="3:42" x14ac:dyDescent="0.3">
      <c r="C376" s="44"/>
      <c r="F376" s="123"/>
      <c r="H376" s="123"/>
      <c r="I376" s="123"/>
      <c r="J376" s="188"/>
      <c r="K376" s="188"/>
      <c r="L376" s="123"/>
      <c r="M376" s="123"/>
      <c r="N376" s="236"/>
      <c r="O376" s="236"/>
      <c r="P376" s="123"/>
      <c r="Q376" s="123"/>
      <c r="R376" s="123"/>
      <c r="T376" s="44"/>
      <c r="V376" s="123"/>
      <c r="AA376" s="123"/>
      <c r="AB376" s="188"/>
      <c r="AC376" s="123"/>
      <c r="AD376" s="123"/>
      <c r="AE376" s="123"/>
      <c r="AF376" s="123"/>
      <c r="AH376" s="123"/>
      <c r="AI376" s="236"/>
      <c r="AJ376" s="236"/>
      <c r="AL376" s="123"/>
      <c r="AM376" s="123"/>
      <c r="AN376" s="123"/>
      <c r="AO376" s="160"/>
      <c r="AP376" s="160"/>
    </row>
    <row r="377" spans="3:42" x14ac:dyDescent="0.3">
      <c r="F377" s="210"/>
      <c r="H377" s="210"/>
      <c r="I377" s="210"/>
      <c r="J377" s="238"/>
      <c r="K377" s="238"/>
      <c r="L377" s="210"/>
      <c r="M377" s="210"/>
      <c r="N377" s="210"/>
      <c r="O377" s="210"/>
      <c r="P377" s="210"/>
      <c r="Q377" s="210"/>
      <c r="R377" s="210"/>
      <c r="V377" s="210"/>
      <c r="AA377" s="210"/>
      <c r="AB377" s="238"/>
      <c r="AC377" s="210"/>
      <c r="AD377" s="210"/>
      <c r="AE377" s="210"/>
      <c r="AF377" s="210"/>
      <c r="AG377" s="214"/>
      <c r="AH377" s="210"/>
      <c r="AK377" s="214"/>
      <c r="AL377" s="210"/>
      <c r="AM377" s="210"/>
      <c r="AN377" s="210"/>
    </row>
    <row r="378" spans="3:42" x14ac:dyDescent="0.3">
      <c r="C378" s="42"/>
      <c r="J378" s="188"/>
      <c r="K378" s="188"/>
      <c r="T378" s="42"/>
      <c r="AB378" s="188"/>
    </row>
    <row r="379" spans="3:42" x14ac:dyDescent="0.3">
      <c r="C379" s="42"/>
      <c r="J379" s="188"/>
      <c r="K379" s="188"/>
      <c r="T379" s="42"/>
      <c r="AB379" s="188"/>
    </row>
    <row r="380" spans="3:42" x14ac:dyDescent="0.3">
      <c r="C380" s="42"/>
      <c r="F380" s="184"/>
      <c r="H380" s="184"/>
      <c r="I380" s="184"/>
      <c r="J380" s="238"/>
      <c r="K380" s="238"/>
      <c r="L380" s="123"/>
      <c r="M380" s="123"/>
      <c r="N380" s="160"/>
      <c r="O380" s="160"/>
      <c r="P380" s="123"/>
      <c r="Q380" s="123"/>
      <c r="R380" s="123"/>
      <c r="T380" s="42"/>
      <c r="V380" s="123"/>
      <c r="AA380" s="123"/>
      <c r="AB380" s="238"/>
      <c r="AC380" s="123"/>
      <c r="AD380" s="123"/>
      <c r="AE380" s="160"/>
      <c r="AF380" s="160"/>
      <c r="AH380" s="123"/>
      <c r="AI380" s="236"/>
      <c r="AJ380" s="236"/>
      <c r="AL380" s="123"/>
      <c r="AM380" s="123"/>
      <c r="AN380" s="123"/>
      <c r="AO380" s="160"/>
      <c r="AP380" s="160"/>
    </row>
    <row r="381" spans="3:42" x14ac:dyDescent="0.3">
      <c r="C381" s="42"/>
      <c r="F381" s="184"/>
      <c r="H381" s="184"/>
      <c r="I381" s="184"/>
      <c r="J381" s="238"/>
      <c r="K381" s="238"/>
      <c r="L381" s="123"/>
      <c r="M381" s="123"/>
      <c r="N381" s="160"/>
      <c r="O381" s="160"/>
      <c r="P381" s="123"/>
      <c r="Q381" s="123"/>
      <c r="R381" s="123"/>
      <c r="T381" s="42"/>
      <c r="V381" s="123"/>
      <c r="AA381" s="123"/>
      <c r="AB381" s="238"/>
      <c r="AC381" s="123"/>
      <c r="AD381" s="123"/>
      <c r="AE381" s="160"/>
      <c r="AF381" s="160"/>
      <c r="AH381" s="123"/>
      <c r="AI381" s="236"/>
      <c r="AJ381" s="236"/>
      <c r="AL381" s="123"/>
      <c r="AM381" s="123"/>
      <c r="AN381" s="123"/>
      <c r="AO381" s="160"/>
      <c r="AP381" s="160"/>
    </row>
    <row r="382" spans="3:42" x14ac:dyDescent="0.3">
      <c r="C382" s="42"/>
      <c r="F382" s="184"/>
      <c r="H382" s="184"/>
      <c r="I382" s="184"/>
      <c r="J382" s="238"/>
      <c r="K382" s="238"/>
      <c r="L382" s="123"/>
      <c r="M382" s="123"/>
      <c r="N382" s="160"/>
      <c r="O382" s="160"/>
      <c r="P382" s="123"/>
      <c r="Q382" s="123"/>
      <c r="R382" s="123"/>
      <c r="T382" s="42"/>
      <c r="V382" s="123"/>
      <c r="AA382" s="123"/>
      <c r="AB382" s="238"/>
      <c r="AC382" s="123"/>
      <c r="AD382" s="123"/>
      <c r="AE382" s="160"/>
      <c r="AF382" s="160"/>
      <c r="AH382" s="123"/>
      <c r="AI382" s="236"/>
      <c r="AJ382" s="236"/>
      <c r="AL382" s="123"/>
      <c r="AM382" s="123"/>
      <c r="AN382" s="123"/>
      <c r="AO382" s="160"/>
      <c r="AP382" s="160"/>
    </row>
    <row r="383" spans="3:42" x14ac:dyDescent="0.3">
      <c r="C383" s="42"/>
      <c r="F383" s="184"/>
      <c r="H383" s="184"/>
      <c r="I383" s="184"/>
      <c r="J383" s="238"/>
      <c r="K383" s="238"/>
      <c r="L383" s="123"/>
      <c r="M383" s="123"/>
      <c r="N383" s="160"/>
      <c r="O383" s="160"/>
      <c r="P383" s="123"/>
      <c r="Q383" s="123"/>
      <c r="R383" s="123"/>
      <c r="T383" s="42"/>
      <c r="V383" s="123"/>
      <c r="AA383" s="123"/>
      <c r="AB383" s="238"/>
      <c r="AC383" s="123"/>
      <c r="AD383" s="123"/>
      <c r="AE383" s="160"/>
      <c r="AF383" s="160"/>
      <c r="AH383" s="123"/>
      <c r="AI383" s="236"/>
      <c r="AJ383" s="236"/>
      <c r="AL383" s="123"/>
      <c r="AM383" s="123"/>
      <c r="AN383" s="123"/>
      <c r="AO383" s="160"/>
      <c r="AP383" s="160"/>
    </row>
    <row r="384" spans="3:42" x14ac:dyDescent="0.3">
      <c r="C384" s="42"/>
      <c r="F384" s="184"/>
      <c r="H384" s="184"/>
      <c r="I384" s="184"/>
      <c r="J384" s="238"/>
      <c r="K384" s="238"/>
      <c r="L384" s="123"/>
      <c r="M384" s="123"/>
      <c r="N384" s="160"/>
      <c r="O384" s="160"/>
      <c r="P384" s="123"/>
      <c r="Q384" s="123"/>
      <c r="R384" s="123"/>
      <c r="T384" s="42"/>
      <c r="V384" s="123"/>
      <c r="AA384" s="123"/>
      <c r="AB384" s="238"/>
      <c r="AC384" s="123"/>
      <c r="AD384" s="123"/>
      <c r="AE384" s="160"/>
      <c r="AF384" s="160"/>
      <c r="AH384" s="123"/>
      <c r="AI384" s="236"/>
      <c r="AJ384" s="236"/>
      <c r="AL384" s="123"/>
      <c r="AM384" s="123"/>
      <c r="AN384" s="123"/>
      <c r="AO384" s="160"/>
      <c r="AP384" s="160"/>
    </row>
    <row r="385" spans="3:42" x14ac:dyDescent="0.3">
      <c r="C385" s="42"/>
      <c r="F385" s="184"/>
      <c r="H385" s="184"/>
      <c r="I385" s="184"/>
      <c r="J385" s="238"/>
      <c r="K385" s="238"/>
      <c r="L385" s="123"/>
      <c r="M385" s="123"/>
      <c r="N385" s="160"/>
      <c r="O385" s="160"/>
      <c r="P385" s="123"/>
      <c r="Q385" s="123"/>
      <c r="R385" s="123"/>
      <c r="T385" s="42"/>
      <c r="V385" s="123"/>
      <c r="AA385" s="123"/>
      <c r="AB385" s="238"/>
      <c r="AC385" s="123"/>
      <c r="AD385" s="123"/>
      <c r="AE385" s="160"/>
      <c r="AF385" s="160"/>
      <c r="AH385" s="123"/>
      <c r="AI385" s="236"/>
      <c r="AJ385" s="236"/>
      <c r="AL385" s="123"/>
      <c r="AM385" s="123"/>
      <c r="AN385" s="123"/>
      <c r="AO385" s="160"/>
      <c r="AP385" s="160"/>
    </row>
    <row r="386" spans="3:42" x14ac:dyDescent="0.3">
      <c r="C386" s="42"/>
      <c r="F386" s="184"/>
      <c r="H386" s="184"/>
      <c r="I386" s="184"/>
      <c r="J386" s="238"/>
      <c r="K386" s="238"/>
      <c r="L386" s="123"/>
      <c r="M386" s="123"/>
      <c r="N386" s="160"/>
      <c r="O386" s="160"/>
      <c r="P386" s="123"/>
      <c r="Q386" s="123"/>
      <c r="R386" s="123"/>
      <c r="T386" s="42"/>
      <c r="V386" s="123"/>
      <c r="AA386" s="123"/>
      <c r="AB386" s="238"/>
      <c r="AC386" s="123"/>
      <c r="AD386" s="123"/>
      <c r="AE386" s="160"/>
      <c r="AF386" s="160"/>
      <c r="AH386" s="123"/>
      <c r="AI386" s="236"/>
      <c r="AJ386" s="236"/>
      <c r="AL386" s="123"/>
      <c r="AM386" s="123"/>
      <c r="AN386" s="123"/>
      <c r="AO386" s="160"/>
      <c r="AP386" s="160"/>
    </row>
    <row r="387" spans="3:42" x14ac:dyDescent="0.3">
      <c r="C387" s="42"/>
      <c r="J387" s="188"/>
      <c r="K387" s="188"/>
      <c r="T387" s="42"/>
      <c r="AB387" s="188"/>
    </row>
    <row r="388" spans="3:42" x14ac:dyDescent="0.3">
      <c r="C388" s="42"/>
      <c r="F388" s="184"/>
      <c r="H388" s="184"/>
      <c r="I388" s="184"/>
      <c r="J388" s="238"/>
      <c r="K388" s="238"/>
      <c r="L388" s="123"/>
      <c r="M388" s="123"/>
      <c r="N388" s="160"/>
      <c r="O388" s="160"/>
      <c r="P388" s="123"/>
      <c r="Q388" s="123"/>
      <c r="R388" s="123"/>
      <c r="T388" s="42"/>
      <c r="V388" s="123"/>
      <c r="AA388" s="123"/>
      <c r="AB388" s="238"/>
      <c r="AC388" s="123"/>
      <c r="AD388" s="123"/>
      <c r="AE388" s="160"/>
      <c r="AF388" s="160"/>
      <c r="AH388" s="123"/>
      <c r="AI388" s="236"/>
      <c r="AJ388" s="236"/>
      <c r="AL388" s="123"/>
      <c r="AM388" s="123"/>
      <c r="AN388" s="123"/>
      <c r="AO388" s="160"/>
      <c r="AP388" s="160"/>
    </row>
    <row r="389" spans="3:42" x14ac:dyDescent="0.3">
      <c r="C389" s="42"/>
      <c r="F389" s="184"/>
      <c r="H389" s="184"/>
      <c r="I389" s="184"/>
      <c r="J389" s="238"/>
      <c r="K389" s="238"/>
      <c r="L389" s="123"/>
      <c r="M389" s="123"/>
      <c r="N389" s="160"/>
      <c r="O389" s="160"/>
      <c r="P389" s="123"/>
      <c r="Q389" s="123"/>
      <c r="R389" s="123"/>
      <c r="T389" s="42"/>
      <c r="V389" s="123"/>
      <c r="AA389" s="123"/>
      <c r="AB389" s="238"/>
      <c r="AC389" s="123"/>
      <c r="AD389" s="123"/>
      <c r="AE389" s="160"/>
      <c r="AF389" s="160"/>
      <c r="AH389" s="123"/>
      <c r="AI389" s="236"/>
      <c r="AJ389" s="236"/>
      <c r="AL389" s="123"/>
      <c r="AM389" s="123"/>
      <c r="AN389" s="123"/>
      <c r="AO389" s="160"/>
      <c r="AP389" s="160"/>
    </row>
    <row r="390" spans="3:42" x14ac:dyDescent="0.3">
      <c r="C390" s="42"/>
      <c r="F390" s="184"/>
      <c r="H390" s="184"/>
      <c r="I390" s="184"/>
      <c r="J390" s="238"/>
      <c r="K390" s="238"/>
      <c r="L390" s="123"/>
      <c r="M390" s="123"/>
      <c r="N390" s="160"/>
      <c r="O390" s="160"/>
      <c r="P390" s="123"/>
      <c r="Q390" s="123"/>
      <c r="R390" s="123"/>
      <c r="T390" s="42"/>
      <c r="V390" s="123"/>
      <c r="AA390" s="123"/>
      <c r="AB390" s="238"/>
      <c r="AC390" s="123"/>
      <c r="AD390" s="123"/>
      <c r="AE390" s="160"/>
      <c r="AF390" s="160"/>
      <c r="AH390" s="123"/>
      <c r="AI390" s="236"/>
      <c r="AJ390" s="236"/>
      <c r="AL390" s="123"/>
      <c r="AM390" s="123"/>
      <c r="AN390" s="123"/>
      <c r="AO390" s="160"/>
      <c r="AP390" s="160"/>
    </row>
    <row r="391" spans="3:42" x14ac:dyDescent="0.3">
      <c r="C391" s="42"/>
      <c r="F391" s="184"/>
      <c r="H391" s="184"/>
      <c r="I391" s="184"/>
      <c r="J391" s="238"/>
      <c r="K391" s="238"/>
      <c r="L391" s="123"/>
      <c r="M391" s="123"/>
      <c r="N391" s="160"/>
      <c r="O391" s="160"/>
      <c r="P391" s="123"/>
      <c r="Q391" s="123"/>
      <c r="R391" s="123"/>
      <c r="T391" s="42"/>
      <c r="V391" s="123"/>
      <c r="AA391" s="123"/>
      <c r="AB391" s="238"/>
      <c r="AC391" s="123"/>
      <c r="AD391" s="123"/>
      <c r="AE391" s="160"/>
      <c r="AF391" s="160"/>
      <c r="AH391" s="123"/>
      <c r="AI391" s="236"/>
      <c r="AJ391" s="236"/>
      <c r="AL391" s="123"/>
      <c r="AM391" s="123"/>
      <c r="AN391" s="123"/>
      <c r="AO391" s="160"/>
      <c r="AP391" s="160"/>
    </row>
    <row r="392" spans="3:42" x14ac:dyDescent="0.3">
      <c r="C392" s="42"/>
      <c r="J392" s="188"/>
      <c r="K392" s="188"/>
      <c r="T392" s="42"/>
      <c r="AB392" s="188"/>
    </row>
    <row r="393" spans="3:42" x14ac:dyDescent="0.3">
      <c r="C393" s="42"/>
      <c r="F393" s="184"/>
      <c r="H393" s="184"/>
      <c r="I393" s="184"/>
      <c r="J393" s="238"/>
      <c r="K393" s="238"/>
      <c r="L393" s="123"/>
      <c r="M393" s="123"/>
      <c r="N393" s="160"/>
      <c r="O393" s="160"/>
      <c r="P393" s="123"/>
      <c r="Q393" s="123"/>
      <c r="R393" s="123"/>
      <c r="T393" s="42"/>
      <c r="V393" s="123"/>
      <c r="AA393" s="123"/>
      <c r="AB393" s="238"/>
      <c r="AC393" s="123"/>
      <c r="AD393" s="123"/>
      <c r="AE393" s="160"/>
      <c r="AF393" s="160"/>
      <c r="AH393" s="123"/>
      <c r="AI393" s="236"/>
      <c r="AJ393" s="236"/>
      <c r="AL393" s="123"/>
      <c r="AM393" s="123"/>
      <c r="AN393" s="123"/>
      <c r="AO393" s="160"/>
      <c r="AP393" s="160"/>
    </row>
    <row r="394" spans="3:42" x14ac:dyDescent="0.3">
      <c r="C394" s="42"/>
      <c r="F394" s="184"/>
      <c r="H394" s="184"/>
      <c r="I394" s="184"/>
      <c r="J394" s="238"/>
      <c r="K394" s="238"/>
      <c r="L394" s="123"/>
      <c r="M394" s="123"/>
      <c r="N394" s="160"/>
      <c r="O394" s="160"/>
      <c r="P394" s="123"/>
      <c r="Q394" s="123"/>
      <c r="R394" s="123"/>
      <c r="T394" s="42"/>
      <c r="V394" s="123"/>
      <c r="AA394" s="123"/>
      <c r="AB394" s="238"/>
      <c r="AC394" s="123"/>
      <c r="AD394" s="123"/>
      <c r="AE394" s="160"/>
      <c r="AF394" s="160"/>
      <c r="AH394" s="123"/>
      <c r="AI394" s="236"/>
      <c r="AJ394" s="236"/>
      <c r="AL394" s="123"/>
      <c r="AM394" s="123"/>
      <c r="AN394" s="123"/>
      <c r="AO394" s="160"/>
      <c r="AP394" s="160"/>
    </row>
    <row r="395" spans="3:42" x14ac:dyDescent="0.3">
      <c r="C395" s="42"/>
      <c r="F395" s="184"/>
      <c r="H395" s="184"/>
      <c r="I395" s="184"/>
      <c r="J395" s="238"/>
      <c r="K395" s="238"/>
      <c r="L395" s="123"/>
      <c r="M395" s="123"/>
      <c r="N395" s="160"/>
      <c r="O395" s="160"/>
      <c r="P395" s="123"/>
      <c r="Q395" s="123"/>
      <c r="R395" s="123"/>
      <c r="T395" s="42"/>
      <c r="V395" s="123"/>
      <c r="AA395" s="123"/>
      <c r="AB395" s="238"/>
      <c r="AC395" s="123"/>
      <c r="AD395" s="123"/>
      <c r="AE395" s="160"/>
      <c r="AF395" s="160"/>
      <c r="AH395" s="123"/>
      <c r="AI395" s="236"/>
      <c r="AJ395" s="236"/>
      <c r="AL395" s="123"/>
      <c r="AM395" s="123"/>
      <c r="AN395" s="123"/>
      <c r="AO395" s="160"/>
      <c r="AP395" s="160"/>
    </row>
    <row r="396" spans="3:42" x14ac:dyDescent="0.3">
      <c r="C396" s="42"/>
      <c r="F396" s="184"/>
      <c r="H396" s="184"/>
      <c r="I396" s="184"/>
      <c r="J396" s="238"/>
      <c r="K396" s="238"/>
      <c r="L396" s="123"/>
      <c r="M396" s="123"/>
      <c r="N396" s="160"/>
      <c r="O396" s="160"/>
      <c r="P396" s="123"/>
      <c r="Q396" s="123"/>
      <c r="R396" s="123"/>
      <c r="T396" s="42"/>
      <c r="V396" s="123"/>
      <c r="AA396" s="123"/>
      <c r="AB396" s="238"/>
      <c r="AC396" s="123"/>
      <c r="AD396" s="123"/>
      <c r="AE396" s="160"/>
      <c r="AF396" s="160"/>
      <c r="AH396" s="123"/>
      <c r="AI396" s="236"/>
      <c r="AJ396" s="236"/>
      <c r="AL396" s="123"/>
      <c r="AM396" s="123"/>
      <c r="AN396" s="123"/>
      <c r="AO396" s="160"/>
      <c r="AP396" s="160"/>
    </row>
    <row r="397" spans="3:42" x14ac:dyDescent="0.3">
      <c r="C397" s="42"/>
      <c r="F397" s="184"/>
      <c r="H397" s="184"/>
      <c r="I397" s="184"/>
      <c r="J397" s="238"/>
      <c r="K397" s="238"/>
      <c r="L397" s="123"/>
      <c r="M397" s="123"/>
      <c r="N397" s="160"/>
      <c r="O397" s="160"/>
      <c r="P397" s="123"/>
      <c r="Q397" s="123"/>
      <c r="R397" s="123"/>
      <c r="T397" s="42"/>
      <c r="V397" s="123"/>
      <c r="AA397" s="123"/>
      <c r="AB397" s="238"/>
      <c r="AC397" s="123"/>
      <c r="AD397" s="123"/>
      <c r="AE397" s="160"/>
      <c r="AF397" s="160"/>
      <c r="AH397" s="123"/>
      <c r="AI397" s="236"/>
      <c r="AJ397" s="236"/>
      <c r="AL397" s="123"/>
      <c r="AM397" s="123"/>
      <c r="AN397" s="123"/>
      <c r="AO397" s="160"/>
      <c r="AP397" s="160"/>
    </row>
    <row r="398" spans="3:42" x14ac:dyDescent="0.3">
      <c r="F398" s="210"/>
      <c r="H398" s="210"/>
      <c r="I398" s="210"/>
      <c r="J398" s="213"/>
      <c r="K398" s="213"/>
      <c r="L398" s="210"/>
      <c r="M398" s="210"/>
      <c r="N398" s="210"/>
      <c r="O398" s="210"/>
      <c r="P398" s="210"/>
      <c r="Q398" s="210"/>
      <c r="R398" s="210"/>
      <c r="V398" s="210"/>
      <c r="AA398" s="210"/>
      <c r="AB398" s="238"/>
      <c r="AC398" s="210"/>
      <c r="AD398" s="210"/>
      <c r="AE398" s="210"/>
      <c r="AF398" s="210"/>
      <c r="AG398" s="214"/>
      <c r="AH398" s="210"/>
      <c r="AK398" s="214"/>
      <c r="AL398" s="210"/>
      <c r="AM398" s="210"/>
      <c r="AN398" s="210"/>
    </row>
    <row r="399" spans="3:42" x14ac:dyDescent="0.3">
      <c r="C399" s="42"/>
      <c r="F399" s="123"/>
      <c r="H399" s="123"/>
      <c r="I399" s="123"/>
      <c r="L399" s="123"/>
      <c r="M399" s="123"/>
      <c r="N399" s="236"/>
      <c r="O399" s="236"/>
      <c r="P399" s="123"/>
      <c r="Q399" s="123"/>
      <c r="R399" s="123"/>
      <c r="T399" s="42"/>
      <c r="V399" s="123"/>
      <c r="AA399" s="123"/>
      <c r="AC399" s="123"/>
      <c r="AD399" s="123"/>
      <c r="AE399" s="160"/>
      <c r="AF399" s="160"/>
      <c r="AH399" s="123"/>
      <c r="AI399" s="236"/>
      <c r="AJ399" s="236"/>
      <c r="AL399" s="123"/>
      <c r="AM399" s="123"/>
      <c r="AN399" s="123"/>
      <c r="AO399" s="160"/>
      <c r="AP399" s="160"/>
    </row>
    <row r="400" spans="3:42" x14ac:dyDescent="0.3">
      <c r="F400" s="210"/>
      <c r="H400" s="210"/>
      <c r="I400" s="210"/>
      <c r="J400" s="213"/>
      <c r="K400" s="213"/>
      <c r="L400" s="210"/>
      <c r="M400" s="210"/>
      <c r="N400" s="210"/>
      <c r="O400" s="210"/>
      <c r="P400" s="210"/>
      <c r="Q400" s="210"/>
      <c r="R400" s="210"/>
      <c r="V400" s="210"/>
      <c r="AA400" s="210"/>
      <c r="AB400" s="213"/>
      <c r="AC400" s="210"/>
      <c r="AD400" s="210"/>
      <c r="AE400" s="210"/>
      <c r="AF400" s="210"/>
      <c r="AG400" s="214"/>
      <c r="AH400" s="210"/>
      <c r="AK400" s="214"/>
      <c r="AL400" s="210"/>
      <c r="AM400" s="210"/>
      <c r="AN400" s="210"/>
    </row>
    <row r="401" spans="1:42" x14ac:dyDescent="0.3">
      <c r="C401" s="42"/>
      <c r="T401" s="42"/>
    </row>
    <row r="402" spans="1:42" x14ac:dyDescent="0.3">
      <c r="C402" s="42"/>
      <c r="F402" s="184"/>
      <c r="H402" s="184"/>
      <c r="I402" s="184"/>
      <c r="J402" s="193"/>
      <c r="K402" s="193"/>
      <c r="L402" s="123"/>
      <c r="M402" s="123"/>
      <c r="N402" s="160"/>
      <c r="O402" s="160"/>
      <c r="P402" s="123"/>
      <c r="Q402" s="123"/>
      <c r="R402" s="123"/>
      <c r="T402" s="42"/>
      <c r="V402" s="123"/>
      <c r="AA402" s="123"/>
      <c r="AB402" s="193"/>
      <c r="AC402" s="123"/>
      <c r="AD402" s="123"/>
      <c r="AE402" s="160"/>
      <c r="AF402" s="160"/>
      <c r="AH402" s="123"/>
      <c r="AI402" s="236"/>
      <c r="AJ402" s="236"/>
      <c r="AL402" s="123"/>
      <c r="AM402" s="123"/>
      <c r="AN402" s="123"/>
      <c r="AO402" s="160"/>
      <c r="AP402" s="160"/>
    </row>
    <row r="403" spans="1:42" x14ac:dyDescent="0.3">
      <c r="C403" s="42"/>
      <c r="F403" s="184"/>
      <c r="H403" s="184"/>
      <c r="I403" s="184"/>
      <c r="J403" s="193"/>
      <c r="K403" s="193"/>
      <c r="L403" s="123"/>
      <c r="M403" s="123"/>
      <c r="N403" s="160"/>
      <c r="O403" s="160"/>
      <c r="P403" s="123"/>
      <c r="Q403" s="123"/>
      <c r="R403" s="123"/>
      <c r="T403" s="42"/>
      <c r="V403" s="123"/>
      <c r="AA403" s="123"/>
      <c r="AB403" s="193"/>
      <c r="AC403" s="123"/>
      <c r="AD403" s="123"/>
      <c r="AE403" s="160"/>
      <c r="AF403" s="160"/>
      <c r="AH403" s="123"/>
      <c r="AI403" s="236"/>
      <c r="AJ403" s="236"/>
      <c r="AL403" s="123"/>
      <c r="AM403" s="123"/>
      <c r="AN403" s="123"/>
      <c r="AO403" s="160"/>
      <c r="AP403" s="160"/>
    </row>
    <row r="404" spans="1:42" x14ac:dyDescent="0.3">
      <c r="F404" s="210"/>
      <c r="H404" s="123"/>
      <c r="I404" s="123"/>
      <c r="J404" s="213"/>
      <c r="K404" s="213"/>
      <c r="L404" s="210"/>
      <c r="M404" s="210"/>
      <c r="N404" s="210"/>
      <c r="O404" s="210"/>
      <c r="P404" s="210"/>
      <c r="Q404" s="210"/>
      <c r="R404" s="210"/>
      <c r="V404" s="210"/>
      <c r="AA404" s="123"/>
      <c r="AB404" s="213"/>
      <c r="AC404" s="210"/>
      <c r="AD404" s="210"/>
      <c r="AE404" s="210"/>
      <c r="AF404" s="210"/>
      <c r="AG404" s="214"/>
      <c r="AH404" s="210"/>
      <c r="AK404" s="214"/>
      <c r="AL404" s="210"/>
      <c r="AM404" s="210"/>
      <c r="AN404" s="210"/>
    </row>
    <row r="405" spans="1:42" x14ac:dyDescent="0.3">
      <c r="F405" s="123"/>
      <c r="H405" s="123"/>
      <c r="I405" s="123"/>
      <c r="J405" s="213"/>
      <c r="K405" s="213"/>
      <c r="L405" s="123"/>
      <c r="M405" s="123"/>
      <c r="N405" s="123"/>
      <c r="O405" s="123"/>
      <c r="P405" s="123"/>
      <c r="Q405" s="123"/>
      <c r="R405" s="123"/>
      <c r="V405" s="123"/>
      <c r="AA405" s="123"/>
      <c r="AB405" s="213"/>
      <c r="AC405" s="123"/>
      <c r="AD405" s="123"/>
      <c r="AE405" s="123"/>
      <c r="AF405" s="123"/>
      <c r="AH405" s="123"/>
      <c r="AL405" s="123"/>
      <c r="AM405" s="123"/>
      <c r="AN405" s="123"/>
    </row>
    <row r="406" spans="1:42" x14ac:dyDescent="0.3">
      <c r="C406" s="42"/>
      <c r="F406" s="123"/>
      <c r="H406" s="123"/>
      <c r="I406" s="123"/>
      <c r="L406" s="123"/>
      <c r="M406" s="123"/>
      <c r="N406" s="160"/>
      <c r="O406" s="160"/>
      <c r="P406" s="123"/>
      <c r="Q406" s="123"/>
      <c r="R406" s="123"/>
      <c r="T406" s="42"/>
      <c r="V406" s="123"/>
      <c r="AA406" s="123"/>
      <c r="AC406" s="123"/>
      <c r="AD406" s="123"/>
      <c r="AE406" s="160"/>
      <c r="AF406" s="160"/>
      <c r="AH406" s="123"/>
      <c r="AI406" s="236"/>
      <c r="AJ406" s="236"/>
      <c r="AK406" s="233"/>
      <c r="AL406" s="184"/>
      <c r="AM406" s="123"/>
      <c r="AN406" s="123"/>
      <c r="AO406" s="160"/>
      <c r="AP406" s="160"/>
    </row>
    <row r="407" spans="1:42" x14ac:dyDescent="0.3">
      <c r="H407" s="210"/>
      <c r="I407" s="210"/>
      <c r="J407" s="213"/>
      <c r="K407" s="213"/>
      <c r="L407" s="210"/>
      <c r="M407" s="210"/>
      <c r="N407" s="210"/>
      <c r="O407" s="210"/>
      <c r="P407" s="210"/>
      <c r="Q407" s="210"/>
      <c r="R407" s="210"/>
      <c r="V407" s="210"/>
      <c r="AA407" s="210"/>
      <c r="AB407" s="213"/>
      <c r="AC407" s="210"/>
      <c r="AD407" s="210"/>
      <c r="AE407" s="210"/>
      <c r="AF407" s="210"/>
      <c r="AG407" s="214"/>
      <c r="AH407" s="210"/>
      <c r="AK407" s="214"/>
      <c r="AL407" s="210"/>
      <c r="AM407" s="210"/>
      <c r="AN407" s="210"/>
    </row>
    <row r="408" spans="1:42" x14ac:dyDescent="0.3">
      <c r="F408" s="210"/>
    </row>
    <row r="409" spans="1:42" x14ac:dyDescent="0.3">
      <c r="A409" s="42"/>
      <c r="T409" s="42"/>
    </row>
    <row r="410" spans="1:42" x14ac:dyDescent="0.3">
      <c r="A410" s="42"/>
      <c r="T410" s="42"/>
    </row>
    <row r="411" spans="1:42" x14ac:dyDescent="0.3">
      <c r="A411" s="42"/>
      <c r="T411" s="42"/>
    </row>
    <row r="412" spans="1:42" x14ac:dyDescent="0.3">
      <c r="A412" s="42"/>
      <c r="T412" s="42"/>
    </row>
    <row r="413" spans="1:42" x14ac:dyDescent="0.3">
      <c r="A413" s="42"/>
      <c r="T413" s="42"/>
    </row>
    <row r="414" spans="1:42" x14ac:dyDescent="0.3">
      <c r="A414" s="42"/>
      <c r="T414" s="42"/>
    </row>
    <row r="415" spans="1:42" x14ac:dyDescent="0.3">
      <c r="A415" s="42"/>
      <c r="T415" s="42"/>
    </row>
    <row r="416" spans="1:42" x14ac:dyDescent="0.3">
      <c r="A416" s="42"/>
      <c r="T416" s="42"/>
    </row>
    <row r="417" spans="1:42" x14ac:dyDescent="0.3">
      <c r="A417" s="42"/>
      <c r="T417" s="42"/>
    </row>
    <row r="419" spans="1:42" x14ac:dyDescent="0.3">
      <c r="A419" s="42"/>
    </row>
    <row r="421" spans="1:42" x14ac:dyDescent="0.3">
      <c r="H421" s="42"/>
      <c r="I421" s="42"/>
      <c r="AA421" s="42"/>
    </row>
    <row r="423" spans="1:42" x14ac:dyDescent="0.3">
      <c r="L423" s="42"/>
      <c r="M423" s="42"/>
      <c r="AC423" s="42"/>
      <c r="AD423" s="42"/>
    </row>
    <row r="424" spans="1:42" x14ac:dyDescent="0.3">
      <c r="R424" s="42"/>
      <c r="AM424" s="42"/>
      <c r="AN424" s="42"/>
    </row>
    <row r="425" spans="1:42" x14ac:dyDescent="0.3">
      <c r="R425" s="42"/>
      <c r="AM425" s="42"/>
      <c r="AN425" s="42"/>
    </row>
    <row r="426" spans="1:42" x14ac:dyDescent="0.3">
      <c r="A426" s="42"/>
      <c r="R426" s="42"/>
      <c r="AM426" s="42"/>
      <c r="AN426" s="42"/>
    </row>
    <row r="427" spans="1:42" x14ac:dyDescent="0.3">
      <c r="L427" s="42"/>
      <c r="M427" s="42"/>
      <c r="AC427" s="42"/>
      <c r="AD427" s="42"/>
    </row>
    <row r="428" spans="1:42" x14ac:dyDescent="0.3">
      <c r="A428" s="135"/>
      <c r="B428" s="135"/>
      <c r="C428" s="135"/>
      <c r="D428" s="135"/>
      <c r="E428" s="135"/>
      <c r="F428" s="135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207"/>
      <c r="AH428" s="135"/>
      <c r="AI428" s="135"/>
      <c r="AJ428" s="135"/>
      <c r="AK428" s="207"/>
      <c r="AL428" s="135"/>
      <c r="AM428" s="135"/>
      <c r="AN428" s="135"/>
      <c r="AO428" s="135"/>
      <c r="AP428" s="135"/>
    </row>
    <row r="429" spans="1:42" x14ac:dyDescent="0.3">
      <c r="L429" s="44"/>
      <c r="M429" s="44"/>
      <c r="N429" s="44"/>
      <c r="O429" s="44"/>
      <c r="R429" s="44"/>
      <c r="AC429" s="44"/>
      <c r="AD429" s="44"/>
      <c r="AE429" s="44"/>
      <c r="AF429" s="44"/>
      <c r="AG429" s="168"/>
      <c r="AH429" s="44"/>
      <c r="AI429" s="44"/>
      <c r="AJ429" s="44"/>
      <c r="AM429" s="44"/>
      <c r="AN429" s="44"/>
      <c r="AO429" s="44"/>
      <c r="AP429" s="44"/>
    </row>
    <row r="430" spans="1:42" x14ac:dyDescent="0.3">
      <c r="L430" s="44"/>
      <c r="M430" s="44"/>
      <c r="N430" s="44"/>
      <c r="O430" s="44"/>
      <c r="R430" s="44"/>
      <c r="AB430" s="44"/>
      <c r="AC430" s="44"/>
      <c r="AD430" s="44"/>
      <c r="AE430" s="44"/>
      <c r="AF430" s="44"/>
      <c r="AG430" s="168"/>
      <c r="AH430" s="44"/>
      <c r="AI430" s="44"/>
      <c r="AJ430" s="44"/>
      <c r="AM430" s="44"/>
      <c r="AN430" s="44"/>
      <c r="AO430" s="44"/>
      <c r="AP430" s="44"/>
    </row>
    <row r="431" spans="1:42" x14ac:dyDescent="0.3">
      <c r="A431" s="44"/>
      <c r="C431" s="44"/>
      <c r="D431" s="44"/>
      <c r="E431" s="44"/>
      <c r="F431" s="44"/>
      <c r="J431" s="44"/>
      <c r="K431" s="44"/>
      <c r="L431" s="44"/>
      <c r="M431" s="44"/>
      <c r="N431" s="44"/>
      <c r="O431" s="44"/>
      <c r="P431" s="44"/>
      <c r="Q431" s="44"/>
      <c r="R431" s="44"/>
      <c r="T431" s="44"/>
      <c r="U431" s="44"/>
      <c r="V431" s="44"/>
      <c r="AB431" s="44"/>
      <c r="AC431" s="44"/>
      <c r="AD431" s="44"/>
      <c r="AE431" s="44"/>
      <c r="AF431" s="44"/>
      <c r="AG431" s="168"/>
      <c r="AH431" s="44"/>
      <c r="AI431" s="44"/>
      <c r="AJ431" s="44"/>
      <c r="AK431" s="168"/>
      <c r="AL431" s="44"/>
      <c r="AM431" s="44"/>
      <c r="AN431" s="44"/>
      <c r="AO431" s="44"/>
      <c r="AP431" s="44"/>
    </row>
    <row r="432" spans="1:42" x14ac:dyDescent="0.3">
      <c r="A432" s="44"/>
      <c r="C432" s="44"/>
      <c r="D432" s="44"/>
      <c r="E432" s="44"/>
      <c r="F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T432" s="44"/>
      <c r="U432" s="44"/>
      <c r="V432" s="44"/>
      <c r="AA432" s="44"/>
      <c r="AB432" s="44"/>
      <c r="AC432" s="44"/>
      <c r="AD432" s="44"/>
      <c r="AE432" s="44"/>
      <c r="AF432" s="44"/>
      <c r="AG432" s="168"/>
      <c r="AH432" s="44"/>
      <c r="AI432" s="44"/>
      <c r="AJ432" s="44"/>
      <c r="AK432" s="168"/>
      <c r="AL432" s="44"/>
      <c r="AM432" s="44"/>
      <c r="AN432" s="44"/>
      <c r="AO432" s="44"/>
      <c r="AP432" s="44"/>
    </row>
    <row r="433" spans="1:42" x14ac:dyDescent="0.3">
      <c r="C433" s="44"/>
      <c r="D433" s="44"/>
      <c r="E433" s="44"/>
      <c r="F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T433" s="44"/>
      <c r="U433" s="44"/>
      <c r="V433" s="44"/>
      <c r="AA433" s="44"/>
      <c r="AB433" s="44"/>
      <c r="AC433" s="44"/>
      <c r="AD433" s="44"/>
      <c r="AE433" s="44"/>
      <c r="AF433" s="44"/>
      <c r="AG433" s="168"/>
      <c r="AH433" s="44"/>
      <c r="AI433" s="44"/>
      <c r="AJ433" s="44"/>
      <c r="AK433" s="168"/>
      <c r="AL433" s="44"/>
      <c r="AM433" s="44"/>
      <c r="AN433" s="44"/>
      <c r="AO433" s="44"/>
      <c r="AP433" s="44"/>
    </row>
    <row r="434" spans="1:42" x14ac:dyDescent="0.3">
      <c r="A434" s="135"/>
      <c r="B434" s="135"/>
      <c r="C434" s="135"/>
      <c r="D434" s="135"/>
      <c r="E434" s="135"/>
      <c r="F434" s="135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207"/>
      <c r="AH434" s="135"/>
      <c r="AI434" s="135"/>
      <c r="AJ434" s="135"/>
      <c r="AK434" s="207"/>
      <c r="AL434" s="135"/>
      <c r="AM434" s="135"/>
      <c r="AN434" s="135"/>
      <c r="AO434" s="135"/>
      <c r="AP434" s="135"/>
    </row>
    <row r="435" spans="1:42" x14ac:dyDescent="0.3"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AA435" s="44"/>
      <c r="AB435" s="44"/>
      <c r="AC435" s="44"/>
      <c r="AD435" s="44"/>
      <c r="AE435" s="44"/>
      <c r="AF435" s="44"/>
      <c r="AG435" s="168"/>
      <c r="AH435" s="44"/>
      <c r="AI435" s="44"/>
      <c r="AJ435" s="44"/>
      <c r="AK435" s="168"/>
      <c r="AL435" s="44"/>
      <c r="AM435" s="44"/>
      <c r="AN435" s="44"/>
      <c r="AO435" s="44"/>
      <c r="AP435" s="44"/>
    </row>
    <row r="436" spans="1:42" x14ac:dyDescent="0.3">
      <c r="C436" s="42"/>
      <c r="D436" s="42"/>
      <c r="E436" s="42"/>
      <c r="T436" s="42"/>
      <c r="U436" s="42"/>
    </row>
    <row r="437" spans="1:42" x14ac:dyDescent="0.3">
      <c r="D437" s="42"/>
      <c r="E437" s="42"/>
      <c r="U437" s="42"/>
    </row>
    <row r="439" spans="1:42" x14ac:dyDescent="0.3">
      <c r="C439" s="42"/>
      <c r="F439" s="123"/>
      <c r="J439" s="209"/>
      <c r="K439" s="209"/>
      <c r="L439" s="123"/>
      <c r="M439" s="123"/>
      <c r="R439" s="123"/>
      <c r="T439" s="42"/>
      <c r="V439" s="123"/>
      <c r="AB439" s="209"/>
      <c r="AC439" s="123"/>
      <c r="AD439" s="123"/>
      <c r="AI439" s="123"/>
      <c r="AJ439" s="123"/>
      <c r="AM439" s="123"/>
      <c r="AN439" s="123"/>
    </row>
    <row r="440" spans="1:42" x14ac:dyDescent="0.3">
      <c r="C440" s="42"/>
      <c r="F440" s="123"/>
      <c r="R440" s="123"/>
      <c r="T440" s="42"/>
      <c r="V440" s="123"/>
      <c r="AI440" s="123"/>
      <c r="AJ440" s="123"/>
      <c r="AM440" s="123"/>
      <c r="AN440" s="123"/>
    </row>
    <row r="441" spans="1:42" x14ac:dyDescent="0.3">
      <c r="AL441" s="123"/>
      <c r="AM441" s="123"/>
      <c r="AN441" s="123"/>
      <c r="AO441" s="160"/>
      <c r="AP441" s="160"/>
    </row>
    <row r="442" spans="1:42" x14ac:dyDescent="0.3">
      <c r="C442" s="42"/>
      <c r="F442" s="184"/>
      <c r="H442" s="184"/>
      <c r="I442" s="184"/>
      <c r="J442" s="237"/>
      <c r="K442" s="237"/>
      <c r="L442" s="123"/>
      <c r="M442" s="123"/>
      <c r="N442" s="160"/>
      <c r="O442" s="160"/>
      <c r="P442" s="123"/>
      <c r="Q442" s="123"/>
      <c r="R442" s="123"/>
      <c r="T442" s="42"/>
      <c r="V442" s="123"/>
      <c r="AA442" s="123"/>
      <c r="AB442" s="237"/>
      <c r="AC442" s="123"/>
      <c r="AD442" s="123"/>
      <c r="AE442" s="160"/>
      <c r="AF442" s="160"/>
      <c r="AH442" s="123"/>
      <c r="AI442" s="236"/>
      <c r="AJ442" s="236"/>
      <c r="AL442" s="123"/>
      <c r="AM442" s="123"/>
      <c r="AN442" s="123"/>
      <c r="AO442" s="160"/>
      <c r="AP442" s="160"/>
    </row>
    <row r="443" spans="1:42" x14ac:dyDescent="0.3">
      <c r="F443" s="123"/>
      <c r="H443" s="123"/>
      <c r="I443" s="123"/>
      <c r="J443" s="219"/>
      <c r="K443" s="219"/>
      <c r="L443" s="123"/>
      <c r="M443" s="123"/>
      <c r="P443" s="123"/>
      <c r="Q443" s="123"/>
      <c r="R443" s="123"/>
      <c r="V443" s="123"/>
      <c r="AA443" s="123"/>
      <c r="AB443" s="219"/>
      <c r="AC443" s="123"/>
      <c r="AD443" s="123"/>
      <c r="AL443" s="123"/>
      <c r="AM443" s="123"/>
      <c r="AN443" s="123"/>
      <c r="AO443" s="160"/>
      <c r="AP443" s="160"/>
    </row>
    <row r="444" spans="1:42" x14ac:dyDescent="0.3">
      <c r="F444" s="123"/>
      <c r="R444" s="123"/>
      <c r="V444" s="123"/>
      <c r="AM444" s="123"/>
      <c r="AN444" s="123"/>
      <c r="AO444" s="160"/>
      <c r="AP444" s="160"/>
    </row>
    <row r="445" spans="1:42" x14ac:dyDescent="0.3">
      <c r="C445" s="42"/>
      <c r="F445" s="123"/>
      <c r="J445" s="209"/>
      <c r="K445" s="209"/>
      <c r="L445" s="123"/>
      <c r="M445" s="123"/>
      <c r="N445" s="160"/>
      <c r="O445" s="160"/>
      <c r="R445" s="123"/>
      <c r="T445" s="42"/>
      <c r="V445" s="123"/>
      <c r="AB445" s="209"/>
      <c r="AC445" s="123"/>
      <c r="AD445" s="123"/>
      <c r="AE445" s="160"/>
      <c r="AF445" s="160"/>
      <c r="AM445" s="123"/>
      <c r="AN445" s="123"/>
      <c r="AO445" s="160"/>
      <c r="AP445" s="160"/>
    </row>
    <row r="446" spans="1:42" x14ac:dyDescent="0.3">
      <c r="C446" s="42"/>
      <c r="F446" s="123"/>
      <c r="H446" s="123"/>
      <c r="I446" s="123"/>
      <c r="J446" s="209"/>
      <c r="K446" s="209"/>
      <c r="L446" s="123"/>
      <c r="M446" s="123"/>
      <c r="N446" s="160"/>
      <c r="O446" s="160"/>
      <c r="P446" s="123"/>
      <c r="Q446" s="123"/>
      <c r="R446" s="123"/>
      <c r="T446" s="42"/>
      <c r="V446" s="123"/>
      <c r="AA446" s="123"/>
      <c r="AB446" s="209"/>
      <c r="AC446" s="123"/>
      <c r="AD446" s="123"/>
      <c r="AE446" s="160"/>
      <c r="AF446" s="160"/>
      <c r="AL446" s="123"/>
      <c r="AM446" s="123"/>
      <c r="AN446" s="123"/>
      <c r="AO446" s="160"/>
      <c r="AP446" s="160"/>
    </row>
    <row r="447" spans="1:42" x14ac:dyDescent="0.3">
      <c r="C447" s="42"/>
      <c r="T447" s="42"/>
      <c r="AO447" s="160"/>
      <c r="AP447" s="160"/>
    </row>
    <row r="448" spans="1:42" x14ac:dyDescent="0.3">
      <c r="C448" s="42"/>
      <c r="T448" s="42"/>
      <c r="AO448" s="160"/>
      <c r="AP448" s="160"/>
    </row>
    <row r="449" spans="1:42" x14ac:dyDescent="0.3">
      <c r="AO449" s="160"/>
      <c r="AP449" s="160"/>
    </row>
    <row r="450" spans="1:42" x14ac:dyDescent="0.3">
      <c r="C450" s="42"/>
      <c r="F450" s="184"/>
      <c r="H450" s="184"/>
      <c r="I450" s="184"/>
      <c r="J450" s="237"/>
      <c r="K450" s="237"/>
      <c r="L450" s="123"/>
      <c r="M450" s="123"/>
      <c r="N450" s="160"/>
      <c r="O450" s="160"/>
      <c r="P450" s="123"/>
      <c r="Q450" s="123"/>
      <c r="R450" s="123"/>
      <c r="T450" s="42"/>
      <c r="V450" s="123"/>
      <c r="AA450" s="123"/>
      <c r="AB450" s="237"/>
      <c r="AC450" s="123"/>
      <c r="AD450" s="123"/>
      <c r="AE450" s="160"/>
      <c r="AF450" s="160"/>
      <c r="AH450" s="123"/>
      <c r="AI450" s="236"/>
      <c r="AJ450" s="236"/>
      <c r="AL450" s="123"/>
      <c r="AM450" s="123"/>
      <c r="AN450" s="123"/>
      <c r="AO450" s="160"/>
      <c r="AP450" s="160"/>
    </row>
    <row r="451" spans="1:42" x14ac:dyDescent="0.3">
      <c r="F451" s="210"/>
      <c r="H451" s="210"/>
      <c r="I451" s="210"/>
      <c r="J451" s="213"/>
      <c r="K451" s="213"/>
      <c r="L451" s="210"/>
      <c r="M451" s="210"/>
      <c r="N451" s="210"/>
      <c r="O451" s="210"/>
      <c r="P451" s="210"/>
      <c r="Q451" s="210"/>
      <c r="R451" s="210"/>
      <c r="V451" s="210"/>
      <c r="AA451" s="210"/>
      <c r="AB451" s="213"/>
      <c r="AC451" s="210"/>
      <c r="AD451" s="210"/>
      <c r="AE451" s="210"/>
      <c r="AF451" s="210"/>
      <c r="AG451" s="214"/>
      <c r="AH451" s="210"/>
      <c r="AK451" s="214"/>
      <c r="AL451" s="210"/>
      <c r="AM451" s="210"/>
      <c r="AN451" s="210"/>
      <c r="AO451" s="160"/>
      <c r="AP451" s="160"/>
    </row>
    <row r="452" spans="1:42" x14ac:dyDescent="0.3">
      <c r="H452" s="123"/>
      <c r="I452" s="123"/>
      <c r="AA452" s="123"/>
      <c r="AO452" s="160"/>
      <c r="AP452" s="160"/>
    </row>
    <row r="453" spans="1:42" x14ac:dyDescent="0.3">
      <c r="C453" s="42"/>
      <c r="F453" s="123"/>
      <c r="H453" s="123"/>
      <c r="I453" s="123"/>
      <c r="L453" s="123"/>
      <c r="M453" s="123"/>
      <c r="N453" s="160"/>
      <c r="O453" s="160"/>
      <c r="P453" s="184"/>
      <c r="Q453" s="184"/>
      <c r="R453" s="123"/>
      <c r="T453" s="42"/>
      <c r="V453" s="123"/>
      <c r="AA453" s="123"/>
      <c r="AC453" s="123"/>
      <c r="AD453" s="123"/>
      <c r="AE453" s="160"/>
      <c r="AF453" s="160"/>
      <c r="AH453" s="123"/>
      <c r="AI453" s="236"/>
      <c r="AJ453" s="236"/>
      <c r="AK453" s="233"/>
      <c r="AL453" s="184"/>
      <c r="AM453" s="123"/>
      <c r="AN453" s="123"/>
      <c r="AO453" s="160"/>
      <c r="AP453" s="160"/>
    </row>
    <row r="454" spans="1:42" x14ac:dyDescent="0.3">
      <c r="H454" s="210"/>
      <c r="I454" s="210"/>
      <c r="J454" s="213"/>
      <c r="K454" s="213"/>
      <c r="L454" s="210"/>
      <c r="M454" s="210"/>
      <c r="N454" s="210"/>
      <c r="O454" s="210"/>
      <c r="P454" s="210"/>
      <c r="Q454" s="210"/>
      <c r="R454" s="210"/>
      <c r="V454" s="210"/>
      <c r="AA454" s="210"/>
      <c r="AB454" s="213"/>
      <c r="AC454" s="210"/>
      <c r="AD454" s="210"/>
      <c r="AE454" s="210"/>
      <c r="AF454" s="210"/>
      <c r="AG454" s="214"/>
      <c r="AH454" s="210"/>
      <c r="AK454" s="214"/>
      <c r="AL454" s="210"/>
      <c r="AM454" s="210"/>
      <c r="AN454" s="210"/>
      <c r="AO454" s="160"/>
      <c r="AP454" s="160"/>
    </row>
    <row r="455" spans="1:42" x14ac:dyDescent="0.3">
      <c r="F455" s="210"/>
    </row>
    <row r="456" spans="1:42" x14ac:dyDescent="0.3">
      <c r="F456" s="123"/>
      <c r="H456" s="123"/>
      <c r="I456" s="123"/>
      <c r="J456" s="219"/>
      <c r="K456" s="219"/>
      <c r="L456" s="123"/>
      <c r="M456" s="123"/>
      <c r="N456" s="123"/>
      <c r="O456" s="123"/>
      <c r="P456" s="123"/>
      <c r="Q456" s="123"/>
      <c r="R456" s="123"/>
      <c r="V456" s="123"/>
      <c r="AA456" s="123"/>
      <c r="AB456" s="219"/>
      <c r="AC456" s="123"/>
      <c r="AD456" s="123"/>
      <c r="AE456" s="123"/>
      <c r="AF456" s="123"/>
      <c r="AH456" s="123"/>
      <c r="AI456" s="123"/>
      <c r="AJ456" s="123"/>
      <c r="AL456" s="123"/>
      <c r="AM456" s="123"/>
      <c r="AN456" s="123"/>
    </row>
    <row r="457" spans="1:42" x14ac:dyDescent="0.3">
      <c r="A457" s="42"/>
    </row>
    <row r="459" spans="1:42" x14ac:dyDescent="0.3">
      <c r="H459" s="42"/>
      <c r="I459" s="42"/>
      <c r="AA459" s="42"/>
    </row>
    <row r="461" spans="1:42" x14ac:dyDescent="0.3">
      <c r="L461" s="42"/>
      <c r="M461" s="42"/>
      <c r="AC461" s="42"/>
      <c r="AD461" s="42"/>
    </row>
    <row r="462" spans="1:42" x14ac:dyDescent="0.3">
      <c r="R462" s="42"/>
      <c r="AM462" s="42"/>
      <c r="AN462" s="42"/>
    </row>
    <row r="463" spans="1:42" x14ac:dyDescent="0.3">
      <c r="R463" s="42"/>
      <c r="AM463" s="42"/>
      <c r="AN463" s="42"/>
    </row>
    <row r="464" spans="1:42" x14ac:dyDescent="0.3">
      <c r="A464" s="42"/>
      <c r="R464" s="42"/>
      <c r="AM464" s="42"/>
      <c r="AN464" s="42"/>
    </row>
    <row r="465" spans="1:42" x14ac:dyDescent="0.3">
      <c r="L465" s="42"/>
      <c r="M465" s="42"/>
      <c r="AC465" s="42"/>
      <c r="AD465" s="42"/>
    </row>
    <row r="466" spans="1:42" x14ac:dyDescent="0.3">
      <c r="A466" s="135"/>
      <c r="B466" s="135"/>
      <c r="C466" s="135"/>
      <c r="D466" s="135"/>
      <c r="E466" s="135"/>
      <c r="F466" s="135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207"/>
      <c r="AH466" s="135"/>
      <c r="AI466" s="135"/>
      <c r="AJ466" s="135"/>
      <c r="AK466" s="207"/>
      <c r="AL466" s="135"/>
      <c r="AM466" s="135"/>
      <c r="AN466" s="135"/>
      <c r="AO466" s="135"/>
      <c r="AP466" s="135"/>
    </row>
    <row r="467" spans="1:42" x14ac:dyDescent="0.3">
      <c r="L467" s="44"/>
      <c r="M467" s="44"/>
      <c r="N467" s="44"/>
      <c r="O467" s="44"/>
      <c r="R467" s="44"/>
      <c r="AC467" s="44"/>
      <c r="AD467" s="44"/>
      <c r="AE467" s="44"/>
      <c r="AF467" s="44"/>
      <c r="AG467" s="168"/>
      <c r="AH467" s="44"/>
      <c r="AI467" s="44"/>
      <c r="AJ467" s="44"/>
      <c r="AM467" s="44"/>
      <c r="AN467" s="44"/>
      <c r="AO467" s="44"/>
      <c r="AP467" s="44"/>
    </row>
    <row r="468" spans="1:42" x14ac:dyDescent="0.3">
      <c r="L468" s="44"/>
      <c r="M468" s="44"/>
      <c r="N468" s="44"/>
      <c r="O468" s="44"/>
      <c r="R468" s="44"/>
      <c r="AB468" s="44"/>
      <c r="AC468" s="44"/>
      <c r="AD468" s="44"/>
      <c r="AE468" s="44"/>
      <c r="AF468" s="44"/>
      <c r="AG468" s="168"/>
      <c r="AH468" s="44"/>
      <c r="AI468" s="44"/>
      <c r="AJ468" s="44"/>
      <c r="AM468" s="44"/>
      <c r="AN468" s="44"/>
      <c r="AO468" s="44"/>
      <c r="AP468" s="44"/>
    </row>
    <row r="469" spans="1:42" x14ac:dyDescent="0.3">
      <c r="A469" s="44"/>
      <c r="C469" s="44"/>
      <c r="D469" s="44"/>
      <c r="E469" s="44"/>
      <c r="F469" s="44"/>
      <c r="J469" s="44"/>
      <c r="K469" s="44"/>
      <c r="L469" s="44"/>
      <c r="M469" s="44"/>
      <c r="N469" s="44"/>
      <c r="O469" s="44"/>
      <c r="P469" s="44"/>
      <c r="Q469" s="44"/>
      <c r="R469" s="44"/>
      <c r="T469" s="44"/>
      <c r="U469" s="44"/>
      <c r="V469" s="44"/>
      <c r="AB469" s="44"/>
      <c r="AC469" s="44"/>
      <c r="AD469" s="44"/>
      <c r="AE469" s="44"/>
      <c r="AF469" s="44"/>
      <c r="AG469" s="168"/>
      <c r="AH469" s="44"/>
      <c r="AI469" s="44"/>
      <c r="AJ469" s="44"/>
      <c r="AK469" s="168"/>
      <c r="AL469" s="44"/>
      <c r="AM469" s="44"/>
      <c r="AN469" s="44"/>
      <c r="AO469" s="44"/>
      <c r="AP469" s="44"/>
    </row>
    <row r="470" spans="1:42" x14ac:dyDescent="0.3">
      <c r="A470" s="44"/>
      <c r="C470" s="44"/>
      <c r="D470" s="44"/>
      <c r="E470" s="44"/>
      <c r="F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T470" s="44"/>
      <c r="U470" s="44"/>
      <c r="V470" s="44"/>
      <c r="AA470" s="44"/>
      <c r="AB470" s="44"/>
      <c r="AC470" s="44"/>
      <c r="AD470" s="44"/>
      <c r="AE470" s="44"/>
      <c r="AF470" s="44"/>
      <c r="AG470" s="168"/>
      <c r="AH470" s="44"/>
      <c r="AI470" s="44"/>
      <c r="AJ470" s="44"/>
      <c r="AK470" s="168"/>
      <c r="AL470" s="44"/>
      <c r="AM470" s="44"/>
      <c r="AN470" s="44"/>
      <c r="AO470" s="44"/>
      <c r="AP470" s="44"/>
    </row>
    <row r="471" spans="1:42" x14ac:dyDescent="0.3">
      <c r="C471" s="44"/>
      <c r="D471" s="44"/>
      <c r="E471" s="44"/>
      <c r="F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T471" s="44"/>
      <c r="U471" s="44"/>
      <c r="V471" s="44"/>
      <c r="AA471" s="44"/>
      <c r="AB471" s="44"/>
      <c r="AC471" s="44"/>
      <c r="AD471" s="44"/>
      <c r="AE471" s="44"/>
      <c r="AF471" s="44"/>
      <c r="AG471" s="168"/>
      <c r="AH471" s="44"/>
      <c r="AI471" s="44"/>
      <c r="AJ471" s="44"/>
      <c r="AK471" s="168"/>
      <c r="AL471" s="44"/>
      <c r="AM471" s="44"/>
      <c r="AN471" s="44"/>
      <c r="AO471" s="44"/>
      <c r="AP471" s="44"/>
    </row>
    <row r="472" spans="1:42" x14ac:dyDescent="0.3">
      <c r="A472" s="135"/>
      <c r="B472" s="135"/>
      <c r="C472" s="135"/>
      <c r="D472" s="135"/>
      <c r="E472" s="135"/>
      <c r="F472" s="135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207"/>
      <c r="AH472" s="135"/>
      <c r="AI472" s="135"/>
      <c r="AJ472" s="135"/>
      <c r="AK472" s="207"/>
      <c r="AL472" s="135"/>
      <c r="AM472" s="135"/>
      <c r="AN472" s="135"/>
      <c r="AO472" s="135"/>
      <c r="AP472" s="135"/>
    </row>
    <row r="473" spans="1:42" x14ac:dyDescent="0.3"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AA473" s="44"/>
      <c r="AB473" s="44"/>
      <c r="AC473" s="44"/>
      <c r="AD473" s="44"/>
      <c r="AE473" s="44"/>
      <c r="AF473" s="44"/>
      <c r="AG473" s="168"/>
      <c r="AH473" s="44"/>
      <c r="AI473" s="44"/>
      <c r="AJ473" s="44"/>
      <c r="AK473" s="168"/>
      <c r="AL473" s="44"/>
      <c r="AM473" s="44"/>
      <c r="AN473" s="44"/>
      <c r="AO473" s="44"/>
      <c r="AP473" s="44"/>
    </row>
    <row r="474" spans="1:42" x14ac:dyDescent="0.3">
      <c r="C474" s="42"/>
      <c r="D474" s="42"/>
      <c r="E474" s="42"/>
      <c r="T474" s="42"/>
      <c r="U474" s="42"/>
      <c r="V474" s="123"/>
      <c r="W474" s="123"/>
      <c r="X474" s="123"/>
      <c r="Y474" s="123"/>
      <c r="Z474" s="123"/>
      <c r="AA474" s="123"/>
      <c r="AB474" s="237"/>
    </row>
    <row r="476" spans="1:42" x14ac:dyDescent="0.3">
      <c r="C476" s="42"/>
      <c r="T476" s="42"/>
      <c r="V476" s="123"/>
      <c r="W476" s="123"/>
      <c r="X476" s="123"/>
      <c r="Y476" s="123"/>
      <c r="Z476" s="123"/>
      <c r="AA476" s="123"/>
      <c r="AB476" s="237"/>
    </row>
    <row r="477" spans="1:42" x14ac:dyDescent="0.3">
      <c r="C477" s="42"/>
      <c r="F477" s="184"/>
      <c r="H477" s="184"/>
      <c r="I477" s="184"/>
      <c r="J477" s="238"/>
      <c r="K477" s="238"/>
      <c r="L477" s="123"/>
      <c r="M477" s="123"/>
      <c r="N477" s="160"/>
      <c r="O477" s="160"/>
      <c r="P477" s="123"/>
      <c r="Q477" s="123"/>
      <c r="R477" s="123"/>
      <c r="T477" s="42"/>
      <c r="V477" s="123"/>
      <c r="W477" s="123"/>
      <c r="X477" s="123"/>
      <c r="Y477" s="123"/>
      <c r="Z477" s="123"/>
      <c r="AA477" s="123"/>
      <c r="AB477" s="238"/>
      <c r="AC477" s="123"/>
      <c r="AD477" s="123"/>
      <c r="AE477" s="160"/>
      <c r="AF477" s="160"/>
      <c r="AH477" s="123"/>
      <c r="AI477" s="236"/>
      <c r="AJ477" s="236"/>
      <c r="AL477" s="123"/>
      <c r="AM477" s="123"/>
      <c r="AN477" s="123"/>
      <c r="AO477" s="160"/>
      <c r="AP477" s="160"/>
    </row>
    <row r="478" spans="1:42" x14ac:dyDescent="0.3">
      <c r="C478" s="42"/>
      <c r="F478" s="184"/>
      <c r="H478" s="184"/>
      <c r="I478" s="184"/>
      <c r="J478" s="238"/>
      <c r="K478" s="238"/>
      <c r="L478" s="123"/>
      <c r="M478" s="123"/>
      <c r="N478" s="160"/>
      <c r="O478" s="160"/>
      <c r="P478" s="123"/>
      <c r="Q478" s="123"/>
      <c r="R478" s="123"/>
      <c r="T478" s="42"/>
      <c r="V478" s="123"/>
      <c r="W478" s="123"/>
      <c r="X478" s="123"/>
      <c r="Y478" s="123"/>
      <c r="Z478" s="123"/>
      <c r="AA478" s="123"/>
      <c r="AB478" s="238"/>
      <c r="AC478" s="123"/>
      <c r="AD478" s="123"/>
      <c r="AE478" s="160"/>
      <c r="AF478" s="160"/>
      <c r="AH478" s="123"/>
      <c r="AI478" s="236"/>
      <c r="AJ478" s="236"/>
      <c r="AL478" s="123"/>
      <c r="AM478" s="123"/>
      <c r="AN478" s="123"/>
      <c r="AO478" s="160"/>
      <c r="AP478" s="160"/>
    </row>
    <row r="479" spans="1:42" x14ac:dyDescent="0.3">
      <c r="C479" s="42"/>
      <c r="F479" s="184"/>
      <c r="H479" s="184"/>
      <c r="I479" s="184"/>
      <c r="J479" s="238"/>
      <c r="K479" s="238"/>
      <c r="L479" s="123"/>
      <c r="M479" s="123"/>
      <c r="N479" s="160"/>
      <c r="O479" s="160"/>
      <c r="P479" s="123"/>
      <c r="Q479" s="123"/>
      <c r="R479" s="123"/>
      <c r="T479" s="42"/>
      <c r="V479" s="123"/>
      <c r="W479" s="123"/>
      <c r="X479" s="123"/>
      <c r="Y479" s="123"/>
      <c r="Z479" s="123"/>
      <c r="AA479" s="123"/>
      <c r="AB479" s="238"/>
      <c r="AC479" s="123"/>
      <c r="AD479" s="123"/>
      <c r="AE479" s="160"/>
      <c r="AF479" s="160"/>
      <c r="AH479" s="123"/>
      <c r="AI479" s="236"/>
      <c r="AJ479" s="236"/>
      <c r="AL479" s="123"/>
      <c r="AM479" s="123"/>
      <c r="AN479" s="123"/>
      <c r="AO479" s="160"/>
      <c r="AP479" s="160"/>
    </row>
    <row r="480" spans="1:42" x14ac:dyDescent="0.3">
      <c r="C480" s="42"/>
      <c r="F480" s="184"/>
      <c r="H480" s="184"/>
      <c r="I480" s="184"/>
      <c r="J480" s="238"/>
      <c r="K480" s="238"/>
      <c r="L480" s="123"/>
      <c r="M480" s="123"/>
      <c r="N480" s="160"/>
      <c r="O480" s="160"/>
      <c r="P480" s="123"/>
      <c r="Q480" s="123"/>
      <c r="R480" s="123"/>
      <c r="T480" s="42"/>
      <c r="V480" s="123"/>
      <c r="W480" s="123"/>
      <c r="X480" s="123"/>
      <c r="Y480" s="123"/>
      <c r="Z480" s="123"/>
      <c r="AA480" s="123"/>
      <c r="AB480" s="238"/>
      <c r="AC480" s="123"/>
      <c r="AD480" s="123"/>
      <c r="AE480" s="160"/>
      <c r="AF480" s="160"/>
      <c r="AH480" s="123"/>
      <c r="AI480" s="236"/>
      <c r="AJ480" s="236"/>
      <c r="AL480" s="123"/>
      <c r="AM480" s="123"/>
      <c r="AN480" s="123"/>
      <c r="AO480" s="160"/>
      <c r="AP480" s="160"/>
    </row>
    <row r="481" spans="1:42" x14ac:dyDescent="0.3">
      <c r="J481" s="188"/>
      <c r="K481" s="188"/>
      <c r="V481" s="123"/>
      <c r="W481" s="123"/>
      <c r="X481" s="123"/>
      <c r="Y481" s="123"/>
      <c r="Z481" s="123"/>
      <c r="AA481" s="123"/>
      <c r="AB481" s="238"/>
    </row>
    <row r="482" spans="1:42" x14ac:dyDescent="0.3">
      <c r="C482" s="42"/>
      <c r="F482" s="184"/>
      <c r="H482" s="184"/>
      <c r="I482" s="184"/>
      <c r="J482" s="238"/>
      <c r="K482" s="238"/>
      <c r="L482" s="123"/>
      <c r="M482" s="123"/>
      <c r="N482" s="160"/>
      <c r="O482" s="160"/>
      <c r="P482" s="123"/>
      <c r="Q482" s="123"/>
      <c r="R482" s="123"/>
      <c r="T482" s="42"/>
      <c r="V482" s="123"/>
      <c r="W482" s="123"/>
      <c r="X482" s="123"/>
      <c r="Y482" s="123"/>
      <c r="Z482" s="123"/>
      <c r="AA482" s="123"/>
      <c r="AB482" s="238"/>
      <c r="AC482" s="123"/>
      <c r="AD482" s="123"/>
      <c r="AE482" s="160"/>
      <c r="AF482" s="160"/>
      <c r="AH482" s="123"/>
      <c r="AI482" s="236"/>
      <c r="AJ482" s="236"/>
      <c r="AL482" s="123"/>
      <c r="AM482" s="123"/>
      <c r="AN482" s="123"/>
      <c r="AO482" s="236"/>
      <c r="AP482" s="236"/>
    </row>
    <row r="483" spans="1:42" x14ac:dyDescent="0.3">
      <c r="C483" s="42"/>
      <c r="J483" s="188"/>
      <c r="K483" s="188"/>
      <c r="T483" s="42"/>
      <c r="V483" s="123"/>
      <c r="W483" s="123"/>
      <c r="X483" s="123"/>
      <c r="Y483" s="123"/>
      <c r="Z483" s="123"/>
      <c r="AA483" s="123"/>
      <c r="AB483" s="238"/>
    </row>
    <row r="484" spans="1:42" x14ac:dyDescent="0.3">
      <c r="C484" s="42"/>
      <c r="F484" s="184"/>
      <c r="H484" s="184"/>
      <c r="I484" s="184"/>
      <c r="J484" s="238"/>
      <c r="K484" s="238"/>
      <c r="L484" s="123"/>
      <c r="M484" s="123"/>
      <c r="N484" s="160"/>
      <c r="O484" s="160"/>
      <c r="P484" s="123"/>
      <c r="Q484" s="123"/>
      <c r="R484" s="123"/>
      <c r="T484" s="42"/>
      <c r="V484" s="123"/>
      <c r="W484" s="123"/>
      <c r="X484" s="123"/>
      <c r="Y484" s="123"/>
      <c r="Z484" s="123"/>
      <c r="AA484" s="123"/>
      <c r="AB484" s="238"/>
      <c r="AC484" s="123"/>
      <c r="AD484" s="123"/>
      <c r="AE484" s="160"/>
      <c r="AF484" s="160"/>
      <c r="AH484" s="123"/>
      <c r="AI484" s="236"/>
      <c r="AJ484" s="236"/>
      <c r="AL484" s="123"/>
      <c r="AM484" s="123"/>
      <c r="AN484" s="123"/>
      <c r="AO484" s="236"/>
      <c r="AP484" s="236"/>
    </row>
    <row r="485" spans="1:42" x14ac:dyDescent="0.3">
      <c r="J485" s="188"/>
      <c r="K485" s="188"/>
      <c r="AB485" s="188"/>
    </row>
    <row r="486" spans="1:42" x14ac:dyDescent="0.3">
      <c r="C486" s="42"/>
      <c r="J486" s="188"/>
      <c r="K486" s="188"/>
      <c r="T486" s="42"/>
      <c r="V486" s="123"/>
      <c r="W486" s="123"/>
      <c r="X486" s="123"/>
      <c r="Y486" s="123"/>
      <c r="Z486" s="123"/>
      <c r="AA486" s="123"/>
      <c r="AB486" s="238"/>
    </row>
    <row r="487" spans="1:42" x14ac:dyDescent="0.3">
      <c r="C487" s="42"/>
      <c r="F487" s="184"/>
      <c r="H487" s="184"/>
      <c r="I487" s="184"/>
      <c r="J487" s="238"/>
      <c r="K487" s="238"/>
      <c r="L487" s="123"/>
      <c r="M487" s="123"/>
      <c r="N487" s="160"/>
      <c r="O487" s="160"/>
      <c r="P487" s="123"/>
      <c r="Q487" s="123"/>
      <c r="R487" s="123"/>
      <c r="T487" s="42"/>
      <c r="V487" s="123"/>
      <c r="W487" s="123"/>
      <c r="X487" s="123"/>
      <c r="Y487" s="123"/>
      <c r="Z487" s="123"/>
      <c r="AA487" s="123"/>
      <c r="AB487" s="238"/>
      <c r="AC487" s="123"/>
      <c r="AD487" s="123"/>
      <c r="AE487" s="160"/>
      <c r="AF487" s="160"/>
      <c r="AH487" s="123"/>
      <c r="AI487" s="236"/>
      <c r="AJ487" s="236"/>
      <c r="AL487" s="123"/>
      <c r="AM487" s="123"/>
      <c r="AN487" s="123"/>
      <c r="AO487" s="236"/>
      <c r="AP487" s="236"/>
    </row>
    <row r="488" spans="1:42" x14ac:dyDescent="0.3">
      <c r="C488" s="42"/>
      <c r="F488" s="184"/>
      <c r="H488" s="184"/>
      <c r="I488" s="184"/>
      <c r="J488" s="238"/>
      <c r="K488" s="238"/>
      <c r="L488" s="123"/>
      <c r="M488" s="123"/>
      <c r="N488" s="160"/>
      <c r="O488" s="160"/>
      <c r="P488" s="123"/>
      <c r="Q488" s="123"/>
      <c r="R488" s="123"/>
      <c r="T488" s="42"/>
      <c r="V488" s="123"/>
      <c r="W488" s="123"/>
      <c r="X488" s="123"/>
      <c r="Y488" s="123"/>
      <c r="Z488" s="123"/>
      <c r="AA488" s="123"/>
      <c r="AB488" s="238"/>
      <c r="AC488" s="123"/>
      <c r="AD488" s="123"/>
      <c r="AE488" s="160"/>
      <c r="AF488" s="160"/>
      <c r="AH488" s="123"/>
      <c r="AI488" s="236"/>
      <c r="AJ488" s="236"/>
      <c r="AL488" s="123"/>
      <c r="AM488" s="123"/>
      <c r="AN488" s="123"/>
      <c r="AO488" s="236"/>
      <c r="AP488" s="236"/>
    </row>
    <row r="489" spans="1:42" x14ac:dyDescent="0.3">
      <c r="F489" s="210"/>
      <c r="H489" s="210"/>
      <c r="I489" s="210"/>
      <c r="J489" s="238"/>
      <c r="K489" s="238"/>
      <c r="L489" s="210"/>
      <c r="M489" s="210"/>
      <c r="N489" s="210"/>
      <c r="O489" s="210"/>
      <c r="P489" s="210"/>
      <c r="Q489" s="210"/>
      <c r="R489" s="210"/>
      <c r="V489" s="210"/>
      <c r="AA489" s="210"/>
      <c r="AB489" s="213"/>
      <c r="AC489" s="210"/>
      <c r="AD489" s="210"/>
      <c r="AE489" s="210"/>
      <c r="AF489" s="210"/>
      <c r="AG489" s="214"/>
      <c r="AH489" s="210"/>
      <c r="AK489" s="214"/>
      <c r="AL489" s="210"/>
      <c r="AM489" s="210"/>
      <c r="AN489" s="210"/>
    </row>
    <row r="490" spans="1:42" x14ac:dyDescent="0.3">
      <c r="C490" s="42"/>
      <c r="F490" s="123"/>
      <c r="H490" s="123"/>
      <c r="I490" s="123"/>
      <c r="L490" s="123"/>
      <c r="M490" s="123"/>
      <c r="N490" s="160"/>
      <c r="O490" s="160"/>
      <c r="P490" s="184"/>
      <c r="Q490" s="184"/>
      <c r="R490" s="123"/>
      <c r="T490" s="42"/>
      <c r="V490" s="123"/>
      <c r="W490" s="123"/>
      <c r="X490" s="123"/>
      <c r="Y490" s="123"/>
      <c r="Z490" s="123"/>
      <c r="AA490" s="123"/>
      <c r="AB490" s="237"/>
      <c r="AC490" s="123"/>
      <c r="AD490" s="123"/>
      <c r="AE490" s="160"/>
      <c r="AF490" s="160"/>
      <c r="AH490" s="123"/>
      <c r="AI490" s="236"/>
      <c r="AJ490" s="236"/>
      <c r="AK490" s="233"/>
      <c r="AL490" s="184"/>
      <c r="AM490" s="123"/>
      <c r="AN490" s="123"/>
      <c r="AO490" s="236"/>
      <c r="AP490" s="236"/>
    </row>
    <row r="491" spans="1:42" x14ac:dyDescent="0.3">
      <c r="H491" s="210"/>
      <c r="I491" s="210"/>
      <c r="J491" s="213"/>
      <c r="K491" s="213"/>
      <c r="L491" s="210"/>
      <c r="M491" s="210"/>
      <c r="N491" s="210"/>
      <c r="O491" s="210"/>
      <c r="P491" s="210"/>
      <c r="Q491" s="210"/>
      <c r="R491" s="210"/>
      <c r="V491" s="210"/>
      <c r="AA491" s="210"/>
      <c r="AB491" s="213"/>
      <c r="AC491" s="210"/>
      <c r="AD491" s="210"/>
      <c r="AE491" s="210"/>
      <c r="AF491" s="210"/>
      <c r="AG491" s="214"/>
      <c r="AH491" s="210"/>
      <c r="AK491" s="214"/>
      <c r="AL491" s="210"/>
      <c r="AM491" s="210"/>
      <c r="AN491" s="210"/>
    </row>
    <row r="492" spans="1:42" x14ac:dyDescent="0.3">
      <c r="F492" s="210"/>
    </row>
    <row r="494" spans="1:42" x14ac:dyDescent="0.3">
      <c r="A494" s="42"/>
    </row>
    <row r="496" spans="1:42" x14ac:dyDescent="0.3">
      <c r="H496" s="42"/>
      <c r="I496" s="42"/>
      <c r="AA496" s="42"/>
    </row>
    <row r="498" spans="1:42" x14ac:dyDescent="0.3">
      <c r="L498" s="42"/>
      <c r="M498" s="42"/>
      <c r="AC498" s="42"/>
      <c r="AD498" s="42"/>
    </row>
    <row r="499" spans="1:42" x14ac:dyDescent="0.3">
      <c r="R499" s="42"/>
      <c r="AM499" s="42"/>
      <c r="AN499" s="42"/>
    </row>
    <row r="500" spans="1:42" x14ac:dyDescent="0.3">
      <c r="R500" s="42"/>
      <c r="AM500" s="42"/>
      <c r="AN500" s="42"/>
    </row>
    <row r="501" spans="1:42" x14ac:dyDescent="0.3">
      <c r="A501" s="42"/>
      <c r="R501" s="42"/>
      <c r="AM501" s="42"/>
      <c r="AN501" s="42"/>
    </row>
    <row r="502" spans="1:42" x14ac:dyDescent="0.3">
      <c r="L502" s="42"/>
      <c r="M502" s="42"/>
      <c r="AC502" s="42"/>
      <c r="AD502" s="42"/>
    </row>
    <row r="503" spans="1:42" x14ac:dyDescent="0.3">
      <c r="A503" s="135"/>
      <c r="B503" s="135"/>
      <c r="C503" s="135"/>
      <c r="D503" s="135"/>
      <c r="E503" s="135"/>
      <c r="F503" s="135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207"/>
      <c r="AH503" s="135"/>
      <c r="AI503" s="135"/>
      <c r="AJ503" s="135"/>
      <c r="AK503" s="207"/>
      <c r="AL503" s="135"/>
      <c r="AM503" s="135"/>
      <c r="AN503" s="135"/>
      <c r="AO503" s="135"/>
      <c r="AP503" s="135"/>
    </row>
    <row r="504" spans="1:42" x14ac:dyDescent="0.3">
      <c r="L504" s="44"/>
      <c r="M504" s="44"/>
      <c r="N504" s="44"/>
      <c r="O504" s="44"/>
      <c r="R504" s="44"/>
      <c r="AC504" s="44"/>
      <c r="AD504" s="44"/>
      <c r="AE504" s="44"/>
      <c r="AF504" s="44"/>
      <c r="AG504" s="168"/>
      <c r="AH504" s="44"/>
      <c r="AI504" s="44"/>
      <c r="AJ504" s="44"/>
      <c r="AM504" s="44"/>
      <c r="AN504" s="44"/>
      <c r="AO504" s="44"/>
      <c r="AP504" s="44"/>
    </row>
    <row r="505" spans="1:42" x14ac:dyDescent="0.3">
      <c r="L505" s="44"/>
      <c r="M505" s="44"/>
      <c r="N505" s="44"/>
      <c r="O505" s="44"/>
      <c r="R505" s="44"/>
      <c r="AB505" s="44"/>
      <c r="AC505" s="44"/>
      <c r="AD505" s="44"/>
      <c r="AE505" s="44"/>
      <c r="AF505" s="44"/>
      <c r="AG505" s="168"/>
      <c r="AH505" s="44"/>
      <c r="AI505" s="44"/>
      <c r="AJ505" s="44"/>
      <c r="AM505" s="44"/>
      <c r="AN505" s="44"/>
      <c r="AO505" s="44"/>
      <c r="AP505" s="44"/>
    </row>
    <row r="506" spans="1:42" x14ac:dyDescent="0.3">
      <c r="A506" s="44"/>
      <c r="C506" s="44"/>
      <c r="D506" s="44"/>
      <c r="E506" s="44"/>
      <c r="F506" s="44"/>
      <c r="J506" s="44"/>
      <c r="K506" s="44"/>
      <c r="L506" s="44"/>
      <c r="M506" s="44"/>
      <c r="N506" s="44"/>
      <c r="O506" s="44"/>
      <c r="P506" s="44"/>
      <c r="Q506" s="44"/>
      <c r="R506" s="44"/>
      <c r="T506" s="44"/>
      <c r="U506" s="44"/>
      <c r="V506" s="44"/>
      <c r="AB506" s="44"/>
      <c r="AC506" s="44"/>
      <c r="AD506" s="44"/>
      <c r="AE506" s="44"/>
      <c r="AF506" s="44"/>
      <c r="AG506" s="168"/>
      <c r="AH506" s="44"/>
      <c r="AI506" s="44"/>
      <c r="AJ506" s="44"/>
      <c r="AK506" s="168"/>
      <c r="AL506" s="44"/>
      <c r="AM506" s="44"/>
      <c r="AN506" s="44"/>
      <c r="AO506" s="44"/>
      <c r="AP506" s="44"/>
    </row>
    <row r="507" spans="1:42" x14ac:dyDescent="0.3">
      <c r="A507" s="44"/>
      <c r="C507" s="44"/>
      <c r="D507" s="44"/>
      <c r="E507" s="44"/>
      <c r="F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T507" s="44"/>
      <c r="U507" s="44"/>
      <c r="V507" s="44"/>
      <c r="AA507" s="44"/>
      <c r="AB507" s="44"/>
      <c r="AC507" s="44"/>
      <c r="AD507" s="44"/>
      <c r="AE507" s="44"/>
      <c r="AF507" s="44"/>
      <c r="AG507" s="168"/>
      <c r="AH507" s="44"/>
      <c r="AI507" s="44"/>
      <c r="AJ507" s="44"/>
      <c r="AK507" s="168"/>
      <c r="AL507" s="44"/>
      <c r="AM507" s="44"/>
      <c r="AN507" s="44"/>
      <c r="AO507" s="44"/>
      <c r="AP507" s="44"/>
    </row>
    <row r="508" spans="1:42" x14ac:dyDescent="0.3">
      <c r="C508" s="44"/>
      <c r="D508" s="44"/>
      <c r="E508" s="44"/>
      <c r="F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T508" s="44"/>
      <c r="U508" s="44"/>
      <c r="V508" s="44"/>
      <c r="AA508" s="44"/>
      <c r="AB508" s="44"/>
      <c r="AC508" s="44"/>
      <c r="AD508" s="44"/>
      <c r="AE508" s="44"/>
      <c r="AF508" s="44"/>
      <c r="AG508" s="168"/>
      <c r="AH508" s="44"/>
      <c r="AI508" s="44"/>
      <c r="AJ508" s="44"/>
      <c r="AK508" s="168"/>
      <c r="AL508" s="44"/>
      <c r="AM508" s="44"/>
      <c r="AN508" s="44"/>
      <c r="AO508" s="44"/>
      <c r="AP508" s="44"/>
    </row>
    <row r="509" spans="1:42" x14ac:dyDescent="0.3">
      <c r="A509" s="135"/>
      <c r="B509" s="135"/>
      <c r="C509" s="135"/>
      <c r="D509" s="135"/>
      <c r="E509" s="135"/>
      <c r="F509" s="135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207"/>
      <c r="AH509" s="135"/>
      <c r="AI509" s="135"/>
      <c r="AJ509" s="135"/>
      <c r="AK509" s="207"/>
      <c r="AL509" s="135"/>
      <c r="AM509" s="135"/>
      <c r="AN509" s="135"/>
      <c r="AO509" s="135"/>
      <c r="AP509" s="135"/>
    </row>
    <row r="510" spans="1:42" x14ac:dyDescent="0.3"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AA510" s="44"/>
      <c r="AB510" s="44"/>
      <c r="AC510" s="44"/>
      <c r="AD510" s="44"/>
      <c r="AE510" s="44"/>
      <c r="AF510" s="44"/>
      <c r="AG510" s="168"/>
      <c r="AH510" s="44"/>
      <c r="AI510" s="44"/>
      <c r="AJ510" s="44"/>
      <c r="AK510" s="168"/>
      <c r="AL510" s="44"/>
      <c r="AM510" s="44"/>
      <c r="AN510" s="44"/>
      <c r="AO510" s="44"/>
      <c r="AP510" s="44"/>
    </row>
    <row r="511" spans="1:42" x14ac:dyDescent="0.3">
      <c r="C511" s="42"/>
      <c r="D511" s="42"/>
      <c r="E511" s="42"/>
      <c r="T511" s="42"/>
      <c r="U511" s="42"/>
    </row>
    <row r="513" spans="3:42" x14ac:dyDescent="0.3">
      <c r="C513" s="42"/>
      <c r="T513" s="42"/>
    </row>
    <row r="514" spans="3:42" x14ac:dyDescent="0.3">
      <c r="C514" s="42"/>
      <c r="T514" s="42"/>
    </row>
    <row r="515" spans="3:42" x14ac:dyDescent="0.3">
      <c r="C515" s="42"/>
      <c r="F515" s="184"/>
      <c r="H515" s="184"/>
      <c r="I515" s="184"/>
      <c r="J515" s="238"/>
      <c r="K515" s="238"/>
      <c r="L515" s="123"/>
      <c r="M515" s="123"/>
      <c r="N515" s="160"/>
      <c r="O515" s="160"/>
      <c r="P515" s="123"/>
      <c r="Q515" s="123"/>
      <c r="R515" s="123"/>
      <c r="T515" s="42"/>
      <c r="V515" s="123"/>
      <c r="W515" s="123"/>
      <c r="X515" s="123"/>
      <c r="Y515" s="123"/>
      <c r="Z515" s="123"/>
      <c r="AA515" s="123"/>
      <c r="AB515" s="238"/>
      <c r="AC515" s="123"/>
      <c r="AD515" s="123"/>
      <c r="AE515" s="160"/>
      <c r="AF515" s="160"/>
      <c r="AH515" s="123"/>
      <c r="AI515" s="236"/>
      <c r="AJ515" s="236"/>
      <c r="AL515" s="123"/>
      <c r="AM515" s="123"/>
      <c r="AN515" s="123"/>
      <c r="AO515" s="236"/>
      <c r="AP515" s="236"/>
    </row>
    <row r="516" spans="3:42" x14ac:dyDescent="0.3">
      <c r="C516" s="42"/>
      <c r="F516" s="123"/>
      <c r="H516" s="123"/>
      <c r="I516" s="123"/>
      <c r="J516" s="188"/>
      <c r="K516" s="188"/>
      <c r="L516" s="123"/>
      <c r="M516" s="123"/>
      <c r="N516" s="160"/>
      <c r="O516" s="160"/>
      <c r="P516" s="123"/>
      <c r="Q516" s="123"/>
      <c r="R516" s="123"/>
      <c r="T516" s="42"/>
      <c r="V516" s="123"/>
      <c r="W516" s="123"/>
      <c r="X516" s="123"/>
      <c r="Y516" s="123"/>
      <c r="Z516" s="123"/>
      <c r="AA516" s="123"/>
      <c r="AB516" s="188"/>
      <c r="AC516" s="123"/>
      <c r="AD516" s="123"/>
      <c r="AE516" s="160"/>
      <c r="AF516" s="160"/>
      <c r="AH516" s="123"/>
      <c r="AI516" s="236"/>
      <c r="AJ516" s="236"/>
      <c r="AL516" s="123"/>
      <c r="AM516" s="123"/>
      <c r="AN516" s="123"/>
      <c r="AO516" s="236"/>
      <c r="AP516" s="236"/>
    </row>
    <row r="517" spans="3:42" x14ac:dyDescent="0.3">
      <c r="C517" s="42"/>
      <c r="F517" s="123"/>
      <c r="H517" s="123"/>
      <c r="I517" s="123"/>
      <c r="J517" s="188"/>
      <c r="K517" s="188"/>
      <c r="L517" s="123"/>
      <c r="M517" s="123"/>
      <c r="N517" s="160"/>
      <c r="O517" s="160"/>
      <c r="P517" s="123"/>
      <c r="Q517" s="123"/>
      <c r="R517" s="123"/>
      <c r="T517" s="42"/>
      <c r="V517" s="123"/>
      <c r="W517" s="123"/>
      <c r="X517" s="123"/>
      <c r="Y517" s="123"/>
      <c r="Z517" s="123"/>
      <c r="AA517" s="123"/>
      <c r="AB517" s="188"/>
      <c r="AC517" s="123"/>
      <c r="AD517" s="123"/>
      <c r="AE517" s="160"/>
      <c r="AF517" s="160"/>
      <c r="AH517" s="123"/>
      <c r="AI517" s="236"/>
      <c r="AJ517" s="236"/>
      <c r="AL517" s="123"/>
      <c r="AM517" s="123"/>
      <c r="AN517" s="123"/>
      <c r="AO517" s="236"/>
      <c r="AP517" s="236"/>
    </row>
    <row r="518" spans="3:42" x14ac:dyDescent="0.3">
      <c r="C518" s="42"/>
      <c r="F518" s="123"/>
      <c r="H518" s="123"/>
      <c r="I518" s="123"/>
      <c r="J518" s="188"/>
      <c r="K518" s="188"/>
      <c r="T518" s="42"/>
      <c r="V518" s="123"/>
      <c r="AB518" s="188"/>
    </row>
    <row r="519" spans="3:42" x14ac:dyDescent="0.3">
      <c r="C519" s="42"/>
      <c r="F519" s="184"/>
      <c r="H519" s="184"/>
      <c r="I519" s="184"/>
      <c r="J519" s="238"/>
      <c r="K519" s="238"/>
      <c r="L519" s="123"/>
      <c r="M519" s="123"/>
      <c r="N519" s="160"/>
      <c r="O519" s="160"/>
      <c r="P519" s="123"/>
      <c r="Q519" s="123"/>
      <c r="R519" s="123"/>
      <c r="T519" s="42"/>
      <c r="V519" s="123"/>
      <c r="W519" s="123"/>
      <c r="X519" s="123"/>
      <c r="Y519" s="123"/>
      <c r="Z519" s="123"/>
      <c r="AA519" s="123"/>
      <c r="AB519" s="238"/>
      <c r="AC519" s="123"/>
      <c r="AD519" s="123"/>
      <c r="AE519" s="160"/>
      <c r="AF519" s="160"/>
      <c r="AH519" s="123"/>
      <c r="AI519" s="236"/>
      <c r="AJ519" s="236"/>
      <c r="AL519" s="123"/>
      <c r="AM519" s="123"/>
      <c r="AN519" s="123"/>
      <c r="AO519" s="236"/>
      <c r="AP519" s="236"/>
    </row>
    <row r="520" spans="3:42" x14ac:dyDescent="0.3">
      <c r="C520" s="42"/>
      <c r="F520" s="123"/>
      <c r="H520" s="123"/>
      <c r="I520" s="123"/>
      <c r="J520" s="188"/>
      <c r="K520" s="188"/>
      <c r="T520" s="42"/>
      <c r="V520" s="123"/>
      <c r="W520" s="123"/>
      <c r="X520" s="123"/>
      <c r="Y520" s="123"/>
      <c r="Z520" s="123"/>
      <c r="AA520" s="123"/>
      <c r="AB520" s="188"/>
      <c r="AE520" s="160"/>
      <c r="AF520" s="160"/>
      <c r="AH520" s="123"/>
      <c r="AI520" s="236"/>
      <c r="AJ520" s="236"/>
      <c r="AL520" s="123"/>
      <c r="AM520" s="123"/>
      <c r="AN520" s="123"/>
      <c r="AO520" s="236"/>
      <c r="AP520" s="236"/>
    </row>
    <row r="521" spans="3:42" x14ac:dyDescent="0.3">
      <c r="C521" s="42"/>
      <c r="F521" s="184"/>
      <c r="H521" s="184"/>
      <c r="I521" s="184"/>
      <c r="J521" s="238"/>
      <c r="K521" s="238"/>
      <c r="L521" s="123"/>
      <c r="M521" s="123"/>
      <c r="N521" s="160"/>
      <c r="O521" s="160"/>
      <c r="P521" s="123"/>
      <c r="Q521" s="123"/>
      <c r="R521" s="123"/>
      <c r="T521" s="42"/>
      <c r="V521" s="123"/>
      <c r="W521" s="123"/>
      <c r="X521" s="123"/>
      <c r="Y521" s="123"/>
      <c r="Z521" s="123"/>
      <c r="AA521" s="123"/>
      <c r="AB521" s="238"/>
      <c r="AC521" s="123"/>
      <c r="AD521" s="123"/>
      <c r="AE521" s="160"/>
      <c r="AF521" s="160"/>
      <c r="AH521" s="123"/>
      <c r="AI521" s="236"/>
      <c r="AJ521" s="236"/>
      <c r="AL521" s="123"/>
      <c r="AM521" s="123"/>
      <c r="AN521" s="123"/>
      <c r="AO521" s="236"/>
      <c r="AP521" s="236"/>
    </row>
    <row r="522" spans="3:42" x14ac:dyDescent="0.3">
      <c r="C522" s="42"/>
      <c r="F522" s="123"/>
      <c r="H522" s="123"/>
      <c r="I522" s="123"/>
      <c r="J522" s="188"/>
      <c r="K522" s="188"/>
      <c r="L522" s="123"/>
      <c r="M522" s="123"/>
      <c r="N522" s="160"/>
      <c r="O522" s="160"/>
      <c r="P522" s="123"/>
      <c r="Q522" s="123"/>
      <c r="R522" s="123"/>
      <c r="T522" s="42"/>
      <c r="V522" s="123"/>
      <c r="W522" s="123"/>
      <c r="X522" s="123"/>
      <c r="Y522" s="123"/>
      <c r="Z522" s="123"/>
      <c r="AA522" s="123"/>
      <c r="AB522" s="188"/>
      <c r="AC522" s="123"/>
      <c r="AD522" s="123"/>
      <c r="AE522" s="160"/>
      <c r="AF522" s="160"/>
      <c r="AH522" s="123"/>
      <c r="AI522" s="236"/>
      <c r="AJ522" s="236"/>
      <c r="AL522" s="123"/>
      <c r="AM522" s="123"/>
      <c r="AN522" s="123"/>
      <c r="AO522" s="236"/>
      <c r="AP522" s="236"/>
    </row>
    <row r="523" spans="3:42" x14ac:dyDescent="0.3">
      <c r="F523" s="123"/>
      <c r="H523" s="123"/>
      <c r="I523" s="123"/>
      <c r="J523" s="188"/>
      <c r="K523" s="188"/>
      <c r="AB523" s="188"/>
    </row>
    <row r="524" spans="3:42" x14ac:dyDescent="0.3">
      <c r="C524" s="42"/>
      <c r="F524" s="123"/>
      <c r="H524" s="184"/>
      <c r="I524" s="184"/>
      <c r="J524" s="238"/>
      <c r="K524" s="238"/>
      <c r="L524" s="123"/>
      <c r="M524" s="123"/>
      <c r="N524" s="160"/>
      <c r="O524" s="160"/>
      <c r="P524" s="123"/>
      <c r="Q524" s="123"/>
      <c r="R524" s="123"/>
      <c r="T524" s="42"/>
      <c r="V524" s="123"/>
      <c r="W524" s="123"/>
      <c r="X524" s="123"/>
      <c r="Y524" s="123"/>
      <c r="Z524" s="123"/>
      <c r="AA524" s="123"/>
      <c r="AB524" s="238"/>
      <c r="AC524" s="123"/>
      <c r="AD524" s="123"/>
      <c r="AE524" s="160"/>
      <c r="AF524" s="160"/>
      <c r="AH524" s="123"/>
      <c r="AI524" s="236"/>
      <c r="AJ524" s="236"/>
      <c r="AL524" s="123"/>
      <c r="AM524" s="123"/>
      <c r="AN524" s="123"/>
      <c r="AO524" s="236"/>
      <c r="AP524" s="236"/>
    </row>
    <row r="525" spans="3:42" x14ac:dyDescent="0.3">
      <c r="F525" s="210"/>
      <c r="H525" s="210"/>
      <c r="I525" s="210"/>
      <c r="J525" s="238"/>
      <c r="K525" s="238"/>
      <c r="L525" s="210"/>
      <c r="M525" s="210"/>
      <c r="N525" s="210"/>
      <c r="O525" s="210"/>
      <c r="P525" s="210"/>
      <c r="Q525" s="210"/>
      <c r="R525" s="210"/>
      <c r="V525" s="210"/>
      <c r="AA525" s="210"/>
      <c r="AB525" s="238"/>
      <c r="AC525" s="210"/>
      <c r="AD525" s="210"/>
      <c r="AE525" s="210"/>
      <c r="AF525" s="210"/>
      <c r="AG525" s="214"/>
      <c r="AH525" s="210"/>
      <c r="AK525" s="214"/>
      <c r="AL525" s="210"/>
      <c r="AM525" s="210"/>
      <c r="AN525" s="210"/>
    </row>
    <row r="526" spans="3:42" x14ac:dyDescent="0.3">
      <c r="C526" s="42"/>
      <c r="F526" s="123"/>
      <c r="H526" s="123"/>
      <c r="I526" s="123"/>
      <c r="J526" s="188"/>
      <c r="K526" s="188"/>
      <c r="L526" s="123"/>
      <c r="M526" s="123"/>
      <c r="P526" s="123"/>
      <c r="Q526" s="123"/>
      <c r="R526" s="123"/>
      <c r="T526" s="42"/>
      <c r="V526" s="123"/>
      <c r="AA526" s="123"/>
      <c r="AB526" s="188"/>
      <c r="AC526" s="123"/>
      <c r="AD526" s="123"/>
      <c r="AE526" s="236"/>
      <c r="AF526" s="236"/>
      <c r="AH526" s="123"/>
      <c r="AI526" s="236"/>
      <c r="AJ526" s="236"/>
      <c r="AL526" s="123"/>
      <c r="AM526" s="123"/>
      <c r="AN526" s="123"/>
      <c r="AO526" s="236"/>
      <c r="AP526" s="236"/>
    </row>
    <row r="527" spans="3:42" x14ac:dyDescent="0.3">
      <c r="F527" s="210"/>
      <c r="H527" s="210"/>
      <c r="I527" s="210"/>
      <c r="J527" s="238"/>
      <c r="K527" s="238"/>
      <c r="L527" s="210"/>
      <c r="M527" s="210"/>
      <c r="N527" s="210"/>
      <c r="O527" s="210"/>
      <c r="P527" s="210"/>
      <c r="Q527" s="210"/>
      <c r="R527" s="210"/>
      <c r="V527" s="210"/>
      <c r="AA527" s="210"/>
      <c r="AB527" s="238"/>
      <c r="AC527" s="210"/>
      <c r="AD527" s="210"/>
      <c r="AE527" s="210"/>
      <c r="AF527" s="210"/>
      <c r="AG527" s="214"/>
      <c r="AH527" s="210"/>
      <c r="AK527" s="214"/>
      <c r="AL527" s="210"/>
      <c r="AM527" s="210"/>
      <c r="AN527" s="210"/>
    </row>
    <row r="528" spans="3:42" x14ac:dyDescent="0.3">
      <c r="J528" s="188"/>
      <c r="K528" s="188"/>
      <c r="AB528" s="188"/>
    </row>
    <row r="529" spans="1:42" x14ac:dyDescent="0.3">
      <c r="C529" s="42"/>
      <c r="J529" s="188"/>
      <c r="K529" s="188"/>
      <c r="T529" s="42"/>
      <c r="AB529" s="188"/>
    </row>
    <row r="530" spans="1:42" x14ac:dyDescent="0.3">
      <c r="C530" s="42"/>
      <c r="J530" s="188"/>
      <c r="K530" s="188"/>
      <c r="T530" s="42"/>
      <c r="AB530" s="188"/>
    </row>
    <row r="531" spans="1:42" x14ac:dyDescent="0.3">
      <c r="C531" s="42"/>
      <c r="F531" s="184"/>
      <c r="H531" s="184"/>
      <c r="I531" s="184"/>
      <c r="J531" s="238"/>
      <c r="K531" s="238"/>
      <c r="L531" s="123"/>
      <c r="M531" s="123"/>
      <c r="N531" s="160"/>
      <c r="O531" s="160"/>
      <c r="P531" s="123"/>
      <c r="Q531" s="123"/>
      <c r="R531" s="123"/>
      <c r="T531" s="42"/>
      <c r="V531" s="123"/>
      <c r="W531" s="123"/>
      <c r="X531" s="123"/>
      <c r="Y531" s="123"/>
      <c r="Z531" s="123"/>
      <c r="AA531" s="123"/>
      <c r="AB531" s="238"/>
      <c r="AC531" s="123"/>
      <c r="AD531" s="123"/>
      <c r="AE531" s="160"/>
      <c r="AF531" s="160"/>
      <c r="AH531" s="123"/>
      <c r="AI531" s="236"/>
      <c r="AJ531" s="236"/>
      <c r="AL531" s="123"/>
      <c r="AM531" s="123"/>
      <c r="AN531" s="123"/>
      <c r="AO531" s="236"/>
      <c r="AP531" s="236"/>
    </row>
    <row r="532" spans="1:42" x14ac:dyDescent="0.3">
      <c r="C532" s="42"/>
      <c r="J532" s="188"/>
      <c r="K532" s="188"/>
      <c r="T532" s="42"/>
      <c r="AB532" s="188"/>
    </row>
    <row r="533" spans="1:42" x14ac:dyDescent="0.3">
      <c r="C533" s="42"/>
      <c r="F533" s="184"/>
      <c r="H533" s="184"/>
      <c r="I533" s="184"/>
      <c r="J533" s="238"/>
      <c r="K533" s="238"/>
      <c r="L533" s="123"/>
      <c r="M533" s="123"/>
      <c r="N533" s="160"/>
      <c r="O533" s="160"/>
      <c r="P533" s="123"/>
      <c r="Q533" s="123"/>
      <c r="R533" s="123"/>
      <c r="T533" s="42"/>
      <c r="V533" s="123"/>
      <c r="W533" s="123"/>
      <c r="X533" s="123"/>
      <c r="Y533" s="123"/>
      <c r="Z533" s="123"/>
      <c r="AA533" s="123"/>
      <c r="AB533" s="238"/>
      <c r="AC533" s="123"/>
      <c r="AD533" s="123"/>
      <c r="AE533" s="160"/>
      <c r="AF533" s="160"/>
      <c r="AH533" s="123"/>
      <c r="AI533" s="236"/>
      <c r="AJ533" s="236"/>
      <c r="AL533" s="123"/>
      <c r="AM533" s="123"/>
      <c r="AN533" s="123"/>
      <c r="AO533" s="236"/>
      <c r="AP533" s="236"/>
    </row>
    <row r="534" spans="1:42" x14ac:dyDescent="0.3">
      <c r="F534" s="210"/>
      <c r="H534" s="210"/>
      <c r="I534" s="210"/>
      <c r="J534" s="238"/>
      <c r="K534" s="238"/>
      <c r="L534" s="210"/>
      <c r="M534" s="210"/>
      <c r="N534" s="210"/>
      <c r="O534" s="210"/>
      <c r="P534" s="210"/>
      <c r="Q534" s="210"/>
      <c r="R534" s="210"/>
      <c r="V534" s="210"/>
      <c r="AA534" s="210"/>
      <c r="AB534" s="238"/>
      <c r="AC534" s="210"/>
      <c r="AD534" s="210"/>
      <c r="AE534" s="210"/>
      <c r="AF534" s="210"/>
      <c r="AG534" s="214"/>
      <c r="AH534" s="210"/>
      <c r="AK534" s="214"/>
      <c r="AL534" s="210"/>
      <c r="AM534" s="210"/>
      <c r="AN534" s="210"/>
    </row>
    <row r="535" spans="1:42" x14ac:dyDescent="0.3">
      <c r="C535" s="42"/>
      <c r="F535" s="123"/>
      <c r="H535" s="123"/>
      <c r="I535" s="123"/>
      <c r="J535" s="188"/>
      <c r="K535" s="188"/>
      <c r="L535" s="123"/>
      <c r="M535" s="123"/>
      <c r="N535" s="236"/>
      <c r="O535" s="236"/>
      <c r="P535" s="123"/>
      <c r="Q535" s="123"/>
      <c r="R535" s="123"/>
      <c r="T535" s="42"/>
      <c r="V535" s="123"/>
      <c r="AA535" s="123"/>
      <c r="AB535" s="188"/>
      <c r="AC535" s="123"/>
      <c r="AD535" s="123"/>
      <c r="AE535" s="236"/>
      <c r="AF535" s="236"/>
      <c r="AH535" s="123"/>
      <c r="AI535" s="236"/>
      <c r="AJ535" s="236"/>
      <c r="AL535" s="123"/>
      <c r="AM535" s="123"/>
      <c r="AN535" s="123"/>
      <c r="AO535" s="236"/>
      <c r="AP535" s="236"/>
    </row>
    <row r="536" spans="1:42" x14ac:dyDescent="0.3">
      <c r="F536" s="210"/>
      <c r="H536" s="210"/>
      <c r="I536" s="210"/>
      <c r="J536" s="238"/>
      <c r="K536" s="238"/>
      <c r="L536" s="210"/>
      <c r="M536" s="210"/>
      <c r="N536" s="210"/>
      <c r="O536" s="210"/>
      <c r="P536" s="210"/>
      <c r="Q536" s="210"/>
      <c r="R536" s="210"/>
      <c r="V536" s="210"/>
      <c r="AA536" s="210"/>
      <c r="AB536" s="213"/>
      <c r="AC536" s="210"/>
      <c r="AD536" s="210"/>
      <c r="AE536" s="210"/>
      <c r="AF536" s="210"/>
      <c r="AG536" s="214"/>
      <c r="AH536" s="210"/>
      <c r="AK536" s="214"/>
      <c r="AL536" s="210"/>
      <c r="AM536" s="210"/>
      <c r="AN536" s="210"/>
    </row>
    <row r="537" spans="1:42" x14ac:dyDescent="0.3">
      <c r="J537" s="188"/>
      <c r="K537" s="188"/>
    </row>
    <row r="538" spans="1:42" x14ac:dyDescent="0.3">
      <c r="C538" s="42"/>
      <c r="F538" s="123"/>
      <c r="H538" s="123"/>
      <c r="I538" s="123"/>
      <c r="J538" s="188"/>
      <c r="K538" s="188"/>
      <c r="L538" s="123"/>
      <c r="M538" s="123"/>
      <c r="N538" s="160"/>
      <c r="O538" s="160"/>
      <c r="P538" s="184"/>
      <c r="Q538" s="184"/>
      <c r="R538" s="123"/>
      <c r="T538" s="42"/>
      <c r="V538" s="123"/>
      <c r="AA538" s="123"/>
      <c r="AC538" s="123"/>
      <c r="AD538" s="123"/>
      <c r="AE538" s="236"/>
      <c r="AF538" s="236"/>
      <c r="AH538" s="123"/>
      <c r="AI538" s="236"/>
      <c r="AJ538" s="236"/>
      <c r="AK538" s="233"/>
      <c r="AL538" s="184"/>
      <c r="AM538" s="123"/>
      <c r="AN538" s="123"/>
      <c r="AO538" s="236"/>
      <c r="AP538" s="236"/>
    </row>
    <row r="539" spans="1:42" x14ac:dyDescent="0.3">
      <c r="H539" s="210"/>
      <c r="I539" s="210"/>
      <c r="J539" s="238"/>
      <c r="K539" s="238"/>
      <c r="L539" s="210"/>
      <c r="M539" s="210"/>
      <c r="N539" s="210"/>
      <c r="O539" s="210"/>
      <c r="P539" s="210"/>
      <c r="Q539" s="210"/>
      <c r="R539" s="210"/>
      <c r="V539" s="210"/>
      <c r="AA539" s="210"/>
      <c r="AB539" s="213"/>
      <c r="AC539" s="210"/>
      <c r="AD539" s="210"/>
      <c r="AE539" s="210"/>
      <c r="AF539" s="210"/>
      <c r="AG539" s="214"/>
      <c r="AH539" s="210"/>
      <c r="AK539" s="214"/>
      <c r="AL539" s="210"/>
      <c r="AM539" s="210"/>
      <c r="AN539" s="210"/>
    </row>
    <row r="540" spans="1:42" x14ac:dyDescent="0.3">
      <c r="F540" s="210"/>
    </row>
    <row r="542" spans="1:42" x14ac:dyDescent="0.3">
      <c r="A542" s="42"/>
    </row>
    <row r="544" spans="1:42" x14ac:dyDescent="0.3">
      <c r="H544" s="42"/>
      <c r="I544" s="42"/>
      <c r="AA544" s="42"/>
    </row>
    <row r="546" spans="1:42" x14ac:dyDescent="0.3">
      <c r="L546" s="42"/>
      <c r="M546" s="42"/>
      <c r="AC546" s="42"/>
      <c r="AD546" s="42"/>
    </row>
    <row r="547" spans="1:42" x14ac:dyDescent="0.3">
      <c r="R547" s="42"/>
      <c r="AM547" s="42"/>
      <c r="AN547" s="42"/>
    </row>
    <row r="548" spans="1:42" x14ac:dyDescent="0.3">
      <c r="R548" s="42"/>
      <c r="AM548" s="42"/>
      <c r="AN548" s="42"/>
    </row>
    <row r="549" spans="1:42" x14ac:dyDescent="0.3">
      <c r="A549" s="42"/>
      <c r="R549" s="42"/>
      <c r="AM549" s="42"/>
      <c r="AN549" s="42"/>
    </row>
    <row r="550" spans="1:42" x14ac:dyDescent="0.3">
      <c r="L550" s="42"/>
      <c r="M550" s="42"/>
      <c r="AC550" s="42"/>
      <c r="AD550" s="42"/>
    </row>
    <row r="551" spans="1:42" x14ac:dyDescent="0.3">
      <c r="A551" s="135"/>
      <c r="B551" s="135"/>
      <c r="C551" s="135"/>
      <c r="D551" s="135"/>
      <c r="E551" s="135"/>
      <c r="F551" s="135"/>
      <c r="G551" s="135"/>
      <c r="H551" s="135"/>
      <c r="I551" s="135"/>
      <c r="J551" s="135"/>
      <c r="K551" s="135"/>
      <c r="L551" s="135"/>
      <c r="M551" s="135"/>
      <c r="N551" s="135"/>
      <c r="O551" s="135"/>
      <c r="P551" s="135"/>
      <c r="Q551" s="135"/>
      <c r="R551" s="135"/>
      <c r="T551" s="135"/>
      <c r="U551" s="135"/>
      <c r="V551" s="135"/>
      <c r="W551" s="135"/>
      <c r="X551" s="135"/>
      <c r="Y551" s="135"/>
      <c r="Z551" s="135"/>
      <c r="AA551" s="135"/>
      <c r="AB551" s="135"/>
      <c r="AC551" s="135"/>
      <c r="AD551" s="135"/>
      <c r="AE551" s="135"/>
      <c r="AF551" s="135"/>
      <c r="AG551" s="207"/>
      <c r="AH551" s="135"/>
      <c r="AI551" s="135"/>
      <c r="AJ551" s="135"/>
      <c r="AK551" s="207"/>
      <c r="AL551" s="135"/>
      <c r="AM551" s="135"/>
      <c r="AN551" s="135"/>
      <c r="AO551" s="135"/>
      <c r="AP551" s="135"/>
    </row>
    <row r="552" spans="1:42" x14ac:dyDescent="0.3">
      <c r="L552" s="44"/>
      <c r="M552" s="44"/>
      <c r="N552" s="44"/>
      <c r="O552" s="44"/>
      <c r="R552" s="44"/>
      <c r="AC552" s="44"/>
      <c r="AD552" s="44"/>
      <c r="AE552" s="44"/>
      <c r="AF552" s="44"/>
      <c r="AG552" s="168"/>
      <c r="AH552" s="44"/>
      <c r="AI552" s="44"/>
      <c r="AJ552" s="44"/>
      <c r="AM552" s="44"/>
      <c r="AN552" s="44"/>
      <c r="AO552" s="44"/>
      <c r="AP552" s="44"/>
    </row>
    <row r="553" spans="1:42" x14ac:dyDescent="0.3">
      <c r="L553" s="44"/>
      <c r="M553" s="44"/>
      <c r="N553" s="44"/>
      <c r="O553" s="44"/>
      <c r="R553" s="44"/>
      <c r="AB553" s="44"/>
      <c r="AC553" s="44"/>
      <c r="AD553" s="44"/>
      <c r="AE553" s="44"/>
      <c r="AF553" s="44"/>
      <c r="AG553" s="168"/>
      <c r="AH553" s="44"/>
      <c r="AI553" s="44"/>
      <c r="AJ553" s="44"/>
      <c r="AM553" s="44"/>
      <c r="AN553" s="44"/>
      <c r="AO553" s="44"/>
      <c r="AP553" s="44"/>
    </row>
    <row r="554" spans="1:42" x14ac:dyDescent="0.3">
      <c r="A554" s="44"/>
      <c r="C554" s="44"/>
      <c r="D554" s="44"/>
      <c r="E554" s="44"/>
      <c r="F554" s="44"/>
      <c r="J554" s="44"/>
      <c r="K554" s="44"/>
      <c r="L554" s="44"/>
      <c r="M554" s="44"/>
      <c r="N554" s="44"/>
      <c r="O554" s="44"/>
      <c r="P554" s="44"/>
      <c r="Q554" s="44"/>
      <c r="R554" s="44"/>
      <c r="T554" s="44"/>
      <c r="U554" s="44"/>
      <c r="V554" s="44"/>
      <c r="AB554" s="44"/>
      <c r="AC554" s="44"/>
      <c r="AD554" s="44"/>
      <c r="AE554" s="44"/>
      <c r="AF554" s="44"/>
      <c r="AG554" s="168"/>
      <c r="AH554" s="44"/>
      <c r="AI554" s="44"/>
      <c r="AJ554" s="44"/>
      <c r="AK554" s="168"/>
      <c r="AL554" s="44"/>
      <c r="AM554" s="44"/>
      <c r="AN554" s="44"/>
      <c r="AO554" s="44"/>
      <c r="AP554" s="44"/>
    </row>
    <row r="555" spans="1:42" x14ac:dyDescent="0.3">
      <c r="A555" s="44"/>
      <c r="C555" s="44"/>
      <c r="D555" s="44"/>
      <c r="E555" s="44"/>
      <c r="F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T555" s="44"/>
      <c r="U555" s="44"/>
      <c r="V555" s="44"/>
      <c r="AA555" s="44"/>
      <c r="AB555" s="44"/>
      <c r="AC555" s="44"/>
      <c r="AD555" s="44"/>
      <c r="AE555" s="44"/>
      <c r="AF555" s="44"/>
      <c r="AG555" s="168"/>
      <c r="AH555" s="44"/>
      <c r="AI555" s="44"/>
      <c r="AJ555" s="44"/>
      <c r="AK555" s="168"/>
      <c r="AL555" s="44"/>
      <c r="AM555" s="44"/>
      <c r="AN555" s="44"/>
      <c r="AO555" s="44"/>
      <c r="AP555" s="44"/>
    </row>
    <row r="556" spans="1:42" x14ac:dyDescent="0.3">
      <c r="C556" s="44"/>
      <c r="D556" s="44"/>
      <c r="E556" s="44"/>
      <c r="F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T556" s="44"/>
      <c r="U556" s="44"/>
      <c r="V556" s="44"/>
      <c r="AA556" s="44"/>
      <c r="AB556" s="44"/>
      <c r="AC556" s="44"/>
      <c r="AD556" s="44"/>
      <c r="AE556" s="44"/>
      <c r="AF556" s="44"/>
      <c r="AG556" s="168"/>
      <c r="AH556" s="44"/>
      <c r="AI556" s="44"/>
      <c r="AJ556" s="44"/>
      <c r="AK556" s="168"/>
      <c r="AL556" s="44"/>
      <c r="AM556" s="44"/>
      <c r="AN556" s="44"/>
      <c r="AO556" s="44"/>
      <c r="AP556" s="44"/>
    </row>
    <row r="557" spans="1:42" x14ac:dyDescent="0.3">
      <c r="A557" s="135"/>
      <c r="B557" s="135"/>
      <c r="C557" s="135"/>
      <c r="D557" s="135"/>
      <c r="E557" s="135"/>
      <c r="F557" s="135"/>
      <c r="G557" s="135"/>
      <c r="H557" s="135"/>
      <c r="I557" s="135"/>
      <c r="J557" s="135"/>
      <c r="K557" s="135"/>
      <c r="L557" s="135"/>
      <c r="M557" s="135"/>
      <c r="N557" s="135"/>
      <c r="O557" s="135"/>
      <c r="P557" s="135"/>
      <c r="Q557" s="135"/>
      <c r="R557" s="135"/>
      <c r="T557" s="135"/>
      <c r="U557" s="135"/>
      <c r="V557" s="135"/>
      <c r="W557" s="135"/>
      <c r="X557" s="135"/>
      <c r="Y557" s="135"/>
      <c r="Z557" s="135"/>
      <c r="AA557" s="135"/>
      <c r="AB557" s="135"/>
      <c r="AC557" s="135"/>
      <c r="AD557" s="135"/>
      <c r="AE557" s="135"/>
      <c r="AF557" s="135"/>
      <c r="AG557" s="207"/>
      <c r="AH557" s="135"/>
      <c r="AI557" s="135"/>
      <c r="AJ557" s="135"/>
      <c r="AK557" s="207"/>
      <c r="AL557" s="135"/>
      <c r="AM557" s="135"/>
      <c r="AN557" s="135"/>
      <c r="AO557" s="135"/>
      <c r="AP557" s="135"/>
    </row>
    <row r="558" spans="1:42" x14ac:dyDescent="0.3"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AA558" s="44"/>
      <c r="AB558" s="44"/>
      <c r="AC558" s="44"/>
      <c r="AD558" s="44"/>
      <c r="AE558" s="44"/>
      <c r="AF558" s="44"/>
      <c r="AG558" s="168"/>
      <c r="AH558" s="44"/>
      <c r="AI558" s="44"/>
      <c r="AJ558" s="44"/>
      <c r="AK558" s="168"/>
      <c r="AL558" s="44"/>
      <c r="AM558" s="44"/>
      <c r="AN558" s="44"/>
      <c r="AO558" s="44"/>
      <c r="AP558" s="44"/>
    </row>
    <row r="559" spans="1:42" x14ac:dyDescent="0.3">
      <c r="C559" s="42"/>
      <c r="D559" s="42"/>
      <c r="E559" s="42"/>
      <c r="T559" s="42"/>
      <c r="U559" s="42"/>
    </row>
    <row r="561" spans="3:42" x14ac:dyDescent="0.3">
      <c r="C561" s="42"/>
      <c r="D561" s="42"/>
      <c r="E561" s="42"/>
      <c r="T561" s="42"/>
      <c r="U561" s="42"/>
    </row>
    <row r="562" spans="3:42" x14ac:dyDescent="0.3">
      <c r="C562" s="42"/>
      <c r="T562" s="42"/>
    </row>
    <row r="563" spans="3:42" x14ac:dyDescent="0.3">
      <c r="C563" s="42"/>
      <c r="T563" s="42"/>
    </row>
    <row r="564" spans="3:42" x14ac:dyDescent="0.3">
      <c r="C564" s="42"/>
      <c r="H564" s="184"/>
      <c r="I564" s="184"/>
      <c r="J564" s="238"/>
      <c r="K564" s="238"/>
      <c r="L564" s="123"/>
      <c r="M564" s="123"/>
      <c r="N564" s="160"/>
      <c r="O564" s="160"/>
      <c r="P564" s="123"/>
      <c r="Q564" s="123"/>
      <c r="R564" s="123"/>
      <c r="T564" s="42"/>
      <c r="V564" s="123"/>
      <c r="W564" s="123"/>
      <c r="X564" s="123"/>
      <c r="Y564" s="123"/>
      <c r="Z564" s="123"/>
      <c r="AA564" s="123"/>
      <c r="AB564" s="238"/>
      <c r="AC564" s="123"/>
      <c r="AD564" s="123"/>
      <c r="AE564" s="160"/>
      <c r="AF564" s="160"/>
      <c r="AH564" s="123"/>
      <c r="AI564" s="236"/>
      <c r="AJ564" s="236"/>
      <c r="AL564" s="123"/>
      <c r="AM564" s="123"/>
      <c r="AN564" s="123"/>
      <c r="AO564" s="160"/>
      <c r="AP564" s="160"/>
    </row>
    <row r="565" spans="3:42" x14ac:dyDescent="0.3">
      <c r="C565" s="42"/>
      <c r="F565" s="184"/>
      <c r="J565" s="188"/>
      <c r="K565" s="188"/>
      <c r="T565" s="42"/>
      <c r="V565" s="123"/>
      <c r="W565" s="123"/>
      <c r="X565" s="123"/>
      <c r="Y565" s="123"/>
      <c r="Z565" s="123"/>
      <c r="AA565" s="123"/>
      <c r="AB565" s="238"/>
    </row>
    <row r="566" spans="3:42" x14ac:dyDescent="0.3">
      <c r="C566" s="42"/>
      <c r="H566" s="184"/>
      <c r="I566" s="184"/>
      <c r="J566" s="238"/>
      <c r="K566" s="238"/>
      <c r="L566" s="123"/>
      <c r="M566" s="123"/>
      <c r="N566" s="160"/>
      <c r="O566" s="160"/>
      <c r="P566" s="123"/>
      <c r="Q566" s="123"/>
      <c r="R566" s="123"/>
      <c r="T566" s="42"/>
      <c r="V566" s="123"/>
      <c r="W566" s="123"/>
      <c r="X566" s="123"/>
      <c r="Y566" s="123"/>
      <c r="Z566" s="123"/>
      <c r="AA566" s="123"/>
      <c r="AB566" s="238"/>
      <c r="AC566" s="123"/>
      <c r="AD566" s="123"/>
      <c r="AE566" s="160"/>
      <c r="AF566" s="160"/>
      <c r="AH566" s="123"/>
      <c r="AI566" s="236"/>
      <c r="AJ566" s="236"/>
      <c r="AL566" s="123"/>
      <c r="AM566" s="123"/>
      <c r="AN566" s="123"/>
      <c r="AO566" s="160"/>
      <c r="AP566" s="160"/>
    </row>
    <row r="567" spans="3:42" x14ac:dyDescent="0.3">
      <c r="C567" s="42"/>
      <c r="F567" s="184"/>
      <c r="J567" s="188"/>
      <c r="K567" s="188"/>
      <c r="T567" s="42"/>
      <c r="V567" s="123"/>
      <c r="W567" s="123"/>
      <c r="X567" s="123"/>
      <c r="Y567" s="123"/>
      <c r="Z567" s="123"/>
      <c r="AA567" s="123"/>
      <c r="AB567" s="238"/>
    </row>
    <row r="568" spans="3:42" x14ac:dyDescent="0.3">
      <c r="C568" s="42"/>
      <c r="H568" s="184"/>
      <c r="I568" s="184"/>
      <c r="J568" s="238"/>
      <c r="K568" s="238"/>
      <c r="L568" s="123"/>
      <c r="M568" s="123"/>
      <c r="N568" s="160"/>
      <c r="O568" s="160"/>
      <c r="P568" s="123"/>
      <c r="Q568" s="123"/>
      <c r="R568" s="123"/>
      <c r="T568" s="42"/>
      <c r="V568" s="123"/>
      <c r="W568" s="123"/>
      <c r="X568" s="123"/>
      <c r="Y568" s="123"/>
      <c r="Z568" s="123"/>
      <c r="AA568" s="123"/>
      <c r="AB568" s="238"/>
      <c r="AC568" s="123"/>
      <c r="AD568" s="123"/>
      <c r="AE568" s="160"/>
      <c r="AF568" s="160"/>
      <c r="AH568" s="123"/>
      <c r="AI568" s="236"/>
      <c r="AJ568" s="236"/>
      <c r="AL568" s="123"/>
      <c r="AM568" s="123"/>
      <c r="AN568" s="123"/>
      <c r="AO568" s="160"/>
      <c r="AP568" s="160"/>
    </row>
    <row r="569" spans="3:42" x14ac:dyDescent="0.3">
      <c r="C569" s="42"/>
      <c r="F569" s="184"/>
      <c r="J569" s="188"/>
      <c r="K569" s="188"/>
      <c r="T569" s="42"/>
      <c r="V569" s="123"/>
      <c r="W569" s="123"/>
      <c r="X569" s="123"/>
      <c r="Y569" s="123"/>
      <c r="Z569" s="123"/>
      <c r="AA569" s="123"/>
      <c r="AB569" s="238"/>
    </row>
    <row r="570" spans="3:42" x14ac:dyDescent="0.3">
      <c r="C570" s="42"/>
      <c r="H570" s="184"/>
      <c r="I570" s="184"/>
      <c r="J570" s="238"/>
      <c r="K570" s="238"/>
      <c r="L570" s="123"/>
      <c r="M570" s="123"/>
      <c r="N570" s="160"/>
      <c r="O570" s="160"/>
      <c r="P570" s="123"/>
      <c r="Q570" s="123"/>
      <c r="R570" s="123"/>
      <c r="T570" s="42"/>
      <c r="V570" s="123"/>
      <c r="W570" s="123"/>
      <c r="X570" s="123"/>
      <c r="Y570" s="123"/>
      <c r="Z570" s="123"/>
      <c r="AA570" s="123"/>
      <c r="AB570" s="238"/>
      <c r="AC570" s="123"/>
      <c r="AD570" s="123"/>
      <c r="AE570" s="160"/>
      <c r="AF570" s="160"/>
      <c r="AH570" s="123"/>
      <c r="AI570" s="236"/>
      <c r="AJ570" s="236"/>
      <c r="AL570" s="123"/>
      <c r="AM570" s="123"/>
      <c r="AN570" s="123"/>
      <c r="AO570" s="160"/>
      <c r="AP570" s="160"/>
    </row>
    <row r="571" spans="3:42" x14ac:dyDescent="0.3">
      <c r="C571" s="42"/>
      <c r="F571" s="184"/>
      <c r="J571" s="188"/>
      <c r="K571" s="188"/>
      <c r="T571" s="42"/>
      <c r="V571" s="123"/>
      <c r="W571" s="123"/>
      <c r="X571" s="123"/>
      <c r="Y571" s="123"/>
      <c r="Z571" s="123"/>
      <c r="AA571" s="123"/>
      <c r="AB571" s="238"/>
    </row>
    <row r="572" spans="3:42" x14ac:dyDescent="0.3">
      <c r="C572" s="42"/>
      <c r="H572" s="184"/>
      <c r="I572" s="184"/>
      <c r="J572" s="238"/>
      <c r="K572" s="238"/>
      <c r="L572" s="123"/>
      <c r="M572" s="123"/>
      <c r="N572" s="160"/>
      <c r="O572" s="160"/>
      <c r="P572" s="123"/>
      <c r="Q572" s="123"/>
      <c r="R572" s="123"/>
      <c r="T572" s="42"/>
      <c r="V572" s="123"/>
      <c r="W572" s="123"/>
      <c r="X572" s="123"/>
      <c r="Y572" s="123"/>
      <c r="Z572" s="123"/>
      <c r="AA572" s="123"/>
      <c r="AB572" s="238"/>
      <c r="AC572" s="123"/>
      <c r="AD572" s="123"/>
      <c r="AE572" s="160"/>
      <c r="AF572" s="160"/>
      <c r="AH572" s="123"/>
      <c r="AI572" s="236"/>
      <c r="AJ572" s="236"/>
      <c r="AL572" s="123"/>
      <c r="AM572" s="123"/>
      <c r="AN572" s="123"/>
      <c r="AO572" s="160"/>
      <c r="AP572" s="160"/>
    </row>
    <row r="573" spans="3:42" x14ac:dyDescent="0.3">
      <c r="C573" s="42"/>
      <c r="F573" s="184"/>
      <c r="J573" s="188"/>
      <c r="K573" s="188"/>
      <c r="T573" s="42"/>
      <c r="V573" s="123"/>
      <c r="W573" s="123"/>
      <c r="X573" s="123"/>
      <c r="Y573" s="123"/>
      <c r="Z573" s="123"/>
      <c r="AA573" s="123"/>
      <c r="AB573" s="238"/>
    </row>
    <row r="574" spans="3:42" x14ac:dyDescent="0.3">
      <c r="C574" s="42"/>
      <c r="H574" s="184"/>
      <c r="I574" s="184"/>
      <c r="J574" s="238"/>
      <c r="K574" s="238"/>
      <c r="L574" s="123"/>
      <c r="M574" s="123"/>
      <c r="N574" s="160"/>
      <c r="O574" s="160"/>
      <c r="P574" s="123"/>
      <c r="Q574" s="123"/>
      <c r="R574" s="123"/>
      <c r="T574" s="42"/>
      <c r="V574" s="123"/>
      <c r="W574" s="123"/>
      <c r="X574" s="123"/>
      <c r="Y574" s="123"/>
      <c r="Z574" s="123"/>
      <c r="AA574" s="123"/>
      <c r="AB574" s="238"/>
      <c r="AC574" s="123"/>
      <c r="AD574" s="123"/>
      <c r="AE574" s="160"/>
      <c r="AF574" s="160"/>
      <c r="AH574" s="123"/>
      <c r="AI574" s="236"/>
      <c r="AJ574" s="236"/>
      <c r="AL574" s="123"/>
      <c r="AM574" s="123"/>
      <c r="AN574" s="123"/>
      <c r="AO574" s="160"/>
      <c r="AP574" s="160"/>
    </row>
    <row r="575" spans="3:42" x14ac:dyDescent="0.3">
      <c r="F575" s="184"/>
      <c r="H575" s="210"/>
      <c r="I575" s="210"/>
      <c r="J575" s="238"/>
      <c r="K575" s="238"/>
      <c r="L575" s="210"/>
      <c r="M575" s="210"/>
      <c r="N575" s="210"/>
      <c r="O575" s="210"/>
      <c r="P575" s="210"/>
      <c r="Q575" s="210"/>
      <c r="R575" s="210"/>
      <c r="V575" s="210"/>
      <c r="AA575" s="210"/>
      <c r="AB575" s="238"/>
      <c r="AC575" s="210"/>
      <c r="AD575" s="210"/>
      <c r="AE575" s="210"/>
      <c r="AF575" s="210"/>
      <c r="AG575" s="214"/>
      <c r="AH575" s="210"/>
      <c r="AK575" s="214"/>
      <c r="AL575" s="210"/>
      <c r="AM575" s="210"/>
      <c r="AN575" s="210"/>
      <c r="AO575" s="160"/>
      <c r="AP575" s="160"/>
    </row>
    <row r="576" spans="3:42" x14ac:dyDescent="0.3">
      <c r="C576" s="42"/>
      <c r="F576" s="210"/>
      <c r="H576" s="123"/>
      <c r="I576" s="123"/>
      <c r="J576" s="188"/>
      <c r="K576" s="188"/>
      <c r="L576" s="123"/>
      <c r="M576" s="123"/>
      <c r="N576" s="160"/>
      <c r="O576" s="160"/>
      <c r="P576" s="184"/>
      <c r="Q576" s="184"/>
      <c r="R576" s="123"/>
      <c r="T576" s="42"/>
      <c r="V576" s="123"/>
      <c r="W576" s="123"/>
      <c r="X576" s="123"/>
      <c r="Y576" s="123"/>
      <c r="Z576" s="123"/>
      <c r="AA576" s="123"/>
      <c r="AB576" s="238"/>
      <c r="AC576" s="123"/>
      <c r="AD576" s="123"/>
      <c r="AE576" s="160"/>
      <c r="AF576" s="160"/>
      <c r="AH576" s="123"/>
      <c r="AI576" s="236"/>
      <c r="AJ576" s="236"/>
      <c r="AK576" s="233"/>
      <c r="AL576" s="184"/>
      <c r="AM576" s="123"/>
      <c r="AN576" s="123"/>
      <c r="AO576" s="160"/>
      <c r="AP576" s="160"/>
    </row>
    <row r="577" spans="3:42" x14ac:dyDescent="0.3">
      <c r="F577" s="123"/>
      <c r="H577" s="210"/>
      <c r="I577" s="210"/>
      <c r="J577" s="238"/>
      <c r="K577" s="238"/>
      <c r="L577" s="210"/>
      <c r="M577" s="210"/>
      <c r="N577" s="210"/>
      <c r="O577" s="210"/>
      <c r="P577" s="210"/>
      <c r="Q577" s="210"/>
      <c r="R577" s="210"/>
      <c r="V577" s="210"/>
      <c r="AA577" s="210"/>
      <c r="AB577" s="238"/>
      <c r="AC577" s="210"/>
      <c r="AD577" s="210"/>
      <c r="AE577" s="210"/>
      <c r="AF577" s="210"/>
      <c r="AG577" s="214"/>
      <c r="AH577" s="210"/>
      <c r="AK577" s="214"/>
      <c r="AL577" s="210"/>
      <c r="AM577" s="210"/>
      <c r="AN577" s="210"/>
    </row>
    <row r="578" spans="3:42" x14ac:dyDescent="0.3">
      <c r="C578" s="42"/>
      <c r="D578" s="42"/>
      <c r="E578" s="42"/>
      <c r="F578" s="210"/>
      <c r="J578" s="188"/>
      <c r="K578" s="188"/>
      <c r="T578" s="42"/>
      <c r="U578" s="42"/>
      <c r="V578" s="123"/>
      <c r="W578" s="123"/>
      <c r="X578" s="123"/>
      <c r="Y578" s="123"/>
      <c r="Z578" s="123"/>
      <c r="AA578" s="123"/>
      <c r="AB578" s="238"/>
    </row>
    <row r="579" spans="3:42" x14ac:dyDescent="0.3">
      <c r="C579" s="42"/>
      <c r="J579" s="188"/>
      <c r="K579" s="188"/>
      <c r="T579" s="42"/>
      <c r="V579" s="123"/>
      <c r="W579" s="123"/>
      <c r="X579" s="123"/>
      <c r="Y579" s="123"/>
      <c r="Z579" s="123"/>
      <c r="AA579" s="123"/>
      <c r="AB579" s="238"/>
    </row>
    <row r="580" spans="3:42" x14ac:dyDescent="0.3">
      <c r="C580" s="42"/>
      <c r="J580" s="188"/>
      <c r="K580" s="188"/>
      <c r="T580" s="42"/>
      <c r="V580" s="123"/>
      <c r="W580" s="123"/>
      <c r="X580" s="123"/>
      <c r="Y580" s="123"/>
      <c r="Z580" s="123"/>
      <c r="AA580" s="123"/>
      <c r="AB580" s="238"/>
    </row>
    <row r="581" spans="3:42" x14ac:dyDescent="0.3">
      <c r="C581" s="42"/>
      <c r="H581" s="184"/>
      <c r="I581" s="184"/>
      <c r="J581" s="238"/>
      <c r="K581" s="238"/>
      <c r="L581" s="123"/>
      <c r="M581" s="123"/>
      <c r="N581" s="160"/>
      <c r="O581" s="160"/>
      <c r="P581" s="123"/>
      <c r="Q581" s="123"/>
      <c r="R581" s="123"/>
      <c r="T581" s="42"/>
      <c r="V581" s="123"/>
      <c r="W581" s="123"/>
      <c r="X581" s="123"/>
      <c r="Y581" s="123"/>
      <c r="Z581" s="123"/>
      <c r="AA581" s="123"/>
      <c r="AB581" s="238"/>
      <c r="AC581" s="123"/>
      <c r="AD581" s="123"/>
      <c r="AE581" s="160"/>
      <c r="AF581" s="160"/>
      <c r="AH581" s="123"/>
      <c r="AI581" s="236"/>
      <c r="AJ581" s="236"/>
      <c r="AL581" s="123"/>
      <c r="AM581" s="123"/>
      <c r="AN581" s="123"/>
      <c r="AO581" s="160"/>
      <c r="AP581" s="160"/>
    </row>
    <row r="582" spans="3:42" x14ac:dyDescent="0.3">
      <c r="C582" s="42"/>
      <c r="F582" s="184"/>
      <c r="J582" s="188"/>
      <c r="K582" s="188"/>
      <c r="T582" s="42"/>
      <c r="V582" s="123"/>
      <c r="W582" s="123"/>
      <c r="X582" s="123"/>
      <c r="Y582" s="123"/>
      <c r="Z582" s="123"/>
      <c r="AA582" s="123"/>
      <c r="AB582" s="238"/>
    </row>
    <row r="583" spans="3:42" x14ac:dyDescent="0.3">
      <c r="C583" s="42"/>
      <c r="H583" s="184"/>
      <c r="I583" s="184"/>
      <c r="J583" s="238"/>
      <c r="K583" s="238"/>
      <c r="L583" s="123"/>
      <c r="M583" s="123"/>
      <c r="N583" s="160"/>
      <c r="O583" s="160"/>
      <c r="P583" s="123"/>
      <c r="Q583" s="123"/>
      <c r="R583" s="123"/>
      <c r="T583" s="42"/>
      <c r="V583" s="123"/>
      <c r="W583" s="123"/>
      <c r="X583" s="123"/>
      <c r="Y583" s="123"/>
      <c r="Z583" s="123"/>
      <c r="AA583" s="123"/>
      <c r="AB583" s="238"/>
      <c r="AC583" s="123"/>
      <c r="AD583" s="123"/>
      <c r="AE583" s="160"/>
      <c r="AF583" s="160"/>
      <c r="AH583" s="123"/>
      <c r="AI583" s="236"/>
      <c r="AJ583" s="236"/>
      <c r="AL583" s="123"/>
      <c r="AM583" s="123"/>
      <c r="AN583" s="123"/>
      <c r="AO583" s="160"/>
      <c r="AP583" s="160"/>
    </row>
    <row r="584" spans="3:42" x14ac:dyDescent="0.3">
      <c r="F584" s="184"/>
      <c r="H584" s="210"/>
      <c r="I584" s="210"/>
      <c r="J584" s="238"/>
      <c r="K584" s="238"/>
      <c r="L584" s="210"/>
      <c r="M584" s="210"/>
      <c r="N584" s="210"/>
      <c r="O584" s="210"/>
      <c r="P584" s="210"/>
      <c r="Q584" s="210"/>
      <c r="R584" s="210"/>
      <c r="V584" s="210"/>
      <c r="AA584" s="210"/>
      <c r="AB584" s="213"/>
      <c r="AC584" s="210"/>
      <c r="AD584" s="210"/>
      <c r="AE584" s="210"/>
      <c r="AF584" s="210"/>
      <c r="AG584" s="214"/>
      <c r="AH584" s="210"/>
      <c r="AK584" s="214"/>
      <c r="AL584" s="210"/>
      <c r="AM584" s="210"/>
      <c r="AN584" s="210"/>
    </row>
    <row r="585" spans="3:42" x14ac:dyDescent="0.3">
      <c r="C585" s="42"/>
      <c r="F585" s="210"/>
      <c r="H585" s="123"/>
      <c r="I585" s="123"/>
      <c r="L585" s="123"/>
      <c r="M585" s="123"/>
      <c r="N585" s="160"/>
      <c r="O585" s="160"/>
      <c r="P585" s="184"/>
      <c r="Q585" s="184"/>
      <c r="R585" s="123"/>
      <c r="T585" s="42"/>
      <c r="V585" s="123"/>
      <c r="W585" s="123"/>
      <c r="X585" s="123"/>
      <c r="Y585" s="123"/>
      <c r="Z585" s="123"/>
      <c r="AA585" s="123"/>
      <c r="AB585" s="237"/>
      <c r="AC585" s="123"/>
      <c r="AD585" s="123"/>
      <c r="AE585" s="160"/>
      <c r="AF585" s="160"/>
      <c r="AH585" s="123"/>
      <c r="AI585" s="236"/>
      <c r="AJ585" s="236"/>
      <c r="AK585" s="233"/>
      <c r="AL585" s="184"/>
      <c r="AM585" s="123"/>
      <c r="AN585" s="123"/>
      <c r="AO585" s="160"/>
      <c r="AP585" s="160"/>
    </row>
    <row r="586" spans="3:42" x14ac:dyDescent="0.3">
      <c r="F586" s="123"/>
      <c r="H586" s="210"/>
      <c r="I586" s="210"/>
      <c r="J586" s="213"/>
      <c r="K586" s="213"/>
      <c r="L586" s="210"/>
      <c r="M586" s="210"/>
      <c r="N586" s="210"/>
      <c r="O586" s="210"/>
      <c r="P586" s="210"/>
      <c r="Q586" s="210"/>
      <c r="R586" s="210"/>
      <c r="V586" s="210"/>
      <c r="AA586" s="210"/>
      <c r="AB586" s="213"/>
      <c r="AC586" s="210"/>
      <c r="AD586" s="210"/>
      <c r="AE586" s="210"/>
      <c r="AF586" s="210"/>
      <c r="AG586" s="214"/>
      <c r="AH586" s="210"/>
      <c r="AK586" s="214"/>
      <c r="AL586" s="210"/>
      <c r="AM586" s="210"/>
      <c r="AN586" s="210"/>
    </row>
    <row r="587" spans="3:42" x14ac:dyDescent="0.3">
      <c r="C587" s="42"/>
      <c r="D587" s="42"/>
      <c r="E587" s="42"/>
      <c r="F587" s="210"/>
      <c r="T587" s="42"/>
      <c r="U587" s="42"/>
      <c r="V587" s="123"/>
      <c r="W587" s="123"/>
      <c r="X587" s="123"/>
      <c r="Y587" s="123"/>
      <c r="Z587" s="123"/>
      <c r="AA587" s="123"/>
      <c r="AB587" s="237"/>
    </row>
    <row r="588" spans="3:42" x14ac:dyDescent="0.3">
      <c r="C588" s="42"/>
      <c r="T588" s="42"/>
      <c r="V588" s="123"/>
      <c r="W588" s="123"/>
      <c r="X588" s="123"/>
      <c r="Y588" s="123"/>
      <c r="Z588" s="123"/>
      <c r="AA588" s="123"/>
      <c r="AB588" s="237"/>
    </row>
    <row r="589" spans="3:42" x14ac:dyDescent="0.3">
      <c r="C589" s="42"/>
      <c r="H589" s="184"/>
      <c r="I589" s="184"/>
      <c r="J589" s="237"/>
      <c r="K589" s="237"/>
      <c r="L589" s="123"/>
      <c r="M589" s="123"/>
      <c r="N589" s="160"/>
      <c r="O589" s="160"/>
      <c r="P589" s="123"/>
      <c r="Q589" s="123"/>
      <c r="R589" s="123"/>
      <c r="T589" s="42"/>
      <c r="V589" s="123"/>
      <c r="W589" s="123"/>
      <c r="X589" s="123"/>
      <c r="Y589" s="123"/>
      <c r="Z589" s="123"/>
      <c r="AA589" s="123"/>
      <c r="AB589" s="237"/>
      <c r="AC589" s="123"/>
      <c r="AD589" s="123"/>
      <c r="AE589" s="160"/>
      <c r="AF589" s="160"/>
      <c r="AH589" s="123"/>
      <c r="AI589" s="236"/>
      <c r="AJ589" s="236"/>
      <c r="AL589" s="123"/>
      <c r="AM589" s="123"/>
      <c r="AN589" s="123"/>
      <c r="AO589" s="160"/>
      <c r="AP589" s="160"/>
    </row>
    <row r="590" spans="3:42" x14ac:dyDescent="0.3">
      <c r="C590" s="42"/>
      <c r="F590" s="184"/>
      <c r="T590" s="42"/>
      <c r="V590" s="123"/>
      <c r="W590" s="123"/>
      <c r="X590" s="123"/>
      <c r="Y590" s="123"/>
      <c r="Z590" s="123"/>
      <c r="AA590" s="123"/>
      <c r="AB590" s="237"/>
    </row>
    <row r="591" spans="3:42" x14ac:dyDescent="0.3">
      <c r="C591" s="42"/>
      <c r="H591" s="184"/>
      <c r="I591" s="184"/>
      <c r="J591" s="237"/>
      <c r="K591" s="237"/>
      <c r="L591" s="123"/>
      <c r="M591" s="123"/>
      <c r="N591" s="160"/>
      <c r="O591" s="160"/>
      <c r="P591" s="123"/>
      <c r="Q591" s="123"/>
      <c r="R591" s="123"/>
      <c r="T591" s="42"/>
      <c r="V591" s="123"/>
      <c r="W591" s="123"/>
      <c r="X591" s="123"/>
      <c r="Y591" s="123"/>
      <c r="Z591" s="123"/>
      <c r="AA591" s="123"/>
      <c r="AB591" s="237"/>
      <c r="AC591" s="123"/>
      <c r="AD591" s="123"/>
      <c r="AE591" s="160"/>
      <c r="AF591" s="160"/>
      <c r="AH591" s="123"/>
      <c r="AI591" s="236"/>
      <c r="AJ591" s="236"/>
      <c r="AL591" s="123"/>
      <c r="AM591" s="123"/>
      <c r="AN591" s="123"/>
      <c r="AO591" s="160"/>
      <c r="AP591" s="160"/>
    </row>
    <row r="592" spans="3:42" x14ac:dyDescent="0.3">
      <c r="C592" s="42"/>
      <c r="F592" s="184"/>
      <c r="T592" s="42"/>
      <c r="V592" s="123"/>
      <c r="W592" s="123"/>
      <c r="X592" s="123"/>
      <c r="Y592" s="123"/>
      <c r="Z592" s="123"/>
      <c r="AA592" s="123"/>
      <c r="AB592" s="237"/>
    </row>
    <row r="593" spans="1:42" x14ac:dyDescent="0.3">
      <c r="C593" s="42"/>
      <c r="H593" s="184"/>
      <c r="I593" s="184"/>
      <c r="J593" s="237"/>
      <c r="K593" s="237"/>
      <c r="L593" s="123"/>
      <c r="M593" s="123"/>
      <c r="N593" s="160"/>
      <c r="O593" s="160"/>
      <c r="P593" s="123"/>
      <c r="Q593" s="123"/>
      <c r="R593" s="123"/>
      <c r="T593" s="42"/>
      <c r="V593" s="123"/>
      <c r="W593" s="123"/>
      <c r="X593" s="123"/>
      <c r="Y593" s="123"/>
      <c r="Z593" s="123"/>
      <c r="AA593" s="123"/>
      <c r="AB593" s="237"/>
      <c r="AC593" s="123"/>
      <c r="AD593" s="123"/>
      <c r="AE593" s="160"/>
      <c r="AF593" s="160"/>
      <c r="AH593" s="123"/>
      <c r="AI593" s="236"/>
      <c r="AJ593" s="236"/>
      <c r="AL593" s="123"/>
      <c r="AM593" s="123"/>
      <c r="AN593" s="123"/>
      <c r="AO593" s="160"/>
      <c r="AP593" s="160"/>
    </row>
    <row r="594" spans="1:42" x14ac:dyDescent="0.3">
      <c r="C594" s="42"/>
      <c r="F594" s="184"/>
      <c r="T594" s="42"/>
      <c r="V594" s="123"/>
      <c r="W594" s="123"/>
      <c r="X594" s="123"/>
      <c r="Y594" s="123"/>
      <c r="Z594" s="123"/>
      <c r="AA594" s="123"/>
      <c r="AB594" s="237"/>
    </row>
    <row r="595" spans="1:42" x14ac:dyDescent="0.3">
      <c r="C595" s="42"/>
      <c r="H595" s="184"/>
      <c r="I595" s="184"/>
      <c r="J595" s="237"/>
      <c r="K595" s="237"/>
      <c r="L595" s="123"/>
      <c r="M595" s="123"/>
      <c r="N595" s="160"/>
      <c r="O595" s="160"/>
      <c r="P595" s="123"/>
      <c r="Q595" s="123"/>
      <c r="R595" s="123"/>
      <c r="T595" s="42"/>
      <c r="V595" s="123"/>
      <c r="W595" s="123"/>
      <c r="X595" s="123"/>
      <c r="Y595" s="123"/>
      <c r="Z595" s="123"/>
      <c r="AA595" s="123"/>
      <c r="AB595" s="237"/>
      <c r="AC595" s="123"/>
      <c r="AD595" s="123"/>
      <c r="AE595" s="160"/>
      <c r="AF595" s="160"/>
      <c r="AH595" s="123"/>
      <c r="AI595" s="236"/>
      <c r="AJ595" s="236"/>
      <c r="AL595" s="123"/>
      <c r="AM595" s="123"/>
      <c r="AN595" s="123"/>
      <c r="AO595" s="160"/>
      <c r="AP595" s="160"/>
    </row>
    <row r="596" spans="1:42" x14ac:dyDescent="0.3">
      <c r="F596" s="184"/>
      <c r="H596" s="210"/>
      <c r="I596" s="210"/>
      <c r="J596" s="213"/>
      <c r="K596" s="213"/>
      <c r="L596" s="210"/>
      <c r="M596" s="210"/>
      <c r="N596" s="210"/>
      <c r="O596" s="210"/>
      <c r="P596" s="210"/>
      <c r="Q596" s="210"/>
      <c r="R596" s="210"/>
      <c r="V596" s="210"/>
      <c r="AA596" s="210"/>
      <c r="AB596" s="213"/>
      <c r="AC596" s="210"/>
      <c r="AD596" s="210"/>
      <c r="AE596" s="210"/>
      <c r="AF596" s="210"/>
      <c r="AG596" s="214"/>
      <c r="AH596" s="210"/>
      <c r="AK596" s="214"/>
      <c r="AL596" s="210"/>
      <c r="AM596" s="210"/>
      <c r="AN596" s="210"/>
    </row>
    <row r="597" spans="1:42" x14ac:dyDescent="0.3">
      <c r="C597" s="42"/>
      <c r="F597" s="210"/>
      <c r="H597" s="123"/>
      <c r="I597" s="123"/>
      <c r="L597" s="123"/>
      <c r="M597" s="123"/>
      <c r="N597" s="160"/>
      <c r="O597" s="160"/>
      <c r="P597" s="184"/>
      <c r="Q597" s="184"/>
      <c r="R597" s="123"/>
      <c r="T597" s="42"/>
      <c r="V597" s="123"/>
      <c r="W597" s="123"/>
      <c r="X597" s="123"/>
      <c r="Y597" s="123"/>
      <c r="Z597" s="123"/>
      <c r="AA597" s="123"/>
      <c r="AB597" s="237"/>
      <c r="AC597" s="123"/>
      <c r="AD597" s="123"/>
      <c r="AE597" s="160"/>
      <c r="AF597" s="160"/>
      <c r="AH597" s="123"/>
      <c r="AI597" s="236"/>
      <c r="AJ597" s="236"/>
      <c r="AK597" s="233"/>
      <c r="AL597" s="184"/>
      <c r="AM597" s="123"/>
      <c r="AN597" s="123"/>
      <c r="AO597" s="160"/>
      <c r="AP597" s="160"/>
    </row>
    <row r="598" spans="1:42" x14ac:dyDescent="0.3">
      <c r="F598" s="123"/>
      <c r="H598" s="210"/>
      <c r="I598" s="210"/>
      <c r="J598" s="213"/>
      <c r="K598" s="213"/>
      <c r="L598" s="210"/>
      <c r="M598" s="210"/>
      <c r="N598" s="210"/>
      <c r="O598" s="210"/>
      <c r="P598" s="210"/>
      <c r="Q598" s="210"/>
      <c r="R598" s="210"/>
      <c r="V598" s="210"/>
      <c r="AA598" s="210"/>
      <c r="AB598" s="213"/>
      <c r="AC598" s="210"/>
      <c r="AD598" s="210"/>
      <c r="AE598" s="210"/>
      <c r="AF598" s="210"/>
      <c r="AG598" s="214"/>
      <c r="AH598" s="210"/>
      <c r="AK598" s="214"/>
      <c r="AL598" s="210"/>
      <c r="AM598" s="210"/>
      <c r="AN598" s="210"/>
    </row>
    <row r="599" spans="1:42" x14ac:dyDescent="0.3">
      <c r="C599" s="42"/>
      <c r="F599" s="210"/>
      <c r="H599" s="123"/>
      <c r="I599" s="123"/>
      <c r="L599" s="123"/>
      <c r="M599" s="123"/>
      <c r="N599" s="160"/>
      <c r="O599" s="160"/>
      <c r="P599" s="123"/>
      <c r="Q599" s="123"/>
      <c r="R599" s="123"/>
      <c r="T599" s="42"/>
      <c r="V599" s="123"/>
      <c r="W599" s="123"/>
      <c r="X599" s="123"/>
      <c r="Y599" s="123"/>
      <c r="Z599" s="123"/>
      <c r="AA599" s="123"/>
      <c r="AC599" s="123"/>
      <c r="AD599" s="123"/>
      <c r="AE599" s="160"/>
      <c r="AF599" s="160"/>
      <c r="AH599" s="123"/>
      <c r="AI599" s="236"/>
      <c r="AJ599" s="236"/>
      <c r="AL599" s="123"/>
      <c r="AM599" s="123"/>
      <c r="AN599" s="123"/>
      <c r="AO599" s="236"/>
      <c r="AP599" s="236"/>
    </row>
    <row r="600" spans="1:42" x14ac:dyDescent="0.3">
      <c r="F600" s="123"/>
      <c r="H600" s="210"/>
      <c r="I600" s="210"/>
      <c r="J600" s="213"/>
      <c r="K600" s="213"/>
      <c r="L600" s="210"/>
      <c r="M600" s="210"/>
      <c r="N600" s="210"/>
      <c r="O600" s="210"/>
      <c r="P600" s="210"/>
      <c r="Q600" s="210"/>
      <c r="R600" s="210"/>
      <c r="V600" s="210"/>
      <c r="AA600" s="210"/>
      <c r="AB600" s="213"/>
      <c r="AC600" s="210"/>
      <c r="AD600" s="210"/>
      <c r="AE600" s="210"/>
      <c r="AF600" s="210"/>
      <c r="AG600" s="214"/>
      <c r="AH600" s="210"/>
      <c r="AK600" s="214"/>
      <c r="AL600" s="210"/>
      <c r="AM600" s="210"/>
      <c r="AN600" s="210"/>
    </row>
    <row r="602" spans="1:42" x14ac:dyDescent="0.3">
      <c r="F602" s="210"/>
    </row>
    <row r="603" spans="1:42" x14ac:dyDescent="0.3">
      <c r="A603" s="42"/>
    </row>
    <row r="605" spans="1:42" x14ac:dyDescent="0.3">
      <c r="H605" s="42"/>
      <c r="I605" s="42"/>
      <c r="AA605" s="42"/>
    </row>
    <row r="607" spans="1:42" x14ac:dyDescent="0.3">
      <c r="L607" s="42"/>
      <c r="M607" s="42"/>
      <c r="AC607" s="42"/>
      <c r="AD607" s="42"/>
    </row>
    <row r="608" spans="1:42" x14ac:dyDescent="0.3">
      <c r="R608" s="42"/>
      <c r="AM608" s="42"/>
      <c r="AN608" s="42"/>
    </row>
    <row r="609" spans="1:42" x14ac:dyDescent="0.3">
      <c r="R609" s="42"/>
      <c r="AM609" s="42"/>
      <c r="AN609" s="42"/>
    </row>
    <row r="610" spans="1:42" x14ac:dyDescent="0.3">
      <c r="A610" s="42"/>
      <c r="R610" s="42"/>
      <c r="AM610" s="42"/>
      <c r="AN610" s="42"/>
    </row>
    <row r="611" spans="1:42" x14ac:dyDescent="0.3">
      <c r="L611" s="42"/>
      <c r="M611" s="42"/>
      <c r="AC611" s="42"/>
      <c r="AD611" s="42"/>
    </row>
    <row r="612" spans="1:42" x14ac:dyDescent="0.3">
      <c r="A612" s="135"/>
      <c r="B612" s="135"/>
      <c r="C612" s="135"/>
      <c r="D612" s="135"/>
      <c r="E612" s="135"/>
      <c r="G612" s="135"/>
      <c r="H612" s="135"/>
      <c r="I612" s="135"/>
      <c r="J612" s="135"/>
      <c r="K612" s="135"/>
      <c r="L612" s="135"/>
      <c r="M612" s="135"/>
      <c r="N612" s="135"/>
      <c r="O612" s="135"/>
      <c r="P612" s="135"/>
      <c r="Q612" s="135"/>
      <c r="R612" s="135"/>
      <c r="T612" s="135"/>
      <c r="U612" s="135"/>
      <c r="V612" s="135"/>
      <c r="W612" s="135"/>
      <c r="X612" s="135"/>
      <c r="Y612" s="135"/>
      <c r="Z612" s="135"/>
      <c r="AA612" s="135"/>
      <c r="AB612" s="135"/>
      <c r="AC612" s="135"/>
      <c r="AD612" s="135"/>
      <c r="AE612" s="135"/>
      <c r="AF612" s="135"/>
      <c r="AG612" s="207"/>
      <c r="AH612" s="135"/>
      <c r="AI612" s="135"/>
      <c r="AJ612" s="135"/>
      <c r="AK612" s="207"/>
      <c r="AL612" s="135"/>
      <c r="AM612" s="135"/>
      <c r="AN612" s="135"/>
      <c r="AO612" s="135"/>
      <c r="AP612" s="135"/>
    </row>
    <row r="613" spans="1:42" x14ac:dyDescent="0.3">
      <c r="F613" s="135"/>
      <c r="L613" s="44"/>
      <c r="M613" s="44"/>
      <c r="N613" s="44"/>
      <c r="O613" s="44"/>
      <c r="R613" s="44"/>
      <c r="AC613" s="44"/>
      <c r="AD613" s="44"/>
      <c r="AE613" s="44"/>
      <c r="AF613" s="44"/>
      <c r="AG613" s="168"/>
      <c r="AH613" s="44"/>
      <c r="AI613" s="44"/>
      <c r="AJ613" s="44"/>
      <c r="AM613" s="44"/>
      <c r="AN613" s="44"/>
      <c r="AO613" s="44"/>
      <c r="AP613" s="44"/>
    </row>
    <row r="614" spans="1:42" x14ac:dyDescent="0.3">
      <c r="L614" s="44"/>
      <c r="M614" s="44"/>
      <c r="N614" s="44"/>
      <c r="O614" s="44"/>
      <c r="R614" s="44"/>
      <c r="AB614" s="44"/>
      <c r="AC614" s="44"/>
      <c r="AD614" s="44"/>
      <c r="AE614" s="44"/>
      <c r="AF614" s="44"/>
      <c r="AG614" s="168"/>
      <c r="AH614" s="44"/>
      <c r="AI614" s="44"/>
      <c r="AJ614" s="44"/>
      <c r="AM614" s="44"/>
      <c r="AN614" s="44"/>
      <c r="AO614" s="44"/>
      <c r="AP614" s="44"/>
    </row>
    <row r="615" spans="1:42" x14ac:dyDescent="0.3">
      <c r="A615" s="44"/>
      <c r="C615" s="44"/>
      <c r="D615" s="44"/>
      <c r="E615" s="44"/>
      <c r="J615" s="44"/>
      <c r="K615" s="44"/>
      <c r="L615" s="44"/>
      <c r="M615" s="44"/>
      <c r="N615" s="44"/>
      <c r="O615" s="44"/>
      <c r="P615" s="44"/>
      <c r="Q615" s="44"/>
      <c r="R615" s="44"/>
      <c r="T615" s="44"/>
      <c r="U615" s="44"/>
      <c r="V615" s="44"/>
      <c r="AB615" s="44"/>
      <c r="AC615" s="44"/>
      <c r="AD615" s="44"/>
      <c r="AE615" s="44"/>
      <c r="AF615" s="44"/>
      <c r="AG615" s="168"/>
      <c r="AH615" s="44"/>
      <c r="AI615" s="44"/>
      <c r="AJ615" s="44"/>
      <c r="AK615" s="168"/>
      <c r="AL615" s="44"/>
      <c r="AM615" s="44"/>
      <c r="AN615" s="44"/>
      <c r="AO615" s="44"/>
      <c r="AP615" s="44"/>
    </row>
    <row r="616" spans="1:42" x14ac:dyDescent="0.3">
      <c r="A616" s="44"/>
      <c r="C616" s="44"/>
      <c r="D616" s="44"/>
      <c r="E616" s="44"/>
      <c r="F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T616" s="44"/>
      <c r="U616" s="44"/>
      <c r="V616" s="44"/>
      <c r="AA616" s="44"/>
      <c r="AB616" s="44"/>
      <c r="AC616" s="44"/>
      <c r="AD616" s="44"/>
      <c r="AE616" s="44"/>
      <c r="AF616" s="44"/>
      <c r="AG616" s="168"/>
      <c r="AH616" s="44"/>
      <c r="AI616" s="44"/>
      <c r="AJ616" s="44"/>
      <c r="AK616" s="168"/>
      <c r="AL616" s="44"/>
      <c r="AM616" s="44"/>
      <c r="AN616" s="44"/>
      <c r="AO616" s="44"/>
      <c r="AP616" s="44"/>
    </row>
    <row r="617" spans="1:42" x14ac:dyDescent="0.3">
      <c r="C617" s="44"/>
      <c r="D617" s="44"/>
      <c r="E617" s="44"/>
      <c r="F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T617" s="44"/>
      <c r="U617" s="44"/>
      <c r="V617" s="44"/>
      <c r="AA617" s="44"/>
      <c r="AB617" s="44"/>
      <c r="AC617" s="44"/>
      <c r="AD617" s="44"/>
      <c r="AE617" s="44"/>
      <c r="AF617" s="44"/>
      <c r="AG617" s="168"/>
      <c r="AH617" s="44"/>
      <c r="AI617" s="44"/>
      <c r="AJ617" s="44"/>
      <c r="AK617" s="168"/>
      <c r="AL617" s="44"/>
      <c r="AM617" s="44"/>
      <c r="AN617" s="44"/>
      <c r="AO617" s="44"/>
      <c r="AP617" s="44"/>
    </row>
    <row r="618" spans="1:42" x14ac:dyDescent="0.3">
      <c r="A618" s="135"/>
      <c r="B618" s="135"/>
      <c r="C618" s="135"/>
      <c r="D618" s="135"/>
      <c r="E618" s="135"/>
      <c r="F618" s="44"/>
      <c r="G618" s="135"/>
      <c r="H618" s="135"/>
      <c r="I618" s="135"/>
      <c r="J618" s="135"/>
      <c r="K618" s="135"/>
      <c r="L618" s="135"/>
      <c r="M618" s="135"/>
      <c r="N618" s="135"/>
      <c r="O618" s="135"/>
      <c r="P618" s="135"/>
      <c r="Q618" s="135"/>
      <c r="R618" s="135"/>
      <c r="T618" s="135"/>
      <c r="U618" s="135"/>
      <c r="V618" s="135"/>
      <c r="W618" s="135"/>
      <c r="X618" s="135"/>
      <c r="Y618" s="135"/>
      <c r="Z618" s="135"/>
      <c r="AA618" s="135"/>
      <c r="AB618" s="135"/>
      <c r="AC618" s="135"/>
      <c r="AD618" s="135"/>
      <c r="AE618" s="135"/>
      <c r="AF618" s="135"/>
      <c r="AG618" s="207"/>
      <c r="AH618" s="135"/>
      <c r="AI618" s="135"/>
      <c r="AJ618" s="135"/>
      <c r="AK618" s="207"/>
      <c r="AL618" s="135"/>
      <c r="AM618" s="135"/>
      <c r="AN618" s="135"/>
      <c r="AO618" s="135"/>
      <c r="AP618" s="135"/>
    </row>
    <row r="619" spans="1:42" x14ac:dyDescent="0.3">
      <c r="F619" s="135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AA619" s="44"/>
      <c r="AB619" s="44"/>
      <c r="AC619" s="44"/>
      <c r="AD619" s="44"/>
      <c r="AE619" s="44"/>
      <c r="AF619" s="44"/>
      <c r="AG619" s="168"/>
      <c r="AH619" s="44"/>
      <c r="AI619" s="44"/>
      <c r="AJ619" s="44"/>
      <c r="AK619" s="168"/>
      <c r="AL619" s="44"/>
      <c r="AM619" s="44"/>
      <c r="AN619" s="44"/>
      <c r="AO619" s="44"/>
      <c r="AP619" s="44"/>
    </row>
    <row r="620" spans="1:42" x14ac:dyDescent="0.3">
      <c r="C620" s="42"/>
      <c r="D620" s="42"/>
      <c r="E620" s="42"/>
      <c r="H620" s="123"/>
      <c r="I620" s="123"/>
      <c r="J620" s="219"/>
      <c r="K620" s="219"/>
      <c r="L620" s="123"/>
      <c r="M620" s="123"/>
      <c r="N620" s="219"/>
      <c r="O620" s="219"/>
      <c r="P620" s="123"/>
      <c r="Q620" s="123"/>
      <c r="R620" s="123"/>
      <c r="T620" s="42"/>
      <c r="U620" s="42"/>
      <c r="V620" s="123"/>
      <c r="AA620" s="123"/>
      <c r="AB620" s="219"/>
      <c r="AC620" s="123"/>
      <c r="AD620" s="123"/>
      <c r="AE620" s="219"/>
      <c r="AF620" s="219"/>
      <c r="AH620" s="123"/>
      <c r="AI620" s="236"/>
      <c r="AJ620" s="236"/>
      <c r="AL620" s="123"/>
      <c r="AM620" s="123"/>
      <c r="AN620" s="123"/>
      <c r="AO620" s="160"/>
      <c r="AP620" s="160"/>
    </row>
    <row r="621" spans="1:42" x14ac:dyDescent="0.3">
      <c r="F621" s="123"/>
      <c r="H621" s="210"/>
      <c r="I621" s="210"/>
      <c r="J621" s="213"/>
      <c r="K621" s="213"/>
      <c r="L621" s="210"/>
      <c r="M621" s="210"/>
      <c r="N621" s="210"/>
      <c r="O621" s="210"/>
      <c r="P621" s="210"/>
      <c r="Q621" s="210"/>
      <c r="R621" s="210"/>
      <c r="V621" s="210"/>
      <c r="AA621" s="210"/>
      <c r="AB621" s="213"/>
      <c r="AC621" s="210"/>
      <c r="AD621" s="210"/>
      <c r="AE621" s="210"/>
      <c r="AF621" s="210"/>
      <c r="AG621" s="214"/>
      <c r="AH621" s="210"/>
      <c r="AK621" s="214"/>
      <c r="AL621" s="210"/>
      <c r="AM621" s="210"/>
      <c r="AN621" s="210"/>
      <c r="AO621" s="160"/>
      <c r="AP621" s="160"/>
    </row>
    <row r="622" spans="1:42" x14ac:dyDescent="0.3">
      <c r="C622" s="42"/>
      <c r="F622" s="210"/>
      <c r="H622" s="123"/>
      <c r="I622" s="123"/>
      <c r="J622" s="219"/>
      <c r="K622" s="219"/>
      <c r="L622" s="123"/>
      <c r="M622" s="123"/>
      <c r="N622" s="219"/>
      <c r="O622" s="219"/>
      <c r="P622" s="123"/>
      <c r="Q622" s="123"/>
      <c r="R622" s="123"/>
      <c r="T622" s="42"/>
      <c r="V622" s="123"/>
      <c r="AA622" s="123"/>
      <c r="AB622" s="219"/>
      <c r="AC622" s="123"/>
      <c r="AD622" s="123"/>
      <c r="AE622" s="219"/>
      <c r="AF622" s="219"/>
      <c r="AH622" s="123"/>
      <c r="AI622" s="236"/>
      <c r="AJ622" s="236"/>
      <c r="AL622" s="123"/>
      <c r="AM622" s="123"/>
      <c r="AN622" s="123"/>
      <c r="AO622" s="160"/>
      <c r="AP622" s="160"/>
    </row>
    <row r="623" spans="1:42" x14ac:dyDescent="0.3">
      <c r="F623" s="123"/>
      <c r="H623" s="123"/>
      <c r="I623" s="123"/>
      <c r="J623" s="219"/>
      <c r="K623" s="219"/>
      <c r="L623" s="123"/>
      <c r="M623" s="123"/>
      <c r="N623" s="219"/>
      <c r="O623" s="219"/>
      <c r="P623" s="123"/>
      <c r="Q623" s="123"/>
      <c r="R623" s="123"/>
      <c r="V623" s="123"/>
      <c r="AA623" s="123"/>
      <c r="AB623" s="219"/>
      <c r="AC623" s="123"/>
      <c r="AD623" s="123"/>
      <c r="AE623" s="219"/>
      <c r="AF623" s="219"/>
      <c r="AI623" s="236"/>
      <c r="AJ623" s="236"/>
      <c r="AL623" s="123"/>
      <c r="AM623" s="123"/>
      <c r="AN623" s="123"/>
      <c r="AO623" s="160"/>
      <c r="AP623" s="160"/>
    </row>
    <row r="624" spans="1:42" x14ac:dyDescent="0.3">
      <c r="C624" s="42"/>
      <c r="D624" s="42"/>
      <c r="E624" s="42"/>
      <c r="F624" s="123"/>
      <c r="H624" s="123"/>
      <c r="I624" s="123"/>
      <c r="J624" s="219"/>
      <c r="K624" s="219"/>
      <c r="L624" s="123"/>
      <c r="M624" s="123"/>
      <c r="N624" s="219"/>
      <c r="O624" s="219"/>
      <c r="P624" s="123"/>
      <c r="Q624" s="123"/>
      <c r="R624" s="123"/>
      <c r="T624" s="42"/>
      <c r="U624" s="42"/>
      <c r="V624" s="123"/>
      <c r="AA624" s="123"/>
      <c r="AB624" s="219"/>
      <c r="AC624" s="123"/>
      <c r="AD624" s="123"/>
      <c r="AE624" s="219"/>
      <c r="AF624" s="219"/>
      <c r="AH624" s="123"/>
      <c r="AI624" s="236"/>
      <c r="AJ624" s="236"/>
      <c r="AL624" s="123"/>
      <c r="AM624" s="123"/>
      <c r="AN624" s="123"/>
      <c r="AO624" s="160"/>
      <c r="AP624" s="160"/>
    </row>
    <row r="625" spans="3:42" x14ac:dyDescent="0.3">
      <c r="C625" s="42"/>
      <c r="D625" s="42"/>
      <c r="E625" s="42"/>
      <c r="F625" s="123"/>
      <c r="H625" s="123"/>
      <c r="I625" s="123"/>
      <c r="J625" s="219"/>
      <c r="K625" s="219"/>
      <c r="L625" s="123"/>
      <c r="M625" s="123"/>
      <c r="N625" s="219"/>
      <c r="O625" s="219"/>
      <c r="P625" s="123"/>
      <c r="Q625" s="123"/>
      <c r="R625" s="123"/>
      <c r="T625" s="42"/>
      <c r="U625" s="42"/>
      <c r="V625" s="123"/>
      <c r="AA625" s="123"/>
      <c r="AB625" s="219"/>
      <c r="AC625" s="123"/>
      <c r="AD625" s="123"/>
      <c r="AE625" s="219"/>
      <c r="AF625" s="219"/>
      <c r="AH625" s="123"/>
      <c r="AI625" s="236"/>
      <c r="AJ625" s="236"/>
      <c r="AL625" s="123"/>
      <c r="AM625" s="123"/>
      <c r="AN625" s="123"/>
      <c r="AO625" s="160"/>
      <c r="AP625" s="160"/>
    </row>
    <row r="626" spans="3:42" x14ac:dyDescent="0.3">
      <c r="C626" s="42"/>
      <c r="D626" s="42"/>
      <c r="E626" s="42"/>
      <c r="F626" s="123"/>
      <c r="H626" s="123"/>
      <c r="I626" s="123"/>
      <c r="J626" s="219"/>
      <c r="K626" s="219"/>
      <c r="L626" s="123"/>
      <c r="M626" s="123"/>
      <c r="N626" s="219"/>
      <c r="O626" s="219"/>
      <c r="P626" s="123"/>
      <c r="Q626" s="123"/>
      <c r="R626" s="123"/>
      <c r="T626" s="42"/>
      <c r="U626" s="42"/>
      <c r="V626" s="123"/>
      <c r="AA626" s="123"/>
      <c r="AB626" s="219"/>
      <c r="AC626" s="123"/>
      <c r="AD626" s="123"/>
      <c r="AE626" s="219"/>
      <c r="AF626" s="219"/>
      <c r="AH626" s="123"/>
      <c r="AI626" s="236"/>
      <c r="AJ626" s="236"/>
      <c r="AL626" s="123"/>
      <c r="AM626" s="123"/>
      <c r="AN626" s="123"/>
      <c r="AO626" s="160"/>
      <c r="AP626" s="160"/>
    </row>
    <row r="627" spans="3:42" x14ac:dyDescent="0.3">
      <c r="C627" s="42"/>
      <c r="D627" s="42"/>
      <c r="E627" s="42"/>
      <c r="F627" s="123"/>
      <c r="H627" s="123"/>
      <c r="I627" s="123"/>
      <c r="J627" s="219"/>
      <c r="K627" s="219"/>
      <c r="L627" s="123"/>
      <c r="M627" s="123"/>
      <c r="N627" s="219"/>
      <c r="O627" s="219"/>
      <c r="P627" s="123"/>
      <c r="Q627" s="123"/>
      <c r="R627" s="123"/>
      <c r="T627" s="42"/>
      <c r="U627" s="42"/>
      <c r="V627" s="123"/>
      <c r="AA627" s="123"/>
      <c r="AB627" s="219"/>
      <c r="AC627" s="123"/>
      <c r="AD627" s="123"/>
      <c r="AE627" s="219"/>
      <c r="AF627" s="219"/>
      <c r="AH627" s="123"/>
      <c r="AI627" s="236"/>
      <c r="AJ627" s="236"/>
      <c r="AL627" s="123"/>
      <c r="AM627" s="123"/>
      <c r="AN627" s="123"/>
      <c r="AO627" s="160"/>
      <c r="AP627" s="160"/>
    </row>
    <row r="628" spans="3:42" x14ac:dyDescent="0.3">
      <c r="C628" s="42"/>
      <c r="D628" s="42"/>
      <c r="E628" s="42"/>
      <c r="F628" s="123"/>
      <c r="H628" s="123"/>
      <c r="I628" s="123"/>
      <c r="J628" s="219"/>
      <c r="K628" s="219"/>
      <c r="L628" s="123"/>
      <c r="M628" s="123"/>
      <c r="N628" s="219"/>
      <c r="O628" s="219"/>
      <c r="P628" s="123"/>
      <c r="Q628" s="123"/>
      <c r="R628" s="123"/>
      <c r="T628" s="42"/>
      <c r="U628" s="42"/>
      <c r="V628" s="123"/>
      <c r="AA628" s="123"/>
      <c r="AB628" s="219"/>
      <c r="AC628" s="123"/>
      <c r="AD628" s="123"/>
      <c r="AE628" s="219"/>
      <c r="AF628" s="219"/>
      <c r="AH628" s="123"/>
      <c r="AI628" s="236"/>
      <c r="AJ628" s="236"/>
      <c r="AL628" s="123"/>
      <c r="AM628" s="123"/>
      <c r="AN628" s="123"/>
      <c r="AO628" s="160"/>
      <c r="AP628" s="160"/>
    </row>
    <row r="629" spans="3:42" x14ac:dyDescent="0.3">
      <c r="C629" s="42"/>
      <c r="D629" s="42"/>
      <c r="E629" s="42"/>
      <c r="F629" s="123"/>
      <c r="H629" s="123"/>
      <c r="I629" s="123"/>
      <c r="J629" s="219"/>
      <c r="K629" s="219"/>
      <c r="L629" s="123"/>
      <c r="M629" s="123"/>
      <c r="N629" s="219"/>
      <c r="O629" s="219"/>
      <c r="P629" s="123"/>
      <c r="Q629" s="123"/>
      <c r="R629" s="123"/>
      <c r="T629" s="42"/>
      <c r="U629" s="42"/>
      <c r="V629" s="123"/>
      <c r="AA629" s="123"/>
      <c r="AB629" s="219"/>
      <c r="AC629" s="123"/>
      <c r="AD629" s="123"/>
      <c r="AE629" s="219"/>
      <c r="AF629" s="219"/>
      <c r="AH629" s="123"/>
      <c r="AI629" s="236"/>
      <c r="AJ629" s="236"/>
      <c r="AL629" s="123"/>
      <c r="AM629" s="123"/>
      <c r="AN629" s="123"/>
      <c r="AO629" s="160"/>
      <c r="AP629" s="160"/>
    </row>
    <row r="630" spans="3:42" x14ac:dyDescent="0.3">
      <c r="F630" s="123"/>
      <c r="H630" s="210"/>
      <c r="I630" s="210"/>
      <c r="J630" s="213"/>
      <c r="K630" s="213"/>
      <c r="L630" s="210"/>
      <c r="M630" s="210"/>
      <c r="N630" s="210"/>
      <c r="O630" s="210"/>
      <c r="P630" s="210"/>
      <c r="Q630" s="210"/>
      <c r="R630" s="210"/>
      <c r="V630" s="210"/>
      <c r="AA630" s="210"/>
      <c r="AB630" s="213"/>
      <c r="AC630" s="210"/>
      <c r="AD630" s="210"/>
      <c r="AE630" s="210"/>
      <c r="AF630" s="210"/>
      <c r="AG630" s="214"/>
      <c r="AH630" s="210"/>
      <c r="AK630" s="214"/>
      <c r="AL630" s="210"/>
      <c r="AM630" s="210"/>
      <c r="AN630" s="210"/>
      <c r="AO630" s="160"/>
      <c r="AP630" s="160"/>
    </row>
    <row r="631" spans="3:42" x14ac:dyDescent="0.3">
      <c r="C631" s="42"/>
      <c r="F631" s="210"/>
      <c r="H631" s="123"/>
      <c r="I631" s="123"/>
      <c r="J631" s="219"/>
      <c r="K631" s="219"/>
      <c r="L631" s="123"/>
      <c r="M631" s="123"/>
      <c r="N631" s="219"/>
      <c r="O631" s="219"/>
      <c r="P631" s="123"/>
      <c r="Q631" s="123"/>
      <c r="R631" s="123"/>
      <c r="T631" s="42"/>
      <c r="V631" s="123"/>
      <c r="AA631" s="123"/>
      <c r="AB631" s="219"/>
      <c r="AC631" s="123"/>
      <c r="AD631" s="123"/>
      <c r="AE631" s="219"/>
      <c r="AF631" s="219"/>
      <c r="AH631" s="123"/>
      <c r="AI631" s="236"/>
      <c r="AJ631" s="236"/>
      <c r="AL631" s="123"/>
      <c r="AM631" s="123"/>
      <c r="AN631" s="123"/>
      <c r="AO631" s="160"/>
      <c r="AP631" s="160"/>
    </row>
    <row r="632" spans="3:42" x14ac:dyDescent="0.3">
      <c r="F632" s="123"/>
      <c r="H632" s="123"/>
      <c r="I632" s="123"/>
      <c r="J632" s="219"/>
      <c r="K632" s="219"/>
      <c r="L632" s="123"/>
      <c r="M632" s="123"/>
      <c r="N632" s="219"/>
      <c r="O632" s="219"/>
      <c r="P632" s="123"/>
      <c r="Q632" s="123"/>
      <c r="R632" s="123"/>
      <c r="V632" s="123"/>
      <c r="AA632" s="123"/>
      <c r="AB632" s="219"/>
      <c r="AC632" s="123"/>
      <c r="AD632" s="123"/>
      <c r="AE632" s="219"/>
      <c r="AF632" s="219"/>
      <c r="AI632" s="236"/>
      <c r="AJ632" s="236"/>
      <c r="AL632" s="123"/>
      <c r="AM632" s="123"/>
      <c r="AN632" s="123"/>
      <c r="AO632" s="160"/>
      <c r="AP632" s="160"/>
    </row>
    <row r="633" spans="3:42" x14ac:dyDescent="0.3">
      <c r="C633" s="42"/>
      <c r="D633" s="42"/>
      <c r="E633" s="42"/>
      <c r="F633" s="123"/>
      <c r="H633" s="123"/>
      <c r="I633" s="123"/>
      <c r="J633" s="219"/>
      <c r="K633" s="219"/>
      <c r="L633" s="123"/>
      <c r="M633" s="123"/>
      <c r="N633" s="219"/>
      <c r="O633" s="219"/>
      <c r="P633" s="123"/>
      <c r="Q633" s="123"/>
      <c r="R633" s="123"/>
      <c r="T633" s="42"/>
      <c r="U633" s="42"/>
      <c r="V633" s="123"/>
      <c r="AA633" s="123"/>
      <c r="AB633" s="219"/>
      <c r="AC633" s="123"/>
      <c r="AD633" s="123"/>
      <c r="AE633" s="219"/>
      <c r="AF633" s="219"/>
      <c r="AH633" s="123"/>
      <c r="AI633" s="236"/>
      <c r="AJ633" s="236"/>
      <c r="AL633" s="123"/>
      <c r="AM633" s="123"/>
      <c r="AN633" s="123"/>
      <c r="AO633" s="160"/>
      <c r="AP633" s="160"/>
    </row>
    <row r="634" spans="3:42" x14ac:dyDescent="0.3">
      <c r="F634" s="123"/>
      <c r="H634" s="210"/>
      <c r="I634" s="210"/>
      <c r="J634" s="213"/>
      <c r="K634" s="213"/>
      <c r="L634" s="210"/>
      <c r="M634" s="210"/>
      <c r="N634" s="210"/>
      <c r="O634" s="210"/>
      <c r="P634" s="210"/>
      <c r="Q634" s="210"/>
      <c r="R634" s="210"/>
      <c r="V634" s="210"/>
      <c r="AA634" s="210"/>
      <c r="AB634" s="213"/>
      <c r="AC634" s="210"/>
      <c r="AD634" s="210"/>
      <c r="AE634" s="210"/>
      <c r="AF634" s="210"/>
      <c r="AG634" s="214"/>
      <c r="AH634" s="210"/>
      <c r="AK634" s="214"/>
      <c r="AL634" s="210"/>
      <c r="AM634" s="210"/>
      <c r="AN634" s="210"/>
      <c r="AO634" s="160"/>
      <c r="AP634" s="160"/>
    </row>
    <row r="635" spans="3:42" x14ac:dyDescent="0.3">
      <c r="C635" s="42"/>
      <c r="F635" s="210"/>
      <c r="H635" s="123"/>
      <c r="I635" s="123"/>
      <c r="J635" s="219"/>
      <c r="K635" s="219"/>
      <c r="L635" s="123"/>
      <c r="M635" s="123"/>
      <c r="N635" s="219"/>
      <c r="O635" s="219"/>
      <c r="P635" s="123"/>
      <c r="Q635" s="123"/>
      <c r="R635" s="123"/>
      <c r="T635" s="42"/>
      <c r="V635" s="123"/>
      <c r="AA635" s="123"/>
      <c r="AB635" s="219"/>
      <c r="AC635" s="123"/>
      <c r="AD635" s="123"/>
      <c r="AE635" s="219"/>
      <c r="AF635" s="219"/>
      <c r="AH635" s="123"/>
      <c r="AI635" s="236"/>
      <c r="AJ635" s="236"/>
      <c r="AL635" s="123"/>
      <c r="AM635" s="123"/>
      <c r="AN635" s="123"/>
      <c r="AO635" s="160"/>
      <c r="AP635" s="160"/>
    </row>
    <row r="636" spans="3:42" x14ac:dyDescent="0.3">
      <c r="F636" s="123"/>
      <c r="H636" s="123"/>
      <c r="I636" s="123"/>
      <c r="J636" s="219"/>
      <c r="K636" s="219"/>
      <c r="L636" s="123"/>
      <c r="M636" s="123"/>
      <c r="N636" s="219"/>
      <c r="O636" s="219"/>
      <c r="P636" s="123"/>
      <c r="Q636" s="123"/>
      <c r="R636" s="123"/>
      <c r="V636" s="123"/>
      <c r="AA636" s="123"/>
      <c r="AB636" s="219"/>
      <c r="AC636" s="123"/>
      <c r="AD636" s="123"/>
      <c r="AE636" s="219"/>
      <c r="AF636" s="219"/>
      <c r="AI636" s="236"/>
      <c r="AJ636" s="236"/>
      <c r="AL636" s="123"/>
      <c r="AM636" s="123"/>
      <c r="AN636" s="123"/>
      <c r="AO636" s="160"/>
      <c r="AP636" s="160"/>
    </row>
    <row r="637" spans="3:42" x14ac:dyDescent="0.3">
      <c r="C637" s="42"/>
      <c r="D637" s="42"/>
      <c r="E637" s="42"/>
      <c r="F637" s="123"/>
      <c r="H637" s="123"/>
      <c r="I637" s="123"/>
      <c r="J637" s="219"/>
      <c r="K637" s="219"/>
      <c r="L637" s="123"/>
      <c r="M637" s="123"/>
      <c r="N637" s="219"/>
      <c r="O637" s="219"/>
      <c r="P637" s="123"/>
      <c r="Q637" s="123"/>
      <c r="R637" s="123"/>
      <c r="T637" s="42"/>
      <c r="U637" s="42"/>
      <c r="V637" s="123"/>
      <c r="AA637" s="123"/>
      <c r="AB637" s="219"/>
      <c r="AC637" s="123"/>
      <c r="AD637" s="123"/>
      <c r="AE637" s="219"/>
      <c r="AF637" s="219"/>
      <c r="AH637" s="123"/>
      <c r="AI637" s="236"/>
      <c r="AJ637" s="236"/>
      <c r="AL637" s="123"/>
      <c r="AM637" s="123"/>
      <c r="AN637" s="123"/>
      <c r="AO637" s="160"/>
      <c r="AP637" s="160"/>
    </row>
    <row r="638" spans="3:42" x14ac:dyDescent="0.3">
      <c r="C638" s="42"/>
      <c r="D638" s="42"/>
      <c r="E638" s="42"/>
      <c r="F638" s="123"/>
      <c r="G638" s="123"/>
      <c r="H638" s="123"/>
      <c r="I638" s="123"/>
      <c r="J638" s="219"/>
      <c r="K638" s="219"/>
      <c r="L638" s="123"/>
      <c r="M638" s="123"/>
      <c r="N638" s="219"/>
      <c r="O638" s="219"/>
      <c r="P638" s="123"/>
      <c r="Q638" s="123"/>
      <c r="R638" s="123"/>
      <c r="T638" s="42"/>
      <c r="U638" s="42"/>
      <c r="V638" s="123"/>
      <c r="W638" s="123"/>
      <c r="X638" s="123"/>
      <c r="Y638" s="123"/>
      <c r="Z638" s="123"/>
      <c r="AA638" s="123"/>
      <c r="AB638" s="219"/>
      <c r="AC638" s="123"/>
      <c r="AD638" s="123"/>
      <c r="AE638" s="219"/>
      <c r="AF638" s="219"/>
      <c r="AH638" s="123"/>
      <c r="AI638" s="236"/>
      <c r="AJ638" s="236"/>
      <c r="AL638" s="123"/>
      <c r="AM638" s="123"/>
      <c r="AN638" s="123"/>
      <c r="AO638" s="160"/>
      <c r="AP638" s="160"/>
    </row>
    <row r="639" spans="3:42" x14ac:dyDescent="0.3">
      <c r="C639" s="42"/>
      <c r="D639" s="42"/>
      <c r="E639" s="42"/>
      <c r="F639" s="123"/>
      <c r="G639" s="123"/>
      <c r="H639" s="123"/>
      <c r="I639" s="123"/>
      <c r="J639" s="219"/>
      <c r="K639" s="219"/>
      <c r="L639" s="123"/>
      <c r="M639" s="123"/>
      <c r="N639" s="219"/>
      <c r="O639" s="219"/>
      <c r="P639" s="123"/>
      <c r="Q639" s="123"/>
      <c r="R639" s="123"/>
      <c r="T639" s="42"/>
      <c r="U639" s="42"/>
      <c r="V639" s="123"/>
      <c r="W639" s="123"/>
      <c r="X639" s="123"/>
      <c r="Y639" s="123"/>
      <c r="Z639" s="123"/>
      <c r="AA639" s="123"/>
      <c r="AB639" s="219"/>
      <c r="AC639" s="123"/>
      <c r="AD639" s="123"/>
      <c r="AE639" s="219"/>
      <c r="AF639" s="219"/>
      <c r="AH639" s="123"/>
      <c r="AI639" s="236"/>
      <c r="AJ639" s="236"/>
      <c r="AL639" s="123"/>
      <c r="AM639" s="123"/>
      <c r="AN639" s="123"/>
      <c r="AO639" s="160"/>
      <c r="AP639" s="160"/>
    </row>
    <row r="640" spans="3:42" x14ac:dyDescent="0.3">
      <c r="C640" s="42"/>
      <c r="D640" s="42"/>
      <c r="E640" s="42"/>
      <c r="F640" s="123"/>
      <c r="H640" s="123"/>
      <c r="I640" s="123"/>
      <c r="J640" s="219"/>
      <c r="K640" s="219"/>
      <c r="L640" s="123"/>
      <c r="M640" s="123"/>
      <c r="N640" s="219"/>
      <c r="O640" s="219"/>
      <c r="P640" s="123"/>
      <c r="Q640" s="123"/>
      <c r="R640" s="123"/>
      <c r="T640" s="42"/>
      <c r="U640" s="42"/>
      <c r="V640" s="123"/>
      <c r="AA640" s="123"/>
      <c r="AB640" s="219"/>
      <c r="AC640" s="123"/>
      <c r="AD640" s="123"/>
      <c r="AE640" s="219"/>
      <c r="AF640" s="219"/>
      <c r="AH640" s="123"/>
      <c r="AI640" s="236"/>
      <c r="AJ640" s="236"/>
      <c r="AL640" s="123"/>
      <c r="AM640" s="123"/>
      <c r="AN640" s="123"/>
      <c r="AO640" s="160"/>
      <c r="AP640" s="160"/>
    </row>
    <row r="641" spans="3:42" x14ac:dyDescent="0.3">
      <c r="C641" s="42"/>
      <c r="D641" s="42"/>
      <c r="E641" s="42"/>
      <c r="F641" s="123"/>
      <c r="H641" s="123"/>
      <c r="I641" s="123"/>
      <c r="J641" s="219"/>
      <c r="K641" s="219"/>
      <c r="L641" s="123"/>
      <c r="M641" s="123"/>
      <c r="N641" s="219"/>
      <c r="O641" s="219"/>
      <c r="P641" s="123"/>
      <c r="Q641" s="123"/>
      <c r="R641" s="123"/>
      <c r="T641" s="42"/>
      <c r="U641" s="42"/>
      <c r="V641" s="123"/>
      <c r="AA641" s="123"/>
      <c r="AB641" s="219"/>
      <c r="AC641" s="123"/>
      <c r="AD641" s="123"/>
      <c r="AE641" s="219"/>
      <c r="AF641" s="219"/>
      <c r="AH641" s="123"/>
      <c r="AI641" s="236"/>
      <c r="AJ641" s="236"/>
      <c r="AL641" s="123"/>
      <c r="AM641" s="123"/>
      <c r="AN641" s="123"/>
      <c r="AO641" s="160"/>
      <c r="AP641" s="160"/>
    </row>
    <row r="642" spans="3:42" x14ac:dyDescent="0.3">
      <c r="C642" s="42"/>
      <c r="D642" s="42"/>
      <c r="E642" s="42"/>
      <c r="F642" s="123"/>
      <c r="H642" s="123"/>
      <c r="I642" s="123"/>
      <c r="J642" s="219"/>
      <c r="K642" s="219"/>
      <c r="L642" s="123"/>
      <c r="M642" s="123"/>
      <c r="N642" s="219"/>
      <c r="O642" s="219"/>
      <c r="P642" s="123"/>
      <c r="Q642" s="123"/>
      <c r="R642" s="123"/>
      <c r="T642" s="42"/>
      <c r="U642" s="42"/>
      <c r="V642" s="123"/>
      <c r="AA642" s="123"/>
      <c r="AB642" s="219"/>
      <c r="AC642" s="123"/>
      <c r="AD642" s="123"/>
      <c r="AE642" s="219"/>
      <c r="AF642" s="219"/>
      <c r="AH642" s="123"/>
      <c r="AI642" s="236"/>
      <c r="AJ642" s="236"/>
      <c r="AL642" s="123"/>
      <c r="AM642" s="123"/>
      <c r="AN642" s="123"/>
      <c r="AO642" s="160"/>
      <c r="AP642" s="160"/>
    </row>
    <row r="643" spans="3:42" x14ac:dyDescent="0.3">
      <c r="C643" s="42"/>
      <c r="D643" s="42"/>
      <c r="E643" s="42"/>
      <c r="F643" s="123"/>
      <c r="H643" s="123"/>
      <c r="I643" s="123"/>
      <c r="J643" s="219"/>
      <c r="K643" s="219"/>
      <c r="L643" s="123"/>
      <c r="M643" s="123"/>
      <c r="N643" s="219"/>
      <c r="O643" s="219"/>
      <c r="P643" s="123"/>
      <c r="Q643" s="123"/>
      <c r="R643" s="123"/>
      <c r="T643" s="42"/>
      <c r="U643" s="42"/>
      <c r="V643" s="123"/>
      <c r="AA643" s="123"/>
      <c r="AB643" s="219"/>
      <c r="AC643" s="123"/>
      <c r="AD643" s="123"/>
      <c r="AE643" s="219"/>
      <c r="AF643" s="219"/>
      <c r="AH643" s="123"/>
      <c r="AI643" s="236"/>
      <c r="AJ643" s="236"/>
      <c r="AL643" s="123"/>
      <c r="AM643" s="123"/>
      <c r="AN643" s="123"/>
      <c r="AO643" s="160"/>
      <c r="AP643" s="160"/>
    </row>
    <row r="644" spans="3:42" x14ac:dyDescent="0.3">
      <c r="F644" s="123"/>
      <c r="H644" s="210"/>
      <c r="I644" s="210"/>
      <c r="J644" s="213"/>
      <c r="K644" s="213"/>
      <c r="L644" s="210"/>
      <c r="M644" s="210"/>
      <c r="N644" s="210"/>
      <c r="O644" s="210"/>
      <c r="P644" s="210"/>
      <c r="Q644" s="210"/>
      <c r="R644" s="210"/>
      <c r="V644" s="210"/>
      <c r="AA644" s="210"/>
      <c r="AB644" s="213"/>
      <c r="AC644" s="210"/>
      <c r="AD644" s="210"/>
      <c r="AE644" s="210"/>
      <c r="AF644" s="210"/>
      <c r="AG644" s="214"/>
      <c r="AH644" s="210"/>
      <c r="AK644" s="214"/>
      <c r="AL644" s="210"/>
      <c r="AM644" s="210"/>
      <c r="AN644" s="210"/>
      <c r="AO644" s="160"/>
      <c r="AP644" s="160"/>
    </row>
    <row r="645" spans="3:42" x14ac:dyDescent="0.3">
      <c r="C645" s="42"/>
      <c r="F645" s="210"/>
      <c r="H645" s="123"/>
      <c r="I645" s="123"/>
      <c r="J645" s="219"/>
      <c r="K645" s="219"/>
      <c r="L645" s="123"/>
      <c r="M645" s="123"/>
      <c r="N645" s="219"/>
      <c r="O645" s="219"/>
      <c r="P645" s="123"/>
      <c r="Q645" s="123"/>
      <c r="R645" s="123"/>
      <c r="T645" s="42"/>
      <c r="V645" s="123"/>
      <c r="AA645" s="123"/>
      <c r="AB645" s="219"/>
      <c r="AC645" s="123"/>
      <c r="AD645" s="123"/>
      <c r="AE645" s="219"/>
      <c r="AF645" s="219"/>
      <c r="AH645" s="123"/>
      <c r="AI645" s="236"/>
      <c r="AJ645" s="236"/>
      <c r="AL645" s="123"/>
      <c r="AM645" s="123"/>
      <c r="AN645" s="123"/>
      <c r="AO645" s="160"/>
      <c r="AP645" s="160"/>
    </row>
    <row r="646" spans="3:42" x14ac:dyDescent="0.3">
      <c r="F646" s="123"/>
      <c r="V646" s="123"/>
      <c r="AA646" s="123"/>
      <c r="AB646" s="213"/>
      <c r="AC646" s="123"/>
      <c r="AD646" s="123"/>
      <c r="AE646" s="123"/>
      <c r="AF646" s="123"/>
      <c r="AH646" s="123"/>
      <c r="AL646" s="123"/>
      <c r="AM646" s="123"/>
      <c r="AN646" s="123"/>
      <c r="AO646" s="160"/>
      <c r="AP646" s="160"/>
    </row>
    <row r="647" spans="3:42" x14ac:dyDescent="0.3">
      <c r="C647" s="42"/>
      <c r="D647" s="42"/>
      <c r="E647" s="42"/>
      <c r="L647" s="123"/>
      <c r="M647" s="123"/>
      <c r="N647" s="219"/>
      <c r="O647" s="219"/>
      <c r="R647" s="123"/>
      <c r="T647" s="42"/>
      <c r="U647" s="42"/>
      <c r="AC647" s="123"/>
      <c r="AD647" s="123"/>
      <c r="AE647" s="219"/>
      <c r="AF647" s="219"/>
      <c r="AH647" s="123"/>
      <c r="AI647" s="236"/>
      <c r="AJ647" s="236"/>
      <c r="AM647" s="123"/>
      <c r="AN647" s="123"/>
      <c r="AO647" s="160"/>
      <c r="AP647" s="160"/>
    </row>
    <row r="648" spans="3:42" x14ac:dyDescent="0.3">
      <c r="D648" s="42"/>
      <c r="E648" s="42"/>
      <c r="H648" s="184"/>
      <c r="I648" s="184"/>
      <c r="J648" s="219"/>
      <c r="K648" s="219"/>
      <c r="L648" s="123"/>
      <c r="M648" s="123"/>
      <c r="N648" s="219"/>
      <c r="O648" s="219"/>
      <c r="P648" s="184"/>
      <c r="Q648" s="184"/>
      <c r="R648" s="123"/>
      <c r="U648" s="42"/>
      <c r="V648" s="123"/>
      <c r="AA648" s="123"/>
      <c r="AB648" s="219"/>
      <c r="AC648" s="123"/>
      <c r="AD648" s="123"/>
      <c r="AE648" s="219"/>
      <c r="AF648" s="219"/>
      <c r="AH648" s="123"/>
      <c r="AI648" s="236"/>
      <c r="AJ648" s="236"/>
      <c r="AL648" s="123"/>
      <c r="AM648" s="123"/>
      <c r="AN648" s="123"/>
      <c r="AO648" s="160"/>
      <c r="AP648" s="160"/>
    </row>
    <row r="649" spans="3:42" x14ac:dyDescent="0.3">
      <c r="F649" s="184"/>
      <c r="H649" s="210"/>
      <c r="I649" s="210"/>
      <c r="J649" s="213"/>
      <c r="K649" s="213"/>
      <c r="L649" s="210"/>
      <c r="M649" s="210"/>
      <c r="N649" s="210"/>
      <c r="O649" s="210"/>
      <c r="P649" s="210"/>
      <c r="Q649" s="210"/>
      <c r="R649" s="210"/>
      <c r="V649" s="210"/>
      <c r="AA649" s="210"/>
      <c r="AB649" s="213"/>
      <c r="AC649" s="210"/>
      <c r="AD649" s="210"/>
      <c r="AE649" s="210"/>
      <c r="AF649" s="210"/>
      <c r="AG649" s="214"/>
      <c r="AH649" s="210"/>
      <c r="AK649" s="214"/>
      <c r="AL649" s="210"/>
      <c r="AM649" s="210"/>
      <c r="AN649" s="210"/>
      <c r="AO649" s="160"/>
      <c r="AP649" s="160"/>
    </row>
    <row r="650" spans="3:42" x14ac:dyDescent="0.3">
      <c r="C650" s="42"/>
      <c r="F650" s="210"/>
      <c r="H650" s="123"/>
      <c r="I650" s="123"/>
      <c r="J650" s="219"/>
      <c r="K650" s="219"/>
      <c r="L650" s="123"/>
      <c r="M650" s="123"/>
      <c r="N650" s="219"/>
      <c r="O650" s="219"/>
      <c r="P650" s="123"/>
      <c r="Q650" s="123"/>
      <c r="R650" s="123"/>
      <c r="T650" s="42"/>
      <c r="V650" s="123"/>
      <c r="AA650" s="123"/>
      <c r="AB650" s="219"/>
      <c r="AC650" s="123"/>
      <c r="AD650" s="123"/>
      <c r="AE650" s="219"/>
      <c r="AF650" s="219"/>
      <c r="AH650" s="123"/>
      <c r="AI650" s="236"/>
      <c r="AJ650" s="236"/>
      <c r="AL650" s="123"/>
      <c r="AM650" s="123"/>
      <c r="AN650" s="123"/>
      <c r="AO650" s="160"/>
      <c r="AP650" s="160"/>
    </row>
    <row r="651" spans="3:42" x14ac:dyDescent="0.3">
      <c r="F651" s="123"/>
      <c r="H651" s="123"/>
      <c r="I651" s="123"/>
      <c r="J651" s="219"/>
      <c r="K651" s="219"/>
      <c r="L651" s="123"/>
      <c r="M651" s="123"/>
      <c r="N651" s="219"/>
      <c r="O651" s="219"/>
      <c r="P651" s="123"/>
      <c r="Q651" s="123"/>
      <c r="R651" s="123"/>
      <c r="V651" s="123"/>
      <c r="AA651" s="123"/>
      <c r="AB651" s="219"/>
      <c r="AC651" s="123"/>
      <c r="AD651" s="123"/>
      <c r="AE651" s="219"/>
      <c r="AF651" s="219"/>
      <c r="AI651" s="236"/>
      <c r="AJ651" s="236"/>
      <c r="AL651" s="123"/>
      <c r="AM651" s="123"/>
      <c r="AN651" s="123"/>
      <c r="AO651" s="160"/>
      <c r="AP651" s="160"/>
    </row>
    <row r="652" spans="3:42" x14ac:dyDescent="0.3">
      <c r="D652" s="42"/>
      <c r="E652" s="42"/>
      <c r="F652" s="123"/>
      <c r="H652" s="123"/>
      <c r="I652" s="123"/>
      <c r="J652" s="219"/>
      <c r="K652" s="219"/>
      <c r="L652" s="184"/>
      <c r="M652" s="184"/>
      <c r="N652" s="219"/>
      <c r="O652" s="219"/>
      <c r="P652" s="123"/>
      <c r="Q652" s="123"/>
      <c r="R652" s="123"/>
      <c r="U652" s="42"/>
      <c r="V652" s="123"/>
      <c r="AA652" s="123"/>
      <c r="AB652" s="219"/>
      <c r="AC652" s="184"/>
      <c r="AD652" s="184"/>
      <c r="AE652" s="219"/>
      <c r="AF652" s="219"/>
      <c r="AH652" s="123"/>
      <c r="AI652" s="236"/>
      <c r="AJ652" s="236"/>
      <c r="AL652" s="123"/>
      <c r="AM652" s="123"/>
      <c r="AN652" s="123"/>
      <c r="AO652" s="160"/>
      <c r="AP652" s="160"/>
    </row>
    <row r="653" spans="3:42" x14ac:dyDescent="0.3">
      <c r="D653" s="42"/>
      <c r="E653" s="42"/>
      <c r="F653" s="123"/>
      <c r="H653" s="123"/>
      <c r="I653" s="123"/>
      <c r="J653" s="219"/>
      <c r="K653" s="219"/>
      <c r="L653" s="184"/>
      <c r="M653" s="184"/>
      <c r="N653" s="219"/>
      <c r="O653" s="219"/>
      <c r="P653" s="123"/>
      <c r="Q653" s="123"/>
      <c r="R653" s="123"/>
      <c r="U653" s="42"/>
      <c r="V653" s="123"/>
      <c r="AA653" s="123"/>
      <c r="AB653" s="219"/>
      <c r="AC653" s="184"/>
      <c r="AD653" s="184"/>
      <c r="AE653" s="219"/>
      <c r="AF653" s="219"/>
      <c r="AH653" s="123"/>
      <c r="AI653" s="236"/>
      <c r="AJ653" s="236"/>
      <c r="AL653" s="123"/>
      <c r="AM653" s="123"/>
      <c r="AN653" s="123"/>
      <c r="AO653" s="160"/>
      <c r="AP653" s="160"/>
    </row>
    <row r="654" spans="3:42" x14ac:dyDescent="0.3">
      <c r="D654" s="42"/>
      <c r="E654" s="42"/>
      <c r="F654" s="123"/>
      <c r="H654" s="123"/>
      <c r="I654" s="123"/>
      <c r="J654" s="219"/>
      <c r="K654" s="219"/>
      <c r="L654" s="184"/>
      <c r="M654" s="184"/>
      <c r="N654" s="219"/>
      <c r="O654" s="219"/>
      <c r="P654" s="123"/>
      <c r="Q654" s="123"/>
      <c r="R654" s="123"/>
      <c r="U654" s="42"/>
      <c r="V654" s="123"/>
      <c r="AA654" s="123"/>
      <c r="AB654" s="219"/>
      <c r="AC654" s="184"/>
      <c r="AD654" s="184"/>
      <c r="AE654" s="219"/>
      <c r="AF654" s="219"/>
      <c r="AH654" s="123"/>
      <c r="AI654" s="236"/>
      <c r="AJ654" s="236"/>
      <c r="AL654" s="123"/>
      <c r="AM654" s="123"/>
      <c r="AN654" s="123"/>
      <c r="AO654" s="160"/>
      <c r="AP654" s="160"/>
    </row>
    <row r="655" spans="3:42" x14ac:dyDescent="0.3">
      <c r="F655" s="123"/>
      <c r="H655" s="210"/>
      <c r="I655" s="210"/>
      <c r="J655" s="213"/>
      <c r="K655" s="213"/>
      <c r="L655" s="210"/>
      <c r="M655" s="210"/>
      <c r="N655" s="210"/>
      <c r="O655" s="210"/>
      <c r="P655" s="210"/>
      <c r="Q655" s="210"/>
      <c r="R655" s="210"/>
      <c r="V655" s="210"/>
      <c r="AA655" s="210"/>
      <c r="AB655" s="213"/>
      <c r="AC655" s="210"/>
      <c r="AD655" s="210"/>
      <c r="AE655" s="210"/>
      <c r="AF655" s="210"/>
      <c r="AG655" s="214"/>
      <c r="AH655" s="210"/>
      <c r="AK655" s="214"/>
      <c r="AL655" s="210"/>
      <c r="AM655" s="210"/>
      <c r="AN655" s="210"/>
      <c r="AO655" s="160"/>
      <c r="AP655" s="160"/>
    </row>
    <row r="656" spans="3:42" x14ac:dyDescent="0.3">
      <c r="C656" s="42"/>
      <c r="F656" s="210"/>
      <c r="H656" s="123"/>
      <c r="I656" s="123"/>
      <c r="J656" s="219"/>
      <c r="K656" s="219"/>
      <c r="L656" s="123"/>
      <c r="M656" s="123"/>
      <c r="N656" s="219"/>
      <c r="O656" s="219"/>
      <c r="P656" s="123"/>
      <c r="Q656" s="123"/>
      <c r="R656" s="123"/>
      <c r="T656" s="42"/>
      <c r="V656" s="123"/>
      <c r="AA656" s="123"/>
      <c r="AB656" s="219"/>
      <c r="AC656" s="123"/>
      <c r="AD656" s="123"/>
      <c r="AE656" s="219"/>
      <c r="AF656" s="219"/>
      <c r="AH656" s="123"/>
      <c r="AI656" s="236"/>
      <c r="AJ656" s="236"/>
      <c r="AL656" s="123"/>
      <c r="AM656" s="123"/>
      <c r="AN656" s="123"/>
      <c r="AO656" s="160"/>
      <c r="AP656" s="160"/>
    </row>
    <row r="657" spans="1:42" x14ac:dyDescent="0.3">
      <c r="F657" s="123"/>
      <c r="H657" s="123"/>
      <c r="I657" s="123"/>
      <c r="J657" s="219"/>
      <c r="K657" s="219"/>
      <c r="L657" s="123"/>
      <c r="M657" s="123"/>
      <c r="N657" s="219"/>
      <c r="O657" s="219"/>
      <c r="P657" s="123"/>
      <c r="Q657" s="123"/>
      <c r="R657" s="123"/>
      <c r="V657" s="123"/>
      <c r="AA657" s="123"/>
      <c r="AB657" s="219"/>
      <c r="AC657" s="123"/>
      <c r="AD657" s="123"/>
      <c r="AE657" s="219"/>
      <c r="AF657" s="219"/>
      <c r="AI657" s="236"/>
      <c r="AJ657" s="236"/>
      <c r="AL657" s="123"/>
      <c r="AM657" s="123"/>
      <c r="AN657" s="123"/>
      <c r="AO657" s="160"/>
      <c r="AP657" s="160"/>
    </row>
    <row r="658" spans="1:42" x14ac:dyDescent="0.3">
      <c r="C658" s="42"/>
      <c r="F658" s="123"/>
      <c r="H658" s="123"/>
      <c r="I658" s="123"/>
      <c r="J658" s="219"/>
      <c r="K658" s="219"/>
      <c r="L658" s="123"/>
      <c r="M658" s="123"/>
      <c r="N658" s="219"/>
      <c r="O658" s="219"/>
      <c r="P658" s="123"/>
      <c r="Q658" s="123"/>
      <c r="R658" s="123"/>
      <c r="T658" s="42"/>
      <c r="V658" s="123"/>
      <c r="AA658" s="123"/>
      <c r="AB658" s="219"/>
      <c r="AC658" s="123"/>
      <c r="AD658" s="123"/>
      <c r="AE658" s="219"/>
      <c r="AF658" s="219"/>
      <c r="AH658" s="123"/>
      <c r="AI658" s="236"/>
      <c r="AJ658" s="236"/>
      <c r="AL658" s="123"/>
      <c r="AM658" s="123"/>
      <c r="AN658" s="123"/>
      <c r="AO658" s="160"/>
      <c r="AP658" s="160"/>
    </row>
    <row r="659" spans="1:42" x14ac:dyDescent="0.3">
      <c r="F659" s="123"/>
      <c r="H659" s="210"/>
      <c r="I659" s="210"/>
      <c r="J659" s="213"/>
      <c r="K659" s="213"/>
      <c r="L659" s="210"/>
      <c r="M659" s="210"/>
      <c r="N659" s="210"/>
      <c r="O659" s="210"/>
      <c r="P659" s="210"/>
      <c r="Q659" s="210"/>
      <c r="R659" s="210"/>
      <c r="V659" s="210"/>
      <c r="AA659" s="210"/>
      <c r="AB659" s="213"/>
      <c r="AC659" s="210"/>
      <c r="AD659" s="210"/>
      <c r="AE659" s="210"/>
      <c r="AF659" s="210"/>
      <c r="AG659" s="214"/>
      <c r="AH659" s="210"/>
      <c r="AK659" s="214"/>
      <c r="AL659" s="210"/>
      <c r="AM659" s="210"/>
      <c r="AN659" s="210"/>
    </row>
    <row r="661" spans="1:42" x14ac:dyDescent="0.3">
      <c r="C661" s="42"/>
      <c r="F661" s="210"/>
      <c r="L661" s="123"/>
      <c r="M661" s="123"/>
      <c r="P661" s="123"/>
      <c r="Q661" s="123"/>
      <c r="R661" s="123"/>
      <c r="T661" s="42"/>
    </row>
    <row r="662" spans="1:42" x14ac:dyDescent="0.3">
      <c r="A662" s="42"/>
      <c r="L662" s="123"/>
      <c r="M662" s="123"/>
      <c r="P662" s="123"/>
      <c r="Q662" s="123"/>
      <c r="R662" s="123"/>
    </row>
    <row r="663" spans="1:42" x14ac:dyDescent="0.3">
      <c r="L663" s="123"/>
      <c r="M663" s="123"/>
      <c r="P663" s="123"/>
      <c r="Q663" s="123"/>
      <c r="R663" s="123"/>
    </row>
    <row r="664" spans="1:42" x14ac:dyDescent="0.3">
      <c r="L664" s="123"/>
      <c r="M664" s="123"/>
      <c r="P664" s="123"/>
      <c r="Q664" s="123"/>
      <c r="R664" s="123"/>
    </row>
    <row r="665" spans="1:42" x14ac:dyDescent="0.3">
      <c r="L665" s="123"/>
      <c r="M665" s="123"/>
      <c r="P665" s="123"/>
      <c r="Q665" s="123"/>
      <c r="R665" s="123"/>
    </row>
    <row r="666" spans="1:42" x14ac:dyDescent="0.3">
      <c r="L666" s="123"/>
      <c r="M666" s="123"/>
      <c r="P666" s="123"/>
      <c r="Q666" s="123"/>
      <c r="R666" s="123"/>
    </row>
    <row r="667" spans="1:42" x14ac:dyDescent="0.3">
      <c r="L667" s="123"/>
      <c r="M667" s="123"/>
      <c r="P667" s="123"/>
      <c r="Q667" s="123"/>
      <c r="R667" s="123"/>
    </row>
    <row r="700" spans="51:51" x14ac:dyDescent="0.3">
      <c r="AY700" s="123"/>
    </row>
    <row r="701" spans="51:51" x14ac:dyDescent="0.3">
      <c r="AY701" s="123"/>
    </row>
    <row r="702" spans="51:51" x14ac:dyDescent="0.3">
      <c r="AY702" s="123"/>
    </row>
    <row r="703" spans="51:51" x14ac:dyDescent="0.3">
      <c r="AY703" s="123"/>
    </row>
    <row r="704" spans="51:51" x14ac:dyDescent="0.3">
      <c r="AY704" s="123"/>
    </row>
    <row r="705" spans="51:51" x14ac:dyDescent="0.3">
      <c r="AY705" s="123"/>
    </row>
    <row r="708" spans="51:51" x14ac:dyDescent="0.3">
      <c r="AY708" s="123"/>
    </row>
    <row r="709" spans="51:51" x14ac:dyDescent="0.3">
      <c r="AY709" s="123"/>
    </row>
    <row r="710" spans="51:51" x14ac:dyDescent="0.3">
      <c r="AY710" s="123"/>
    </row>
    <row r="711" spans="51:51" x14ac:dyDescent="0.3">
      <c r="AY711" s="123"/>
    </row>
    <row r="712" spans="51:51" x14ac:dyDescent="0.3">
      <c r="AY712" s="123"/>
    </row>
    <row r="713" spans="51:51" x14ac:dyDescent="0.3">
      <c r="AY713" s="123"/>
    </row>
    <row r="714" spans="51:51" x14ac:dyDescent="0.3">
      <c r="AY714" s="123"/>
    </row>
    <row r="715" spans="51:51" x14ac:dyDescent="0.3">
      <c r="AY715" s="123"/>
    </row>
    <row r="718" spans="51:51" x14ac:dyDescent="0.3">
      <c r="AY718" s="123"/>
    </row>
    <row r="719" spans="51:51" x14ac:dyDescent="0.3">
      <c r="AY719" s="123"/>
    </row>
    <row r="722" spans="51:58" x14ac:dyDescent="0.3">
      <c r="AY722" s="123"/>
    </row>
    <row r="723" spans="51:58" x14ac:dyDescent="0.3">
      <c r="AY723" s="123"/>
    </row>
    <row r="724" spans="51:58" x14ac:dyDescent="0.3">
      <c r="AY724" s="123"/>
    </row>
    <row r="725" spans="51:58" x14ac:dyDescent="0.3">
      <c r="AY725" s="123"/>
    </row>
    <row r="733" spans="51:58" x14ac:dyDescent="0.3">
      <c r="BA733" s="42"/>
    </row>
    <row r="734" spans="51:58" x14ac:dyDescent="0.3">
      <c r="BA734" s="42"/>
    </row>
    <row r="735" spans="51:58" x14ac:dyDescent="0.3">
      <c r="BF735" s="42"/>
    </row>
    <row r="736" spans="51:58" x14ac:dyDescent="0.3">
      <c r="BF736" s="42"/>
    </row>
    <row r="737" spans="47:71" x14ac:dyDescent="0.3">
      <c r="AU737" s="42"/>
      <c r="BF737" s="42"/>
    </row>
    <row r="739" spans="47:71" x14ac:dyDescent="0.3">
      <c r="AU739" s="135"/>
      <c r="AV739" s="135"/>
      <c r="AW739" s="135"/>
      <c r="AX739" s="135"/>
      <c r="AY739" s="135"/>
      <c r="AZ739" s="135"/>
      <c r="BA739" s="135"/>
      <c r="BB739" s="135"/>
      <c r="BC739" s="135"/>
      <c r="BD739" s="135"/>
      <c r="BE739" s="135"/>
      <c r="BF739" s="135"/>
      <c r="BG739" s="135"/>
    </row>
    <row r="740" spans="47:71" x14ac:dyDescent="0.3">
      <c r="AZ740" s="42"/>
    </row>
    <row r="741" spans="47:71" x14ac:dyDescent="0.3">
      <c r="AZ741" s="135"/>
      <c r="BA741" s="135"/>
      <c r="BB741" s="135"/>
      <c r="BC741" s="135"/>
      <c r="BE741" s="44"/>
      <c r="BF741" s="44"/>
    </row>
    <row r="742" spans="47:71" x14ac:dyDescent="0.3">
      <c r="AX742" s="44"/>
      <c r="AY742" s="44"/>
      <c r="BB742" s="44"/>
      <c r="BC742" s="44"/>
      <c r="BE742" s="44"/>
      <c r="BF742" s="44"/>
      <c r="BG742" s="44"/>
      <c r="BI742" s="135"/>
      <c r="BJ742" s="42"/>
      <c r="BM742" s="135"/>
      <c r="BO742" s="135"/>
      <c r="BP742" s="42"/>
      <c r="BS742" s="135"/>
    </row>
    <row r="743" spans="47:71" x14ac:dyDescent="0.3"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  <c r="BJ743" s="44"/>
      <c r="BK743" s="44"/>
      <c r="BL743" s="44"/>
      <c r="BP743" s="44"/>
      <c r="BQ743" s="44"/>
      <c r="BR743" s="44"/>
    </row>
    <row r="744" spans="47:71" x14ac:dyDescent="0.3">
      <c r="AU744" s="44"/>
      <c r="AW744" s="42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  <c r="BI744" s="44"/>
      <c r="BJ744" s="44"/>
      <c r="BK744" s="44"/>
      <c r="BL744" s="44"/>
      <c r="BM744" s="44"/>
      <c r="BO744" s="44"/>
      <c r="BP744" s="44"/>
      <c r="BQ744" s="44"/>
      <c r="BR744" s="44"/>
      <c r="BS744" s="44"/>
    </row>
    <row r="745" spans="47:71" x14ac:dyDescent="0.3">
      <c r="AU745" s="44"/>
      <c r="AW745" s="42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  <c r="BI745" s="44"/>
      <c r="BJ745" s="44"/>
      <c r="BK745" s="44"/>
      <c r="BL745" s="44"/>
      <c r="BM745" s="44"/>
      <c r="BO745" s="44"/>
      <c r="BP745" s="44"/>
      <c r="BQ745" s="44"/>
      <c r="BR745" s="44"/>
      <c r="BS745" s="44"/>
    </row>
    <row r="746" spans="47:71" x14ac:dyDescent="0.3">
      <c r="AU746" s="135"/>
      <c r="AV746" s="135"/>
      <c r="AW746" s="135"/>
      <c r="AX746" s="135"/>
      <c r="AY746" s="135"/>
      <c r="AZ746" s="135"/>
      <c r="BA746" s="135"/>
      <c r="BB746" s="135"/>
      <c r="BC746" s="135"/>
      <c r="BD746" s="135"/>
      <c r="BE746" s="135"/>
      <c r="BF746" s="135"/>
      <c r="BG746" s="135"/>
      <c r="BI746" s="135"/>
      <c r="BJ746" s="135"/>
      <c r="BK746" s="135"/>
      <c r="BL746" s="135"/>
      <c r="BM746" s="135"/>
      <c r="BO746" s="135"/>
      <c r="BP746" s="135"/>
      <c r="BQ746" s="135"/>
      <c r="BR746" s="135"/>
      <c r="BS746" s="135"/>
    </row>
    <row r="747" spans="47:71" x14ac:dyDescent="0.3"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</row>
    <row r="748" spans="47:71" x14ac:dyDescent="0.3">
      <c r="AW748" s="42"/>
      <c r="AX748" s="44"/>
      <c r="BA748" s="219"/>
    </row>
    <row r="749" spans="47:71" x14ac:dyDescent="0.3">
      <c r="AX749" s="44"/>
      <c r="AY749" s="123"/>
      <c r="AZ749" s="188"/>
      <c r="BA749" s="188"/>
      <c r="BB749" s="188"/>
      <c r="BC749" s="160"/>
      <c r="BD749" s="188"/>
      <c r="BE749" s="219"/>
      <c r="BF749" s="219"/>
      <c r="BG749" s="160"/>
      <c r="BI749" s="188"/>
      <c r="BJ749" s="188"/>
      <c r="BK749" s="188"/>
      <c r="BL749" s="188"/>
      <c r="BM749" s="188"/>
      <c r="BO749" s="188"/>
      <c r="BP749" s="188"/>
      <c r="BQ749" s="188"/>
      <c r="BR749" s="188"/>
      <c r="BS749" s="188"/>
    </row>
    <row r="750" spans="47:71" x14ac:dyDescent="0.3">
      <c r="AX750" s="44"/>
      <c r="AY750" s="123"/>
      <c r="AZ750" s="188"/>
      <c r="BA750" s="188"/>
      <c r="BB750" s="188"/>
      <c r="BC750" s="160"/>
      <c r="BD750" s="188"/>
      <c r="BE750" s="219"/>
      <c r="BF750" s="219"/>
      <c r="BG750" s="160"/>
      <c r="BI750" s="188"/>
      <c r="BJ750" s="188"/>
      <c r="BK750" s="188"/>
      <c r="BL750" s="188"/>
      <c r="BM750" s="188"/>
      <c r="BO750" s="188"/>
      <c r="BP750" s="188"/>
      <c r="BQ750" s="188"/>
      <c r="BR750" s="188"/>
      <c r="BS750" s="188"/>
    </row>
    <row r="751" spans="47:71" x14ac:dyDescent="0.3">
      <c r="AX751" s="44"/>
      <c r="AY751" s="123"/>
      <c r="AZ751" s="188"/>
      <c r="BA751" s="188"/>
      <c r="BB751" s="188"/>
      <c r="BC751" s="160"/>
      <c r="BD751" s="188"/>
      <c r="BE751" s="219"/>
      <c r="BF751" s="219"/>
      <c r="BG751" s="160"/>
      <c r="BI751" s="188"/>
      <c r="BJ751" s="188"/>
      <c r="BK751" s="188"/>
      <c r="BL751" s="188"/>
      <c r="BM751" s="188"/>
      <c r="BO751" s="188"/>
      <c r="BP751" s="188"/>
      <c r="BQ751" s="188"/>
      <c r="BR751" s="188"/>
      <c r="BS751" s="188"/>
    </row>
    <row r="752" spans="47:71" x14ac:dyDescent="0.3">
      <c r="AX752" s="44"/>
      <c r="AY752" s="123"/>
      <c r="AZ752" s="188"/>
      <c r="BA752" s="188"/>
      <c r="BB752" s="188"/>
      <c r="BC752" s="160"/>
      <c r="BD752" s="188"/>
      <c r="BE752" s="219"/>
      <c r="BF752" s="219"/>
      <c r="BG752" s="160"/>
      <c r="BI752" s="188"/>
      <c r="BJ752" s="188"/>
      <c r="BK752" s="188"/>
      <c r="BL752" s="188"/>
      <c r="BM752" s="188"/>
      <c r="BO752" s="188"/>
      <c r="BP752" s="188"/>
      <c r="BQ752" s="188"/>
      <c r="BR752" s="188"/>
      <c r="BS752" s="188"/>
    </row>
    <row r="753" spans="49:71" x14ac:dyDescent="0.3">
      <c r="AX753" s="44"/>
      <c r="AY753" s="123"/>
      <c r="AZ753" s="188"/>
      <c r="BA753" s="188"/>
      <c r="BB753" s="188"/>
      <c r="BC753" s="160"/>
      <c r="BD753" s="188"/>
      <c r="BE753" s="219"/>
      <c r="BF753" s="219"/>
      <c r="BG753" s="160"/>
      <c r="BI753" s="188"/>
      <c r="BJ753" s="188"/>
      <c r="BK753" s="188"/>
      <c r="BL753" s="188"/>
      <c r="BM753" s="188"/>
      <c r="BO753" s="188"/>
      <c r="BP753" s="188"/>
      <c r="BQ753" s="188"/>
      <c r="BR753" s="188"/>
      <c r="BS753" s="188"/>
    </row>
    <row r="754" spans="49:71" x14ac:dyDescent="0.3">
      <c r="AX754" s="44"/>
      <c r="AY754" s="123"/>
      <c r="AZ754" s="188"/>
      <c r="BA754" s="188"/>
      <c r="BB754" s="188"/>
      <c r="BC754" s="160"/>
      <c r="BD754" s="188"/>
      <c r="BE754" s="219"/>
      <c r="BF754" s="219"/>
      <c r="BG754" s="160"/>
      <c r="BI754" s="188"/>
      <c r="BJ754" s="188"/>
      <c r="BK754" s="188"/>
      <c r="BL754" s="188"/>
      <c r="BM754" s="188"/>
      <c r="BO754" s="188"/>
      <c r="BP754" s="188"/>
      <c r="BQ754" s="188"/>
      <c r="BR754" s="188"/>
      <c r="BS754" s="188"/>
    </row>
    <row r="755" spans="49:71" x14ac:dyDescent="0.3">
      <c r="AX755" s="44"/>
      <c r="AY755" s="123"/>
      <c r="AZ755" s="188"/>
      <c r="BA755" s="188"/>
      <c r="BB755" s="188"/>
      <c r="BC755" s="160"/>
      <c r="BD755" s="188"/>
      <c r="BE755" s="219"/>
      <c r="BF755" s="219"/>
      <c r="BG755" s="160"/>
      <c r="BI755" s="188"/>
      <c r="BJ755" s="188"/>
      <c r="BK755" s="188"/>
      <c r="BL755" s="188"/>
      <c r="BM755" s="188"/>
      <c r="BO755" s="188"/>
      <c r="BP755" s="188"/>
      <c r="BQ755" s="188"/>
      <c r="BR755" s="188"/>
      <c r="BS755" s="188"/>
    </row>
    <row r="756" spans="49:71" x14ac:dyDescent="0.3">
      <c r="BA756" s="219"/>
      <c r="BB756" s="188"/>
      <c r="BC756" s="160"/>
      <c r="BD756" s="188"/>
      <c r="BE756" s="219"/>
      <c r="BF756" s="219"/>
      <c r="BG756" s="160"/>
      <c r="BM756" s="188"/>
      <c r="BS756" s="188"/>
    </row>
    <row r="757" spans="49:71" x14ac:dyDescent="0.3">
      <c r="AX757" s="44"/>
      <c r="BA757" s="219"/>
      <c r="BB757" s="188"/>
      <c r="BC757" s="160"/>
      <c r="BD757" s="188"/>
      <c r="BE757" s="219"/>
      <c r="BF757" s="219"/>
      <c r="BG757" s="160"/>
      <c r="BM757" s="188"/>
      <c r="BS757" s="188"/>
    </row>
    <row r="758" spans="49:71" x14ac:dyDescent="0.3">
      <c r="AX758" s="44"/>
      <c r="AY758" s="123"/>
      <c r="AZ758" s="188"/>
      <c r="BA758" s="188"/>
      <c r="BB758" s="188"/>
      <c r="BC758" s="160"/>
      <c r="BD758" s="188"/>
      <c r="BE758" s="219"/>
      <c r="BF758" s="219"/>
      <c r="BG758" s="160"/>
      <c r="BI758" s="188"/>
      <c r="BJ758" s="188"/>
      <c r="BK758" s="188"/>
      <c r="BL758" s="188"/>
      <c r="BM758" s="188"/>
      <c r="BO758" s="188"/>
      <c r="BP758" s="188"/>
      <c r="BQ758" s="188"/>
      <c r="BR758" s="188"/>
      <c r="BS758" s="188"/>
    </row>
    <row r="759" spans="49:71" x14ac:dyDescent="0.3">
      <c r="AX759" s="44"/>
      <c r="AY759" s="123"/>
      <c r="AZ759" s="188"/>
      <c r="BA759" s="188"/>
      <c r="BB759" s="188"/>
      <c r="BC759" s="160"/>
      <c r="BD759" s="188"/>
      <c r="BE759" s="219"/>
      <c r="BF759" s="219"/>
      <c r="BG759" s="160"/>
      <c r="BI759" s="188"/>
      <c r="BJ759" s="188"/>
      <c r="BK759" s="188"/>
      <c r="BL759" s="188"/>
      <c r="BM759" s="188"/>
      <c r="BO759" s="188"/>
      <c r="BP759" s="188"/>
      <c r="BQ759" s="188"/>
      <c r="BR759" s="188"/>
      <c r="BS759" s="188"/>
    </row>
    <row r="760" spans="49:71" x14ac:dyDescent="0.3">
      <c r="AX760" s="44"/>
      <c r="AY760" s="123"/>
      <c r="AZ760" s="188"/>
      <c r="BA760" s="188"/>
      <c r="BB760" s="188"/>
      <c r="BC760" s="160"/>
      <c r="BD760" s="188"/>
      <c r="BE760" s="219"/>
      <c r="BF760" s="219"/>
      <c r="BG760" s="160"/>
      <c r="BI760" s="188"/>
      <c r="BJ760" s="188"/>
      <c r="BK760" s="188"/>
      <c r="BL760" s="188"/>
      <c r="BM760" s="188"/>
      <c r="BO760" s="188"/>
      <c r="BP760" s="188"/>
      <c r="BQ760" s="188"/>
      <c r="BR760" s="188"/>
      <c r="BS760" s="188"/>
    </row>
    <row r="761" spans="49:71" x14ac:dyDescent="0.3">
      <c r="AX761" s="44"/>
      <c r="AY761" s="123"/>
      <c r="AZ761" s="188"/>
      <c r="BA761" s="188"/>
      <c r="BB761" s="188"/>
      <c r="BC761" s="160"/>
      <c r="BD761" s="188"/>
      <c r="BE761" s="219"/>
      <c r="BF761" s="219"/>
      <c r="BG761" s="160"/>
      <c r="BI761" s="188"/>
      <c r="BJ761" s="188"/>
      <c r="BK761" s="188"/>
      <c r="BL761" s="188"/>
      <c r="BM761" s="188"/>
      <c r="BO761" s="188"/>
      <c r="BP761" s="188"/>
      <c r="BQ761" s="188"/>
      <c r="BR761" s="188"/>
      <c r="BS761" s="188"/>
    </row>
    <row r="762" spans="49:71" x14ac:dyDescent="0.3">
      <c r="AX762" s="44"/>
      <c r="AY762" s="123"/>
      <c r="AZ762" s="188"/>
      <c r="BA762" s="188"/>
      <c r="BB762" s="188"/>
      <c r="BC762" s="160"/>
      <c r="BD762" s="188"/>
      <c r="BE762" s="219"/>
      <c r="BF762" s="219"/>
      <c r="BG762" s="160"/>
      <c r="BI762" s="188"/>
      <c r="BJ762" s="188"/>
      <c r="BK762" s="188"/>
      <c r="BL762" s="188"/>
      <c r="BM762" s="188"/>
      <c r="BO762" s="188"/>
      <c r="BP762" s="188"/>
      <c r="BQ762" s="188"/>
      <c r="BR762" s="188"/>
      <c r="BS762" s="188"/>
    </row>
    <row r="763" spans="49:71" x14ac:dyDescent="0.3">
      <c r="AX763" s="44"/>
      <c r="AY763" s="123"/>
      <c r="AZ763" s="188"/>
      <c r="BA763" s="188"/>
      <c r="BB763" s="188"/>
      <c r="BC763" s="160"/>
      <c r="BD763" s="188"/>
      <c r="BE763" s="219"/>
      <c r="BF763" s="219"/>
      <c r="BG763" s="160"/>
      <c r="BI763" s="188"/>
      <c r="BJ763" s="188"/>
      <c r="BK763" s="188"/>
      <c r="BL763" s="188"/>
      <c r="BM763" s="188"/>
      <c r="BO763" s="188"/>
      <c r="BP763" s="188"/>
      <c r="BQ763" s="188"/>
      <c r="BR763" s="188"/>
      <c r="BS763" s="188"/>
    </row>
    <row r="764" spans="49:71" x14ac:dyDescent="0.3">
      <c r="AX764" s="44"/>
      <c r="AY764" s="123"/>
      <c r="AZ764" s="188"/>
      <c r="BA764" s="188"/>
      <c r="BB764" s="188"/>
      <c r="BC764" s="160"/>
      <c r="BD764" s="188"/>
      <c r="BE764" s="219"/>
      <c r="BF764" s="219"/>
      <c r="BG764" s="160"/>
      <c r="BI764" s="188"/>
      <c r="BJ764" s="188"/>
      <c r="BK764" s="188"/>
      <c r="BL764" s="188"/>
      <c r="BM764" s="188"/>
      <c r="BO764" s="188"/>
      <c r="BP764" s="188"/>
      <c r="BQ764" s="188"/>
      <c r="BR764" s="188"/>
      <c r="BS764" s="188"/>
    </row>
    <row r="765" spans="49:71" x14ac:dyDescent="0.3">
      <c r="AX765" s="44"/>
      <c r="AY765" s="123"/>
      <c r="AZ765" s="188"/>
      <c r="BA765" s="188"/>
      <c r="BB765" s="188"/>
      <c r="BC765" s="160"/>
      <c r="BD765" s="188"/>
      <c r="BE765" s="219"/>
      <c r="BF765" s="219"/>
      <c r="BG765" s="160"/>
      <c r="BI765" s="188"/>
      <c r="BJ765" s="188"/>
      <c r="BK765" s="188"/>
      <c r="BL765" s="188"/>
      <c r="BM765" s="188"/>
      <c r="BO765" s="188"/>
      <c r="BP765" s="188"/>
      <c r="BQ765" s="188"/>
      <c r="BR765" s="188"/>
      <c r="BS765" s="188"/>
    </row>
    <row r="766" spans="49:71" x14ac:dyDescent="0.3">
      <c r="BA766" s="219"/>
      <c r="BB766" s="188"/>
      <c r="BC766" s="160"/>
      <c r="BD766" s="188"/>
      <c r="BE766" s="219"/>
      <c r="BF766" s="219"/>
      <c r="BG766" s="160"/>
      <c r="BM766" s="188"/>
      <c r="BS766" s="188"/>
    </row>
    <row r="767" spans="49:71" x14ac:dyDescent="0.3">
      <c r="AW767" s="42"/>
      <c r="BB767" s="188"/>
      <c r="BD767" s="188"/>
      <c r="BI767" s="188"/>
      <c r="BJ767" s="188"/>
      <c r="BL767" s="188"/>
      <c r="BM767" s="188"/>
    </row>
    <row r="768" spans="49:71" x14ac:dyDescent="0.3">
      <c r="BB768" s="188"/>
      <c r="BD768" s="188"/>
    </row>
    <row r="769" spans="47:77" x14ac:dyDescent="0.3">
      <c r="AU769" s="42"/>
      <c r="BB769" s="188"/>
      <c r="BD769" s="188"/>
      <c r="BK769" s="188"/>
    </row>
    <row r="770" spans="47:77" x14ac:dyDescent="0.3">
      <c r="BB770" s="188"/>
      <c r="BD770" s="188"/>
    </row>
    <row r="771" spans="47:77" x14ac:dyDescent="0.3">
      <c r="BA771" s="188"/>
      <c r="BD771" s="188"/>
    </row>
    <row r="772" spans="47:77" x14ac:dyDescent="0.3">
      <c r="BA772" s="42"/>
      <c r="BB772" s="188"/>
      <c r="BD772" s="188"/>
    </row>
    <row r="773" spans="47:77" x14ac:dyDescent="0.3">
      <c r="BA773" s="42"/>
      <c r="BB773" s="188"/>
      <c r="BD773" s="188"/>
    </row>
    <row r="774" spans="47:77" x14ac:dyDescent="0.3">
      <c r="BB774" s="188"/>
      <c r="BD774" s="188"/>
      <c r="BF774" s="42"/>
    </row>
    <row r="775" spans="47:77" x14ac:dyDescent="0.3">
      <c r="BB775" s="188"/>
      <c r="BD775" s="188"/>
      <c r="BF775" s="42"/>
    </row>
    <row r="776" spans="47:77" x14ac:dyDescent="0.3">
      <c r="AU776" s="42"/>
      <c r="BB776" s="188"/>
      <c r="BD776" s="188"/>
      <c r="BF776" s="42"/>
    </row>
    <row r="777" spans="47:77" x14ac:dyDescent="0.3">
      <c r="BB777" s="188"/>
      <c r="BD777" s="188"/>
    </row>
    <row r="778" spans="47:77" x14ac:dyDescent="0.3">
      <c r="AU778" s="135"/>
      <c r="AV778" s="135"/>
      <c r="AW778" s="135"/>
      <c r="AX778" s="135"/>
      <c r="AY778" s="135"/>
      <c r="AZ778" s="135"/>
      <c r="BA778" s="135"/>
      <c r="BB778" s="244"/>
      <c r="BC778" s="135"/>
      <c r="BD778" s="244"/>
      <c r="BE778" s="135"/>
      <c r="BF778" s="135"/>
      <c r="BG778" s="135"/>
    </row>
    <row r="779" spans="47:77" x14ac:dyDescent="0.3">
      <c r="AZ779" s="42"/>
      <c r="BB779" s="188"/>
      <c r="BD779" s="188"/>
    </row>
    <row r="780" spans="47:77" x14ac:dyDescent="0.3">
      <c r="AZ780" s="135"/>
      <c r="BA780" s="135"/>
      <c r="BB780" s="244"/>
      <c r="BC780" s="135"/>
      <c r="BD780" s="188"/>
      <c r="BE780" s="44"/>
      <c r="BF780" s="44"/>
    </row>
    <row r="781" spans="47:77" x14ac:dyDescent="0.3">
      <c r="AX781" s="44"/>
      <c r="AY781" s="44"/>
      <c r="BB781" s="245"/>
      <c r="BC781" s="44"/>
      <c r="BD781" s="188"/>
      <c r="BE781" s="44"/>
      <c r="BF781" s="44"/>
      <c r="BG781" s="44"/>
      <c r="BI781" s="135"/>
      <c r="BJ781" s="135"/>
      <c r="BK781" s="42"/>
      <c r="BO781" s="135"/>
      <c r="BP781" s="135"/>
      <c r="BR781" s="135"/>
      <c r="BS781" s="135"/>
      <c r="BT781" s="42"/>
      <c r="BX781" s="135"/>
      <c r="BY781" s="135"/>
    </row>
    <row r="782" spans="47:77" x14ac:dyDescent="0.3">
      <c r="AX782" s="44"/>
      <c r="AY782" s="44"/>
      <c r="AZ782" s="44"/>
      <c r="BA782" s="44"/>
      <c r="BB782" s="245"/>
      <c r="BC782" s="44"/>
      <c r="BD782" s="245"/>
      <c r="BE782" s="44"/>
      <c r="BF782" s="44"/>
      <c r="BG782" s="44"/>
      <c r="BJ782" s="44"/>
      <c r="BK782" s="44"/>
      <c r="BL782" s="44"/>
      <c r="BM782" s="44"/>
      <c r="BN782" s="44"/>
      <c r="BO782" s="44"/>
      <c r="BS782" s="44"/>
      <c r="BT782" s="44"/>
      <c r="BU782" s="44"/>
      <c r="BV782" s="44"/>
      <c r="BW782" s="44"/>
      <c r="BX782" s="44"/>
    </row>
    <row r="783" spans="47:77" x14ac:dyDescent="0.3">
      <c r="AU783" s="44"/>
      <c r="AW783" s="42"/>
      <c r="AX783" s="44"/>
      <c r="AY783" s="44"/>
      <c r="AZ783" s="44"/>
      <c r="BA783" s="44"/>
      <c r="BB783" s="245"/>
      <c r="BC783" s="44"/>
      <c r="BD783" s="245"/>
      <c r="BE783" s="44"/>
      <c r="BF783" s="44"/>
      <c r="BG783" s="44"/>
      <c r="BI783" s="44"/>
      <c r="BJ783" s="44"/>
      <c r="BK783" s="44"/>
      <c r="BL783" s="44"/>
      <c r="BM783" s="44"/>
      <c r="BN783" s="44"/>
      <c r="BO783" s="44"/>
      <c r="BP783" s="44"/>
      <c r="BR783" s="44"/>
      <c r="BS783" s="44"/>
      <c r="BT783" s="44"/>
      <c r="BU783" s="44"/>
      <c r="BV783" s="44"/>
      <c r="BW783" s="44"/>
      <c r="BX783" s="44"/>
      <c r="BY783" s="44"/>
    </row>
    <row r="784" spans="47:77" x14ac:dyDescent="0.3">
      <c r="AU784" s="44"/>
      <c r="AW784" s="42"/>
      <c r="AX784" s="44"/>
      <c r="AY784" s="44"/>
      <c r="AZ784" s="44"/>
      <c r="BA784" s="44"/>
      <c r="BB784" s="245"/>
      <c r="BC784" s="44"/>
      <c r="BD784" s="245"/>
      <c r="BE784" s="44"/>
      <c r="BF784" s="44"/>
      <c r="BG784" s="44"/>
      <c r="BI784" s="44"/>
      <c r="BJ784" s="44"/>
      <c r="BK784" s="44"/>
      <c r="BL784" s="44"/>
      <c r="BM784" s="44"/>
      <c r="BN784" s="44"/>
      <c r="BO784" s="44"/>
      <c r="BP784" s="44"/>
      <c r="BR784" s="44"/>
      <c r="BS784" s="44"/>
      <c r="BT784" s="44"/>
      <c r="BU784" s="44"/>
      <c r="BV784" s="44"/>
      <c r="BW784" s="44"/>
      <c r="BX784" s="44"/>
      <c r="BY784" s="44"/>
    </row>
    <row r="785" spans="47:77" x14ac:dyDescent="0.3">
      <c r="AU785" s="135"/>
      <c r="AV785" s="135"/>
      <c r="AW785" s="135"/>
      <c r="AX785" s="135"/>
      <c r="AY785" s="135"/>
      <c r="AZ785" s="135"/>
      <c r="BA785" s="135"/>
      <c r="BB785" s="244"/>
      <c r="BC785" s="135"/>
      <c r="BD785" s="244"/>
      <c r="BE785" s="135"/>
      <c r="BF785" s="135"/>
      <c r="BG785" s="135"/>
      <c r="BI785" s="135"/>
      <c r="BJ785" s="135"/>
      <c r="BK785" s="135"/>
      <c r="BL785" s="135"/>
      <c r="BM785" s="135"/>
      <c r="BN785" s="135"/>
      <c r="BO785" s="135"/>
      <c r="BP785" s="135"/>
      <c r="BR785" s="135"/>
      <c r="BS785" s="135"/>
      <c r="BT785" s="135"/>
      <c r="BU785" s="135"/>
      <c r="BV785" s="135"/>
      <c r="BW785" s="135"/>
      <c r="BX785" s="135"/>
      <c r="BY785" s="135"/>
    </row>
    <row r="786" spans="47:77" x14ac:dyDescent="0.3">
      <c r="AX786" s="44"/>
      <c r="AY786" s="44"/>
      <c r="AZ786" s="44"/>
      <c r="BA786" s="44"/>
      <c r="BB786" s="245"/>
      <c r="BC786" s="44"/>
      <c r="BD786" s="245"/>
      <c r="BE786" s="44"/>
      <c r="BF786" s="44"/>
      <c r="BG786" s="44"/>
      <c r="BI786" s="188"/>
      <c r="BJ786" s="188"/>
      <c r="BK786" s="188"/>
      <c r="BL786" s="188"/>
      <c r="BM786" s="188"/>
      <c r="BN786" s="188"/>
      <c r="BO786" s="188"/>
      <c r="BP786" s="188"/>
      <c r="BQ786" s="188"/>
      <c r="BR786" s="188"/>
      <c r="BS786" s="188"/>
      <c r="BT786" s="188"/>
      <c r="BU786" s="188"/>
      <c r="BV786" s="188"/>
      <c r="BW786" s="188"/>
      <c r="BX786" s="188"/>
      <c r="BY786" s="188"/>
    </row>
    <row r="787" spans="47:77" x14ac:dyDescent="0.3">
      <c r="AW787" s="42"/>
      <c r="AY787" s="123"/>
      <c r="AZ787" s="188"/>
      <c r="BA787" s="188"/>
      <c r="BB787" s="188"/>
      <c r="BC787" s="236"/>
      <c r="BD787" s="188"/>
      <c r="BE787" s="188"/>
      <c r="BF787" s="188"/>
      <c r="BG787" s="236"/>
      <c r="BI787" s="188"/>
      <c r="BJ787" s="188"/>
      <c r="BK787" s="188"/>
      <c r="BL787" s="188"/>
      <c r="BM787" s="188"/>
      <c r="BN787" s="188"/>
      <c r="BO787" s="188"/>
      <c r="BP787" s="188"/>
      <c r="BQ787" s="188"/>
      <c r="BR787" s="188"/>
      <c r="BS787" s="188"/>
      <c r="BT787" s="188"/>
      <c r="BU787" s="188"/>
      <c r="BV787" s="188"/>
      <c r="BW787" s="188"/>
      <c r="BX787" s="188"/>
      <c r="BY787" s="188"/>
    </row>
    <row r="788" spans="47:77" x14ac:dyDescent="0.3">
      <c r="AY788" s="123"/>
      <c r="AZ788" s="188"/>
      <c r="BA788" s="188"/>
      <c r="BB788" s="188"/>
      <c r="BC788" s="236"/>
      <c r="BD788" s="188"/>
      <c r="BE788" s="188"/>
      <c r="BF788" s="188"/>
      <c r="BG788" s="236"/>
      <c r="BI788" s="188"/>
      <c r="BJ788" s="188"/>
      <c r="BK788" s="188"/>
      <c r="BL788" s="188"/>
      <c r="BM788" s="188"/>
      <c r="BN788" s="188"/>
      <c r="BO788" s="188"/>
      <c r="BP788" s="188"/>
      <c r="BQ788" s="188"/>
      <c r="BR788" s="188"/>
      <c r="BS788" s="188"/>
      <c r="BT788" s="188"/>
      <c r="BU788" s="188"/>
      <c r="BV788" s="188"/>
      <c r="BW788" s="188"/>
      <c r="BX788" s="188"/>
      <c r="BY788" s="188"/>
    </row>
    <row r="789" spans="47:77" x14ac:dyDescent="0.3">
      <c r="AY789" s="123"/>
      <c r="AZ789" s="188"/>
      <c r="BA789" s="188"/>
      <c r="BB789" s="188"/>
      <c r="BC789" s="236"/>
      <c r="BD789" s="188"/>
      <c r="BE789" s="188"/>
      <c r="BF789" s="188"/>
      <c r="BG789" s="236"/>
      <c r="BI789" s="188"/>
      <c r="BJ789" s="188"/>
      <c r="BK789" s="188"/>
      <c r="BL789" s="188"/>
      <c r="BM789" s="188"/>
      <c r="BN789" s="188"/>
      <c r="BO789" s="188"/>
      <c r="BP789" s="188"/>
      <c r="BQ789" s="188"/>
      <c r="BR789" s="188"/>
      <c r="BS789" s="188"/>
      <c r="BT789" s="188"/>
      <c r="BU789" s="188"/>
      <c r="BV789" s="188"/>
      <c r="BW789" s="188"/>
      <c r="BX789" s="188"/>
      <c r="BY789" s="188"/>
    </row>
    <row r="790" spans="47:77" x14ac:dyDescent="0.3">
      <c r="AY790" s="123"/>
      <c r="AZ790" s="188"/>
      <c r="BA790" s="188"/>
      <c r="BB790" s="188"/>
      <c r="BC790" s="236"/>
      <c r="BD790" s="188"/>
      <c r="BE790" s="188"/>
      <c r="BF790" s="188"/>
      <c r="BG790" s="236"/>
      <c r="BI790" s="188"/>
      <c r="BJ790" s="188"/>
      <c r="BK790" s="188"/>
      <c r="BL790" s="188"/>
      <c r="BM790" s="188"/>
      <c r="BN790" s="188"/>
      <c r="BO790" s="188"/>
      <c r="BP790" s="188"/>
      <c r="BQ790" s="188"/>
      <c r="BR790" s="188"/>
      <c r="BS790" s="188"/>
      <c r="BT790" s="188"/>
      <c r="BU790" s="188"/>
      <c r="BV790" s="188"/>
      <c r="BW790" s="188"/>
      <c r="BX790" s="188"/>
      <c r="BY790" s="188"/>
    </row>
    <row r="791" spans="47:77" x14ac:dyDescent="0.3">
      <c r="AY791" s="123"/>
      <c r="AZ791" s="188"/>
      <c r="BA791" s="188"/>
      <c r="BB791" s="188"/>
      <c r="BC791" s="236"/>
      <c r="BD791" s="188"/>
      <c r="BE791" s="188"/>
      <c r="BF791" s="188"/>
      <c r="BG791" s="236"/>
      <c r="BI791" s="188"/>
      <c r="BJ791" s="188"/>
      <c r="BK791" s="188"/>
      <c r="BL791" s="188"/>
      <c r="BM791" s="188"/>
      <c r="BN791" s="188"/>
      <c r="BO791" s="188"/>
      <c r="BP791" s="188"/>
      <c r="BQ791" s="188"/>
      <c r="BR791" s="188"/>
      <c r="BS791" s="188"/>
      <c r="BT791" s="188"/>
      <c r="BU791" s="188"/>
      <c r="BV791" s="188"/>
      <c r="BW791" s="188"/>
      <c r="BX791" s="188"/>
      <c r="BY791" s="188"/>
    </row>
    <row r="792" spans="47:77" x14ac:dyDescent="0.3">
      <c r="AY792" s="123"/>
      <c r="AZ792" s="188"/>
      <c r="BA792" s="188"/>
      <c r="BB792" s="188"/>
      <c r="BC792" s="236"/>
      <c r="BD792" s="188"/>
      <c r="BE792" s="188"/>
      <c r="BF792" s="188"/>
      <c r="BG792" s="236"/>
      <c r="BI792" s="188"/>
      <c r="BJ792" s="188"/>
      <c r="BK792" s="188"/>
      <c r="BL792" s="188"/>
      <c r="BM792" s="188"/>
      <c r="BN792" s="188"/>
      <c r="BO792" s="188"/>
      <c r="BP792" s="188"/>
      <c r="BQ792" s="188"/>
      <c r="BR792" s="188"/>
      <c r="BS792" s="188"/>
      <c r="BT792" s="188"/>
      <c r="BU792" s="188"/>
      <c r="BV792" s="188"/>
      <c r="BW792" s="188"/>
      <c r="BX792" s="188"/>
      <c r="BY792" s="188"/>
    </row>
    <row r="793" spans="47:77" x14ac:dyDescent="0.3">
      <c r="AY793" s="123"/>
      <c r="AZ793" s="188"/>
      <c r="BA793" s="188"/>
      <c r="BB793" s="188"/>
      <c r="BC793" s="236"/>
      <c r="BD793" s="188"/>
      <c r="BE793" s="188"/>
      <c r="BF793" s="188"/>
      <c r="BG793" s="236"/>
      <c r="BI793" s="188"/>
      <c r="BJ793" s="188"/>
      <c r="BK793" s="188"/>
      <c r="BL793" s="188"/>
      <c r="BM793" s="188"/>
      <c r="BN793" s="188"/>
      <c r="BO793" s="188"/>
      <c r="BP793" s="188"/>
      <c r="BQ793" s="188"/>
      <c r="BR793" s="188"/>
      <c r="BS793" s="188"/>
      <c r="BT793" s="188"/>
      <c r="BU793" s="188"/>
      <c r="BV793" s="188"/>
      <c r="BW793" s="188"/>
      <c r="BX793" s="188"/>
      <c r="BY793" s="188"/>
    </row>
    <row r="794" spans="47:77" x14ac:dyDescent="0.3">
      <c r="AY794" s="123"/>
      <c r="AZ794" s="188"/>
      <c r="BA794" s="188"/>
      <c r="BB794" s="188"/>
      <c r="BC794" s="236"/>
      <c r="BD794" s="188"/>
      <c r="BE794" s="188"/>
      <c r="BF794" s="188"/>
      <c r="BG794" s="236"/>
      <c r="BI794" s="188"/>
      <c r="BJ794" s="188"/>
      <c r="BK794" s="188"/>
      <c r="BL794" s="188"/>
      <c r="BM794" s="188"/>
      <c r="BN794" s="188"/>
      <c r="BO794" s="188"/>
      <c r="BP794" s="188"/>
      <c r="BQ794" s="188"/>
      <c r="BR794" s="188"/>
      <c r="BS794" s="188"/>
      <c r="BT794" s="188"/>
      <c r="BU794" s="188"/>
      <c r="BV794" s="188"/>
      <c r="BW794" s="188"/>
      <c r="BX794" s="188"/>
      <c r="BY794" s="188"/>
    </row>
    <row r="795" spans="47:77" x14ac:dyDescent="0.3">
      <c r="AY795" s="123"/>
      <c r="AZ795" s="188"/>
      <c r="BA795" s="188"/>
      <c r="BB795" s="188"/>
      <c r="BC795" s="236"/>
      <c r="BD795" s="188"/>
      <c r="BE795" s="188"/>
      <c r="BF795" s="188"/>
      <c r="BG795" s="236"/>
      <c r="BI795" s="188"/>
      <c r="BJ795" s="188"/>
      <c r="BK795" s="188"/>
      <c r="BL795" s="188"/>
      <c r="BM795" s="188"/>
      <c r="BN795" s="188"/>
      <c r="BO795" s="188"/>
      <c r="BP795" s="188"/>
      <c r="BQ795" s="188"/>
      <c r="BR795" s="188"/>
      <c r="BS795" s="188"/>
      <c r="BT795" s="188"/>
      <c r="BU795" s="188"/>
      <c r="BV795" s="188"/>
      <c r="BW795" s="188"/>
      <c r="BX795" s="188"/>
      <c r="BY795" s="188"/>
    </row>
    <row r="796" spans="47:77" x14ac:dyDescent="0.3">
      <c r="AY796" s="123"/>
      <c r="AZ796" s="188"/>
      <c r="BA796" s="188"/>
      <c r="BB796" s="188"/>
      <c r="BC796" s="236"/>
      <c r="BD796" s="188"/>
      <c r="BE796" s="188"/>
      <c r="BF796" s="188"/>
      <c r="BG796" s="236"/>
      <c r="BI796" s="188"/>
      <c r="BJ796" s="188"/>
      <c r="BK796" s="188"/>
      <c r="BL796" s="188"/>
      <c r="BM796" s="188"/>
      <c r="BN796" s="188"/>
      <c r="BO796" s="188"/>
      <c r="BP796" s="188"/>
      <c r="BQ796" s="188"/>
      <c r="BR796" s="188"/>
      <c r="BS796" s="188"/>
      <c r="BT796" s="188"/>
      <c r="BU796" s="188"/>
      <c r="BV796" s="188"/>
      <c r="BW796" s="188"/>
      <c r="BX796" s="188"/>
      <c r="BY796" s="188"/>
    </row>
    <row r="797" spans="47:77" x14ac:dyDescent="0.3">
      <c r="AY797" s="123"/>
      <c r="AZ797" s="188"/>
      <c r="BA797" s="188"/>
      <c r="BB797" s="188"/>
      <c r="BC797" s="236"/>
      <c r="BD797" s="188"/>
      <c r="BE797" s="188"/>
      <c r="BF797" s="188"/>
      <c r="BG797" s="236"/>
      <c r="BI797" s="188"/>
      <c r="BJ797" s="188"/>
      <c r="BK797" s="188"/>
      <c r="BL797" s="188"/>
      <c r="BM797" s="188"/>
      <c r="BN797" s="188"/>
      <c r="BO797" s="188"/>
      <c r="BP797" s="188"/>
      <c r="BQ797" s="188"/>
      <c r="BR797" s="188"/>
      <c r="BS797" s="188"/>
      <c r="BT797" s="188"/>
      <c r="BU797" s="188"/>
      <c r="BV797" s="188"/>
      <c r="BW797" s="188"/>
      <c r="BX797" s="188"/>
      <c r="BY797" s="188"/>
    </row>
    <row r="798" spans="47:77" x14ac:dyDescent="0.3">
      <c r="AY798" s="123"/>
      <c r="AZ798" s="188"/>
      <c r="BA798" s="188"/>
      <c r="BB798" s="188"/>
      <c r="BC798" s="236"/>
      <c r="BD798" s="188"/>
      <c r="BE798" s="188"/>
      <c r="BF798" s="188"/>
      <c r="BG798" s="236"/>
      <c r="BI798" s="188"/>
      <c r="BJ798" s="188"/>
      <c r="BK798" s="188"/>
      <c r="BL798" s="188"/>
      <c r="BM798" s="188"/>
      <c r="BN798" s="188"/>
      <c r="BO798" s="188"/>
      <c r="BP798" s="188"/>
      <c r="BQ798" s="188"/>
      <c r="BR798" s="188"/>
      <c r="BS798" s="188"/>
      <c r="BT798" s="188"/>
      <c r="BU798" s="188"/>
      <c r="BV798" s="188"/>
      <c r="BW798" s="188"/>
      <c r="BX798" s="188"/>
      <c r="BY798" s="188"/>
    </row>
    <row r="799" spans="47:77" x14ac:dyDescent="0.3">
      <c r="AY799" s="123"/>
      <c r="AZ799" s="188"/>
      <c r="BA799" s="188"/>
      <c r="BB799" s="188"/>
      <c r="BC799" s="236"/>
      <c r="BD799" s="188"/>
      <c r="BE799" s="188"/>
      <c r="BF799" s="188"/>
      <c r="BG799" s="236"/>
      <c r="BI799" s="188"/>
      <c r="BJ799" s="188"/>
      <c r="BK799" s="188"/>
      <c r="BL799" s="188"/>
      <c r="BM799" s="188"/>
      <c r="BN799" s="188"/>
      <c r="BO799" s="188"/>
      <c r="BP799" s="188"/>
      <c r="BQ799" s="188"/>
      <c r="BR799" s="188"/>
      <c r="BS799" s="188"/>
      <c r="BT799" s="188"/>
      <c r="BU799" s="188"/>
      <c r="BV799" s="188"/>
      <c r="BW799" s="188"/>
      <c r="BX799" s="188"/>
      <c r="BY799" s="188"/>
    </row>
    <row r="800" spans="47:77" x14ac:dyDescent="0.3">
      <c r="AY800" s="123"/>
      <c r="AZ800" s="188"/>
      <c r="BA800" s="188"/>
      <c r="BB800" s="188"/>
      <c r="BC800" s="236"/>
      <c r="BD800" s="188"/>
      <c r="BE800" s="188"/>
      <c r="BF800" s="188"/>
      <c r="BG800" s="236"/>
      <c r="BI800" s="188"/>
      <c r="BJ800" s="188"/>
      <c r="BK800" s="188"/>
      <c r="BL800" s="188"/>
      <c r="BM800" s="188"/>
      <c r="BN800" s="188"/>
      <c r="BO800" s="188"/>
      <c r="BP800" s="188"/>
      <c r="BQ800" s="188"/>
      <c r="BR800" s="188"/>
      <c r="BS800" s="188"/>
      <c r="BT800" s="188"/>
      <c r="BU800" s="188"/>
      <c r="BV800" s="188"/>
      <c r="BW800" s="188"/>
      <c r="BX800" s="188"/>
      <c r="BY800" s="188"/>
    </row>
    <row r="801" spans="47:77" x14ac:dyDescent="0.3">
      <c r="AY801" s="123"/>
      <c r="AZ801" s="188"/>
      <c r="BA801" s="188"/>
      <c r="BB801" s="188"/>
      <c r="BC801" s="236"/>
      <c r="BD801" s="188"/>
      <c r="BE801" s="188"/>
      <c r="BF801" s="188"/>
      <c r="BG801" s="236"/>
      <c r="BI801" s="188"/>
      <c r="BJ801" s="188"/>
      <c r="BK801" s="188"/>
      <c r="BL801" s="188"/>
      <c r="BM801" s="188"/>
      <c r="BN801" s="188"/>
      <c r="BO801" s="188"/>
      <c r="BP801" s="188"/>
      <c r="BQ801" s="188"/>
      <c r="BR801" s="188"/>
      <c r="BS801" s="188"/>
      <c r="BT801" s="188"/>
      <c r="BU801" s="188"/>
      <c r="BV801" s="188"/>
      <c r="BW801" s="188"/>
      <c r="BX801" s="188"/>
      <c r="BY801" s="188"/>
    </row>
    <row r="802" spans="47:77" x14ac:dyDescent="0.3">
      <c r="AY802" s="123"/>
      <c r="AZ802" s="188"/>
      <c r="BA802" s="188"/>
      <c r="BB802" s="188"/>
      <c r="BC802" s="236"/>
      <c r="BD802" s="188"/>
      <c r="BE802" s="188"/>
      <c r="BF802" s="188"/>
      <c r="BG802" s="236"/>
      <c r="BI802" s="188"/>
      <c r="BJ802" s="188"/>
      <c r="BK802" s="188"/>
      <c r="BL802" s="188"/>
      <c r="BM802" s="188"/>
      <c r="BN802" s="188"/>
      <c r="BO802" s="188"/>
      <c r="BP802" s="188"/>
      <c r="BQ802" s="188"/>
      <c r="BR802" s="188"/>
      <c r="BS802" s="188"/>
      <c r="BT802" s="188"/>
      <c r="BU802" s="188"/>
      <c r="BV802" s="188"/>
      <c r="BW802" s="188"/>
      <c r="BX802" s="188"/>
      <c r="BY802" s="188"/>
    </row>
    <row r="803" spans="47:77" x14ac:dyDescent="0.3">
      <c r="AY803" s="123"/>
      <c r="AZ803" s="188"/>
      <c r="BA803" s="188"/>
      <c r="BB803" s="188"/>
      <c r="BC803" s="236"/>
      <c r="BD803" s="188"/>
      <c r="BE803" s="188"/>
      <c r="BF803" s="188"/>
      <c r="BG803" s="236"/>
      <c r="BI803" s="188"/>
      <c r="BJ803" s="188"/>
      <c r="BK803" s="188"/>
      <c r="BL803" s="188"/>
      <c r="BM803" s="188"/>
      <c r="BN803" s="188"/>
      <c r="BO803" s="188"/>
      <c r="BP803" s="188"/>
      <c r="BQ803" s="188"/>
      <c r="BR803" s="188"/>
      <c r="BS803" s="188"/>
      <c r="BT803" s="188"/>
      <c r="BU803" s="188"/>
      <c r="BV803" s="188"/>
      <c r="BW803" s="188"/>
      <c r="BX803" s="188"/>
      <c r="BY803" s="188"/>
    </row>
    <row r="804" spans="47:77" x14ac:dyDescent="0.3">
      <c r="AY804" s="123"/>
      <c r="AZ804" s="188"/>
      <c r="BA804" s="188"/>
      <c r="BB804" s="188"/>
      <c r="BC804" s="236"/>
      <c r="BD804" s="188"/>
      <c r="BE804" s="188"/>
      <c r="BF804" s="188"/>
      <c r="BG804" s="236"/>
      <c r="BI804" s="188"/>
      <c r="BJ804" s="188"/>
      <c r="BK804" s="188"/>
      <c r="BL804" s="188"/>
      <c r="BM804" s="188"/>
      <c r="BN804" s="188"/>
      <c r="BO804" s="188"/>
      <c r="BP804" s="188"/>
      <c r="BQ804" s="188"/>
      <c r="BR804" s="188"/>
      <c r="BS804" s="188"/>
      <c r="BT804" s="188"/>
      <c r="BU804" s="188"/>
      <c r="BV804" s="188"/>
      <c r="BW804" s="188"/>
      <c r="BX804" s="188"/>
      <c r="BY804" s="188"/>
    </row>
    <row r="805" spans="47:77" x14ac:dyDescent="0.3">
      <c r="AY805" s="123"/>
      <c r="AZ805" s="188"/>
      <c r="BA805" s="188"/>
      <c r="BB805" s="188"/>
      <c r="BC805" s="236"/>
      <c r="BD805" s="188"/>
      <c r="BE805" s="188"/>
      <c r="BF805" s="188"/>
      <c r="BG805" s="236"/>
      <c r="BI805" s="188"/>
      <c r="BJ805" s="188"/>
      <c r="BK805" s="188"/>
      <c r="BL805" s="188"/>
      <c r="BM805" s="188"/>
      <c r="BN805" s="188"/>
      <c r="BO805" s="188"/>
      <c r="BP805" s="188"/>
      <c r="BQ805" s="188"/>
      <c r="BR805" s="188"/>
      <c r="BS805" s="188"/>
      <c r="BT805" s="188"/>
      <c r="BU805" s="188"/>
      <c r="BV805" s="188"/>
      <c r="BW805" s="188"/>
      <c r="BX805" s="188"/>
      <c r="BY805" s="188"/>
    </row>
    <row r="806" spans="47:77" x14ac:dyDescent="0.3">
      <c r="AY806" s="123"/>
      <c r="AZ806" s="188"/>
      <c r="BA806" s="188"/>
      <c r="BB806" s="188"/>
      <c r="BC806" s="236"/>
      <c r="BD806" s="188"/>
      <c r="BE806" s="188"/>
      <c r="BF806" s="188"/>
      <c r="BG806" s="236"/>
      <c r="BI806" s="188"/>
      <c r="BJ806" s="188"/>
      <c r="BK806" s="188"/>
      <c r="BL806" s="188"/>
      <c r="BM806" s="188"/>
      <c r="BN806" s="188"/>
      <c r="BO806" s="188"/>
      <c r="BP806" s="188"/>
      <c r="BQ806" s="188"/>
      <c r="BR806" s="188"/>
      <c r="BS806" s="188"/>
      <c r="BT806" s="188"/>
      <c r="BU806" s="188"/>
      <c r="BV806" s="188"/>
      <c r="BW806" s="188"/>
      <c r="BX806" s="188"/>
      <c r="BY806" s="188"/>
    </row>
    <row r="807" spans="47:77" x14ac:dyDescent="0.3">
      <c r="AY807" s="123"/>
      <c r="AZ807" s="188"/>
      <c r="BA807" s="188"/>
      <c r="BB807" s="188"/>
      <c r="BC807" s="236"/>
      <c r="BD807" s="188"/>
      <c r="BE807" s="188"/>
      <c r="BF807" s="188"/>
      <c r="BG807" s="236"/>
      <c r="BI807" s="188"/>
      <c r="BJ807" s="188"/>
      <c r="BK807" s="188"/>
      <c r="BL807" s="188"/>
      <c r="BM807" s="188"/>
      <c r="BN807" s="188"/>
      <c r="BO807" s="188"/>
      <c r="BP807" s="188"/>
      <c r="BQ807" s="188"/>
      <c r="BR807" s="188"/>
      <c r="BS807" s="188"/>
      <c r="BT807" s="188"/>
      <c r="BU807" s="188"/>
      <c r="BV807" s="188"/>
      <c r="BW807" s="188"/>
      <c r="BX807" s="188"/>
      <c r="BY807" s="188"/>
    </row>
    <row r="808" spans="47:77" x14ac:dyDescent="0.3">
      <c r="AY808" s="123"/>
      <c r="AZ808" s="188"/>
      <c r="BA808" s="188"/>
      <c r="BB808" s="188"/>
      <c r="BC808" s="236"/>
      <c r="BD808" s="188"/>
      <c r="BE808" s="188"/>
      <c r="BF808" s="188"/>
      <c r="BG808" s="236"/>
      <c r="BI808" s="135"/>
      <c r="BJ808" s="135"/>
      <c r="BK808" s="42"/>
      <c r="BO808" s="135"/>
      <c r="BP808" s="135"/>
      <c r="BQ808" s="188"/>
      <c r="BR808" s="135"/>
      <c r="BS808" s="135"/>
      <c r="BT808" s="42"/>
      <c r="BX808" s="135"/>
      <c r="BY808" s="135"/>
    </row>
    <row r="809" spans="47:77" x14ac:dyDescent="0.3">
      <c r="AW809" s="42"/>
      <c r="AX809" s="44"/>
      <c r="AY809" s="123"/>
      <c r="AZ809" s="188"/>
      <c r="BA809" s="188"/>
      <c r="BB809" s="188"/>
      <c r="BC809" s="236"/>
      <c r="BD809" s="188"/>
      <c r="BE809" s="188"/>
      <c r="BF809" s="188"/>
      <c r="BG809" s="236"/>
      <c r="BI809" s="245"/>
      <c r="BJ809" s="188"/>
      <c r="BK809" s="188"/>
      <c r="BL809" s="188"/>
      <c r="BM809" s="245"/>
      <c r="BN809" s="246"/>
      <c r="BO809" s="188"/>
      <c r="BP809" s="245"/>
      <c r="BQ809" s="188"/>
      <c r="BR809" s="245"/>
      <c r="BS809" s="188"/>
      <c r="BT809" s="188"/>
      <c r="BU809" s="188"/>
      <c r="BV809" s="245"/>
      <c r="BW809" s="246"/>
      <c r="BX809" s="188"/>
      <c r="BY809" s="245"/>
    </row>
    <row r="810" spans="47:77" x14ac:dyDescent="0.3">
      <c r="AX810" s="44"/>
      <c r="AY810" s="123"/>
      <c r="AZ810" s="188"/>
      <c r="BA810" s="188"/>
      <c r="BB810" s="188"/>
      <c r="BC810" s="236"/>
      <c r="BD810" s="188"/>
      <c r="BE810" s="188"/>
      <c r="BF810" s="188"/>
      <c r="BG810" s="236"/>
      <c r="BI810" s="188"/>
      <c r="BJ810" s="188"/>
      <c r="BK810" s="188"/>
      <c r="BL810" s="188"/>
      <c r="BM810" s="188"/>
      <c r="BN810" s="246"/>
      <c r="BO810" s="188"/>
      <c r="BP810" s="188"/>
      <c r="BQ810" s="188"/>
      <c r="BR810" s="188"/>
      <c r="BS810" s="188"/>
      <c r="BT810" s="188"/>
      <c r="BU810" s="188"/>
      <c r="BV810" s="188"/>
      <c r="BW810" s="246"/>
      <c r="BX810" s="188"/>
      <c r="BY810" s="188"/>
    </row>
    <row r="811" spans="47:77" x14ac:dyDescent="0.3">
      <c r="AX811" s="44"/>
      <c r="AY811" s="123"/>
      <c r="AZ811" s="188"/>
      <c r="BA811" s="188"/>
      <c r="BB811" s="188"/>
      <c r="BC811" s="236"/>
      <c r="BD811" s="188"/>
      <c r="BE811" s="188"/>
      <c r="BF811" s="188"/>
      <c r="BG811" s="236"/>
      <c r="BI811" s="188"/>
      <c r="BJ811" s="188"/>
      <c r="BK811" s="188"/>
      <c r="BL811" s="188"/>
      <c r="BM811" s="188"/>
      <c r="BN811" s="246"/>
      <c r="BO811" s="188"/>
      <c r="BP811" s="188"/>
      <c r="BQ811" s="188"/>
      <c r="BR811" s="188"/>
      <c r="BS811" s="188"/>
      <c r="BT811" s="188"/>
      <c r="BU811" s="188"/>
      <c r="BV811" s="188"/>
      <c r="BW811" s="246"/>
      <c r="BX811" s="188"/>
      <c r="BY811" s="188"/>
    </row>
    <row r="812" spans="47:77" x14ac:dyDescent="0.3">
      <c r="AX812" s="44"/>
      <c r="AY812" s="123"/>
      <c r="AZ812" s="188"/>
      <c r="BA812" s="188"/>
      <c r="BB812" s="188"/>
      <c r="BC812" s="236"/>
      <c r="BD812" s="188"/>
      <c r="BE812" s="188"/>
      <c r="BF812" s="188"/>
      <c r="BG812" s="236"/>
      <c r="BI812" s="188"/>
      <c r="BJ812" s="188"/>
      <c r="BK812" s="188"/>
      <c r="BL812" s="188"/>
      <c r="BM812" s="188"/>
      <c r="BN812" s="246"/>
      <c r="BO812" s="188"/>
      <c r="BP812" s="188"/>
      <c r="BQ812" s="188"/>
      <c r="BR812" s="188"/>
      <c r="BS812" s="188"/>
      <c r="BT812" s="188"/>
      <c r="BU812" s="188"/>
      <c r="BV812" s="188"/>
      <c r="BW812" s="246"/>
      <c r="BX812" s="188"/>
      <c r="BY812" s="188"/>
    </row>
    <row r="813" spans="47:77" x14ac:dyDescent="0.3">
      <c r="AZ813" s="188"/>
      <c r="BA813" s="188"/>
      <c r="BB813" s="188"/>
      <c r="BC813" s="236"/>
      <c r="BD813" s="188"/>
      <c r="BE813" s="188"/>
      <c r="BF813" s="188"/>
      <c r="BG813" s="236"/>
      <c r="BI813" s="188"/>
      <c r="BJ813" s="188"/>
      <c r="BK813" s="188"/>
      <c r="BL813" s="188"/>
      <c r="BM813" s="188"/>
      <c r="BN813" s="188"/>
      <c r="BO813" s="188"/>
      <c r="BP813" s="188"/>
      <c r="BQ813" s="188"/>
      <c r="BR813" s="188"/>
      <c r="BS813" s="188"/>
      <c r="BT813" s="188"/>
      <c r="BU813" s="188"/>
      <c r="BV813" s="188"/>
      <c r="BW813" s="188"/>
      <c r="BX813" s="188"/>
    </row>
    <row r="814" spans="47:77" x14ac:dyDescent="0.3">
      <c r="AW814" s="42"/>
    </row>
    <row r="815" spans="47:77" x14ac:dyDescent="0.3">
      <c r="AW815" s="42"/>
      <c r="BB815" s="188"/>
      <c r="BC815" s="236"/>
      <c r="BD815" s="188"/>
      <c r="BE815" s="188"/>
      <c r="BF815" s="188"/>
      <c r="BG815" s="236"/>
      <c r="BI815" s="188"/>
      <c r="BJ815" s="188"/>
      <c r="BK815" s="188"/>
      <c r="BL815" s="188"/>
      <c r="BM815" s="188"/>
      <c r="BN815" s="188"/>
      <c r="BO815" s="188"/>
      <c r="BP815" s="188"/>
      <c r="BQ815" s="188"/>
      <c r="BR815" s="188"/>
      <c r="BS815" s="188"/>
      <c r="BT815" s="188"/>
      <c r="BU815" s="188"/>
      <c r="BV815" s="188"/>
      <c r="BW815" s="188"/>
      <c r="BX815" s="188"/>
    </row>
    <row r="816" spans="47:77" x14ac:dyDescent="0.3">
      <c r="AU816" s="42"/>
      <c r="BB816" s="188"/>
      <c r="BD816" s="188"/>
    </row>
    <row r="817" spans="47:76" x14ac:dyDescent="0.3">
      <c r="BB817" s="188"/>
      <c r="BD817" s="188"/>
      <c r="BQ817" s="188"/>
      <c r="BR817" s="188"/>
      <c r="BS817" s="188"/>
      <c r="BT817" s="188"/>
      <c r="BU817" s="188"/>
      <c r="BV817" s="188"/>
      <c r="BW817" s="188"/>
      <c r="BX817" s="188"/>
    </row>
    <row r="818" spans="47:76" x14ac:dyDescent="0.3">
      <c r="BA818" s="188"/>
      <c r="BB818" s="188"/>
      <c r="BD818" s="188"/>
      <c r="BQ818" s="188"/>
      <c r="BR818" s="188"/>
      <c r="BS818" s="188"/>
      <c r="BT818" s="188"/>
      <c r="BU818" s="188"/>
      <c r="BV818" s="188"/>
      <c r="BW818" s="188"/>
      <c r="BX818" s="188"/>
    </row>
    <row r="819" spans="47:76" x14ac:dyDescent="0.3">
      <c r="BA819" s="42"/>
      <c r="BB819" s="188"/>
      <c r="BD819" s="188"/>
      <c r="BQ819" s="188"/>
      <c r="BR819" s="188"/>
      <c r="BS819" s="188"/>
      <c r="BT819" s="188"/>
      <c r="BU819" s="188"/>
      <c r="BV819" s="188"/>
      <c r="BW819" s="188"/>
      <c r="BX819" s="188"/>
    </row>
    <row r="820" spans="47:76" x14ac:dyDescent="0.3">
      <c r="BA820" s="42"/>
      <c r="BB820" s="188"/>
      <c r="BD820" s="188"/>
      <c r="BQ820" s="188"/>
      <c r="BR820" s="188"/>
      <c r="BS820" s="188"/>
      <c r="BT820" s="188"/>
      <c r="BU820" s="188"/>
      <c r="BV820" s="188"/>
      <c r="BW820" s="188"/>
      <c r="BX820" s="188"/>
    </row>
    <row r="821" spans="47:76" x14ac:dyDescent="0.3">
      <c r="BB821" s="188"/>
      <c r="BD821" s="188"/>
      <c r="BF821" s="42"/>
      <c r="BQ821" s="188"/>
      <c r="BR821" s="188"/>
      <c r="BS821" s="188"/>
      <c r="BT821" s="188"/>
      <c r="BU821" s="188"/>
      <c r="BV821" s="188"/>
      <c r="BW821" s="188"/>
      <c r="BX821" s="188"/>
    </row>
    <row r="822" spans="47:76" x14ac:dyDescent="0.3">
      <c r="BB822" s="188"/>
      <c r="BD822" s="188"/>
      <c r="BF822" s="42"/>
      <c r="BQ822" s="188"/>
      <c r="BR822" s="188"/>
      <c r="BS822" s="188"/>
      <c r="BT822" s="188"/>
      <c r="BU822" s="188"/>
      <c r="BV822" s="188"/>
      <c r="BW822" s="188"/>
      <c r="BX822" s="188"/>
    </row>
    <row r="823" spans="47:76" x14ac:dyDescent="0.3">
      <c r="AU823" s="42"/>
      <c r="BB823" s="188"/>
      <c r="BD823" s="188"/>
      <c r="BF823" s="42"/>
      <c r="BQ823" s="188"/>
      <c r="BR823" s="188"/>
      <c r="BS823" s="188"/>
      <c r="BT823" s="188"/>
      <c r="BU823" s="188"/>
      <c r="BV823" s="188"/>
      <c r="BW823" s="188"/>
      <c r="BX823" s="188"/>
    </row>
    <row r="824" spans="47:76" x14ac:dyDescent="0.3">
      <c r="BB824" s="188"/>
      <c r="BD824" s="188"/>
      <c r="BQ824" s="188"/>
      <c r="BR824" s="188"/>
      <c r="BS824" s="188"/>
      <c r="BT824" s="188"/>
      <c r="BU824" s="188"/>
      <c r="BV824" s="188"/>
      <c r="BW824" s="188"/>
      <c r="BX824" s="188"/>
    </row>
    <row r="825" spans="47:76" x14ac:dyDescent="0.3">
      <c r="AU825" s="135"/>
      <c r="AV825" s="135"/>
      <c r="AW825" s="135"/>
      <c r="AX825" s="135"/>
      <c r="AY825" s="135"/>
      <c r="AZ825" s="135"/>
      <c r="BA825" s="135"/>
      <c r="BB825" s="244"/>
      <c r="BC825" s="135"/>
      <c r="BD825" s="244"/>
      <c r="BE825" s="135"/>
      <c r="BF825" s="135"/>
      <c r="BG825" s="135"/>
      <c r="BQ825" s="188"/>
      <c r="BR825" s="188"/>
      <c r="BS825" s="188"/>
      <c r="BT825" s="188"/>
      <c r="BU825" s="188"/>
      <c r="BV825" s="188"/>
      <c r="BW825" s="188"/>
      <c r="BX825" s="188"/>
    </row>
    <row r="826" spans="47:76" x14ac:dyDescent="0.3">
      <c r="AZ826" s="42"/>
      <c r="BB826" s="188"/>
      <c r="BD826" s="188"/>
      <c r="BQ826" s="188"/>
      <c r="BR826" s="188"/>
      <c r="BS826" s="188"/>
      <c r="BT826" s="188"/>
      <c r="BU826" s="188"/>
      <c r="BV826" s="188"/>
      <c r="BW826" s="188"/>
      <c r="BX826" s="188"/>
    </row>
    <row r="827" spans="47:76" x14ac:dyDescent="0.3">
      <c r="AZ827" s="135"/>
      <c r="BA827" s="135"/>
      <c r="BB827" s="244"/>
      <c r="BC827" s="135"/>
      <c r="BD827" s="188"/>
      <c r="BE827" s="44"/>
      <c r="BF827" s="44"/>
      <c r="BQ827" s="188"/>
      <c r="BR827" s="188"/>
      <c r="BS827" s="188"/>
      <c r="BT827" s="188"/>
      <c r="BU827" s="188"/>
      <c r="BV827" s="188"/>
      <c r="BW827" s="188"/>
      <c r="BX827" s="188"/>
    </row>
    <row r="828" spans="47:76" x14ac:dyDescent="0.3">
      <c r="AX828" s="44"/>
      <c r="AY828" s="44"/>
      <c r="BB828" s="245"/>
      <c r="BC828" s="44"/>
      <c r="BD828" s="188"/>
      <c r="BE828" s="44"/>
      <c r="BF828" s="44"/>
      <c r="BG828" s="44"/>
      <c r="BI828" s="135"/>
      <c r="BJ828" s="42"/>
      <c r="BM828" s="135"/>
      <c r="BO828" s="135"/>
      <c r="BP828" s="42"/>
      <c r="BS828" s="135"/>
    </row>
    <row r="829" spans="47:76" x14ac:dyDescent="0.3">
      <c r="AX829" s="44"/>
      <c r="AY829" s="44"/>
      <c r="AZ829" s="44"/>
      <c r="BA829" s="44"/>
      <c r="BB829" s="245"/>
      <c r="BC829" s="44"/>
      <c r="BD829" s="245"/>
      <c r="BE829" s="44"/>
      <c r="BF829" s="44"/>
      <c r="BG829" s="44"/>
      <c r="BJ829" s="44"/>
      <c r="BK829" s="44"/>
      <c r="BP829" s="44"/>
      <c r="BQ829" s="44"/>
    </row>
    <row r="830" spans="47:76" x14ac:dyDescent="0.3">
      <c r="AU830" s="44"/>
      <c r="AW830" s="42"/>
      <c r="AX830" s="44"/>
      <c r="AY830" s="44"/>
      <c r="AZ830" s="44"/>
      <c r="BA830" s="44"/>
      <c r="BB830" s="245"/>
      <c r="BC830" s="44"/>
      <c r="BD830" s="245"/>
      <c r="BE830" s="44"/>
      <c r="BF830" s="44"/>
      <c r="BG830" s="44"/>
      <c r="BI830" s="44"/>
      <c r="BJ830" s="44"/>
      <c r="BK830" s="44"/>
      <c r="BL830" s="44"/>
      <c r="BM830" s="44"/>
      <c r="BO830" s="44"/>
      <c r="BP830" s="44"/>
      <c r="BQ830" s="44"/>
      <c r="BR830" s="44"/>
      <c r="BS830" s="44"/>
    </row>
    <row r="831" spans="47:76" x14ac:dyDescent="0.3">
      <c r="AU831" s="44"/>
      <c r="AW831" s="42"/>
      <c r="AX831" s="44"/>
      <c r="AY831" s="44"/>
      <c r="AZ831" s="44"/>
      <c r="BA831" s="44"/>
      <c r="BB831" s="245"/>
      <c r="BC831" s="44"/>
      <c r="BD831" s="245"/>
      <c r="BE831" s="44"/>
      <c r="BF831" s="44"/>
      <c r="BG831" s="44"/>
      <c r="BI831" s="44"/>
      <c r="BJ831" s="44"/>
      <c r="BK831" s="44"/>
      <c r="BL831" s="44"/>
      <c r="BM831" s="44"/>
      <c r="BO831" s="44"/>
      <c r="BP831" s="44"/>
      <c r="BQ831" s="44"/>
      <c r="BR831" s="44"/>
      <c r="BS831" s="44"/>
    </row>
    <row r="832" spans="47:76" x14ac:dyDescent="0.3">
      <c r="AU832" s="135"/>
      <c r="AV832" s="135"/>
      <c r="AW832" s="135"/>
      <c r="AX832" s="135"/>
      <c r="AY832" s="135"/>
      <c r="AZ832" s="135"/>
      <c r="BA832" s="135"/>
      <c r="BB832" s="244"/>
      <c r="BC832" s="135"/>
      <c r="BD832" s="244"/>
      <c r="BE832" s="135"/>
      <c r="BF832" s="135"/>
      <c r="BG832" s="135"/>
      <c r="BI832" s="135"/>
      <c r="BJ832" s="135"/>
      <c r="BK832" s="135"/>
      <c r="BL832" s="135"/>
      <c r="BM832" s="135"/>
      <c r="BO832" s="135"/>
      <c r="BP832" s="135"/>
      <c r="BQ832" s="135"/>
      <c r="BR832" s="135"/>
      <c r="BS832" s="135"/>
    </row>
    <row r="833" spans="48:73" x14ac:dyDescent="0.3">
      <c r="AX833" s="44"/>
      <c r="AY833" s="44"/>
      <c r="AZ833" s="44"/>
      <c r="BA833" s="44"/>
      <c r="BB833" s="245"/>
      <c r="BC833" s="44"/>
      <c r="BD833" s="245"/>
      <c r="BE833" s="44"/>
      <c r="BF833" s="44"/>
      <c r="BG833" s="44"/>
      <c r="BI833" s="188"/>
      <c r="BJ833" s="188"/>
      <c r="BK833" s="188"/>
      <c r="BL833" s="188"/>
      <c r="BM833" s="188"/>
      <c r="BN833" s="188"/>
      <c r="BO833" s="188"/>
      <c r="BP833" s="188"/>
      <c r="BQ833" s="188"/>
      <c r="BR833" s="188"/>
      <c r="BS833" s="188"/>
    </row>
    <row r="834" spans="48:73" x14ac:dyDescent="0.3">
      <c r="AV834" s="42"/>
      <c r="AX834" s="123"/>
      <c r="AY834" s="123"/>
      <c r="AZ834" s="188"/>
      <c r="BA834" s="188"/>
      <c r="BB834" s="188"/>
      <c r="BC834" s="236"/>
      <c r="BD834" s="188"/>
      <c r="BE834" s="188"/>
      <c r="BF834" s="188"/>
      <c r="BG834" s="236"/>
      <c r="BI834" s="188"/>
      <c r="BJ834" s="188"/>
      <c r="BK834" s="188"/>
      <c r="BL834" s="188"/>
      <c r="BM834" s="188"/>
      <c r="BN834" s="188"/>
      <c r="BO834" s="188"/>
      <c r="BP834" s="188"/>
      <c r="BQ834" s="188"/>
      <c r="BR834" s="188"/>
      <c r="BS834" s="188"/>
      <c r="BT834" s="188"/>
      <c r="BU834" s="188"/>
    </row>
    <row r="835" spans="48:73" x14ac:dyDescent="0.3">
      <c r="AX835" s="123"/>
      <c r="AY835" s="123"/>
      <c r="AZ835" s="188"/>
      <c r="BA835" s="188"/>
      <c r="BB835" s="188"/>
      <c r="BC835" s="236"/>
      <c r="BD835" s="188"/>
      <c r="BE835" s="188"/>
      <c r="BF835" s="188"/>
      <c r="BG835" s="236"/>
      <c r="BI835" s="188"/>
      <c r="BJ835" s="188"/>
      <c r="BK835" s="188"/>
      <c r="BL835" s="188"/>
      <c r="BM835" s="188"/>
      <c r="BN835" s="188"/>
      <c r="BO835" s="188"/>
      <c r="BP835" s="188"/>
      <c r="BQ835" s="188"/>
      <c r="BR835" s="188"/>
      <c r="BS835" s="188"/>
      <c r="BT835" s="188"/>
      <c r="BU835" s="188"/>
    </row>
    <row r="836" spans="48:73" x14ac:dyDescent="0.3">
      <c r="AX836" s="123"/>
      <c r="AY836" s="123"/>
      <c r="AZ836" s="188"/>
      <c r="BA836" s="188"/>
      <c r="BB836" s="188"/>
      <c r="BC836" s="236"/>
      <c r="BD836" s="188"/>
      <c r="BE836" s="188"/>
      <c r="BF836" s="188"/>
      <c r="BG836" s="236"/>
      <c r="BI836" s="188"/>
      <c r="BJ836" s="188"/>
      <c r="BK836" s="188"/>
      <c r="BL836" s="188"/>
      <c r="BM836" s="188"/>
      <c r="BN836" s="188"/>
      <c r="BO836" s="188"/>
      <c r="BP836" s="188"/>
      <c r="BQ836" s="188"/>
      <c r="BR836" s="188"/>
      <c r="BS836" s="188"/>
      <c r="BT836" s="188"/>
      <c r="BU836" s="188"/>
    </row>
    <row r="837" spans="48:73" x14ac:dyDescent="0.3">
      <c r="AX837" s="123"/>
      <c r="AY837" s="123"/>
      <c r="AZ837" s="188"/>
      <c r="BA837" s="188"/>
      <c r="BB837" s="188"/>
      <c r="BC837" s="236"/>
      <c r="BD837" s="188"/>
      <c r="BE837" s="188"/>
      <c r="BF837" s="188"/>
      <c r="BG837" s="236"/>
      <c r="BI837" s="188"/>
      <c r="BJ837" s="188"/>
      <c r="BK837" s="188"/>
      <c r="BL837" s="188"/>
      <c r="BM837" s="188"/>
      <c r="BN837" s="188"/>
      <c r="BO837" s="188"/>
      <c r="BP837" s="188"/>
      <c r="BQ837" s="188"/>
      <c r="BR837" s="188"/>
      <c r="BS837" s="188"/>
      <c r="BT837" s="188"/>
      <c r="BU837" s="188"/>
    </row>
    <row r="838" spans="48:73" x14ac:dyDescent="0.3">
      <c r="AX838" s="123"/>
      <c r="AY838" s="123"/>
      <c r="AZ838" s="188"/>
      <c r="BA838" s="188"/>
      <c r="BB838" s="188"/>
      <c r="BC838" s="236"/>
      <c r="BD838" s="188"/>
      <c r="BE838" s="188"/>
      <c r="BF838" s="188"/>
      <c r="BG838" s="236"/>
      <c r="BI838" s="188"/>
      <c r="BJ838" s="188"/>
      <c r="BK838" s="188"/>
      <c r="BL838" s="188"/>
      <c r="BM838" s="188"/>
      <c r="BN838" s="188"/>
      <c r="BO838" s="188"/>
      <c r="BP838" s="188"/>
      <c r="BQ838" s="188"/>
      <c r="BR838" s="188"/>
      <c r="BS838" s="188"/>
      <c r="BT838" s="188"/>
      <c r="BU838" s="188"/>
    </row>
    <row r="839" spans="48:73" x14ac:dyDescent="0.3">
      <c r="AX839" s="123"/>
      <c r="AY839" s="123"/>
      <c r="AZ839" s="188"/>
      <c r="BA839" s="188"/>
      <c r="BB839" s="188"/>
      <c r="BC839" s="236"/>
      <c r="BD839" s="188"/>
      <c r="BE839" s="188"/>
      <c r="BF839" s="188"/>
      <c r="BG839" s="236"/>
      <c r="BI839" s="188"/>
      <c r="BJ839" s="188"/>
      <c r="BK839" s="188"/>
      <c r="BL839" s="188"/>
      <c r="BM839" s="188"/>
      <c r="BN839" s="188"/>
      <c r="BO839" s="188"/>
      <c r="BP839" s="188"/>
      <c r="BQ839" s="188"/>
      <c r="BR839" s="188"/>
      <c r="BS839" s="188"/>
      <c r="BT839" s="188"/>
      <c r="BU839" s="188"/>
    </row>
    <row r="840" spans="48:73" x14ac:dyDescent="0.3">
      <c r="AX840" s="123"/>
      <c r="AY840" s="123"/>
      <c r="AZ840" s="188"/>
      <c r="BA840" s="188"/>
      <c r="BB840" s="188"/>
      <c r="BC840" s="236"/>
      <c r="BD840" s="188"/>
      <c r="BE840" s="188"/>
      <c r="BF840" s="188"/>
      <c r="BG840" s="236"/>
      <c r="BI840" s="188"/>
      <c r="BJ840" s="188"/>
      <c r="BK840" s="188"/>
      <c r="BL840" s="188"/>
      <c r="BM840" s="188"/>
      <c r="BN840" s="188"/>
      <c r="BO840" s="188"/>
      <c r="BP840" s="188"/>
      <c r="BQ840" s="188"/>
      <c r="BR840" s="188"/>
      <c r="BS840" s="188"/>
      <c r="BT840" s="188"/>
      <c r="BU840" s="188"/>
    </row>
    <row r="841" spans="48:73" x14ac:dyDescent="0.3">
      <c r="AX841" s="123"/>
      <c r="AY841" s="123"/>
      <c r="AZ841" s="188"/>
      <c r="BA841" s="188"/>
      <c r="BB841" s="188"/>
      <c r="BC841" s="236"/>
      <c r="BD841" s="188"/>
      <c r="BE841" s="188"/>
      <c r="BF841" s="188"/>
      <c r="BG841" s="236"/>
      <c r="BI841" s="188"/>
      <c r="BJ841" s="188"/>
      <c r="BK841" s="188"/>
      <c r="BL841" s="188"/>
      <c r="BM841" s="188"/>
      <c r="BN841" s="188"/>
      <c r="BO841" s="188"/>
      <c r="BP841" s="188"/>
      <c r="BQ841" s="188"/>
      <c r="BR841" s="188"/>
      <c r="BS841" s="188"/>
      <c r="BT841" s="188"/>
      <c r="BU841" s="188"/>
    </row>
    <row r="842" spans="48:73" x14ac:dyDescent="0.3">
      <c r="AX842" s="123"/>
      <c r="AY842" s="123"/>
      <c r="AZ842" s="188"/>
      <c r="BA842" s="188"/>
      <c r="BB842" s="188"/>
      <c r="BC842" s="236"/>
      <c r="BD842" s="188"/>
      <c r="BE842" s="188"/>
      <c r="BF842" s="188"/>
      <c r="BG842" s="236"/>
      <c r="BI842" s="188"/>
      <c r="BJ842" s="188"/>
      <c r="BK842" s="188"/>
      <c r="BL842" s="188"/>
      <c r="BM842" s="188"/>
      <c r="BN842" s="188"/>
      <c r="BO842" s="188"/>
      <c r="BP842" s="188"/>
      <c r="BQ842" s="188"/>
      <c r="BR842" s="188"/>
      <c r="BS842" s="188"/>
      <c r="BT842" s="188"/>
      <c r="BU842" s="188"/>
    </row>
    <row r="843" spans="48:73" x14ac:dyDescent="0.3">
      <c r="AX843" s="123"/>
      <c r="AY843" s="123"/>
      <c r="AZ843" s="188"/>
      <c r="BA843" s="188"/>
      <c r="BB843" s="188"/>
      <c r="BC843" s="236"/>
      <c r="BD843" s="188"/>
      <c r="BE843" s="188"/>
      <c r="BF843" s="188"/>
      <c r="BG843" s="236"/>
      <c r="BI843" s="188"/>
      <c r="BJ843" s="188"/>
      <c r="BK843" s="188"/>
      <c r="BL843" s="188"/>
      <c r="BM843" s="188"/>
      <c r="BN843" s="188"/>
      <c r="BO843" s="188"/>
      <c r="BP843" s="188"/>
      <c r="BQ843" s="188"/>
      <c r="BR843" s="188"/>
      <c r="BS843" s="188"/>
      <c r="BT843" s="188"/>
      <c r="BU843" s="188"/>
    </row>
    <row r="844" spans="48:73" x14ac:dyDescent="0.3">
      <c r="AX844" s="123"/>
      <c r="AY844" s="123"/>
      <c r="AZ844" s="188"/>
      <c r="BA844" s="188"/>
      <c r="BB844" s="188"/>
      <c r="BC844" s="236"/>
      <c r="BD844" s="188"/>
      <c r="BE844" s="188"/>
      <c r="BF844" s="188"/>
      <c r="BG844" s="236"/>
      <c r="BI844" s="188"/>
      <c r="BJ844" s="188"/>
      <c r="BK844" s="188"/>
      <c r="BL844" s="188"/>
      <c r="BM844" s="188"/>
      <c r="BN844" s="188"/>
      <c r="BO844" s="188"/>
      <c r="BP844" s="188"/>
      <c r="BQ844" s="188"/>
      <c r="BR844" s="188"/>
      <c r="BS844" s="188"/>
      <c r="BT844" s="188"/>
      <c r="BU844" s="188"/>
    </row>
    <row r="845" spans="48:73" x14ac:dyDescent="0.3">
      <c r="AX845" s="123"/>
      <c r="AY845" s="123"/>
      <c r="AZ845" s="188"/>
      <c r="BA845" s="188"/>
      <c r="BB845" s="188"/>
      <c r="BC845" s="236"/>
      <c r="BD845" s="188"/>
      <c r="BE845" s="188"/>
      <c r="BF845" s="188"/>
      <c r="BG845" s="236"/>
      <c r="BI845" s="188"/>
      <c r="BJ845" s="188"/>
      <c r="BK845" s="188"/>
      <c r="BL845" s="188"/>
      <c r="BM845" s="188"/>
      <c r="BN845" s="188"/>
      <c r="BO845" s="188"/>
      <c r="BP845" s="188"/>
      <c r="BQ845" s="188"/>
      <c r="BR845" s="188"/>
      <c r="BS845" s="188"/>
      <c r="BT845" s="188"/>
      <c r="BU845" s="188"/>
    </row>
    <row r="846" spans="48:73" x14ac:dyDescent="0.3">
      <c r="AX846" s="123"/>
      <c r="AY846" s="123"/>
      <c r="AZ846" s="188"/>
      <c r="BA846" s="188"/>
      <c r="BB846" s="188"/>
      <c r="BC846" s="236"/>
      <c r="BD846" s="188"/>
      <c r="BE846" s="188"/>
      <c r="BF846" s="188"/>
      <c r="BG846" s="236"/>
      <c r="BI846" s="188"/>
      <c r="BJ846" s="188"/>
      <c r="BK846" s="188"/>
      <c r="BL846" s="188"/>
      <c r="BM846" s="188"/>
      <c r="BN846" s="188"/>
      <c r="BO846" s="188"/>
      <c r="BP846" s="188"/>
      <c r="BQ846" s="188"/>
      <c r="BR846" s="188"/>
      <c r="BS846" s="188"/>
      <c r="BT846" s="188"/>
      <c r="BU846" s="188"/>
    </row>
    <row r="847" spans="48:73" x14ac:dyDescent="0.3">
      <c r="AX847" s="123"/>
      <c r="AY847" s="123"/>
      <c r="AZ847" s="188"/>
      <c r="BA847" s="188"/>
      <c r="BB847" s="188"/>
      <c r="BC847" s="236"/>
      <c r="BD847" s="188"/>
      <c r="BE847" s="188"/>
      <c r="BF847" s="188"/>
      <c r="BG847" s="236"/>
      <c r="BI847" s="188"/>
      <c r="BJ847" s="188"/>
      <c r="BK847" s="188"/>
      <c r="BL847" s="188"/>
      <c r="BM847" s="188"/>
      <c r="BN847" s="188"/>
      <c r="BO847" s="188"/>
      <c r="BP847" s="188"/>
      <c r="BQ847" s="188"/>
      <c r="BR847" s="188"/>
      <c r="BS847" s="188"/>
      <c r="BT847" s="188"/>
      <c r="BU847" s="188"/>
    </row>
    <row r="848" spans="48:73" x14ac:dyDescent="0.3">
      <c r="AX848" s="123"/>
      <c r="AY848" s="123"/>
      <c r="AZ848" s="188"/>
      <c r="BA848" s="188"/>
      <c r="BB848" s="188"/>
      <c r="BC848" s="236"/>
      <c r="BD848" s="188"/>
      <c r="BE848" s="188"/>
      <c r="BF848" s="188"/>
      <c r="BG848" s="236"/>
      <c r="BI848" s="188"/>
      <c r="BJ848" s="188"/>
      <c r="BK848" s="188"/>
      <c r="BL848" s="188"/>
      <c r="BM848" s="188"/>
      <c r="BN848" s="188"/>
      <c r="BO848" s="188"/>
      <c r="BP848" s="188"/>
      <c r="BQ848" s="188"/>
      <c r="BR848" s="188"/>
      <c r="BS848" s="188"/>
      <c r="BT848" s="188"/>
      <c r="BU848" s="188"/>
    </row>
    <row r="849" spans="48:73" x14ac:dyDescent="0.3">
      <c r="AX849" s="123"/>
      <c r="AY849" s="123"/>
      <c r="AZ849" s="188"/>
      <c r="BA849" s="188"/>
      <c r="BB849" s="188"/>
      <c r="BC849" s="236"/>
      <c r="BD849" s="188"/>
      <c r="BE849" s="188"/>
      <c r="BF849" s="188"/>
      <c r="BG849" s="236"/>
      <c r="BI849" s="188"/>
      <c r="BJ849" s="188"/>
      <c r="BK849" s="188"/>
      <c r="BL849" s="188"/>
      <c r="BM849" s="188"/>
      <c r="BN849" s="188"/>
      <c r="BO849" s="188"/>
      <c r="BP849" s="188"/>
      <c r="BQ849" s="188"/>
      <c r="BR849" s="188"/>
      <c r="BS849" s="188"/>
      <c r="BT849" s="188"/>
      <c r="BU849" s="188"/>
    </row>
    <row r="850" spans="48:73" x14ac:dyDescent="0.3">
      <c r="AX850" s="123"/>
      <c r="AY850" s="123"/>
      <c r="AZ850" s="188"/>
      <c r="BA850" s="188"/>
      <c r="BB850" s="188"/>
      <c r="BC850" s="236"/>
      <c r="BD850" s="188"/>
      <c r="BE850" s="188"/>
      <c r="BF850" s="188"/>
      <c r="BG850" s="236"/>
      <c r="BI850" s="188"/>
      <c r="BJ850" s="188"/>
      <c r="BK850" s="188"/>
      <c r="BL850" s="188"/>
      <c r="BM850" s="188"/>
      <c r="BN850" s="188"/>
      <c r="BO850" s="188"/>
      <c r="BP850" s="188"/>
      <c r="BQ850" s="188"/>
      <c r="BR850" s="188"/>
      <c r="BS850" s="188"/>
      <c r="BT850" s="188"/>
      <c r="BU850" s="188"/>
    </row>
    <row r="851" spans="48:73" x14ac:dyDescent="0.3">
      <c r="AX851" s="123"/>
      <c r="AY851" s="123"/>
      <c r="AZ851" s="188"/>
      <c r="BA851" s="188"/>
      <c r="BB851" s="188"/>
      <c r="BC851" s="236"/>
      <c r="BD851" s="188"/>
      <c r="BE851" s="188"/>
      <c r="BF851" s="188"/>
      <c r="BG851" s="236"/>
      <c r="BI851" s="188"/>
      <c r="BJ851" s="188"/>
      <c r="BK851" s="188"/>
      <c r="BL851" s="188"/>
      <c r="BM851" s="188"/>
      <c r="BN851" s="188"/>
      <c r="BO851" s="188"/>
      <c r="BP851" s="188"/>
      <c r="BQ851" s="188"/>
      <c r="BR851" s="188"/>
      <c r="BS851" s="188"/>
      <c r="BT851" s="188"/>
      <c r="BU851" s="188"/>
    </row>
    <row r="852" spans="48:73" x14ac:dyDescent="0.3">
      <c r="BB852" s="188"/>
      <c r="BD852" s="188"/>
      <c r="BE852" s="188"/>
      <c r="BF852" s="188"/>
      <c r="BI852" s="188"/>
      <c r="BJ852" s="188"/>
      <c r="BK852" s="188"/>
      <c r="BL852" s="188"/>
      <c r="BM852" s="188"/>
      <c r="BN852" s="188"/>
      <c r="BO852" s="188"/>
      <c r="BP852" s="188"/>
      <c r="BQ852" s="188"/>
      <c r="BR852" s="188"/>
      <c r="BS852" s="188"/>
      <c r="BT852" s="188"/>
      <c r="BU852" s="188"/>
    </row>
    <row r="853" spans="48:73" x14ac:dyDescent="0.3">
      <c r="AV853" s="42"/>
      <c r="AX853" s="123"/>
      <c r="AY853" s="123"/>
      <c r="AZ853" s="188"/>
      <c r="BA853" s="188"/>
      <c r="BB853" s="188"/>
      <c r="BC853" s="236"/>
      <c r="BD853" s="188"/>
      <c r="BE853" s="188"/>
      <c r="BF853" s="188"/>
      <c r="BG853" s="236"/>
    </row>
    <row r="854" spans="48:73" x14ac:dyDescent="0.3">
      <c r="AX854" s="123"/>
      <c r="AY854" s="123"/>
      <c r="AZ854" s="188"/>
      <c r="BA854" s="188"/>
      <c r="BB854" s="188"/>
      <c r="BC854" s="236"/>
      <c r="BD854" s="188"/>
      <c r="BE854" s="188"/>
      <c r="BF854" s="188"/>
      <c r="BG854" s="236"/>
    </row>
    <row r="855" spans="48:73" x14ac:dyDescent="0.3">
      <c r="AX855" s="123"/>
      <c r="AY855" s="123"/>
      <c r="AZ855" s="188"/>
      <c r="BA855" s="188"/>
      <c r="BB855" s="188"/>
      <c r="BC855" s="236"/>
      <c r="BD855" s="188"/>
      <c r="BE855" s="188"/>
      <c r="BF855" s="188"/>
      <c r="BG855" s="236"/>
    </row>
    <row r="856" spans="48:73" x14ac:dyDescent="0.3">
      <c r="AX856" s="123"/>
      <c r="AY856" s="123"/>
      <c r="AZ856" s="188"/>
      <c r="BA856" s="188"/>
      <c r="BB856" s="188"/>
      <c r="BC856" s="236"/>
      <c r="BD856" s="188"/>
      <c r="BE856" s="188"/>
      <c r="BF856" s="188"/>
      <c r="BG856" s="236"/>
    </row>
    <row r="857" spans="48:73" x14ac:dyDescent="0.3">
      <c r="AX857" s="123"/>
      <c r="AY857" s="123"/>
      <c r="AZ857" s="188"/>
      <c r="BA857" s="188"/>
      <c r="BB857" s="188"/>
      <c r="BC857" s="236"/>
      <c r="BD857" s="188"/>
      <c r="BE857" s="188"/>
      <c r="BF857" s="188"/>
      <c r="BG857" s="236"/>
    </row>
    <row r="858" spans="48:73" x14ac:dyDescent="0.3">
      <c r="AX858" s="123"/>
      <c r="AY858" s="123"/>
      <c r="AZ858" s="188"/>
      <c r="BA858" s="188"/>
      <c r="BB858" s="188"/>
      <c r="BC858" s="236"/>
      <c r="BD858" s="188"/>
      <c r="BE858" s="188"/>
      <c r="BF858" s="188"/>
      <c r="BG858" s="236"/>
    </row>
    <row r="859" spans="48:73" x14ac:dyDescent="0.3">
      <c r="AX859" s="123"/>
      <c r="AY859" s="123"/>
      <c r="AZ859" s="188"/>
      <c r="BA859" s="188"/>
      <c r="BB859" s="188"/>
      <c r="BC859" s="236"/>
      <c r="BD859" s="188"/>
      <c r="BE859" s="188"/>
      <c r="BF859" s="188"/>
      <c r="BG859" s="236"/>
    </row>
    <row r="860" spans="48:73" x14ac:dyDescent="0.3">
      <c r="AX860" s="123"/>
      <c r="AY860" s="123"/>
      <c r="AZ860" s="188"/>
      <c r="BA860" s="188"/>
      <c r="BB860" s="188"/>
      <c r="BC860" s="236"/>
      <c r="BD860" s="188"/>
      <c r="BE860" s="188"/>
      <c r="BF860" s="188"/>
      <c r="BG860" s="236"/>
    </row>
    <row r="861" spans="48:73" x14ac:dyDescent="0.3">
      <c r="AX861" s="123"/>
      <c r="AY861" s="123"/>
      <c r="AZ861" s="188"/>
      <c r="BA861" s="188"/>
      <c r="BB861" s="188"/>
      <c r="BC861" s="236"/>
      <c r="BD861" s="188"/>
      <c r="BE861" s="188"/>
      <c r="BF861" s="188"/>
      <c r="BG861" s="236"/>
    </row>
    <row r="862" spans="48:73" x14ac:dyDescent="0.3">
      <c r="AX862" s="123"/>
      <c r="AY862" s="123"/>
      <c r="AZ862" s="188"/>
      <c r="BA862" s="188"/>
      <c r="BB862" s="188"/>
      <c r="BC862" s="236"/>
      <c r="BD862" s="188"/>
      <c r="BE862" s="188"/>
      <c r="BF862" s="188"/>
      <c r="BG862" s="236"/>
    </row>
    <row r="863" spans="48:73" x14ac:dyDescent="0.3">
      <c r="AX863" s="123"/>
      <c r="AY863" s="123"/>
      <c r="AZ863" s="188"/>
      <c r="BA863" s="188"/>
      <c r="BB863" s="188"/>
      <c r="BC863" s="236"/>
      <c r="BD863" s="188"/>
      <c r="BE863" s="188"/>
      <c r="BF863" s="188"/>
      <c r="BG863" s="236"/>
    </row>
    <row r="864" spans="48:73" x14ac:dyDescent="0.3">
      <c r="AX864" s="123"/>
      <c r="AY864" s="123"/>
      <c r="AZ864" s="188"/>
      <c r="BA864" s="188"/>
      <c r="BB864" s="188"/>
      <c r="BC864" s="236"/>
      <c r="BD864" s="188"/>
      <c r="BE864" s="188"/>
      <c r="BF864" s="188"/>
      <c r="BG864" s="236"/>
    </row>
    <row r="865" spans="47:59" x14ac:dyDescent="0.3">
      <c r="AX865" s="123"/>
      <c r="AY865" s="123"/>
      <c r="AZ865" s="188"/>
      <c r="BA865" s="188"/>
      <c r="BB865" s="188"/>
      <c r="BC865" s="236"/>
      <c r="BD865" s="188"/>
      <c r="BE865" s="188"/>
      <c r="BF865" s="188"/>
      <c r="BG865" s="236"/>
    </row>
    <row r="866" spans="47:59" x14ac:dyDescent="0.3">
      <c r="AX866" s="123"/>
      <c r="AY866" s="123"/>
      <c r="AZ866" s="188"/>
      <c r="BA866" s="188"/>
      <c r="BB866" s="188"/>
      <c r="BC866" s="236"/>
      <c r="BD866" s="188"/>
      <c r="BE866" s="188"/>
      <c r="BF866" s="188"/>
      <c r="BG866" s="236"/>
    </row>
    <row r="867" spans="47:59" x14ac:dyDescent="0.3">
      <c r="AX867" s="123"/>
      <c r="AY867" s="123"/>
      <c r="AZ867" s="188"/>
      <c r="BA867" s="188"/>
      <c r="BB867" s="188"/>
      <c r="BC867" s="236"/>
      <c r="BD867" s="188"/>
      <c r="BE867" s="188"/>
      <c r="BF867" s="188"/>
      <c r="BG867" s="236"/>
    </row>
    <row r="868" spans="47:59" x14ac:dyDescent="0.3">
      <c r="AX868" s="123"/>
      <c r="AY868" s="123"/>
      <c r="AZ868" s="188"/>
      <c r="BA868" s="188"/>
      <c r="BB868" s="188"/>
      <c r="BC868" s="236"/>
      <c r="BD868" s="188"/>
      <c r="BE868" s="188"/>
      <c r="BF868" s="188"/>
      <c r="BG868" s="236"/>
    </row>
    <row r="869" spans="47:59" x14ac:dyDescent="0.3">
      <c r="AX869" s="123"/>
      <c r="AY869" s="123"/>
      <c r="AZ869" s="188"/>
      <c r="BA869" s="188"/>
      <c r="BB869" s="188"/>
      <c r="BC869" s="236"/>
      <c r="BD869" s="188"/>
      <c r="BE869" s="188"/>
      <c r="BF869" s="188"/>
      <c r="BG869" s="236"/>
    </row>
    <row r="870" spans="47:59" x14ac:dyDescent="0.3">
      <c r="AX870" s="123"/>
      <c r="AY870" s="123"/>
      <c r="AZ870" s="188"/>
      <c r="BA870" s="188"/>
      <c r="BB870" s="188"/>
      <c r="BC870" s="236"/>
      <c r="BD870" s="188"/>
      <c r="BE870" s="188"/>
      <c r="BF870" s="188"/>
      <c r="BG870" s="236"/>
    </row>
    <row r="871" spans="47:59" x14ac:dyDescent="0.3">
      <c r="BD871" s="188"/>
    </row>
    <row r="872" spans="47:59" x14ac:dyDescent="0.3">
      <c r="AW872" s="42"/>
      <c r="BD872" s="188"/>
    </row>
    <row r="873" spans="47:59" x14ac:dyDescent="0.3">
      <c r="AW873" s="42"/>
    </row>
    <row r="874" spans="47:59" x14ac:dyDescent="0.3">
      <c r="AW874" s="42"/>
      <c r="BD874" s="188"/>
    </row>
    <row r="875" spans="47:59" x14ac:dyDescent="0.3">
      <c r="AU875" s="42"/>
      <c r="BB875" s="188"/>
      <c r="BD875" s="188"/>
    </row>
    <row r="876" spans="47:59" x14ac:dyDescent="0.3">
      <c r="BB876" s="188"/>
      <c r="BD876" s="188"/>
    </row>
    <row r="877" spans="47:59" x14ac:dyDescent="0.3">
      <c r="BA877" s="188"/>
      <c r="BB877" s="188"/>
      <c r="BD877" s="188"/>
    </row>
    <row r="878" spans="47:59" x14ac:dyDescent="0.3">
      <c r="BA878" s="42"/>
      <c r="BB878" s="188"/>
      <c r="BD878" s="188"/>
    </row>
    <row r="879" spans="47:59" x14ac:dyDescent="0.3">
      <c r="BA879" s="42"/>
      <c r="BB879" s="188"/>
      <c r="BD879" s="188"/>
    </row>
    <row r="880" spans="47:59" x14ac:dyDescent="0.3">
      <c r="BB880" s="188"/>
      <c r="BD880" s="188"/>
      <c r="BF880" s="42"/>
    </row>
    <row r="881" spans="47:59" x14ac:dyDescent="0.3">
      <c r="BB881" s="188"/>
      <c r="BD881" s="188"/>
      <c r="BF881" s="42"/>
    </row>
    <row r="882" spans="47:59" x14ac:dyDescent="0.3">
      <c r="AU882" s="42"/>
      <c r="BB882" s="188"/>
      <c r="BD882" s="188"/>
      <c r="BF882" s="42"/>
    </row>
    <row r="883" spans="47:59" x14ac:dyDescent="0.3">
      <c r="BB883" s="188"/>
      <c r="BD883" s="188"/>
    </row>
    <row r="884" spans="47:59" x14ac:dyDescent="0.3">
      <c r="AU884" s="135"/>
      <c r="AV884" s="135"/>
      <c r="AW884" s="135"/>
      <c r="AX884" s="135"/>
      <c r="AY884" s="135"/>
      <c r="AZ884" s="135"/>
      <c r="BA884" s="135"/>
      <c r="BB884" s="244"/>
      <c r="BC884" s="135"/>
      <c r="BD884" s="244"/>
      <c r="BE884" s="135"/>
      <c r="BF884" s="135"/>
      <c r="BG884" s="135"/>
    </row>
    <row r="885" spans="47:59" x14ac:dyDescent="0.3">
      <c r="AZ885" s="42"/>
      <c r="BB885" s="188"/>
      <c r="BD885" s="188"/>
    </row>
    <row r="886" spans="47:59" x14ac:dyDescent="0.3">
      <c r="AZ886" s="135"/>
      <c r="BA886" s="135"/>
      <c r="BB886" s="244"/>
      <c r="BC886" s="135"/>
      <c r="BD886" s="188"/>
      <c r="BE886" s="44"/>
      <c r="BF886" s="44"/>
    </row>
    <row r="887" spans="47:59" x14ac:dyDescent="0.3">
      <c r="AX887" s="44"/>
      <c r="AY887" s="44"/>
      <c r="BB887" s="245"/>
      <c r="BC887" s="44"/>
      <c r="BD887" s="188"/>
      <c r="BE887" s="44"/>
      <c r="BF887" s="44"/>
      <c r="BG887" s="44"/>
    </row>
    <row r="888" spans="47:59" x14ac:dyDescent="0.3">
      <c r="AX888" s="44"/>
      <c r="AY888" s="44"/>
      <c r="AZ888" s="44"/>
      <c r="BA888" s="44"/>
      <c r="BB888" s="245"/>
      <c r="BC888" s="44"/>
      <c r="BD888" s="245"/>
      <c r="BE888" s="44"/>
      <c r="BF888" s="44"/>
      <c r="BG888" s="44"/>
    </row>
    <row r="889" spans="47:59" x14ac:dyDescent="0.3">
      <c r="AU889" s="44"/>
      <c r="AW889" s="42"/>
      <c r="AX889" s="44"/>
      <c r="AY889" s="44"/>
      <c r="AZ889" s="44"/>
      <c r="BA889" s="44"/>
      <c r="BB889" s="245"/>
      <c r="BC889" s="44"/>
      <c r="BD889" s="245"/>
      <c r="BE889" s="44"/>
      <c r="BF889" s="44"/>
      <c r="BG889" s="44"/>
    </row>
    <row r="890" spans="47:59" x14ac:dyDescent="0.3">
      <c r="AU890" s="44"/>
      <c r="AW890" s="42"/>
      <c r="AX890" s="44"/>
      <c r="AY890" s="44"/>
      <c r="AZ890" s="44"/>
      <c r="BA890" s="44"/>
      <c r="BB890" s="245"/>
      <c r="BC890" s="44"/>
      <c r="BD890" s="245"/>
      <c r="BE890" s="44"/>
      <c r="BF890" s="44"/>
      <c r="BG890" s="44"/>
    </row>
    <row r="891" spans="47:59" x14ac:dyDescent="0.3">
      <c r="AU891" s="135"/>
      <c r="AV891" s="135"/>
      <c r="AW891" s="135"/>
      <c r="AX891" s="135"/>
      <c r="AY891" s="135"/>
      <c r="AZ891" s="135"/>
      <c r="BA891" s="135"/>
      <c r="BB891" s="244"/>
      <c r="BC891" s="135"/>
      <c r="BD891" s="244"/>
      <c r="BE891" s="135"/>
      <c r="BF891" s="135"/>
      <c r="BG891" s="135"/>
    </row>
    <row r="892" spans="47:59" x14ac:dyDescent="0.3">
      <c r="AX892" s="44"/>
      <c r="AY892" s="44"/>
      <c r="AZ892" s="44"/>
      <c r="BA892" s="44"/>
      <c r="BB892" s="245"/>
      <c r="BC892" s="44"/>
      <c r="BD892" s="245"/>
      <c r="BE892" s="44"/>
      <c r="BF892" s="44"/>
      <c r="BG892" s="44"/>
    </row>
    <row r="893" spans="47:59" x14ac:dyDescent="0.3">
      <c r="AV893" s="42"/>
      <c r="AX893" s="123"/>
      <c r="AY893" s="123"/>
      <c r="AZ893" s="188"/>
      <c r="BA893" s="188"/>
      <c r="BB893" s="188"/>
      <c r="BC893" s="236"/>
      <c r="BD893" s="188"/>
      <c r="BE893" s="188"/>
      <c r="BF893" s="188"/>
      <c r="BG893" s="236"/>
    </row>
    <row r="894" spans="47:59" x14ac:dyDescent="0.3">
      <c r="AX894" s="123"/>
      <c r="AY894" s="123"/>
      <c r="AZ894" s="188"/>
      <c r="BA894" s="188"/>
      <c r="BB894" s="188"/>
      <c r="BC894" s="236"/>
      <c r="BD894" s="188"/>
      <c r="BE894" s="188"/>
      <c r="BF894" s="188"/>
      <c r="BG894" s="236"/>
    </row>
    <row r="895" spans="47:59" x14ac:dyDescent="0.3">
      <c r="AX895" s="123"/>
      <c r="AY895" s="123"/>
      <c r="AZ895" s="188"/>
      <c r="BA895" s="188"/>
      <c r="BB895" s="188"/>
      <c r="BC895" s="236"/>
      <c r="BD895" s="188"/>
      <c r="BE895" s="188"/>
      <c r="BF895" s="188"/>
      <c r="BG895" s="236"/>
    </row>
    <row r="896" spans="47:59" x14ac:dyDescent="0.3">
      <c r="AX896" s="123"/>
      <c r="AY896" s="123"/>
      <c r="AZ896" s="188"/>
      <c r="BA896" s="188"/>
      <c r="BB896" s="188"/>
      <c r="BC896" s="236"/>
      <c r="BD896" s="188"/>
      <c r="BE896" s="188"/>
      <c r="BF896" s="188"/>
      <c r="BG896" s="236"/>
    </row>
    <row r="897" spans="48:59" x14ac:dyDescent="0.3">
      <c r="AX897" s="123"/>
      <c r="AY897" s="123"/>
      <c r="AZ897" s="188"/>
      <c r="BA897" s="188"/>
      <c r="BB897" s="188"/>
      <c r="BC897" s="236"/>
      <c r="BD897" s="188"/>
      <c r="BE897" s="188"/>
      <c r="BF897" s="188"/>
      <c r="BG897" s="236"/>
    </row>
    <row r="898" spans="48:59" x14ac:dyDescent="0.3">
      <c r="AX898" s="123"/>
      <c r="AY898" s="123"/>
      <c r="AZ898" s="188"/>
      <c r="BA898" s="188"/>
      <c r="BB898" s="188"/>
      <c r="BC898" s="236"/>
      <c r="BD898" s="188"/>
      <c r="BE898" s="188"/>
      <c r="BF898" s="188"/>
      <c r="BG898" s="236"/>
    </row>
    <row r="899" spans="48:59" x14ac:dyDescent="0.3">
      <c r="AX899" s="123"/>
      <c r="AY899" s="123"/>
      <c r="AZ899" s="188"/>
      <c r="BA899" s="188"/>
      <c r="BB899" s="188"/>
      <c r="BC899" s="236"/>
      <c r="BD899" s="188"/>
      <c r="BE899" s="188"/>
      <c r="BF899" s="188"/>
      <c r="BG899" s="236"/>
    </row>
    <row r="900" spans="48:59" x14ac:dyDescent="0.3">
      <c r="AX900" s="123"/>
      <c r="AY900" s="123"/>
      <c r="AZ900" s="188"/>
      <c r="BA900" s="188"/>
      <c r="BB900" s="188"/>
      <c r="BC900" s="236"/>
      <c r="BD900" s="188"/>
      <c r="BE900" s="188"/>
      <c r="BF900" s="188"/>
      <c r="BG900" s="236"/>
    </row>
    <row r="901" spans="48:59" x14ac:dyDescent="0.3">
      <c r="AX901" s="123"/>
      <c r="AY901" s="123"/>
      <c r="AZ901" s="188"/>
      <c r="BA901" s="188"/>
      <c r="BB901" s="188"/>
      <c r="BC901" s="236"/>
      <c r="BD901" s="188"/>
      <c r="BE901" s="188"/>
      <c r="BF901" s="188"/>
      <c r="BG901" s="236"/>
    </row>
    <row r="902" spans="48:59" x14ac:dyDescent="0.3">
      <c r="AX902" s="123"/>
      <c r="AY902" s="123"/>
      <c r="AZ902" s="188"/>
      <c r="BA902" s="188"/>
      <c r="BB902" s="188"/>
      <c r="BC902" s="236"/>
      <c r="BD902" s="188"/>
      <c r="BE902" s="188"/>
      <c r="BF902" s="188"/>
      <c r="BG902" s="236"/>
    </row>
    <row r="903" spans="48:59" x14ac:dyDescent="0.3">
      <c r="AX903" s="123"/>
      <c r="AY903" s="123"/>
      <c r="BD903" s="188"/>
    </row>
    <row r="904" spans="48:59" x14ac:dyDescent="0.3">
      <c r="AV904" s="42"/>
      <c r="AX904" s="123"/>
      <c r="AY904" s="123"/>
      <c r="AZ904" s="188"/>
      <c r="BA904" s="188"/>
      <c r="BB904" s="188"/>
      <c r="BC904" s="236"/>
      <c r="BD904" s="188"/>
      <c r="BE904" s="188"/>
      <c r="BF904" s="188"/>
      <c r="BG904" s="236"/>
    </row>
    <row r="905" spans="48:59" x14ac:dyDescent="0.3">
      <c r="AX905" s="123"/>
      <c r="AY905" s="123"/>
      <c r="AZ905" s="188"/>
      <c r="BA905" s="188"/>
      <c r="BB905" s="188"/>
      <c r="BC905" s="236"/>
      <c r="BD905" s="188"/>
      <c r="BE905" s="188"/>
      <c r="BF905" s="188"/>
      <c r="BG905" s="236"/>
    </row>
    <row r="906" spans="48:59" x14ac:dyDescent="0.3">
      <c r="AX906" s="123"/>
      <c r="AY906" s="123"/>
      <c r="AZ906" s="188"/>
      <c r="BA906" s="188"/>
      <c r="BB906" s="188"/>
      <c r="BC906" s="236"/>
      <c r="BD906" s="188"/>
      <c r="BE906" s="188"/>
      <c r="BF906" s="188"/>
      <c r="BG906" s="236"/>
    </row>
    <row r="907" spans="48:59" x14ac:dyDescent="0.3">
      <c r="AX907" s="123"/>
      <c r="AY907" s="123"/>
      <c r="AZ907" s="188"/>
      <c r="BA907" s="188"/>
      <c r="BB907" s="188"/>
      <c r="BC907" s="236"/>
      <c r="BD907" s="188"/>
      <c r="BE907" s="188"/>
      <c r="BF907" s="188"/>
      <c r="BG907" s="236"/>
    </row>
    <row r="908" spans="48:59" x14ac:dyDescent="0.3">
      <c r="AX908" s="123"/>
      <c r="AY908" s="123"/>
      <c r="AZ908" s="188"/>
      <c r="BA908" s="188"/>
      <c r="BB908" s="188"/>
      <c r="BC908" s="236"/>
      <c r="BD908" s="188"/>
      <c r="BE908" s="188"/>
      <c r="BF908" s="188"/>
      <c r="BG908" s="236"/>
    </row>
    <row r="909" spans="48:59" x14ac:dyDescent="0.3">
      <c r="AX909" s="123"/>
      <c r="AY909" s="123"/>
      <c r="AZ909" s="188"/>
      <c r="BA909" s="188"/>
      <c r="BB909" s="188"/>
      <c r="BC909" s="236"/>
      <c r="BD909" s="188"/>
      <c r="BE909" s="188"/>
      <c r="BF909" s="188"/>
      <c r="BG909" s="236"/>
    </row>
    <row r="910" spans="48:59" x14ac:dyDescent="0.3">
      <c r="AX910" s="123"/>
      <c r="AY910" s="123"/>
      <c r="AZ910" s="188"/>
      <c r="BA910" s="188"/>
      <c r="BB910" s="188"/>
      <c r="BC910" s="236"/>
      <c r="BD910" s="188"/>
      <c r="BE910" s="188"/>
      <c r="BF910" s="188"/>
      <c r="BG910" s="236"/>
    </row>
    <row r="911" spans="48:59" x14ac:dyDescent="0.3">
      <c r="AX911" s="123"/>
      <c r="AY911" s="123"/>
      <c r="AZ911" s="188"/>
      <c r="BA911" s="188"/>
      <c r="BB911" s="188"/>
      <c r="BC911" s="236"/>
      <c r="BD911" s="188"/>
      <c r="BE911" s="188"/>
      <c r="BF911" s="188"/>
      <c r="BG911" s="236"/>
    </row>
    <row r="912" spans="48:59" x14ac:dyDescent="0.3">
      <c r="AX912" s="123"/>
      <c r="AY912" s="123"/>
      <c r="AZ912" s="188"/>
      <c r="BA912" s="188"/>
      <c r="BB912" s="188"/>
      <c r="BC912" s="236"/>
      <c r="BD912" s="188"/>
      <c r="BE912" s="188"/>
      <c r="BF912" s="188"/>
      <c r="BG912" s="236"/>
    </row>
    <row r="913" spans="47:59" x14ac:dyDescent="0.3">
      <c r="AX913" s="123"/>
      <c r="AY913" s="123"/>
      <c r="AZ913" s="188"/>
      <c r="BA913" s="188"/>
      <c r="BB913" s="188"/>
      <c r="BC913" s="236"/>
      <c r="BD913" s="188"/>
      <c r="BE913" s="188"/>
      <c r="BF913" s="188"/>
      <c r="BG913" s="236"/>
    </row>
    <row r="915" spans="47:59" x14ac:dyDescent="0.3">
      <c r="AW915" s="42"/>
    </row>
    <row r="916" spans="47:59" x14ac:dyDescent="0.3">
      <c r="AW916" s="42"/>
    </row>
    <row r="917" spans="47:59" x14ac:dyDescent="0.3">
      <c r="AW917" s="42"/>
    </row>
    <row r="918" spans="47:59" x14ac:dyDescent="0.3">
      <c r="AU918" s="42"/>
    </row>
    <row r="939" spans="54:73" x14ac:dyDescent="0.3">
      <c r="BB939" s="188"/>
      <c r="BD939" s="188"/>
      <c r="BE939" s="188"/>
      <c r="BF939" s="188"/>
      <c r="BI939" s="188"/>
      <c r="BJ939" s="188"/>
      <c r="BK939" s="188"/>
      <c r="BL939" s="188"/>
      <c r="BM939" s="188"/>
      <c r="BN939" s="188"/>
      <c r="BO939" s="188"/>
      <c r="BP939" s="188"/>
      <c r="BQ939" s="188"/>
      <c r="BR939" s="188"/>
      <c r="BS939" s="188"/>
      <c r="BT939" s="188"/>
      <c r="BU939" s="188"/>
    </row>
    <row r="940" spans="54:73" x14ac:dyDescent="0.3">
      <c r="BB940" s="188"/>
      <c r="BD940" s="188"/>
      <c r="BE940" s="188"/>
      <c r="BF940" s="188"/>
      <c r="BI940" s="188"/>
      <c r="BJ940" s="188"/>
      <c r="BK940" s="188"/>
      <c r="BL940" s="188"/>
      <c r="BM940" s="188"/>
      <c r="BN940" s="188"/>
      <c r="BO940" s="188"/>
      <c r="BP940" s="188"/>
      <c r="BQ940" s="188"/>
      <c r="BR940" s="188"/>
      <c r="BS940" s="188"/>
      <c r="BT940" s="188"/>
      <c r="BU940" s="188"/>
    </row>
    <row r="941" spans="54:73" x14ac:dyDescent="0.3">
      <c r="BB941" s="188"/>
      <c r="BD941" s="188"/>
      <c r="BE941" s="188"/>
      <c r="BF941" s="188"/>
      <c r="BI941" s="188"/>
      <c r="BJ941" s="188"/>
      <c r="BK941" s="188"/>
      <c r="BL941" s="188"/>
      <c r="BM941" s="188"/>
      <c r="BN941" s="188"/>
      <c r="BO941" s="188"/>
      <c r="BP941" s="188"/>
      <c r="BQ941" s="188"/>
      <c r="BR941" s="188"/>
      <c r="BS941" s="188"/>
      <c r="BT941" s="188"/>
      <c r="BU941" s="188"/>
    </row>
    <row r="942" spans="54:73" x14ac:dyDescent="0.3">
      <c r="BB942" s="188"/>
      <c r="BD942" s="188"/>
      <c r="BE942" s="188"/>
      <c r="BF942" s="188"/>
      <c r="BI942" s="188"/>
      <c r="BJ942" s="188"/>
      <c r="BK942" s="188"/>
      <c r="BL942" s="188"/>
      <c r="BM942" s="188"/>
      <c r="BN942" s="188"/>
      <c r="BO942" s="188"/>
      <c r="BP942" s="188"/>
      <c r="BQ942" s="188"/>
      <c r="BR942" s="188"/>
      <c r="BS942" s="188"/>
      <c r="BT942" s="188"/>
      <c r="BU942" s="188"/>
    </row>
    <row r="943" spans="54:73" x14ac:dyDescent="0.3">
      <c r="BB943" s="188"/>
      <c r="BD943" s="188"/>
      <c r="BE943" s="188"/>
      <c r="BF943" s="188"/>
      <c r="BI943" s="188"/>
      <c r="BJ943" s="188"/>
      <c r="BK943" s="188"/>
      <c r="BL943" s="188"/>
      <c r="BM943" s="188"/>
      <c r="BN943" s="188"/>
      <c r="BO943" s="188"/>
      <c r="BP943" s="188"/>
      <c r="BQ943" s="188"/>
      <c r="BR943" s="188"/>
      <c r="BS943" s="188"/>
      <c r="BT943" s="188"/>
      <c r="BU943" s="188"/>
    </row>
    <row r="944" spans="54:73" x14ac:dyDescent="0.3">
      <c r="BB944" s="188"/>
      <c r="BD944" s="188"/>
      <c r="BE944" s="188"/>
      <c r="BF944" s="188"/>
      <c r="BI944" s="188"/>
      <c r="BJ944" s="188"/>
      <c r="BK944" s="188"/>
      <c r="BL944" s="188"/>
      <c r="BM944" s="188"/>
      <c r="BN944" s="188"/>
      <c r="BO944" s="188"/>
      <c r="BP944" s="188"/>
      <c r="BQ944" s="188"/>
      <c r="BR944" s="188"/>
      <c r="BS944" s="188"/>
      <c r="BT944" s="188"/>
      <c r="BU944" s="188"/>
    </row>
    <row r="945" spans="54:73" x14ac:dyDescent="0.3">
      <c r="BB945" s="188"/>
      <c r="BD945" s="188"/>
      <c r="BE945" s="188"/>
      <c r="BF945" s="188"/>
      <c r="BI945" s="188"/>
      <c r="BJ945" s="188"/>
      <c r="BK945" s="188"/>
      <c r="BL945" s="188"/>
      <c r="BM945" s="188"/>
      <c r="BN945" s="188"/>
      <c r="BO945" s="188"/>
      <c r="BP945" s="188"/>
      <c r="BQ945" s="188"/>
      <c r="BR945" s="188"/>
      <c r="BS945" s="188"/>
      <c r="BT945" s="188"/>
      <c r="BU945" s="188"/>
    </row>
    <row r="946" spans="54:73" x14ac:dyDescent="0.3">
      <c r="BB946" s="188"/>
      <c r="BD946" s="188"/>
      <c r="BE946" s="188"/>
      <c r="BF946" s="188"/>
      <c r="BI946" s="188"/>
      <c r="BJ946" s="188"/>
      <c r="BK946" s="188"/>
      <c r="BL946" s="188"/>
      <c r="BM946" s="188"/>
      <c r="BN946" s="188"/>
      <c r="BO946" s="188"/>
      <c r="BP946" s="188"/>
      <c r="BQ946" s="188"/>
      <c r="BR946" s="188"/>
      <c r="BS946" s="188"/>
      <c r="BT946" s="188"/>
      <c r="BU946" s="188"/>
    </row>
    <row r="947" spans="54:73" x14ac:dyDescent="0.3">
      <c r="BB947" s="188"/>
      <c r="BD947" s="188"/>
      <c r="BE947" s="188"/>
      <c r="BF947" s="188"/>
      <c r="BI947" s="188"/>
      <c r="BJ947" s="188"/>
      <c r="BK947" s="188"/>
      <c r="BL947" s="188"/>
      <c r="BM947" s="188"/>
      <c r="BN947" s="188"/>
      <c r="BO947" s="188"/>
      <c r="BP947" s="188"/>
      <c r="BQ947" s="188"/>
      <c r="BR947" s="188"/>
      <c r="BS947" s="188"/>
      <c r="BT947" s="188"/>
      <c r="BU947" s="188"/>
    </row>
    <row r="948" spans="54:73" x14ac:dyDescent="0.3">
      <c r="BB948" s="188"/>
      <c r="BD948" s="188"/>
      <c r="BE948" s="188"/>
      <c r="BF948" s="188"/>
      <c r="BI948" s="188"/>
      <c r="BJ948" s="188"/>
      <c r="BK948" s="188"/>
      <c r="BL948" s="188"/>
      <c r="BM948" s="188"/>
      <c r="BN948" s="188"/>
      <c r="BO948" s="188"/>
      <c r="BP948" s="188"/>
      <c r="BQ948" s="188"/>
      <c r="BR948" s="188"/>
      <c r="BS948" s="188"/>
      <c r="BT948" s="188"/>
      <c r="BU948" s="188"/>
    </row>
    <row r="949" spans="54:73" x14ac:dyDescent="0.3">
      <c r="BB949" s="188"/>
      <c r="BD949" s="188"/>
      <c r="BE949" s="188"/>
      <c r="BF949" s="188"/>
      <c r="BI949" s="188"/>
      <c r="BJ949" s="188"/>
      <c r="BK949" s="188"/>
      <c r="BL949" s="188"/>
      <c r="BM949" s="188"/>
      <c r="BN949" s="188"/>
      <c r="BO949" s="188"/>
      <c r="BP949" s="188"/>
      <c r="BQ949" s="188"/>
      <c r="BR949" s="188"/>
      <c r="BS949" s="188"/>
      <c r="BT949" s="188"/>
      <c r="BU949" s="188"/>
    </row>
    <row r="950" spans="54:73" x14ac:dyDescent="0.3">
      <c r="BB950" s="188"/>
      <c r="BD950" s="188"/>
      <c r="BE950" s="188"/>
      <c r="BF950" s="188"/>
      <c r="BI950" s="188"/>
      <c r="BJ950" s="188"/>
      <c r="BK950" s="188"/>
      <c r="BL950" s="188"/>
      <c r="BM950" s="188"/>
      <c r="BN950" s="188"/>
      <c r="BO950" s="188"/>
      <c r="BP950" s="188"/>
      <c r="BQ950" s="188"/>
      <c r="BR950" s="188"/>
      <c r="BS950" s="188"/>
      <c r="BT950" s="188"/>
      <c r="BU950" s="188"/>
    </row>
    <row r="951" spans="54:73" x14ac:dyDescent="0.3">
      <c r="BB951" s="188"/>
      <c r="BI951" s="188"/>
      <c r="BJ951" s="188"/>
      <c r="BK951" s="188"/>
      <c r="BL951" s="188"/>
      <c r="BM951" s="188"/>
      <c r="BN951" s="188"/>
      <c r="BO951" s="188"/>
      <c r="BP951" s="188"/>
      <c r="BQ951" s="188"/>
      <c r="BR951" s="188"/>
      <c r="BS951" s="188"/>
      <c r="BT951" s="188"/>
      <c r="BU951" s="188"/>
    </row>
    <row r="952" spans="54:73" x14ac:dyDescent="0.3">
      <c r="BB952" s="188"/>
      <c r="BI952" s="188"/>
      <c r="BJ952" s="188"/>
      <c r="BK952" s="188"/>
      <c r="BL952" s="188"/>
      <c r="BM952" s="188"/>
      <c r="BN952" s="188"/>
      <c r="BO952" s="188"/>
      <c r="BP952" s="188"/>
      <c r="BQ952" s="188"/>
      <c r="BR952" s="188"/>
      <c r="BS952" s="188"/>
      <c r="BT952" s="188"/>
      <c r="BU952" s="188"/>
    </row>
    <row r="953" spans="54:73" x14ac:dyDescent="0.3">
      <c r="BB953" s="188"/>
      <c r="BI953" s="188"/>
      <c r="BJ953" s="188"/>
      <c r="BK953" s="188"/>
      <c r="BL953" s="188"/>
      <c r="BM953" s="188"/>
      <c r="BN953" s="188"/>
      <c r="BO953" s="188"/>
      <c r="BP953" s="188"/>
      <c r="BQ953" s="188"/>
      <c r="BR953" s="188"/>
      <c r="BS953" s="188"/>
      <c r="BT953" s="188"/>
      <c r="BU953" s="188"/>
    </row>
    <row r="954" spans="54:73" x14ac:dyDescent="0.3">
      <c r="BB954" s="188"/>
      <c r="BI954" s="188"/>
      <c r="BJ954" s="188"/>
      <c r="BK954" s="188"/>
      <c r="BL954" s="188"/>
      <c r="BM954" s="188"/>
      <c r="BN954" s="188"/>
      <c r="BO954" s="188"/>
      <c r="BP954" s="188"/>
      <c r="BQ954" s="188"/>
      <c r="BR954" s="188"/>
      <c r="BS954" s="188"/>
      <c r="BT954" s="188"/>
      <c r="BU954" s="188"/>
    </row>
    <row r="955" spans="54:73" x14ac:dyDescent="0.3">
      <c r="BB955" s="188"/>
      <c r="BI955" s="188"/>
      <c r="BJ955" s="188"/>
      <c r="BK955" s="188"/>
      <c r="BL955" s="188"/>
      <c r="BM955" s="188"/>
      <c r="BN955" s="188"/>
      <c r="BO955" s="188"/>
      <c r="BP955" s="188"/>
      <c r="BQ955" s="188"/>
      <c r="BR955" s="188"/>
      <c r="BS955" s="188"/>
      <c r="BT955" s="188"/>
      <c r="BU955" s="188"/>
    </row>
    <row r="956" spans="54:73" x14ac:dyDescent="0.3">
      <c r="BB956" s="188"/>
      <c r="BI956" s="188"/>
      <c r="BJ956" s="188"/>
      <c r="BK956" s="188"/>
      <c r="BL956" s="188"/>
      <c r="BM956" s="188"/>
      <c r="BN956" s="188"/>
      <c r="BO956" s="188"/>
      <c r="BP956" s="188"/>
      <c r="BQ956" s="188"/>
      <c r="BR956" s="188"/>
      <c r="BS956" s="188"/>
      <c r="BT956" s="188"/>
      <c r="BU956" s="188"/>
    </row>
    <row r="957" spans="54:73" x14ac:dyDescent="0.3">
      <c r="BB957" s="188"/>
      <c r="BI957" s="188"/>
      <c r="BJ957" s="188"/>
      <c r="BK957" s="188"/>
      <c r="BL957" s="188"/>
      <c r="BM957" s="188"/>
      <c r="BN957" s="188"/>
      <c r="BO957" s="188"/>
      <c r="BP957" s="188"/>
      <c r="BQ957" s="188"/>
      <c r="BR957" s="188"/>
      <c r="BS957" s="188"/>
      <c r="BT957" s="188"/>
      <c r="BU957" s="188"/>
    </row>
    <row r="958" spans="54:73" x14ac:dyDescent="0.3">
      <c r="BB958" s="188"/>
    </row>
    <row r="959" spans="54:73" x14ac:dyDescent="0.3">
      <c r="BB959" s="188"/>
    </row>
    <row r="973" spans="1:27" x14ac:dyDescent="0.3">
      <c r="A973" s="42"/>
    </row>
    <row r="976" spans="1:27" x14ac:dyDescent="0.3">
      <c r="AA976" s="42"/>
    </row>
    <row r="977" spans="1:30" x14ac:dyDescent="0.3">
      <c r="A977" s="42"/>
      <c r="H977" s="42"/>
      <c r="I977" s="42"/>
    </row>
    <row r="978" spans="1:30" x14ac:dyDescent="0.3">
      <c r="A978" s="42"/>
      <c r="V978" s="44"/>
      <c r="AC978" s="44"/>
      <c r="AD978" s="44"/>
    </row>
    <row r="979" spans="1:30" x14ac:dyDescent="0.3">
      <c r="A979" s="42"/>
      <c r="V979" s="135"/>
      <c r="AC979" s="135"/>
      <c r="AD979" s="135"/>
    </row>
    <row r="980" spans="1:30" x14ac:dyDescent="0.3">
      <c r="A980" s="42"/>
      <c r="U980" s="42"/>
      <c r="AC980" s="44"/>
      <c r="AD980" s="44"/>
    </row>
    <row r="981" spans="1:30" x14ac:dyDescent="0.3">
      <c r="A981" s="42"/>
    </row>
    <row r="982" spans="1:30" x14ac:dyDescent="0.3">
      <c r="A982" s="42"/>
      <c r="U982" s="42"/>
      <c r="AC982" s="44"/>
      <c r="AD982" s="44"/>
    </row>
    <row r="983" spans="1:30" x14ac:dyDescent="0.3">
      <c r="A983" s="42"/>
    </row>
    <row r="984" spans="1:30" x14ac:dyDescent="0.3">
      <c r="A984" s="42"/>
      <c r="U984" s="42"/>
      <c r="V984" s="247"/>
      <c r="AC984" s="44"/>
      <c r="AD984" s="44"/>
    </row>
    <row r="985" spans="1:30" x14ac:dyDescent="0.3">
      <c r="A985" s="42"/>
    </row>
    <row r="986" spans="1:30" x14ac:dyDescent="0.3">
      <c r="A986" s="42"/>
      <c r="U986" s="42"/>
      <c r="AC986" s="44"/>
      <c r="AD986" s="44"/>
    </row>
    <row r="987" spans="1:30" x14ac:dyDescent="0.3">
      <c r="A987" s="42"/>
    </row>
    <row r="988" spans="1:30" x14ac:dyDescent="0.3">
      <c r="A988" s="42"/>
      <c r="U988" s="42"/>
      <c r="AC988" s="44"/>
      <c r="AD988" s="44"/>
    </row>
    <row r="989" spans="1:30" x14ac:dyDescent="0.3">
      <c r="A989" s="42"/>
    </row>
    <row r="990" spans="1:30" x14ac:dyDescent="0.3">
      <c r="A990" s="42"/>
    </row>
    <row r="991" spans="1:30" x14ac:dyDescent="0.3">
      <c r="A991" s="42"/>
    </row>
    <row r="992" spans="1:30" x14ac:dyDescent="0.3">
      <c r="A992" s="42"/>
    </row>
    <row r="993" spans="1:9" x14ac:dyDescent="0.3">
      <c r="A993" s="42"/>
    </row>
    <row r="994" spans="1:9" x14ac:dyDescent="0.3">
      <c r="A994" s="42"/>
    </row>
    <row r="995" spans="1:9" x14ac:dyDescent="0.3">
      <c r="A995" s="42"/>
    </row>
    <row r="996" spans="1:9" x14ac:dyDescent="0.3">
      <c r="A996" s="42"/>
    </row>
    <row r="997" spans="1:9" x14ac:dyDescent="0.3">
      <c r="A997" s="42"/>
    </row>
    <row r="998" spans="1:9" x14ac:dyDescent="0.3">
      <c r="A998" s="42"/>
    </row>
    <row r="999" spans="1:9" x14ac:dyDescent="0.3">
      <c r="A999" s="42"/>
      <c r="H999" s="42"/>
      <c r="I999" s="42"/>
    </row>
    <row r="1002" spans="1:9" x14ac:dyDescent="0.3">
      <c r="A1002" s="42"/>
    </row>
    <row r="1005" spans="1:9" x14ac:dyDescent="0.3">
      <c r="A1005" s="42"/>
    </row>
    <row r="1008" spans="1:9" x14ac:dyDescent="0.3">
      <c r="A1008" s="42"/>
    </row>
    <row r="1009" spans="1:1" x14ac:dyDescent="0.3">
      <c r="A1009" s="42"/>
    </row>
    <row r="1010" spans="1:1" x14ac:dyDescent="0.3">
      <c r="A1010" s="42"/>
    </row>
    <row r="1011" spans="1:1" x14ac:dyDescent="0.3">
      <c r="A1011" s="42"/>
    </row>
    <row r="1012" spans="1:1" x14ac:dyDescent="0.3">
      <c r="A1012" s="42"/>
    </row>
    <row r="1013" spans="1:1" x14ac:dyDescent="0.3">
      <c r="A1013" s="42"/>
    </row>
    <row r="1014" spans="1:1" x14ac:dyDescent="0.3">
      <c r="A1014" s="42"/>
    </row>
    <row r="1015" spans="1:1" x14ac:dyDescent="0.3">
      <c r="A1015" s="42"/>
    </row>
    <row r="1016" spans="1:1" x14ac:dyDescent="0.3">
      <c r="A1016" s="42"/>
    </row>
    <row r="1017" spans="1:1" x14ac:dyDescent="0.3">
      <c r="A1017" s="42"/>
    </row>
    <row r="1018" spans="1:1" x14ac:dyDescent="0.3">
      <c r="A1018" s="42"/>
    </row>
    <row r="1019" spans="1:1" x14ac:dyDescent="0.3">
      <c r="A1019" s="42"/>
    </row>
    <row r="1020" spans="1:1" x14ac:dyDescent="0.3">
      <c r="A1020" s="42"/>
    </row>
    <row r="1021" spans="1:1" x14ac:dyDescent="0.3">
      <c r="A1021" s="42"/>
    </row>
    <row r="1022" spans="1:1" x14ac:dyDescent="0.3">
      <c r="A1022" s="42"/>
    </row>
    <row r="1023" spans="1:1" x14ac:dyDescent="0.3">
      <c r="A1023" s="42"/>
    </row>
    <row r="1024" spans="1:1" x14ac:dyDescent="0.3">
      <c r="A1024" s="42"/>
    </row>
    <row r="1025" spans="1:1" x14ac:dyDescent="0.3">
      <c r="A1025" s="42"/>
    </row>
    <row r="1026" spans="1:1" x14ac:dyDescent="0.3">
      <c r="A1026" s="42"/>
    </row>
    <row r="1027" spans="1:1" x14ac:dyDescent="0.3">
      <c r="A1027" s="42"/>
    </row>
    <row r="1028" spans="1:1" x14ac:dyDescent="0.3">
      <c r="A1028" s="42"/>
    </row>
    <row r="1029" spans="1:1" x14ac:dyDescent="0.3">
      <c r="A1029" s="42"/>
    </row>
    <row r="1030" spans="1:1" x14ac:dyDescent="0.3">
      <c r="A1030" s="42"/>
    </row>
    <row r="1031" spans="1:1" x14ac:dyDescent="0.3">
      <c r="A1031" s="42"/>
    </row>
    <row r="1032" spans="1:1" x14ac:dyDescent="0.3">
      <c r="A1032" s="42"/>
    </row>
    <row r="1033" spans="1:1" x14ac:dyDescent="0.3">
      <c r="A1033" s="42"/>
    </row>
    <row r="1034" spans="1:1" x14ac:dyDescent="0.3">
      <c r="A1034" s="42"/>
    </row>
    <row r="1035" spans="1:1" x14ac:dyDescent="0.3">
      <c r="A1035" s="42"/>
    </row>
    <row r="1036" spans="1:1" x14ac:dyDescent="0.3">
      <c r="A1036" s="42"/>
    </row>
    <row r="1037" spans="1:1" x14ac:dyDescent="0.3">
      <c r="A1037" s="42"/>
    </row>
    <row r="1038" spans="1:1" x14ac:dyDescent="0.3">
      <c r="A1038" s="42"/>
    </row>
    <row r="1039" spans="1:1" x14ac:dyDescent="0.3">
      <c r="A1039" s="42"/>
    </row>
    <row r="1040" spans="1:1" x14ac:dyDescent="0.3">
      <c r="A1040" s="42"/>
    </row>
    <row r="1041" spans="1:1" x14ac:dyDescent="0.3">
      <c r="A1041" s="42"/>
    </row>
    <row r="1042" spans="1:1" x14ac:dyDescent="0.3">
      <c r="A1042" s="42"/>
    </row>
    <row r="1047" spans="1:1" x14ac:dyDescent="0.3">
      <c r="A1047" s="42"/>
    </row>
    <row r="1048" spans="1:1" x14ac:dyDescent="0.3">
      <c r="A1048" s="42"/>
    </row>
    <row r="1051" spans="1:1" x14ac:dyDescent="0.3">
      <c r="A1051" s="42"/>
    </row>
    <row r="1053" spans="1:1" x14ac:dyDescent="0.3">
      <c r="A1053" s="42"/>
    </row>
    <row r="1055" spans="1:1" x14ac:dyDescent="0.3">
      <c r="A1055" s="42"/>
    </row>
    <row r="1057" spans="1:1" x14ac:dyDescent="0.3">
      <c r="A1057" s="42"/>
    </row>
    <row r="1060" spans="1:1" x14ac:dyDescent="0.3">
      <c r="A1060" s="42"/>
    </row>
    <row r="1061" spans="1:1" x14ac:dyDescent="0.3">
      <c r="A1061" s="42"/>
    </row>
    <row r="1062" spans="1:1" x14ac:dyDescent="0.3">
      <c r="A1062" s="42"/>
    </row>
    <row r="1063" spans="1:1" x14ac:dyDescent="0.3">
      <c r="A1063" s="42"/>
    </row>
    <row r="1064" spans="1:1" x14ac:dyDescent="0.3">
      <c r="A1064" s="42"/>
    </row>
    <row r="1065" spans="1:1" x14ac:dyDescent="0.3">
      <c r="A1065" s="42"/>
    </row>
    <row r="1066" spans="1:1" x14ac:dyDescent="0.3">
      <c r="A1066" s="42"/>
    </row>
    <row r="1067" spans="1:1" x14ac:dyDescent="0.3">
      <c r="A1067" s="42"/>
    </row>
  </sheetData>
  <customSheetViews>
    <customSheetView guid="{195DF303-1BBD-4236-94B5-47432850B006}" scale="75" fitToPage="1" showRuler="0"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1"/>
      <headerFooter alignWithMargins="0"/>
    </customSheetView>
    <customSheetView guid="{0C49E549-011E-46F4-A82E-2CC8951A9C1E}" scale="75" fitToPage="1" showRuler="0" topLeftCell="S1">
      <selection activeCell="AE16" sqref="AE1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2"/>
      <headerFooter alignWithMargins="0"/>
    </customSheetView>
    <customSheetView guid="{4BC93440-BA85-4935-A8C9-66DC6AE5DE5E}" scale="75" fitToPage="1" showRuler="0" topLeftCell="T268">
      <selection activeCell="AC284" sqref="AC28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3"/>
      <headerFooter alignWithMargins="0"/>
    </customSheetView>
    <customSheetView guid="{2431C9E5-7CC2-4B8D-99C3-962247B1DBF5}" scale="75" fitToPage="1" showRuler="0" topLeftCell="T268">
      <selection activeCell="AC284" sqref="AC28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4"/>
      <headerFooter alignWithMargins="0"/>
    </customSheetView>
    <customSheetView guid="{2EA35095-1ADC-4CC7-8C3C-B487D65FA247}" scale="75" fitToPage="1" showRuler="0" topLeftCell="T228">
      <selection activeCell="T228" sqref="T228:AQ310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5"/>
      <headerFooter alignWithMargins="0"/>
    </customSheetView>
    <customSheetView guid="{8FC77C99-DBF7-40B8-99B8-01B75826CDCB}" scale="75" fitToPage="1" showRuler="0" topLeftCell="S1">
      <selection activeCell="AE16" sqref="AE1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6"/>
      <headerFooter alignWithMargins="0"/>
    </customSheetView>
    <customSheetView guid="{8FB94551-8874-4095-B8FB-5316E0D2FD2C}" scale="75" fitToPage="1" showRuler="0"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8"/>
      <headerFooter alignWithMargins="0"/>
    </customSheetView>
    <customSheetView guid="{0BC1F393-8A13-47D5-BC6C-0C99615B5AB9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9"/>
      <headerFooter alignWithMargins="0"/>
    </customSheetView>
    <customSheetView guid="{18BDED73-BFA0-442E-87EC-CED86EE4CF94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10"/>
      <headerFooter alignWithMargins="0"/>
    </customSheetView>
    <customSheetView guid="{35F19056-2E6F-4935-B863-78836FE990BF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11"/>
      <headerFooter alignWithMargins="0"/>
    </customSheetView>
    <customSheetView guid="{F562D92E-120C-4AE9-9663-89E64D41DC53}" scale="75" fitToPage="1" topLeftCell="X187">
      <selection activeCell="P146" sqref="P14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12"/>
      <headerFooter alignWithMargins="0"/>
    </customSheetView>
  </customSheetViews>
  <mergeCells count="2">
    <mergeCell ref="T155:AQ155"/>
    <mergeCell ref="T224:AQ224"/>
  </mergeCells>
  <phoneticPr fontId="11" type="noConversion"/>
  <printOptions horizontalCentered="1"/>
  <pageMargins left="0.5" right="0.5" top="1" bottom="0.5" header="0" footer="0"/>
  <pageSetup scale="40" orientation="landscape" r:id="rId13"/>
  <headerFooter alignWithMargins="0"/>
  <rowBreaks count="2" manualBreakCount="2">
    <brk id="69" max="17" man="1"/>
    <brk id="91" max="17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syncVertical="1" syncRef="A1" transitionEvaluation="1" transitionEntry="1" codeName="Sheet15">
    <pageSetUpPr fitToPage="1"/>
  </sheetPr>
  <dimension ref="A1:BX1063"/>
  <sheetViews>
    <sheetView zoomScale="75" workbookViewId="0"/>
  </sheetViews>
  <sheetFormatPr defaultColWidth="9.75" defaultRowHeight="15.6" x14ac:dyDescent="0.3"/>
  <cols>
    <col min="1" max="1" width="5.25" style="41" customWidth="1"/>
    <col min="2" max="2" width="0.4140625" style="41" customWidth="1"/>
    <col min="3" max="3" width="6.75" style="41" customWidth="1"/>
    <col min="4" max="4" width="38.9140625" style="41" customWidth="1"/>
    <col min="5" max="5" width="1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2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7" style="41" customWidth="1"/>
    <col min="19" max="19" width="6.75" style="41" customWidth="1"/>
    <col min="20" max="20" width="9.6640625" style="41" customWidth="1"/>
    <col min="21" max="21" width="0.58203125" style="41" customWidth="1"/>
    <col min="22" max="22" width="4.58203125" style="41" customWidth="1"/>
    <col min="23" max="23" width="43.33203125" style="41" customWidth="1"/>
    <col min="24" max="24" width="0.9140625" style="41" customWidth="1"/>
    <col min="25" max="25" width="10.2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1.6640625" style="41" customWidth="1"/>
    <col min="30" max="30" width="0.9140625" style="41" customWidth="1"/>
    <col min="31" max="31" width="12.9140625" style="41" customWidth="1"/>
    <col min="32" max="32" width="0.75" style="41" customWidth="1"/>
    <col min="33" max="33" width="13.6640625" style="165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165" customWidth="1"/>
    <col min="38" max="38" width="0.582031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165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</row>
    <row r="3" spans="1:40" x14ac:dyDescent="0.3">
      <c r="A3" s="40" t="str">
        <f>TITLE</f>
        <v>ANNUALIZED TEST YEAR REVENUES AT REHEARING ORDER CALCULATED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157</v>
      </c>
      <c r="AK6" s="206"/>
      <c r="AL6" s="42"/>
    </row>
    <row r="7" spans="1:40" x14ac:dyDescent="0.3">
      <c r="A7" s="41" t="str">
        <f>TYPE</f>
        <v>TYPE OF FILING: _X_ ORIGINAL   ___UPDATED  ___ REVISED</v>
      </c>
      <c r="R7" s="45" t="str">
        <f>"PAGE 15 OF "&amp;TEXT(Page_Num_2.3,"00")</f>
        <v>PAGE 15 OF 24</v>
      </c>
      <c r="AK7" s="206"/>
      <c r="AL7" s="42"/>
    </row>
    <row r="8" spans="1:40" x14ac:dyDescent="0.3">
      <c r="A8" s="42" t="s">
        <v>171</v>
      </c>
      <c r="R8" s="42" t="s">
        <v>3</v>
      </c>
      <c r="AK8" s="206"/>
      <c r="AL8" s="42"/>
    </row>
    <row r="9" spans="1:40" x14ac:dyDescent="0.3">
      <c r="A9" s="153" t="str">
        <f>TIME</f>
        <v>12 Months Projected with Riders</v>
      </c>
      <c r="N9" s="42"/>
      <c r="R9" s="41" t="str">
        <f>WIT</f>
        <v>B. L. Sailers</v>
      </c>
      <c r="Y9" s="44"/>
      <c r="AK9" s="206"/>
      <c r="AL9" s="42"/>
    </row>
    <row r="10" spans="1:40" x14ac:dyDescent="0.3">
      <c r="A10" s="40" t="s">
        <v>130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Y10" s="44"/>
      <c r="AA10" s="42"/>
      <c r="AB10" s="42"/>
    </row>
    <row r="11" spans="1:40" x14ac:dyDescent="0.3">
      <c r="A11" s="135"/>
      <c r="B11" s="135"/>
      <c r="C11" s="135"/>
      <c r="D11" s="135"/>
      <c r="E11" s="135"/>
      <c r="F11" s="135"/>
      <c r="H11" s="135"/>
      <c r="I11" s="135"/>
      <c r="J11" s="135"/>
      <c r="K11" s="135"/>
      <c r="L11" s="43"/>
      <c r="M11" s="43"/>
      <c r="N11" s="43"/>
      <c r="O11" s="43"/>
      <c r="P11" s="43"/>
      <c r="Q11" s="43"/>
      <c r="R11" s="43"/>
      <c r="S11" s="135"/>
      <c r="T11" s="135"/>
      <c r="U11" s="135"/>
      <c r="V11" s="135"/>
      <c r="W11" s="135"/>
      <c r="X11" s="135"/>
      <c r="Y11" s="44"/>
      <c r="Z11" s="135"/>
      <c r="AA11" s="135"/>
      <c r="AB11" s="135"/>
      <c r="AC11" s="135"/>
      <c r="AD11" s="135"/>
      <c r="AE11" s="135"/>
      <c r="AF11" s="135"/>
      <c r="AG11" s="207"/>
      <c r="AH11" s="135"/>
      <c r="AI11" s="135"/>
      <c r="AJ11" s="135"/>
      <c r="AK11" s="207"/>
      <c r="AL11" s="135"/>
      <c r="AM11" s="135"/>
      <c r="AN11" s="135"/>
    </row>
    <row r="12" spans="1:40" ht="18" customHeight="1" x14ac:dyDescent="0.3">
      <c r="A12" s="191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44" t="s">
        <v>6</v>
      </c>
      <c r="M12" s="44"/>
      <c r="N12" s="44" t="s">
        <v>7</v>
      </c>
      <c r="O12" s="44"/>
      <c r="R12" s="44" t="s">
        <v>6</v>
      </c>
      <c r="T12" s="210"/>
      <c r="AA12" s="44"/>
      <c r="AB12" s="44"/>
      <c r="AC12" s="44"/>
      <c r="AD12" s="44"/>
      <c r="AE12" s="44"/>
      <c r="AF12" s="44"/>
      <c r="AG12" s="168"/>
      <c r="AH12" s="44"/>
      <c r="AK12" s="168"/>
      <c r="AL12" s="44"/>
      <c r="AM12" s="44"/>
      <c r="AN12" s="44"/>
    </row>
    <row r="13" spans="1:40" x14ac:dyDescent="0.3">
      <c r="L13" s="44" t="s">
        <v>12</v>
      </c>
      <c r="M13" s="44"/>
      <c r="N13" s="44" t="s">
        <v>13</v>
      </c>
      <c r="O13" s="44"/>
      <c r="R13" s="44" t="s">
        <v>11</v>
      </c>
      <c r="T13" s="210"/>
      <c r="Z13" s="44"/>
      <c r="AA13" s="44"/>
      <c r="AB13" s="44"/>
      <c r="AC13" s="44"/>
      <c r="AD13" s="44"/>
      <c r="AE13" s="44"/>
      <c r="AF13" s="44"/>
      <c r="AG13" s="168"/>
      <c r="AH13" s="44"/>
      <c r="AK13" s="168"/>
      <c r="AL13" s="44"/>
      <c r="AM13" s="44"/>
      <c r="AN13" s="44"/>
    </row>
    <row r="14" spans="1:40" x14ac:dyDescent="0.3">
      <c r="A14" s="44" t="s">
        <v>17</v>
      </c>
      <c r="C14" s="44" t="s">
        <v>18</v>
      </c>
      <c r="D14" s="44" t="s">
        <v>19</v>
      </c>
      <c r="E14" s="44"/>
      <c r="F14" s="44" t="s">
        <v>20</v>
      </c>
      <c r="J14" s="44" t="s">
        <v>6</v>
      </c>
      <c r="K14" s="44"/>
      <c r="L14" s="44" t="s">
        <v>842</v>
      </c>
      <c r="M14" s="44"/>
      <c r="N14" s="44" t="s">
        <v>842</v>
      </c>
      <c r="O14" s="44"/>
      <c r="P14" s="44" t="s">
        <v>842</v>
      </c>
      <c r="Q14" s="44"/>
      <c r="R14" s="44" t="s">
        <v>9</v>
      </c>
      <c r="T14" s="238"/>
      <c r="V14" s="44"/>
      <c r="Z14" s="44"/>
      <c r="AA14" s="44"/>
      <c r="AB14" s="44"/>
      <c r="AC14" s="44"/>
      <c r="AD14" s="44"/>
      <c r="AE14" s="44"/>
      <c r="AF14" s="44"/>
      <c r="AG14" s="168"/>
      <c r="AH14" s="44"/>
      <c r="AI14" s="44"/>
      <c r="AJ14" s="44"/>
      <c r="AK14" s="168"/>
      <c r="AL14" s="44"/>
      <c r="AM14" s="44"/>
      <c r="AN14" s="44"/>
    </row>
    <row r="15" spans="1:40" x14ac:dyDescent="0.3">
      <c r="A15" s="44" t="s">
        <v>22</v>
      </c>
      <c r="C15" s="44" t="s">
        <v>23</v>
      </c>
      <c r="D15" s="44" t="s">
        <v>24</v>
      </c>
      <c r="E15" s="44"/>
      <c r="F15" s="44" t="s">
        <v>25</v>
      </c>
      <c r="H15" s="44" t="s">
        <v>26</v>
      </c>
      <c r="I15" s="44"/>
      <c r="J15" s="44" t="s">
        <v>27</v>
      </c>
      <c r="K15" s="44"/>
      <c r="L15" s="44" t="s">
        <v>9</v>
      </c>
      <c r="M15" s="44"/>
      <c r="N15" s="44" t="s">
        <v>9</v>
      </c>
      <c r="O15" s="44"/>
      <c r="P15" s="44" t="s">
        <v>324</v>
      </c>
      <c r="Q15" s="44"/>
      <c r="R15" s="141" t="s">
        <v>28</v>
      </c>
      <c r="T15" s="238"/>
      <c r="V15" s="44"/>
      <c r="Y15" s="44"/>
      <c r="Z15" s="44"/>
      <c r="AA15" s="44"/>
      <c r="AB15" s="44"/>
      <c r="AC15" s="44"/>
      <c r="AD15" s="44"/>
      <c r="AE15" s="44"/>
      <c r="AF15" s="44"/>
      <c r="AG15" s="168"/>
      <c r="AH15" s="44"/>
      <c r="AI15" s="44"/>
      <c r="AJ15" s="44"/>
      <c r="AK15" s="168"/>
      <c r="AL15" s="44"/>
      <c r="AM15" s="44"/>
      <c r="AN15" s="44"/>
    </row>
    <row r="16" spans="1:40" x14ac:dyDescent="0.3">
      <c r="C16" s="141" t="s">
        <v>33</v>
      </c>
      <c r="D16" s="141" t="s">
        <v>34</v>
      </c>
      <c r="E16" s="141"/>
      <c r="F16" s="141" t="s">
        <v>35</v>
      </c>
      <c r="G16" s="153"/>
      <c r="H16" s="141" t="s">
        <v>36</v>
      </c>
      <c r="I16" s="141"/>
      <c r="J16" s="141" t="s">
        <v>37</v>
      </c>
      <c r="K16" s="141"/>
      <c r="L16" s="141" t="s">
        <v>38</v>
      </c>
      <c r="M16" s="141"/>
      <c r="N16" s="141" t="s">
        <v>39</v>
      </c>
      <c r="O16" s="141"/>
      <c r="P16" s="141" t="s">
        <v>40</v>
      </c>
      <c r="Q16" s="141"/>
      <c r="R16" s="141" t="s">
        <v>41</v>
      </c>
      <c r="T16" s="238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207"/>
      <c r="AH16" s="135"/>
      <c r="AI16" s="135"/>
      <c r="AJ16" s="135"/>
      <c r="AK16" s="207"/>
      <c r="AL16" s="135"/>
      <c r="AM16" s="135"/>
      <c r="AN16" s="135"/>
    </row>
    <row r="17" spans="1:43" ht="17.100000000000001" customHeight="1" x14ac:dyDescent="0.3">
      <c r="A17" s="191"/>
      <c r="B17" s="191"/>
      <c r="C17" s="191"/>
      <c r="D17" s="191"/>
      <c r="E17" s="191"/>
      <c r="F17" s="191"/>
      <c r="G17" s="191"/>
      <c r="H17" s="271" t="s">
        <v>49</v>
      </c>
      <c r="I17" s="271"/>
      <c r="J17" s="270" t="s">
        <v>313</v>
      </c>
      <c r="K17" s="271"/>
      <c r="L17" s="271" t="s">
        <v>50</v>
      </c>
      <c r="M17" s="271"/>
      <c r="N17" s="271" t="s">
        <v>51</v>
      </c>
      <c r="O17" s="271"/>
      <c r="P17" s="271" t="s">
        <v>50</v>
      </c>
      <c r="Q17" s="271"/>
      <c r="R17" s="271" t="s">
        <v>50</v>
      </c>
      <c r="T17" s="238"/>
      <c r="U17" s="40"/>
      <c r="Y17" s="44"/>
      <c r="Z17" s="44"/>
      <c r="AA17" s="44"/>
      <c r="AB17" s="44"/>
      <c r="AC17" s="44"/>
      <c r="AD17" s="44"/>
      <c r="AE17" s="44"/>
      <c r="AF17" s="44"/>
      <c r="AG17" s="168"/>
      <c r="AH17" s="44"/>
      <c r="AI17" s="44"/>
      <c r="AJ17" s="44"/>
      <c r="AK17" s="168"/>
      <c r="AL17" s="44"/>
      <c r="AM17" s="44"/>
      <c r="AN17" s="44"/>
    </row>
    <row r="18" spans="1:43" x14ac:dyDescent="0.3">
      <c r="A18" s="41">
        <v>1</v>
      </c>
      <c r="C18" s="132" t="s">
        <v>81</v>
      </c>
      <c r="D18" s="132" t="s">
        <v>82</v>
      </c>
      <c r="E18" s="42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T18" s="238"/>
      <c r="U18" s="42"/>
    </row>
    <row r="19" spans="1:43" x14ac:dyDescent="0.3">
      <c r="A19" s="41">
        <v>2</v>
      </c>
      <c r="C19" s="153"/>
      <c r="D19" s="132" t="s">
        <v>83</v>
      </c>
      <c r="E19" s="42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T19" s="238"/>
      <c r="U19" s="40"/>
    </row>
    <row r="20" spans="1:43" x14ac:dyDescent="0.3"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238"/>
      <c r="U20" s="42"/>
    </row>
    <row r="21" spans="1:43" x14ac:dyDescent="0.3">
      <c r="A21" s="41">
        <v>3</v>
      </c>
      <c r="C21" s="132" t="s">
        <v>84</v>
      </c>
      <c r="D21" s="153"/>
      <c r="F21" s="3"/>
      <c r="G21" s="1"/>
      <c r="H21" s="1"/>
      <c r="I21" s="1"/>
      <c r="J21" s="261"/>
      <c r="K21" s="261"/>
      <c r="L21" s="3"/>
      <c r="M21" s="3"/>
      <c r="N21" s="1"/>
      <c r="O21" s="1"/>
      <c r="P21" s="1"/>
      <c r="Q21" s="1"/>
      <c r="R21" s="3"/>
      <c r="S21" s="123"/>
      <c r="V21" s="210"/>
      <c r="Y21" s="123"/>
      <c r="Z21" s="184"/>
      <c r="AA21" s="123"/>
      <c r="AB21" s="123"/>
      <c r="AC21" s="160"/>
      <c r="AD21" s="160"/>
      <c r="AE21" s="123"/>
      <c r="AF21" s="123"/>
      <c r="AI21" s="123"/>
      <c r="AJ21" s="123"/>
      <c r="AL21" s="123"/>
    </row>
    <row r="22" spans="1:43" x14ac:dyDescent="0.3">
      <c r="A22" s="41">
        <v>4</v>
      </c>
      <c r="C22" s="132" t="s">
        <v>376</v>
      </c>
      <c r="D22" s="153"/>
      <c r="F22" s="3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3"/>
      <c r="S22" s="123"/>
      <c r="V22" s="210"/>
      <c r="Y22" s="210"/>
      <c r="Z22" s="213"/>
      <c r="AA22" s="210"/>
      <c r="AB22" s="210"/>
      <c r="AC22" s="210"/>
      <c r="AD22" s="210"/>
      <c r="AE22" s="210"/>
      <c r="AF22" s="210"/>
      <c r="AI22" s="210"/>
      <c r="AJ22" s="210"/>
      <c r="AK22" s="214"/>
      <c r="AL22" s="210"/>
      <c r="AM22" s="160"/>
      <c r="AN22" s="160"/>
    </row>
    <row r="23" spans="1:43" x14ac:dyDescent="0.3"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23"/>
      <c r="V23" s="184"/>
      <c r="Y23" s="184"/>
      <c r="Z23" s="213"/>
      <c r="AA23" s="123"/>
      <c r="AB23" s="123"/>
      <c r="AC23" s="160"/>
      <c r="AD23" s="160"/>
      <c r="AE23" s="123"/>
      <c r="AF23" s="123"/>
      <c r="AI23" s="123"/>
      <c r="AJ23" s="123"/>
      <c r="AL23" s="123"/>
      <c r="AM23" s="160"/>
      <c r="AN23" s="160"/>
    </row>
    <row r="24" spans="1:43" x14ac:dyDescent="0.3">
      <c r="A24" s="41">
        <v>5</v>
      </c>
      <c r="C24" s="42" t="s">
        <v>85</v>
      </c>
      <c r="F24" s="184">
        <v>1560</v>
      </c>
      <c r="G24" s="1"/>
      <c r="H24" s="184">
        <v>1436827.8010000002</v>
      </c>
      <c r="I24" s="159"/>
      <c r="J24" s="205">
        <v>7.6809000000000002E-2</v>
      </c>
      <c r="K24" s="248"/>
      <c r="L24" s="3">
        <f>ROUND((H24*J24),0)</f>
        <v>110361</v>
      </c>
      <c r="M24" s="3"/>
      <c r="N24" s="4">
        <f>ROUND((L24/L$34)*100,1)</f>
        <v>96.5</v>
      </c>
      <c r="O24" s="4"/>
      <c r="P24" s="3">
        <f>ROUND($P$34/$H$34*H24,0)</f>
        <v>5011</v>
      </c>
      <c r="Q24" s="3"/>
      <c r="R24" s="3">
        <f>L24+P24</f>
        <v>115372</v>
      </c>
      <c r="S24" s="323"/>
      <c r="T24" s="1"/>
      <c r="V24" s="210"/>
      <c r="Y24" s="184"/>
      <c r="Z24" s="213"/>
      <c r="AA24" s="210"/>
      <c r="AB24" s="210"/>
      <c r="AC24" s="210"/>
      <c r="AD24" s="210"/>
      <c r="AE24" s="210"/>
      <c r="AF24" s="210"/>
      <c r="AI24" s="210"/>
      <c r="AJ24" s="210"/>
      <c r="AK24" s="214"/>
      <c r="AL24" s="210"/>
      <c r="AM24" s="160"/>
      <c r="AN24" s="160"/>
    </row>
    <row r="25" spans="1:43" x14ac:dyDescent="0.3">
      <c r="F25" s="3"/>
      <c r="G25" s="1"/>
      <c r="H25" s="3"/>
      <c r="I25" s="3"/>
      <c r="J25" s="217"/>
      <c r="K25" s="7"/>
      <c r="L25" s="3"/>
      <c r="M25" s="3"/>
      <c r="N25" s="1"/>
      <c r="O25" s="1"/>
      <c r="P25" s="3"/>
      <c r="Q25" s="3"/>
      <c r="R25" s="3"/>
      <c r="S25" s="123"/>
      <c r="T25" s="42"/>
      <c r="AA25" s="123"/>
      <c r="AB25" s="123"/>
      <c r="AC25" s="123"/>
      <c r="AD25" s="123"/>
      <c r="AI25" s="123"/>
      <c r="AJ25" s="123"/>
      <c r="AL25" s="123"/>
    </row>
    <row r="26" spans="1:43" x14ac:dyDescent="0.3">
      <c r="A26" s="41">
        <v>16</v>
      </c>
      <c r="C26" s="42"/>
      <c r="F26" s="197"/>
      <c r="G26" s="1"/>
      <c r="H26" s="197"/>
      <c r="I26" s="159"/>
      <c r="J26" s="205"/>
      <c r="K26" s="248"/>
      <c r="L26" s="49"/>
      <c r="M26" s="3"/>
      <c r="N26" s="253"/>
      <c r="O26" s="4"/>
      <c r="P26" s="49"/>
      <c r="Q26" s="3"/>
      <c r="R26" s="49"/>
      <c r="S26" s="323"/>
      <c r="T26" s="1"/>
      <c r="U26" s="40"/>
      <c r="V26" s="40"/>
      <c r="W26" s="40"/>
      <c r="X26" s="40"/>
      <c r="Y26" s="184"/>
      <c r="Z26" s="40"/>
      <c r="AA26" s="40"/>
      <c r="AB26" s="40"/>
      <c r="AC26" s="40"/>
      <c r="AD26" s="40"/>
      <c r="AE26" s="40"/>
      <c r="AF26" s="40"/>
      <c r="AG26" s="166"/>
      <c r="AH26" s="40"/>
      <c r="AI26" s="40"/>
      <c r="AJ26" s="40"/>
      <c r="AK26" s="166"/>
      <c r="AL26" s="40"/>
      <c r="AM26" s="40"/>
      <c r="AN26" s="40"/>
      <c r="AO26" s="40"/>
      <c r="AP26" s="40"/>
      <c r="AQ26" s="166"/>
    </row>
    <row r="27" spans="1:43" ht="20.100000000000001" customHeight="1" x14ac:dyDescent="0.3">
      <c r="A27" s="41">
        <v>17</v>
      </c>
      <c r="C27" s="178" t="s">
        <v>466</v>
      </c>
      <c r="F27" s="262">
        <f>F24</f>
        <v>1560</v>
      </c>
      <c r="G27" s="1"/>
      <c r="H27" s="262">
        <f>H24</f>
        <v>1436827.8010000002</v>
      </c>
      <c r="I27" s="159"/>
      <c r="J27" s="205"/>
      <c r="K27" s="248"/>
      <c r="L27" s="262">
        <f>L24</f>
        <v>110361</v>
      </c>
      <c r="M27" s="3"/>
      <c r="N27" s="211">
        <f>ROUND((L27/L$34)*100,1)</f>
        <v>96.5</v>
      </c>
      <c r="O27" s="4"/>
      <c r="P27" s="262">
        <f>P24</f>
        <v>5011</v>
      </c>
      <c r="Q27" s="3"/>
      <c r="R27" s="262">
        <f>R24</f>
        <v>115372</v>
      </c>
      <c r="S27" s="323"/>
      <c r="T27" s="1"/>
      <c r="U27" s="40"/>
      <c r="V27" s="40"/>
      <c r="W27" s="40"/>
      <c r="X27" s="40"/>
      <c r="Y27" s="324"/>
      <c r="Z27" s="40"/>
      <c r="AA27" s="40"/>
      <c r="AB27" s="40"/>
      <c r="AC27" s="40"/>
      <c r="AD27" s="40"/>
      <c r="AE27" s="40"/>
      <c r="AF27" s="40"/>
      <c r="AG27" s="166"/>
      <c r="AH27" s="40"/>
      <c r="AI27" s="40"/>
      <c r="AJ27" s="40"/>
      <c r="AK27" s="166"/>
      <c r="AL27" s="40"/>
      <c r="AM27" s="40"/>
      <c r="AN27" s="40"/>
      <c r="AO27" s="40"/>
      <c r="AP27" s="40"/>
      <c r="AQ27" s="166"/>
    </row>
    <row r="28" spans="1:43" ht="15.75" customHeight="1" x14ac:dyDescent="0.3">
      <c r="C28" s="178"/>
      <c r="F28" s="184"/>
      <c r="G28" s="1"/>
      <c r="H28" s="184"/>
      <c r="I28" s="159"/>
      <c r="J28" s="205"/>
      <c r="K28" s="248"/>
      <c r="L28" s="3"/>
      <c r="M28" s="3"/>
      <c r="N28" s="4"/>
      <c r="O28" s="4"/>
      <c r="P28" s="3"/>
      <c r="Q28" s="3"/>
      <c r="R28" s="3"/>
      <c r="S28" s="323"/>
      <c r="T28" s="1"/>
      <c r="U28" s="40"/>
      <c r="V28" s="40"/>
      <c r="W28" s="40"/>
      <c r="X28" s="40"/>
      <c r="Y28" s="324"/>
      <c r="Z28" s="40"/>
      <c r="AA28" s="40"/>
      <c r="AB28" s="40"/>
      <c r="AC28" s="40"/>
      <c r="AD28" s="40"/>
      <c r="AE28" s="40"/>
      <c r="AF28" s="40"/>
      <c r="AG28" s="166"/>
      <c r="AH28" s="40"/>
      <c r="AI28" s="40"/>
      <c r="AJ28" s="40"/>
      <c r="AK28" s="166"/>
      <c r="AL28" s="40"/>
      <c r="AM28" s="40"/>
      <c r="AN28" s="40"/>
      <c r="AO28" s="40"/>
      <c r="AP28" s="40"/>
      <c r="AQ28" s="166"/>
    </row>
    <row r="29" spans="1:43" ht="20.100000000000001" customHeight="1" x14ac:dyDescent="0.3">
      <c r="A29" s="41">
        <v>18</v>
      </c>
      <c r="C29" s="132" t="s">
        <v>478</v>
      </c>
      <c r="F29" s="3"/>
      <c r="G29" s="1"/>
      <c r="H29" s="3"/>
      <c r="I29" s="3"/>
      <c r="J29" s="216"/>
      <c r="K29" s="1"/>
      <c r="L29" s="3"/>
      <c r="M29" s="3"/>
      <c r="N29" s="4"/>
      <c r="O29" s="6"/>
      <c r="P29" s="123"/>
      <c r="Q29" s="3"/>
      <c r="R29" s="3"/>
      <c r="S29" s="323"/>
      <c r="T29" s="1"/>
      <c r="U29" s="40"/>
      <c r="V29" s="40"/>
      <c r="W29" s="40"/>
      <c r="X29" s="40"/>
      <c r="Y29" s="324"/>
      <c r="Z29" s="40"/>
      <c r="AA29" s="40"/>
      <c r="AB29" s="40"/>
      <c r="AC29" s="40"/>
      <c r="AD29" s="40"/>
      <c r="AE29" s="40"/>
      <c r="AF29" s="40"/>
      <c r="AG29" s="166"/>
      <c r="AH29" s="40"/>
      <c r="AI29" s="40"/>
      <c r="AJ29" s="40"/>
      <c r="AK29" s="166"/>
      <c r="AL29" s="40"/>
      <c r="AM29" s="40"/>
      <c r="AN29" s="40"/>
      <c r="AO29" s="40"/>
      <c r="AP29" s="40"/>
      <c r="AQ29" s="166"/>
    </row>
    <row r="30" spans="1:43" ht="20.100000000000001" customHeight="1" x14ac:dyDescent="0.3">
      <c r="A30" s="41">
        <v>19</v>
      </c>
      <c r="C30" s="192" t="str">
        <f>ESM_Name</f>
        <v>ENVIRONMENTAL SURCHARGE MECHANISM RIDER (ESM)</v>
      </c>
      <c r="F30" s="3"/>
      <c r="G30" s="1"/>
      <c r="H30" s="3"/>
      <c r="I30" s="3"/>
      <c r="J30" s="318">
        <f>PRO_ESM_NONRES</f>
        <v>5.7995821086186533E-3</v>
      </c>
      <c r="K30" s="1"/>
      <c r="L30" s="3">
        <f>ROUND((R27-(PRO_BASE_FUEL*H27)+R31)*J30,0)</f>
        <v>408</v>
      </c>
      <c r="M30" s="3"/>
      <c r="N30" s="4">
        <f>ROUND((L30/L$34)*100,1)</f>
        <v>0.4</v>
      </c>
      <c r="O30" s="6"/>
      <c r="P30" s="123"/>
      <c r="Q30" s="3"/>
      <c r="R30" s="3">
        <f>L30+P30</f>
        <v>408</v>
      </c>
      <c r="S30" s="323"/>
      <c r="T30" s="1"/>
      <c r="U30" s="40"/>
      <c r="V30" s="40"/>
      <c r="W30" s="40"/>
      <c r="X30" s="40"/>
      <c r="Y30" s="324"/>
      <c r="Z30" s="40"/>
      <c r="AA30" s="40"/>
      <c r="AB30" s="40"/>
      <c r="AC30" s="40"/>
      <c r="AD30" s="40"/>
      <c r="AE30" s="40"/>
      <c r="AF30" s="40"/>
      <c r="AG30" s="166"/>
      <c r="AH30" s="40"/>
      <c r="AI30" s="40"/>
      <c r="AJ30" s="40"/>
      <c r="AK30" s="166"/>
      <c r="AL30" s="40"/>
      <c r="AM30" s="40"/>
      <c r="AN30" s="40"/>
      <c r="AO30" s="40"/>
      <c r="AP30" s="40"/>
      <c r="AQ30" s="166"/>
    </row>
    <row r="31" spans="1:43" x14ac:dyDescent="0.3">
      <c r="A31" s="41">
        <v>20</v>
      </c>
      <c r="C31" s="192" t="str">
        <f>PSM_Name</f>
        <v>PROFIT SHARING MECHANISM (PSM)</v>
      </c>
      <c r="F31" s="3"/>
      <c r="G31" s="1"/>
      <c r="H31" s="3"/>
      <c r="I31" s="3"/>
      <c r="J31" s="217">
        <f>PRO_PSM</f>
        <v>2.4750000000000002E-3</v>
      </c>
      <c r="K31" s="1"/>
      <c r="L31" s="49">
        <f>ROUND($H$27*J31,0)</f>
        <v>3556</v>
      </c>
      <c r="M31" s="3"/>
      <c r="N31" s="177">
        <f>ROUND((L31/L$34)*100,1)</f>
        <v>3.1</v>
      </c>
      <c r="O31" s="6"/>
      <c r="P31" s="259"/>
      <c r="Q31" s="3"/>
      <c r="R31" s="49">
        <f>L31+P31</f>
        <v>3556</v>
      </c>
      <c r="S31" s="323"/>
      <c r="T31" s="1"/>
      <c r="U31" s="40"/>
      <c r="V31" s="40"/>
      <c r="W31" s="40"/>
      <c r="X31" s="40"/>
      <c r="Y31" s="324"/>
      <c r="Z31" s="40"/>
      <c r="AA31" s="40"/>
      <c r="AB31" s="40"/>
      <c r="AC31" s="40"/>
      <c r="AD31" s="40"/>
      <c r="AE31" s="40"/>
      <c r="AF31" s="40"/>
      <c r="AG31" s="166"/>
      <c r="AH31" s="40"/>
      <c r="AI31" s="40"/>
      <c r="AJ31" s="40"/>
      <c r="AK31" s="166"/>
      <c r="AL31" s="40"/>
      <c r="AM31" s="40"/>
      <c r="AN31" s="40"/>
      <c r="AO31" s="40"/>
      <c r="AP31" s="40"/>
      <c r="AQ31" s="166"/>
    </row>
    <row r="32" spans="1:43" ht="20.100000000000001" customHeight="1" x14ac:dyDescent="0.3">
      <c r="A32" s="41">
        <v>21</v>
      </c>
      <c r="C32" s="132" t="s">
        <v>465</v>
      </c>
      <c r="F32" s="49"/>
      <c r="G32" s="1"/>
      <c r="H32" s="49"/>
      <c r="I32" s="3"/>
      <c r="J32" s="1"/>
      <c r="K32" s="1"/>
      <c r="L32" s="145">
        <f>SUM(L30:L31)</f>
        <v>3964</v>
      </c>
      <c r="M32" s="3"/>
      <c r="N32" s="180">
        <f>ROUND((L32/L$34)*100,1)</f>
        <v>3.5</v>
      </c>
      <c r="O32" s="6"/>
      <c r="P32" s="276"/>
      <c r="Q32" s="3"/>
      <c r="R32" s="145">
        <f>SUM(R30:R31)</f>
        <v>3964</v>
      </c>
      <c r="S32" s="323"/>
      <c r="T32" s="1"/>
      <c r="U32" s="40"/>
      <c r="V32" s="40"/>
      <c r="W32" s="40"/>
      <c r="X32" s="40"/>
      <c r="Y32" s="324"/>
      <c r="Z32" s="40"/>
      <c r="AA32" s="40"/>
      <c r="AB32" s="40"/>
      <c r="AC32" s="40"/>
      <c r="AD32" s="40"/>
      <c r="AE32" s="40"/>
      <c r="AF32" s="40"/>
      <c r="AG32" s="166"/>
      <c r="AH32" s="40"/>
      <c r="AI32" s="40"/>
      <c r="AJ32" s="40"/>
      <c r="AK32" s="166"/>
      <c r="AL32" s="40"/>
      <c r="AM32" s="40"/>
      <c r="AN32" s="40"/>
      <c r="AO32" s="40"/>
      <c r="AP32" s="40"/>
      <c r="AQ32" s="166"/>
    </row>
    <row r="33" spans="1:76" x14ac:dyDescent="0.3">
      <c r="C33" s="42"/>
      <c r="F33" s="184"/>
      <c r="G33" s="1"/>
      <c r="H33" s="184"/>
      <c r="I33" s="159"/>
      <c r="J33" s="198"/>
      <c r="K33" s="248"/>
      <c r="L33" s="3"/>
      <c r="M33" s="3"/>
      <c r="N33" s="4"/>
      <c r="O33" s="4"/>
      <c r="P33" s="3"/>
      <c r="Q33" s="3"/>
      <c r="R33" s="3"/>
      <c r="S33" s="323"/>
      <c r="T33" s="1"/>
      <c r="U33" s="40"/>
      <c r="V33" s="40"/>
      <c r="W33" s="40"/>
      <c r="X33" s="40"/>
      <c r="Y33" s="324"/>
      <c r="Z33" s="40"/>
      <c r="AA33" s="40"/>
      <c r="AB33" s="40"/>
      <c r="AC33" s="40"/>
      <c r="AD33" s="40"/>
      <c r="AE33" s="40"/>
      <c r="AF33" s="40"/>
      <c r="AG33" s="166"/>
      <c r="AH33" s="40"/>
      <c r="AI33" s="40"/>
      <c r="AJ33" s="40"/>
      <c r="AK33" s="166"/>
      <c r="AL33" s="40"/>
      <c r="AM33" s="40"/>
      <c r="AN33" s="40"/>
      <c r="AO33" s="40"/>
      <c r="AP33" s="40"/>
      <c r="AQ33" s="166"/>
    </row>
    <row r="34" spans="1:76" ht="20.100000000000001" customHeight="1" thickBot="1" x14ac:dyDescent="0.35">
      <c r="A34" s="41">
        <v>22</v>
      </c>
      <c r="C34" s="132" t="s">
        <v>467</v>
      </c>
      <c r="F34" s="151">
        <f>F27</f>
        <v>1560</v>
      </c>
      <c r="G34" s="1"/>
      <c r="H34" s="151">
        <f>H27</f>
        <v>1436827.8010000002</v>
      </c>
      <c r="I34" s="3"/>
      <c r="J34" s="5"/>
      <c r="K34" s="1"/>
      <c r="L34" s="151">
        <f>L32+L27</f>
        <v>114325</v>
      </c>
      <c r="M34" s="3"/>
      <c r="N34" s="218">
        <v>100</v>
      </c>
      <c r="O34" s="4"/>
      <c r="P34" s="151">
        <f>ROUND(H34*CUR_FAC,0)</f>
        <v>5011</v>
      </c>
      <c r="Q34" s="159"/>
      <c r="R34" s="151">
        <f>R32+R27</f>
        <v>119336</v>
      </c>
      <c r="AO34" s="42"/>
      <c r="AP34" s="42"/>
    </row>
    <row r="35" spans="1:76" ht="16.2" thickTop="1" x14ac:dyDescent="0.3">
      <c r="C35" s="42"/>
      <c r="F35" s="3"/>
      <c r="G35" s="1"/>
      <c r="H35" s="3"/>
      <c r="I35" s="3"/>
      <c r="J35" s="5"/>
      <c r="K35" s="1"/>
      <c r="L35" s="3"/>
      <c r="M35" s="3"/>
      <c r="N35" s="4"/>
      <c r="O35" s="4"/>
      <c r="P35" s="159"/>
      <c r="Q35" s="159"/>
      <c r="R35" s="3"/>
      <c r="AO35" s="42"/>
      <c r="AP35" s="42"/>
    </row>
    <row r="36" spans="1:76" x14ac:dyDescent="0.3">
      <c r="C36" s="264" t="s">
        <v>1135</v>
      </c>
      <c r="J36" s="188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166"/>
      <c r="AH36" s="40"/>
      <c r="AI36" s="40"/>
      <c r="AJ36" s="40"/>
      <c r="AK36" s="166"/>
      <c r="AL36" s="40"/>
      <c r="AM36" s="40"/>
      <c r="AN36" s="40"/>
      <c r="AO36" s="40"/>
      <c r="AP36" s="40"/>
      <c r="AQ36" s="166"/>
    </row>
    <row r="37" spans="1:76" x14ac:dyDescent="0.3">
      <c r="C37" s="202" t="str">
        <f>"(2) REFLECTS FUEL COMPONENT OF "&amp;TEXT(PRO_FAC,"$0.000000;($0.000000)")&amp;" PER KWH."</f>
        <v>(2) REFLECTS FUEL COMPONENT OF $0.003487 PER KWH.</v>
      </c>
      <c r="J37" s="188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66"/>
      <c r="AH37" s="40"/>
      <c r="AI37" s="40"/>
      <c r="AJ37" s="40"/>
      <c r="AK37" s="166"/>
      <c r="AL37" s="40"/>
      <c r="AM37" s="40"/>
      <c r="AN37" s="40"/>
      <c r="AO37" s="40"/>
      <c r="AP37" s="40"/>
      <c r="AQ37" s="166"/>
    </row>
    <row r="38" spans="1:76" x14ac:dyDescent="0.3">
      <c r="C38" s="202" t="str">
        <f>"(3) REFLECTS FUEL COST RECOVERY INCLUDED IN BASE RATES OF "&amp;TEXT(PRO_BASE_FUEL,"$0.000000;($0.000000)")&amp;"  PER KWH."</f>
        <v>(3) REFLECTS FUEL COST RECOVERY INCLUDED IN BASE RATES OF $0.033780  PER KWH.</v>
      </c>
      <c r="F38" s="123"/>
      <c r="H38" s="123"/>
      <c r="I38" s="123"/>
      <c r="J38" s="188"/>
      <c r="K38" s="219"/>
      <c r="L38" s="123"/>
      <c r="M38" s="123"/>
      <c r="N38" s="123"/>
      <c r="O38" s="123"/>
      <c r="P38" s="123"/>
      <c r="Q38" s="123"/>
      <c r="R38" s="123"/>
      <c r="AE38" s="44"/>
      <c r="AF38" s="44"/>
      <c r="AG38" s="168"/>
      <c r="AH38" s="44"/>
      <c r="AI38" s="44"/>
      <c r="AJ38" s="44"/>
      <c r="AK38" s="168"/>
      <c r="AL38" s="44"/>
      <c r="AO38" s="44"/>
      <c r="AP38" s="44"/>
      <c r="AQ38" s="168"/>
    </row>
    <row r="39" spans="1:76" x14ac:dyDescent="0.3">
      <c r="A39" s="42"/>
      <c r="J39" s="188"/>
      <c r="T39" s="40" t="str">
        <f>NAME</f>
        <v>DUKE ENERGY KENTUCKY, INC.</v>
      </c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66"/>
      <c r="AH39" s="40"/>
      <c r="AI39" s="40"/>
      <c r="AJ39" s="40"/>
      <c r="AK39" s="166"/>
      <c r="AL39" s="40"/>
      <c r="AM39" s="40"/>
      <c r="AN39" s="40"/>
      <c r="AO39" s="40"/>
      <c r="AP39" s="40"/>
      <c r="AQ39" s="166"/>
      <c r="AR39" s="40"/>
    </row>
    <row r="40" spans="1:76" x14ac:dyDescent="0.3">
      <c r="A40" s="42"/>
      <c r="F40" s="220"/>
      <c r="H40" s="123"/>
      <c r="J40" s="188"/>
      <c r="T40" s="40" t="str">
        <f>CASE_NO</f>
        <v>CASE NO.   2024-00354</v>
      </c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166"/>
      <c r="AH40" s="40"/>
      <c r="AI40" s="40"/>
      <c r="AJ40" s="40"/>
      <c r="AK40" s="166"/>
      <c r="AL40" s="40"/>
      <c r="AM40" s="40"/>
      <c r="AN40" s="40"/>
      <c r="AO40" s="40"/>
      <c r="AP40" s="40"/>
      <c r="AQ40" s="166"/>
      <c r="AR40" s="40"/>
    </row>
    <row r="41" spans="1:76" x14ac:dyDescent="0.3">
      <c r="C41" s="42"/>
      <c r="J41" s="188"/>
      <c r="T41" s="40" t="str">
        <f>TITLE</f>
        <v>ANNUALIZED TEST YEAR REVENUES AT REHEARING ORDER CALCULATED VS. MOST CURRENT RATES</v>
      </c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166"/>
      <c r="AH41" s="40"/>
      <c r="AI41" s="40"/>
      <c r="AJ41" s="40"/>
      <c r="AK41" s="166"/>
      <c r="AL41" s="40"/>
      <c r="AM41" s="40"/>
      <c r="AN41" s="40"/>
      <c r="AO41" s="40"/>
      <c r="AP41" s="40"/>
      <c r="AQ41" s="166"/>
      <c r="AR41" s="40"/>
      <c r="AS41" s="123"/>
      <c r="AT41" s="123"/>
      <c r="AU41" s="160"/>
      <c r="BX41" s="222"/>
    </row>
    <row r="42" spans="1:76" x14ac:dyDescent="0.3">
      <c r="C42" s="42"/>
      <c r="F42" s="123"/>
      <c r="H42" s="123"/>
      <c r="I42" s="123"/>
      <c r="J42" s="188"/>
      <c r="L42" s="123"/>
      <c r="M42" s="123"/>
      <c r="N42" s="160"/>
      <c r="O42" s="160"/>
      <c r="P42" s="184"/>
      <c r="Q42" s="184"/>
      <c r="R42" s="123"/>
      <c r="T42" s="40" t="str">
        <f>DATE</f>
        <v>FOR THE TWELVE MONTHS ENDED June 30, 2026</v>
      </c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166"/>
      <c r="AH42" s="40"/>
      <c r="AI42" s="40"/>
      <c r="AJ42" s="40"/>
      <c r="AK42" s="166"/>
      <c r="AL42" s="40"/>
      <c r="AM42" s="40"/>
      <c r="AN42" s="40"/>
      <c r="AO42" s="40"/>
      <c r="AP42" s="40"/>
      <c r="AQ42" s="166"/>
      <c r="AR42" s="40"/>
      <c r="AS42" s="123"/>
      <c r="AT42" s="123"/>
      <c r="AU42" s="160"/>
    </row>
    <row r="43" spans="1:76" x14ac:dyDescent="0.3"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T43" s="40" t="str">
        <f>SERVICE</f>
        <v>(ELECTRIC SERVICE)</v>
      </c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166"/>
      <c r="AH43" s="40"/>
      <c r="AI43" s="40"/>
      <c r="AJ43" s="40"/>
      <c r="AK43" s="166"/>
      <c r="AL43" s="40"/>
      <c r="AM43" s="40"/>
      <c r="AN43" s="40"/>
      <c r="AO43" s="40"/>
      <c r="AP43" s="40"/>
      <c r="AQ43" s="166"/>
      <c r="AR43" s="40"/>
      <c r="AS43" s="123"/>
      <c r="AT43" s="123"/>
      <c r="AU43" s="235"/>
    </row>
    <row r="44" spans="1:76" x14ac:dyDescent="0.3">
      <c r="C44" s="42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T44" s="41" t="str">
        <f>DATA_PERIOD</f>
        <v>DATA: ____ BASE PERIOD   __X__FORECASTED PERIOD</v>
      </c>
      <c r="AO44" s="42" t="s">
        <v>158</v>
      </c>
      <c r="AQ44" s="206"/>
      <c r="AS44" s="123"/>
      <c r="AT44" s="123"/>
      <c r="AU44" s="160"/>
    </row>
    <row r="45" spans="1:76" x14ac:dyDescent="0.3">
      <c r="A45" s="42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T45" s="41" t="str">
        <f>TYPE</f>
        <v>TYPE OF FILING: _X_ ORIGINAL   ___UPDATED  ___ REVISED</v>
      </c>
      <c r="AO45" s="45" t="str">
        <f>"PAGE 15 OF "&amp;TEXT(Page_Num_2.2,"00")</f>
        <v>PAGE 15 OF 24</v>
      </c>
      <c r="AQ45" s="206"/>
      <c r="AS45" s="123"/>
      <c r="AT45" s="123"/>
      <c r="AU45" s="160"/>
    </row>
    <row r="46" spans="1:76" x14ac:dyDescent="0.3">
      <c r="C46" s="42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T46" s="42" t="s">
        <v>171</v>
      </c>
      <c r="AO46" s="42" t="s">
        <v>3</v>
      </c>
      <c r="AQ46" s="206"/>
      <c r="AS46" s="123"/>
      <c r="AT46" s="123"/>
      <c r="AU46" s="160"/>
    </row>
    <row r="47" spans="1:76" x14ac:dyDescent="0.3">
      <c r="F47" s="210"/>
      <c r="H47" s="210"/>
      <c r="I47" s="210"/>
      <c r="J47" s="213"/>
      <c r="K47" s="213"/>
      <c r="L47" s="210"/>
      <c r="M47" s="210"/>
      <c r="N47" s="210"/>
      <c r="O47" s="210"/>
      <c r="P47" s="210"/>
      <c r="Q47" s="210"/>
      <c r="R47" s="210"/>
      <c r="T47" s="153" t="str">
        <f>TIME</f>
        <v>12 Months Projected with Riders</v>
      </c>
      <c r="AG47" s="206"/>
      <c r="AO47" s="41" t="str">
        <f>WIT</f>
        <v>B. L. Sailers</v>
      </c>
      <c r="AS47" s="123"/>
      <c r="AT47" s="123"/>
      <c r="AU47" s="160"/>
    </row>
    <row r="48" spans="1:76" x14ac:dyDescent="0.3">
      <c r="C48" s="42"/>
      <c r="F48" s="123"/>
      <c r="H48" s="123"/>
      <c r="I48" s="123"/>
      <c r="J48" s="219"/>
      <c r="K48" s="219"/>
      <c r="L48" s="123"/>
      <c r="M48" s="123"/>
      <c r="N48" s="160"/>
      <c r="O48" s="160"/>
      <c r="P48" s="123"/>
      <c r="Q48" s="123"/>
      <c r="R48" s="123"/>
      <c r="T48" s="469" t="s">
        <v>131</v>
      </c>
      <c r="U48" s="469"/>
      <c r="V48" s="469"/>
      <c r="W48" s="469"/>
      <c r="X48" s="469"/>
      <c r="Y48" s="469"/>
      <c r="Z48" s="469"/>
      <c r="AA48" s="469"/>
      <c r="AB48" s="469"/>
      <c r="AC48" s="469"/>
      <c r="AD48" s="469"/>
      <c r="AE48" s="469"/>
      <c r="AF48" s="469"/>
      <c r="AG48" s="469"/>
      <c r="AH48" s="469"/>
      <c r="AI48" s="469"/>
      <c r="AJ48" s="469"/>
      <c r="AK48" s="469"/>
      <c r="AL48" s="469"/>
      <c r="AM48" s="469"/>
      <c r="AN48" s="469"/>
      <c r="AO48" s="469"/>
      <c r="AP48" s="469"/>
      <c r="AQ48" s="469"/>
      <c r="AS48" s="123"/>
      <c r="AT48" s="123"/>
      <c r="AU48" s="160"/>
    </row>
    <row r="49" spans="1:47" x14ac:dyDescent="0.3">
      <c r="A49" s="42"/>
      <c r="F49" s="123"/>
      <c r="H49" s="123"/>
      <c r="I49" s="123"/>
      <c r="J49" s="219"/>
      <c r="K49" s="219"/>
      <c r="L49" s="123"/>
      <c r="M49" s="123"/>
      <c r="N49" s="123"/>
      <c r="O49" s="123"/>
      <c r="P49" s="123"/>
      <c r="Q49" s="123"/>
      <c r="R49" s="123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43"/>
      <c r="AF49" s="43"/>
      <c r="AG49" s="167"/>
      <c r="AH49" s="43"/>
      <c r="AI49" s="43"/>
      <c r="AJ49" s="43"/>
      <c r="AK49" s="167"/>
      <c r="AL49" s="43"/>
      <c r="AM49" s="43"/>
      <c r="AN49" s="135"/>
      <c r="AO49" s="135"/>
      <c r="AP49" s="135"/>
      <c r="AQ49" s="207"/>
      <c r="AR49" s="135"/>
      <c r="AS49" s="123"/>
      <c r="AT49" s="123"/>
      <c r="AU49" s="160"/>
    </row>
    <row r="50" spans="1:47" ht="18" customHeight="1" x14ac:dyDescent="0.3">
      <c r="L50" s="123"/>
      <c r="M50" s="123"/>
      <c r="N50" s="123"/>
      <c r="O50" s="123"/>
      <c r="P50" s="123"/>
      <c r="Q50" s="123"/>
      <c r="R50" s="123"/>
      <c r="T50" s="191"/>
      <c r="U50" s="191"/>
      <c r="V50" s="191"/>
      <c r="W50" s="191"/>
      <c r="X50" s="191"/>
      <c r="Y50" s="191"/>
      <c r="Z50" s="191"/>
      <c r="AA50" s="191"/>
      <c r="AB50" s="191"/>
      <c r="AC50" s="191"/>
      <c r="AD50" s="191"/>
      <c r="AE50" s="44" t="s">
        <v>8</v>
      </c>
      <c r="AF50" s="44"/>
      <c r="AG50" s="168" t="s">
        <v>7</v>
      </c>
      <c r="AH50" s="44"/>
      <c r="AI50" s="44" t="s">
        <v>9</v>
      </c>
      <c r="AJ50" s="44"/>
      <c r="AK50" s="168" t="s">
        <v>10</v>
      </c>
      <c r="AL50" s="44"/>
      <c r="AN50" s="191"/>
      <c r="AO50" s="272" t="s">
        <v>8</v>
      </c>
      <c r="AP50" s="272"/>
      <c r="AQ50" s="273" t="s">
        <v>11</v>
      </c>
      <c r="AR50" s="123"/>
      <c r="AS50" s="123"/>
      <c r="AT50" s="160"/>
    </row>
    <row r="51" spans="1:47" x14ac:dyDescent="0.3">
      <c r="H51" s="42"/>
      <c r="I51" s="42"/>
      <c r="AC51" s="44" t="s">
        <v>14</v>
      </c>
      <c r="AD51" s="44"/>
      <c r="AE51" s="44" t="s">
        <v>12</v>
      </c>
      <c r="AF51" s="44"/>
      <c r="AG51" s="168" t="s">
        <v>13</v>
      </c>
      <c r="AH51" s="44"/>
      <c r="AI51" s="44" t="s">
        <v>15</v>
      </c>
      <c r="AJ51" s="44"/>
      <c r="AK51" s="168" t="s">
        <v>16</v>
      </c>
      <c r="AL51" s="44"/>
      <c r="AO51" s="44" t="s">
        <v>11</v>
      </c>
      <c r="AP51" s="44"/>
      <c r="AQ51" s="168" t="s">
        <v>9</v>
      </c>
    </row>
    <row r="52" spans="1:47" x14ac:dyDescent="0.3">
      <c r="L52" s="42"/>
      <c r="M52" s="42"/>
      <c r="T52" s="44" t="s">
        <v>17</v>
      </c>
      <c r="V52" s="44" t="s">
        <v>18</v>
      </c>
      <c r="W52" s="44" t="s">
        <v>19</v>
      </c>
      <c r="X52" s="44"/>
      <c r="Y52" s="44" t="s">
        <v>20</v>
      </c>
      <c r="AC52" s="44" t="s">
        <v>8</v>
      </c>
      <c r="AD52" s="44"/>
      <c r="AE52" s="44" t="s">
        <v>842</v>
      </c>
      <c r="AF52" s="44"/>
      <c r="AG52" s="168" t="s">
        <v>842</v>
      </c>
      <c r="AH52" s="44"/>
      <c r="AI52" s="46" t="s">
        <v>965</v>
      </c>
      <c r="AJ52" s="44"/>
      <c r="AK52" s="169" t="s">
        <v>965</v>
      </c>
      <c r="AL52" s="44"/>
      <c r="AM52" s="44" t="s">
        <v>842</v>
      </c>
      <c r="AN52" s="44"/>
      <c r="AO52" s="44" t="s">
        <v>9</v>
      </c>
      <c r="AP52" s="44"/>
      <c r="AQ52" s="168" t="s">
        <v>21</v>
      </c>
    </row>
    <row r="53" spans="1:47" x14ac:dyDescent="0.3">
      <c r="R53" s="42"/>
      <c r="T53" s="44" t="s">
        <v>22</v>
      </c>
      <c r="V53" s="44" t="s">
        <v>23</v>
      </c>
      <c r="W53" s="44" t="s">
        <v>24</v>
      </c>
      <c r="X53" s="44"/>
      <c r="Y53" s="44" t="s">
        <v>25</v>
      </c>
      <c r="AA53" s="44" t="s">
        <v>26</v>
      </c>
      <c r="AB53" s="44"/>
      <c r="AC53" s="44" t="s">
        <v>27</v>
      </c>
      <c r="AD53" s="44"/>
      <c r="AE53" s="44" t="s">
        <v>9</v>
      </c>
      <c r="AF53" s="44"/>
      <c r="AG53" s="168" t="s">
        <v>9</v>
      </c>
      <c r="AH53" s="44"/>
      <c r="AI53" s="141" t="s">
        <v>29</v>
      </c>
      <c r="AJ53" s="141"/>
      <c r="AK53" s="170" t="s">
        <v>30</v>
      </c>
      <c r="AL53" s="44"/>
      <c r="AM53" s="44" t="s">
        <v>324</v>
      </c>
      <c r="AN53" s="44"/>
      <c r="AO53" s="141" t="s">
        <v>31</v>
      </c>
      <c r="AP53" s="141"/>
      <c r="AQ53" s="170" t="s">
        <v>32</v>
      </c>
      <c r="AU53" s="44"/>
    </row>
    <row r="54" spans="1:47" x14ac:dyDescent="0.3">
      <c r="R54" s="42"/>
      <c r="V54" s="141" t="s">
        <v>33</v>
      </c>
      <c r="W54" s="141" t="s">
        <v>34</v>
      </c>
      <c r="X54" s="141"/>
      <c r="Y54" s="141" t="s">
        <v>35</v>
      </c>
      <c r="Z54" s="153"/>
      <c r="AA54" s="141" t="s">
        <v>36</v>
      </c>
      <c r="AB54" s="141"/>
      <c r="AC54" s="141" t="s">
        <v>42</v>
      </c>
      <c r="AD54" s="141"/>
      <c r="AE54" s="141" t="s">
        <v>43</v>
      </c>
      <c r="AF54" s="141"/>
      <c r="AG54" s="170" t="s">
        <v>44</v>
      </c>
      <c r="AH54" s="141"/>
      <c r="AI54" s="141" t="s">
        <v>45</v>
      </c>
      <c r="AJ54" s="141"/>
      <c r="AK54" s="170" t="s">
        <v>46</v>
      </c>
      <c r="AL54" s="141"/>
      <c r="AM54" s="141" t="s">
        <v>40</v>
      </c>
      <c r="AN54" s="141"/>
      <c r="AO54" s="141" t="s">
        <v>47</v>
      </c>
      <c r="AP54" s="141"/>
      <c r="AQ54" s="170" t="s">
        <v>48</v>
      </c>
      <c r="AU54" s="44"/>
    </row>
    <row r="55" spans="1:47" ht="17.100000000000001" customHeight="1" x14ac:dyDescent="0.3">
      <c r="A55" s="42"/>
      <c r="R55" s="42"/>
      <c r="T55" s="191"/>
      <c r="U55" s="191"/>
      <c r="V55" s="191"/>
      <c r="W55" s="191"/>
      <c r="X55" s="191"/>
      <c r="Y55" s="191"/>
      <c r="Z55" s="191"/>
      <c r="AA55" s="271" t="s">
        <v>49</v>
      </c>
      <c r="AB55" s="271"/>
      <c r="AC55" s="270" t="s">
        <v>313</v>
      </c>
      <c r="AD55" s="271"/>
      <c r="AE55" s="271" t="s">
        <v>50</v>
      </c>
      <c r="AF55" s="271"/>
      <c r="AG55" s="274" t="s">
        <v>51</v>
      </c>
      <c r="AH55" s="271"/>
      <c r="AI55" s="271" t="s">
        <v>50</v>
      </c>
      <c r="AJ55" s="271"/>
      <c r="AK55" s="274" t="s">
        <v>51</v>
      </c>
      <c r="AL55" s="271"/>
      <c r="AM55" s="271" t="s">
        <v>50</v>
      </c>
      <c r="AN55" s="271"/>
      <c r="AO55" s="271" t="s">
        <v>50</v>
      </c>
      <c r="AP55" s="271"/>
      <c r="AQ55" s="274" t="s">
        <v>51</v>
      </c>
      <c r="AU55" s="44"/>
    </row>
    <row r="56" spans="1:47" x14ac:dyDescent="0.3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T56" s="41">
        <v>1</v>
      </c>
      <c r="V56" s="132" t="s">
        <v>81</v>
      </c>
      <c r="W56" s="132" t="s">
        <v>82</v>
      </c>
      <c r="X56" s="42"/>
      <c r="Y56" s="1"/>
      <c r="Z56" s="1"/>
      <c r="AA56" s="1"/>
      <c r="AB56" s="1"/>
      <c r="AC56" s="1"/>
      <c r="AD56" s="1"/>
      <c r="AE56" s="1"/>
      <c r="AF56" s="1"/>
      <c r="AG56" s="175"/>
      <c r="AH56" s="1"/>
      <c r="AI56" s="1"/>
      <c r="AJ56" s="1"/>
      <c r="AK56" s="175"/>
      <c r="AL56" s="1"/>
      <c r="AM56" s="1"/>
      <c r="AN56" s="1"/>
      <c r="AO56" s="1"/>
      <c r="AP56" s="1"/>
      <c r="AQ56" s="175"/>
    </row>
    <row r="57" spans="1:47" x14ac:dyDescent="0.3">
      <c r="L57" s="44"/>
      <c r="M57" s="44"/>
      <c r="N57" s="44"/>
      <c r="O57" s="44"/>
      <c r="R57" s="44"/>
      <c r="T57" s="41">
        <v>2</v>
      </c>
      <c r="V57" s="153"/>
      <c r="W57" s="132" t="s">
        <v>83</v>
      </c>
      <c r="X57" s="42"/>
      <c r="Y57" s="1"/>
      <c r="Z57" s="1"/>
      <c r="AA57" s="1"/>
      <c r="AB57" s="1"/>
      <c r="AC57" s="1"/>
      <c r="AD57" s="1"/>
      <c r="AE57" s="1"/>
      <c r="AF57" s="1"/>
      <c r="AG57" s="175"/>
      <c r="AH57" s="1"/>
      <c r="AI57" s="1"/>
      <c r="AJ57" s="1"/>
      <c r="AK57" s="175"/>
      <c r="AL57" s="1"/>
      <c r="AM57" s="1"/>
      <c r="AN57" s="1"/>
      <c r="AO57" s="1"/>
      <c r="AP57" s="1"/>
      <c r="AQ57" s="175"/>
    </row>
    <row r="58" spans="1:47" x14ac:dyDescent="0.3">
      <c r="C58" s="44"/>
      <c r="D58" s="44"/>
      <c r="E58" s="44"/>
      <c r="F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Y58" s="1"/>
      <c r="Z58" s="1"/>
      <c r="AA58" s="1"/>
      <c r="AB58" s="1"/>
      <c r="AC58" s="1"/>
      <c r="AD58" s="1"/>
      <c r="AE58" s="1"/>
      <c r="AF58" s="1"/>
      <c r="AG58" s="175"/>
      <c r="AH58" s="1"/>
      <c r="AI58" s="1"/>
      <c r="AJ58" s="1"/>
      <c r="AK58" s="175"/>
      <c r="AL58" s="1"/>
      <c r="AM58" s="1"/>
      <c r="AN58" s="1"/>
      <c r="AO58" s="1"/>
      <c r="AP58" s="1"/>
      <c r="AQ58" s="175"/>
    </row>
    <row r="59" spans="1:47" x14ac:dyDescent="0.3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T59" s="41">
        <v>3</v>
      </c>
      <c r="V59" s="132" t="s">
        <v>84</v>
      </c>
      <c r="W59" s="153"/>
      <c r="Y59" s="3"/>
      <c r="Z59" s="1"/>
      <c r="AA59" s="1"/>
      <c r="AB59" s="1"/>
      <c r="AC59" s="261"/>
      <c r="AD59" s="261"/>
      <c r="AE59" s="3"/>
      <c r="AF59" s="3"/>
      <c r="AG59" s="175"/>
      <c r="AH59" s="1"/>
      <c r="AI59" s="1"/>
      <c r="AJ59" s="1"/>
      <c r="AK59" s="175"/>
      <c r="AL59" s="3"/>
      <c r="AM59" s="1"/>
      <c r="AN59" s="1"/>
      <c r="AO59" s="3"/>
      <c r="AP59" s="3"/>
      <c r="AQ59" s="175"/>
    </row>
    <row r="60" spans="1:47" x14ac:dyDescent="0.3"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T60" s="41">
        <v>4</v>
      </c>
      <c r="V60" s="132" t="s">
        <v>376</v>
      </c>
      <c r="W60" s="153"/>
      <c r="Y60" s="3"/>
      <c r="Z60" s="1"/>
      <c r="AA60" s="1"/>
      <c r="AB60" s="1"/>
      <c r="AC60" s="1"/>
      <c r="AD60" s="1"/>
      <c r="AE60" s="1"/>
      <c r="AF60" s="1"/>
      <c r="AG60" s="175"/>
      <c r="AH60" s="1"/>
      <c r="AI60" s="1"/>
      <c r="AJ60" s="1"/>
      <c r="AK60" s="175"/>
      <c r="AL60" s="3"/>
      <c r="AM60" s="1"/>
      <c r="AN60" s="1"/>
      <c r="AO60" s="3"/>
      <c r="AP60" s="3"/>
      <c r="AQ60" s="175"/>
    </row>
    <row r="61" spans="1:47" x14ac:dyDescent="0.3">
      <c r="C61" s="42"/>
      <c r="D61" s="42"/>
      <c r="E61" s="42"/>
      <c r="Y61" s="1"/>
      <c r="Z61" s="1"/>
      <c r="AA61" s="1"/>
      <c r="AB61" s="1"/>
      <c r="AC61" s="5"/>
      <c r="AD61" s="1"/>
      <c r="AE61" s="1"/>
      <c r="AF61" s="1"/>
      <c r="AG61" s="175"/>
      <c r="AH61" s="1"/>
      <c r="AI61" s="1"/>
      <c r="AJ61" s="1"/>
      <c r="AK61" s="175"/>
      <c r="AL61" s="1"/>
      <c r="AM61" s="3"/>
      <c r="AN61" s="3"/>
      <c r="AO61" s="3"/>
      <c r="AP61" s="3"/>
      <c r="AQ61" s="175"/>
    </row>
    <row r="62" spans="1:47" x14ac:dyDescent="0.3">
      <c r="C62" s="42"/>
      <c r="T62" s="41">
        <v>5</v>
      </c>
      <c r="V62" s="42" t="s">
        <v>85</v>
      </c>
      <c r="Y62" s="184">
        <f>F24</f>
        <v>1560</v>
      </c>
      <c r="Z62" s="1"/>
      <c r="AA62" s="184">
        <f>H24</f>
        <v>1436827.8010000002</v>
      </c>
      <c r="AB62" s="325"/>
      <c r="AC62" s="198">
        <v>6.7222000000000004E-2</v>
      </c>
      <c r="AD62" s="248"/>
      <c r="AE62" s="3">
        <f>ROUND((AA62*AC62),0)</f>
        <v>96586</v>
      </c>
      <c r="AF62" s="3"/>
      <c r="AG62" s="175">
        <f>ROUND((AE62/AE$72)*100,1)</f>
        <v>96.1</v>
      </c>
      <c r="AH62" s="4"/>
      <c r="AI62" s="3">
        <f>L24-AE62</f>
        <v>13775</v>
      </c>
      <c r="AJ62" s="3"/>
      <c r="AK62" s="175">
        <f>ROUND((AI62/AE62)*100,1)</f>
        <v>14.3</v>
      </c>
      <c r="AL62" s="6"/>
      <c r="AM62" s="3">
        <f>ROUND($AM$72/$AA$72*AA62,0)</f>
        <v>5011</v>
      </c>
      <c r="AN62" s="3"/>
      <c r="AO62" s="3">
        <f>AE62+AM62</f>
        <v>101597</v>
      </c>
      <c r="AP62" s="3"/>
      <c r="AQ62" s="175">
        <f>ROUND((AI62/AO62)*100,1)</f>
        <v>13.6</v>
      </c>
      <c r="AU62" s="217"/>
    </row>
    <row r="63" spans="1:47" x14ac:dyDescent="0.3">
      <c r="Y63" s="3"/>
      <c r="Z63" s="1"/>
      <c r="AA63" s="3"/>
      <c r="AB63" s="3"/>
      <c r="AC63" s="321"/>
      <c r="AD63" s="7"/>
      <c r="AE63" s="3"/>
      <c r="AF63" s="3"/>
      <c r="AG63" s="175"/>
      <c r="AH63" s="1"/>
      <c r="AI63" s="1"/>
      <c r="AJ63" s="1"/>
      <c r="AK63" s="175"/>
      <c r="AL63" s="1"/>
      <c r="AM63" s="3"/>
      <c r="AN63" s="3"/>
      <c r="AO63" s="3"/>
      <c r="AP63" s="3"/>
      <c r="AQ63" s="175"/>
    </row>
    <row r="64" spans="1:47" x14ac:dyDescent="0.3">
      <c r="C64" s="42"/>
      <c r="F64" s="184"/>
      <c r="H64" s="184"/>
      <c r="I64" s="184"/>
      <c r="J64" s="193"/>
      <c r="K64" s="193"/>
      <c r="L64" s="123"/>
      <c r="M64" s="123"/>
      <c r="N64" s="160"/>
      <c r="O64" s="160"/>
      <c r="P64" s="123"/>
      <c r="Q64" s="123"/>
      <c r="R64" s="123"/>
      <c r="T64" s="41">
        <v>6</v>
      </c>
      <c r="V64" s="42"/>
      <c r="Y64" s="184"/>
      <c r="Z64" s="1"/>
      <c r="AA64" s="184"/>
      <c r="AB64" s="3"/>
      <c r="AC64" s="198"/>
      <c r="AD64" s="248"/>
      <c r="AE64" s="49"/>
      <c r="AF64" s="3"/>
      <c r="AG64" s="177"/>
      <c r="AH64" s="4"/>
      <c r="AI64" s="49"/>
      <c r="AJ64" s="3"/>
      <c r="AK64" s="177"/>
      <c r="AL64" s="6"/>
      <c r="AM64" s="49"/>
      <c r="AN64" s="3"/>
      <c r="AO64" s="49"/>
      <c r="AP64" s="3"/>
      <c r="AQ64" s="177"/>
      <c r="AU64" s="217"/>
    </row>
    <row r="65" spans="3:47" ht="20.100000000000001" customHeight="1" x14ac:dyDescent="0.3">
      <c r="C65" s="42"/>
      <c r="F65" s="184"/>
      <c r="H65" s="184"/>
      <c r="I65" s="184"/>
      <c r="J65" s="193"/>
      <c r="K65" s="193"/>
      <c r="L65" s="123"/>
      <c r="M65" s="123"/>
      <c r="N65" s="160"/>
      <c r="O65" s="160"/>
      <c r="P65" s="123"/>
      <c r="Q65" s="123"/>
      <c r="R65" s="123"/>
      <c r="T65" s="41">
        <v>7</v>
      </c>
      <c r="V65" s="178" t="s">
        <v>466</v>
      </c>
      <c r="Y65" s="262">
        <f>Y62</f>
        <v>1560</v>
      </c>
      <c r="Z65" s="1"/>
      <c r="AA65" s="262">
        <f>AA62</f>
        <v>1436827.8010000002</v>
      </c>
      <c r="AB65" s="3"/>
      <c r="AC65" s="198"/>
      <c r="AD65" s="248"/>
      <c r="AE65" s="262">
        <f>AE62</f>
        <v>96586</v>
      </c>
      <c r="AF65" s="3"/>
      <c r="AG65" s="180">
        <f>ROUND((AE65/AE$72)*100,1)</f>
        <v>96.1</v>
      </c>
      <c r="AH65" s="4"/>
      <c r="AI65" s="262">
        <f>AI62</f>
        <v>13775</v>
      </c>
      <c r="AJ65" s="3"/>
      <c r="AK65" s="180">
        <f>ROUND((AI65/AE65)*100,1)</f>
        <v>14.3</v>
      </c>
      <c r="AL65" s="6"/>
      <c r="AM65" s="262">
        <f>AM62</f>
        <v>5011</v>
      </c>
      <c r="AN65" s="3"/>
      <c r="AO65" s="262">
        <f>AO62</f>
        <v>101597</v>
      </c>
      <c r="AP65" s="3"/>
      <c r="AQ65" s="177">
        <f>ROUND((AI65/AO65)*100,1)</f>
        <v>13.6</v>
      </c>
      <c r="AU65" s="217"/>
    </row>
    <row r="66" spans="3:47" x14ac:dyDescent="0.3">
      <c r="C66" s="42"/>
      <c r="F66" s="184"/>
      <c r="H66" s="184"/>
      <c r="I66" s="184"/>
      <c r="J66" s="193"/>
      <c r="K66" s="193"/>
      <c r="L66" s="123"/>
      <c r="M66" s="123"/>
      <c r="N66" s="160"/>
      <c r="O66" s="160"/>
      <c r="P66" s="123"/>
      <c r="Q66" s="123"/>
      <c r="R66" s="123"/>
      <c r="V66" s="178"/>
      <c r="Y66" s="184"/>
      <c r="Z66" s="1"/>
      <c r="AA66" s="184"/>
      <c r="AB66" s="3"/>
      <c r="AC66" s="198"/>
      <c r="AD66" s="248"/>
      <c r="AE66" s="3"/>
      <c r="AF66" s="3"/>
      <c r="AG66" s="175"/>
      <c r="AH66" s="4"/>
      <c r="AI66" s="3"/>
      <c r="AJ66" s="3"/>
      <c r="AK66" s="175"/>
      <c r="AL66" s="6"/>
      <c r="AM66" s="3"/>
      <c r="AN66" s="3"/>
      <c r="AO66" s="3"/>
      <c r="AP66" s="3"/>
      <c r="AQ66" s="175"/>
      <c r="AU66" s="217"/>
    </row>
    <row r="67" spans="3:47" ht="18" customHeight="1" x14ac:dyDescent="0.3">
      <c r="C67" s="42"/>
      <c r="F67" s="184"/>
      <c r="H67" s="184"/>
      <c r="I67" s="184"/>
      <c r="J67" s="193"/>
      <c r="K67" s="193"/>
      <c r="L67" s="123"/>
      <c r="M67" s="123"/>
      <c r="N67" s="160"/>
      <c r="O67" s="160"/>
      <c r="P67" s="123"/>
      <c r="Q67" s="123"/>
      <c r="R67" s="123"/>
      <c r="T67" s="41">
        <v>8</v>
      </c>
      <c r="V67" s="132" t="s">
        <v>478</v>
      </c>
      <c r="Y67" s="3"/>
      <c r="Z67" s="1"/>
      <c r="AA67" s="3"/>
      <c r="AB67" s="3"/>
      <c r="AC67" s="198"/>
      <c r="AD67" s="248"/>
      <c r="AE67" s="3"/>
      <c r="AF67" s="3"/>
      <c r="AG67" s="175"/>
      <c r="AH67" s="4"/>
      <c r="AI67" s="3"/>
      <c r="AJ67" s="3"/>
      <c r="AK67" s="175"/>
      <c r="AL67" s="6"/>
      <c r="AM67" s="3"/>
      <c r="AN67" s="3"/>
      <c r="AO67" s="3"/>
      <c r="AP67" s="3"/>
      <c r="AQ67" s="175"/>
      <c r="AU67" s="217"/>
    </row>
    <row r="68" spans="3:47" ht="18" customHeight="1" x14ac:dyDescent="0.3">
      <c r="C68" s="42"/>
      <c r="F68" s="184"/>
      <c r="H68" s="184"/>
      <c r="I68" s="184"/>
      <c r="J68" s="193"/>
      <c r="K68" s="193"/>
      <c r="L68" s="123"/>
      <c r="M68" s="123"/>
      <c r="N68" s="160"/>
      <c r="O68" s="160"/>
      <c r="P68" s="123"/>
      <c r="Q68" s="123"/>
      <c r="R68" s="123"/>
      <c r="T68" s="41">
        <v>9</v>
      </c>
      <c r="V68" s="192" t="str">
        <f>C30</f>
        <v>ENVIRONMENTAL SURCHARGE MECHANISM RIDER (ESM)</v>
      </c>
      <c r="Y68" s="3"/>
      <c r="Z68" s="1"/>
      <c r="AA68" s="3"/>
      <c r="AB68" s="3"/>
      <c r="AC68" s="318">
        <f>CUR_ESM_NonRes</f>
        <v>6.4941608437496566E-3</v>
      </c>
      <c r="AD68" s="248"/>
      <c r="AE68" s="3">
        <f>ROUND(($AO$65-(CUR_BASE_FUEL*AA65)+AO69)*AC68,0)</f>
        <v>368</v>
      </c>
      <c r="AF68" s="3"/>
      <c r="AG68" s="175">
        <f>ROUND((AE68/AE$72)*100,1)</f>
        <v>0.4</v>
      </c>
      <c r="AH68" s="4"/>
      <c r="AI68" s="3">
        <f>L30-AE68</f>
        <v>40</v>
      </c>
      <c r="AJ68" s="3"/>
      <c r="AK68" s="175">
        <f>IF(AE68=0,0,ROUND((AI68/AE68)*100,1))</f>
        <v>10.9</v>
      </c>
      <c r="AL68" s="6"/>
      <c r="AM68" s="3"/>
      <c r="AN68" s="3"/>
      <c r="AO68" s="3">
        <f>AE68+AM68</f>
        <v>368</v>
      </c>
      <c r="AP68" s="3"/>
      <c r="AQ68" s="175">
        <f>IF(AO68=0,0,ROUND((AI68/AO68)*100,1))</f>
        <v>10.9</v>
      </c>
      <c r="AU68" s="217"/>
    </row>
    <row r="69" spans="3:47" x14ac:dyDescent="0.3">
      <c r="C69" s="42"/>
      <c r="F69" s="184"/>
      <c r="H69" s="184"/>
      <c r="I69" s="184"/>
      <c r="J69" s="193"/>
      <c r="K69" s="193"/>
      <c r="L69" s="123"/>
      <c r="M69" s="123"/>
      <c r="N69" s="160"/>
      <c r="O69" s="160"/>
      <c r="P69" s="123"/>
      <c r="Q69" s="123"/>
      <c r="R69" s="123"/>
      <c r="T69" s="41">
        <v>10</v>
      </c>
      <c r="V69" s="192" t="str">
        <f>C31</f>
        <v>PROFIT SHARING MECHANISM (PSM)</v>
      </c>
      <c r="Y69" s="3"/>
      <c r="Z69" s="1"/>
      <c r="AA69" s="3"/>
      <c r="AB69" s="3"/>
      <c r="AC69" s="198">
        <f>RS_PSM</f>
        <v>2.4750000000000002E-3</v>
      </c>
      <c r="AD69" s="248"/>
      <c r="AE69" s="49">
        <f>ROUND($AA$65*AC69,0)</f>
        <v>3556</v>
      </c>
      <c r="AF69" s="3"/>
      <c r="AG69" s="177">
        <f>ROUND((AE69/AE$72)*100,1)</f>
        <v>3.5</v>
      </c>
      <c r="AH69" s="4"/>
      <c r="AI69" s="49">
        <f>L31-AE69</f>
        <v>0</v>
      </c>
      <c r="AJ69" s="3"/>
      <c r="AK69" s="177">
        <f>ROUND((AI69/AE69)*100,1)</f>
        <v>0</v>
      </c>
      <c r="AL69" s="6"/>
      <c r="AM69" s="49"/>
      <c r="AN69" s="3"/>
      <c r="AO69" s="49">
        <f>AE69+AM69</f>
        <v>3556</v>
      </c>
      <c r="AP69" s="3"/>
      <c r="AQ69" s="177">
        <f>ROUND((AI69/AO69)*100,1)</f>
        <v>0</v>
      </c>
      <c r="AU69" s="217"/>
    </row>
    <row r="70" spans="3:47" ht="20.100000000000001" customHeight="1" x14ac:dyDescent="0.3">
      <c r="C70" s="42"/>
      <c r="F70" s="184"/>
      <c r="H70" s="184"/>
      <c r="I70" s="184"/>
      <c r="J70" s="193"/>
      <c r="K70" s="193"/>
      <c r="L70" s="123"/>
      <c r="M70" s="123"/>
      <c r="N70" s="160"/>
      <c r="O70" s="160"/>
      <c r="P70" s="123"/>
      <c r="Q70" s="123"/>
      <c r="R70" s="123"/>
      <c r="T70" s="41">
        <v>11</v>
      </c>
      <c r="V70" s="132" t="s">
        <v>465</v>
      </c>
      <c r="Y70" s="49"/>
      <c r="Z70" s="1"/>
      <c r="AA70" s="49"/>
      <c r="AB70" s="3"/>
      <c r="AC70" s="200"/>
      <c r="AD70" s="248"/>
      <c r="AE70" s="49">
        <f>SUM(AE68:AE69)</f>
        <v>3924</v>
      </c>
      <c r="AF70" s="3"/>
      <c r="AG70" s="180">
        <f>ROUND((AE70/AE$72)*100,1)</f>
        <v>3.9</v>
      </c>
      <c r="AH70" s="4"/>
      <c r="AI70" s="49">
        <f>SUM(AI68:AI69)</f>
        <v>40</v>
      </c>
      <c r="AJ70" s="3"/>
      <c r="AK70" s="180">
        <f>ROUND((AI70/AE70)*100,1)</f>
        <v>1</v>
      </c>
      <c r="AL70" s="6"/>
      <c r="AM70" s="49"/>
      <c r="AN70" s="3"/>
      <c r="AO70" s="49">
        <f>SUM(AO68:AO69)</f>
        <v>3924</v>
      </c>
      <c r="AP70" s="3"/>
      <c r="AQ70" s="177">
        <f>ROUND((AI70/AO70)*100,1)</f>
        <v>1</v>
      </c>
      <c r="AU70" s="217"/>
    </row>
    <row r="71" spans="3:47" x14ac:dyDescent="0.3">
      <c r="C71" s="42"/>
      <c r="F71" s="184"/>
      <c r="H71" s="184"/>
      <c r="I71" s="184"/>
      <c r="J71" s="193"/>
      <c r="K71" s="193"/>
      <c r="L71" s="123"/>
      <c r="M71" s="123"/>
      <c r="N71" s="160"/>
      <c r="O71" s="160"/>
      <c r="P71" s="123"/>
      <c r="Q71" s="123"/>
      <c r="R71" s="123"/>
      <c r="V71" s="42"/>
      <c r="Y71" s="3"/>
      <c r="Z71" s="1"/>
      <c r="AA71" s="3"/>
      <c r="AB71" s="3"/>
      <c r="AC71" s="200"/>
      <c r="AD71" s="248"/>
      <c r="AE71" s="3"/>
      <c r="AF71" s="3"/>
      <c r="AG71" s="175"/>
      <c r="AH71" s="4"/>
      <c r="AI71" s="3"/>
      <c r="AJ71" s="3"/>
      <c r="AK71" s="175"/>
      <c r="AL71" s="6"/>
      <c r="AM71" s="3"/>
      <c r="AN71" s="3"/>
      <c r="AO71" s="3"/>
      <c r="AP71" s="3"/>
      <c r="AQ71" s="175"/>
      <c r="AU71" s="217"/>
    </row>
    <row r="72" spans="3:47" ht="20.100000000000001" customHeight="1" thickBot="1" x14ac:dyDescent="0.35">
      <c r="C72" s="42"/>
      <c r="F72" s="123"/>
      <c r="H72" s="123"/>
      <c r="I72" s="123"/>
      <c r="J72" s="213"/>
      <c r="K72" s="213"/>
      <c r="L72" s="123"/>
      <c r="M72" s="123"/>
      <c r="N72" s="123"/>
      <c r="O72" s="123"/>
      <c r="P72" s="123"/>
      <c r="Q72" s="123"/>
      <c r="R72" s="123"/>
      <c r="T72" s="41">
        <v>12</v>
      </c>
      <c r="V72" s="132" t="s">
        <v>467</v>
      </c>
      <c r="Y72" s="151">
        <f>Y65</f>
        <v>1560</v>
      </c>
      <c r="Z72" s="1"/>
      <c r="AA72" s="151">
        <f>AA65</f>
        <v>1436827.8010000002</v>
      </c>
      <c r="AB72" s="3"/>
      <c r="AC72" s="5"/>
      <c r="AD72" s="1"/>
      <c r="AE72" s="151">
        <f>AE70+AE65</f>
        <v>100510</v>
      </c>
      <c r="AF72" s="3"/>
      <c r="AG72" s="187">
        <v>100</v>
      </c>
      <c r="AH72" s="4"/>
      <c r="AI72" s="151">
        <f>AI70+AI65</f>
        <v>13815</v>
      </c>
      <c r="AJ72" s="3"/>
      <c r="AK72" s="187">
        <f>ROUND((AI72/AE72)*100,1)</f>
        <v>13.7</v>
      </c>
      <c r="AL72" s="6"/>
      <c r="AM72" s="265">
        <f>ROUND(AA72*CUR_FAC,0)</f>
        <v>5011</v>
      </c>
      <c r="AN72" s="159"/>
      <c r="AO72" s="151">
        <f>AO70+AO65</f>
        <v>105521</v>
      </c>
      <c r="AP72" s="3"/>
      <c r="AQ72" s="187">
        <f>ROUND((AI72/AO72)*100,1)</f>
        <v>13.1</v>
      </c>
    </row>
    <row r="73" spans="3:47" ht="16.2" thickTop="1" x14ac:dyDescent="0.3">
      <c r="C73" s="42"/>
      <c r="F73" s="123"/>
      <c r="H73" s="123"/>
      <c r="I73" s="123"/>
      <c r="J73" s="213"/>
      <c r="K73" s="213"/>
      <c r="L73" s="123"/>
      <c r="M73" s="123"/>
      <c r="N73" s="123"/>
      <c r="O73" s="123"/>
      <c r="P73" s="123"/>
      <c r="Q73" s="123"/>
      <c r="R73" s="123"/>
      <c r="V73" s="42"/>
      <c r="Y73" s="3"/>
      <c r="Z73" s="1"/>
      <c r="AA73" s="3"/>
      <c r="AB73" s="3"/>
      <c r="AC73" s="5"/>
      <c r="AD73" s="1"/>
      <c r="AE73" s="3"/>
      <c r="AF73" s="3"/>
      <c r="AG73" s="175"/>
      <c r="AH73" s="4"/>
      <c r="AI73" s="3"/>
      <c r="AJ73" s="3"/>
      <c r="AK73" s="175"/>
      <c r="AL73" s="6"/>
      <c r="AM73" s="159"/>
      <c r="AN73" s="159"/>
      <c r="AO73" s="3"/>
      <c r="AP73" s="3"/>
      <c r="AQ73" s="175"/>
    </row>
    <row r="74" spans="3:47" x14ac:dyDescent="0.3">
      <c r="F74" s="123"/>
      <c r="H74" s="123"/>
      <c r="I74" s="123"/>
      <c r="J74" s="213"/>
      <c r="K74" s="213"/>
      <c r="L74" s="210"/>
      <c r="M74" s="210"/>
      <c r="N74" s="210"/>
      <c r="O74" s="210"/>
      <c r="P74" s="210"/>
      <c r="Q74" s="210"/>
      <c r="R74" s="210"/>
      <c r="V74" s="264" t="s">
        <v>1135</v>
      </c>
      <c r="AC74" s="188"/>
    </row>
    <row r="75" spans="3:47" x14ac:dyDescent="0.3">
      <c r="F75" s="123"/>
      <c r="H75" s="123"/>
      <c r="I75" s="123"/>
      <c r="J75" s="213"/>
      <c r="K75" s="213"/>
      <c r="L75" s="210"/>
      <c r="M75" s="210"/>
      <c r="N75" s="210"/>
      <c r="O75" s="210"/>
      <c r="P75" s="210"/>
      <c r="Q75" s="210"/>
      <c r="R75" s="210"/>
      <c r="V75" s="202" t="str">
        <f>"(2) REFLECTS FUEL COMPONENT OF "&amp;TEXT(CUR_FAC,"$0.000000;($0.000000)")&amp;" PER KWH."</f>
        <v>(2) REFLECTS FUEL COMPONENT OF $0.003487 PER KWH.</v>
      </c>
      <c r="AC75" s="188"/>
    </row>
    <row r="76" spans="3:47" x14ac:dyDescent="0.3">
      <c r="C76" s="42"/>
      <c r="F76" s="123"/>
      <c r="H76" s="123"/>
      <c r="I76" s="123"/>
      <c r="J76" s="219"/>
      <c r="K76" s="219"/>
      <c r="L76" s="123"/>
      <c r="M76" s="123"/>
      <c r="N76" s="160"/>
      <c r="O76" s="160"/>
      <c r="P76" s="123"/>
      <c r="Q76" s="123"/>
      <c r="R76" s="123"/>
      <c r="V76" s="202" t="str">
        <f>"(3) REFLECTS FUEL COST RECOVERY INCLUDED IN BASE RATES OF "&amp;TEXT(CUR_BASE_FUEL,"$0.000000;($0.000000)")&amp;"  PER KWH."</f>
        <v>(3) REFLECTS FUEL COST RECOVERY INCLUDED IN BASE RATES OF $0.033780  PER KWH.</v>
      </c>
      <c r="Y76" s="123"/>
      <c r="AA76" s="123"/>
      <c r="AB76" s="123"/>
      <c r="AC76" s="188"/>
      <c r="AD76" s="219"/>
      <c r="AE76" s="123"/>
      <c r="AF76" s="123"/>
      <c r="AH76" s="123"/>
      <c r="AI76" s="123"/>
      <c r="AJ76" s="123"/>
      <c r="AL76" s="123"/>
      <c r="AM76" s="123"/>
      <c r="AN76" s="123"/>
      <c r="AO76" s="123"/>
      <c r="AP76" s="123"/>
    </row>
    <row r="77" spans="3:47" x14ac:dyDescent="0.3">
      <c r="C77" s="42"/>
      <c r="F77" s="123"/>
      <c r="H77" s="123"/>
      <c r="I77" s="123"/>
      <c r="J77" s="219"/>
      <c r="K77" s="219"/>
      <c r="L77" s="123"/>
      <c r="M77" s="123"/>
      <c r="N77" s="160"/>
      <c r="O77" s="160"/>
      <c r="P77" s="123"/>
      <c r="Q77" s="123"/>
      <c r="R77" s="123"/>
      <c r="T77" s="42"/>
      <c r="AC77" s="188"/>
    </row>
    <row r="78" spans="3:47" x14ac:dyDescent="0.3">
      <c r="C78" s="42"/>
      <c r="F78" s="123"/>
      <c r="H78" s="184"/>
      <c r="I78" s="184"/>
      <c r="J78" s="227"/>
      <c r="K78" s="227"/>
      <c r="L78" s="123"/>
      <c r="M78" s="123"/>
      <c r="N78" s="160"/>
      <c r="O78" s="160"/>
      <c r="P78" s="123"/>
      <c r="Q78" s="123"/>
      <c r="R78" s="123"/>
      <c r="AC78" s="188"/>
    </row>
    <row r="79" spans="3:47" x14ac:dyDescent="0.3">
      <c r="F79" s="210"/>
      <c r="H79" s="210"/>
      <c r="I79" s="210"/>
      <c r="J79" s="213"/>
      <c r="K79" s="213"/>
      <c r="L79" s="210"/>
      <c r="M79" s="210"/>
      <c r="N79" s="210"/>
      <c r="O79" s="210"/>
      <c r="P79" s="210"/>
      <c r="Q79" s="210"/>
      <c r="R79" s="210"/>
      <c r="V79" s="42"/>
      <c r="Y79" s="123"/>
      <c r="AA79" s="184"/>
      <c r="AB79" s="184"/>
      <c r="AC79" s="238"/>
      <c r="AD79" s="193"/>
      <c r="AE79" s="123"/>
      <c r="AF79" s="123"/>
      <c r="AH79" s="160"/>
      <c r="AI79" s="123"/>
      <c r="AJ79" s="123"/>
      <c r="AL79" s="236"/>
      <c r="AO79" s="123"/>
      <c r="AP79" s="123"/>
    </row>
    <row r="80" spans="3:47" x14ac:dyDescent="0.3">
      <c r="F80" s="210"/>
      <c r="H80" s="210"/>
      <c r="I80" s="210"/>
      <c r="J80" s="213"/>
      <c r="K80" s="213"/>
      <c r="L80" s="210"/>
      <c r="M80" s="210"/>
      <c r="N80" s="210"/>
      <c r="O80" s="210"/>
      <c r="P80" s="210"/>
      <c r="Q80" s="210"/>
      <c r="R80" s="210"/>
      <c r="S80" s="123"/>
      <c r="V80" s="42"/>
      <c r="Y80" s="184"/>
      <c r="AA80" s="184"/>
      <c r="AB80" s="184"/>
      <c r="AC80" s="238"/>
      <c r="AD80" s="237"/>
      <c r="AE80" s="123"/>
      <c r="AF80" s="123"/>
      <c r="AH80" s="160"/>
      <c r="AI80" s="123"/>
      <c r="AJ80" s="123"/>
      <c r="AL80" s="160"/>
      <c r="AM80" s="123"/>
      <c r="AN80" s="123"/>
      <c r="AO80" s="123"/>
      <c r="AP80" s="123"/>
    </row>
    <row r="81" spans="3:42" x14ac:dyDescent="0.3">
      <c r="C81" s="42"/>
      <c r="F81" s="184"/>
      <c r="H81" s="239"/>
      <c r="I81" s="239"/>
      <c r="J81" s="213"/>
      <c r="K81" s="213"/>
      <c r="L81" s="123"/>
      <c r="M81" s="123"/>
      <c r="N81" s="160"/>
      <c r="O81" s="160"/>
      <c r="P81" s="123"/>
      <c r="Q81" s="123"/>
      <c r="R81" s="123"/>
      <c r="S81" s="123"/>
      <c r="V81" s="42"/>
      <c r="Y81" s="184"/>
      <c r="AA81" s="123"/>
      <c r="AB81" s="123"/>
      <c r="AC81" s="193"/>
      <c r="AD81" s="193"/>
      <c r="AE81" s="123"/>
      <c r="AF81" s="123"/>
      <c r="AH81" s="160"/>
      <c r="AI81" s="123"/>
      <c r="AJ81" s="123"/>
      <c r="AL81" s="236"/>
      <c r="AM81" s="123"/>
      <c r="AN81" s="123"/>
      <c r="AO81" s="123"/>
      <c r="AP81" s="123"/>
    </row>
    <row r="82" spans="3:42" x14ac:dyDescent="0.3">
      <c r="V82" s="42"/>
      <c r="Y82" s="184"/>
      <c r="AA82" s="123"/>
      <c r="AB82" s="123"/>
      <c r="AC82" s="193"/>
      <c r="AD82" s="193"/>
      <c r="AE82" s="123"/>
      <c r="AF82" s="123"/>
      <c r="AH82" s="160"/>
      <c r="AI82" s="123"/>
      <c r="AJ82" s="123"/>
      <c r="AL82" s="236"/>
      <c r="AM82" s="123"/>
      <c r="AN82" s="123"/>
      <c r="AO82" s="123"/>
      <c r="AP82" s="123"/>
    </row>
    <row r="83" spans="3:42" x14ac:dyDescent="0.3">
      <c r="C83" s="42"/>
      <c r="F83" s="184"/>
      <c r="H83" s="184"/>
      <c r="I83" s="184"/>
      <c r="J83" s="193"/>
      <c r="K83" s="193"/>
      <c r="L83" s="123"/>
      <c r="M83" s="123"/>
      <c r="N83" s="160"/>
      <c r="O83" s="160"/>
      <c r="R83" s="123"/>
      <c r="V83" s="42"/>
      <c r="Y83" s="123"/>
      <c r="AA83" s="123"/>
      <c r="AB83" s="123"/>
      <c r="AC83" s="219"/>
      <c r="AD83" s="219"/>
      <c r="AE83" s="123"/>
      <c r="AF83" s="123"/>
      <c r="AH83" s="160"/>
      <c r="AI83" s="123"/>
      <c r="AJ83" s="123"/>
      <c r="AL83" s="236"/>
      <c r="AM83" s="123"/>
      <c r="AN83" s="123"/>
      <c r="AO83" s="123"/>
      <c r="AP83" s="123"/>
    </row>
    <row r="84" spans="3:42" x14ac:dyDescent="0.3">
      <c r="C84" s="42"/>
      <c r="F84" s="184"/>
      <c r="H84" s="184"/>
      <c r="I84" s="184"/>
      <c r="J84" s="193"/>
      <c r="K84" s="193"/>
      <c r="L84" s="123"/>
      <c r="M84" s="123"/>
      <c r="N84" s="160"/>
      <c r="O84" s="160"/>
      <c r="R84" s="123"/>
      <c r="V84" s="42"/>
      <c r="Y84" s="123"/>
      <c r="AA84" s="123"/>
      <c r="AB84" s="123"/>
      <c r="AC84" s="219"/>
      <c r="AD84" s="219"/>
      <c r="AE84" s="123"/>
      <c r="AF84" s="123"/>
      <c r="AH84" s="160"/>
      <c r="AI84" s="123"/>
      <c r="AJ84" s="123"/>
      <c r="AL84" s="236"/>
      <c r="AM84" s="123"/>
      <c r="AN84" s="123"/>
      <c r="AO84" s="123"/>
      <c r="AP84" s="123"/>
    </row>
    <row r="85" spans="3:42" x14ac:dyDescent="0.3">
      <c r="F85" s="210"/>
      <c r="H85" s="123"/>
      <c r="I85" s="123"/>
      <c r="J85" s="213"/>
      <c r="K85" s="213"/>
      <c r="L85" s="210"/>
      <c r="M85" s="210"/>
      <c r="N85" s="210"/>
      <c r="O85" s="210"/>
      <c r="P85" s="210"/>
      <c r="Q85" s="210"/>
      <c r="R85" s="210"/>
      <c r="V85" s="42"/>
      <c r="Y85" s="123"/>
      <c r="AA85" s="123"/>
      <c r="AB85" s="123"/>
      <c r="AC85" s="212"/>
      <c r="AD85" s="212"/>
      <c r="AE85" s="123"/>
      <c r="AF85" s="123"/>
      <c r="AH85" s="160"/>
      <c r="AI85" s="123"/>
      <c r="AJ85" s="123"/>
      <c r="AL85" s="236"/>
      <c r="AM85" s="123"/>
      <c r="AN85" s="123"/>
      <c r="AO85" s="123"/>
      <c r="AP85" s="123"/>
    </row>
    <row r="86" spans="3:42" x14ac:dyDescent="0.3">
      <c r="F86" s="210"/>
      <c r="H86" s="123"/>
      <c r="I86" s="123"/>
      <c r="J86" s="213"/>
      <c r="K86" s="213"/>
      <c r="L86" s="210"/>
      <c r="M86" s="210"/>
      <c r="N86" s="210"/>
      <c r="O86" s="210"/>
      <c r="P86" s="210"/>
      <c r="Q86" s="210"/>
      <c r="R86" s="210"/>
    </row>
    <row r="87" spans="3:42" x14ac:dyDescent="0.3">
      <c r="C87" s="42"/>
      <c r="F87" s="184"/>
      <c r="H87" s="184"/>
      <c r="I87" s="184"/>
      <c r="J87" s="237"/>
      <c r="K87" s="237"/>
      <c r="L87" s="123"/>
      <c r="M87" s="123"/>
      <c r="N87" s="160"/>
      <c r="O87" s="160"/>
      <c r="P87" s="123"/>
      <c r="Q87" s="123"/>
      <c r="R87" s="123"/>
      <c r="S87" s="123"/>
      <c r="V87" s="42"/>
      <c r="Y87" s="123"/>
      <c r="AA87" s="123"/>
      <c r="AB87" s="123"/>
      <c r="AC87" s="213"/>
      <c r="AD87" s="213"/>
      <c r="AE87" s="123"/>
      <c r="AF87" s="123"/>
      <c r="AH87" s="160"/>
      <c r="AI87" s="123"/>
      <c r="AJ87" s="123"/>
      <c r="AL87" s="160"/>
      <c r="AM87" s="123"/>
      <c r="AN87" s="123"/>
      <c r="AO87" s="123"/>
      <c r="AP87" s="123"/>
    </row>
    <row r="88" spans="3:42" x14ac:dyDescent="0.3">
      <c r="C88" s="42"/>
      <c r="F88" s="184"/>
      <c r="H88" s="184"/>
      <c r="I88" s="184"/>
      <c r="J88" s="193"/>
      <c r="K88" s="193"/>
      <c r="L88" s="123"/>
      <c r="M88" s="123"/>
      <c r="N88" s="160"/>
      <c r="O88" s="160"/>
      <c r="P88" s="123"/>
      <c r="Q88" s="123"/>
      <c r="R88" s="123"/>
      <c r="V88" s="42"/>
    </row>
    <row r="89" spans="3:42" x14ac:dyDescent="0.3">
      <c r="F89" s="123"/>
      <c r="H89" s="210"/>
      <c r="I89" s="210"/>
      <c r="J89" s="213"/>
      <c r="K89" s="213"/>
      <c r="L89" s="210"/>
      <c r="M89" s="210"/>
      <c r="N89" s="210"/>
      <c r="O89" s="210"/>
      <c r="P89" s="210"/>
      <c r="Q89" s="210"/>
      <c r="R89" s="210"/>
      <c r="V89" s="42"/>
      <c r="Y89" s="123"/>
      <c r="AA89" s="123"/>
      <c r="AB89" s="123"/>
      <c r="AE89" s="123"/>
      <c r="AF89" s="123"/>
      <c r="AH89" s="160"/>
      <c r="AI89" s="123"/>
      <c r="AJ89" s="123"/>
      <c r="AL89" s="160"/>
      <c r="AM89" s="184"/>
      <c r="AN89" s="184"/>
      <c r="AO89" s="123"/>
      <c r="AP89" s="123"/>
    </row>
    <row r="90" spans="3:42" x14ac:dyDescent="0.3">
      <c r="F90" s="123"/>
      <c r="H90" s="210"/>
      <c r="I90" s="210"/>
      <c r="J90" s="213"/>
      <c r="K90" s="213"/>
      <c r="L90" s="210"/>
      <c r="M90" s="210"/>
      <c r="N90" s="210"/>
      <c r="O90" s="210"/>
      <c r="P90" s="210"/>
      <c r="Q90" s="210"/>
      <c r="R90" s="210"/>
    </row>
    <row r="91" spans="3:42" x14ac:dyDescent="0.3">
      <c r="C91" s="42"/>
      <c r="F91" s="123"/>
      <c r="H91" s="123"/>
      <c r="I91" s="123"/>
      <c r="J91" s="213"/>
      <c r="K91" s="213"/>
      <c r="L91" s="123"/>
      <c r="M91" s="123"/>
      <c r="N91" s="123"/>
      <c r="O91" s="123"/>
      <c r="P91" s="123"/>
      <c r="Q91" s="123"/>
      <c r="R91" s="123"/>
      <c r="V91" s="42"/>
      <c r="AE91" s="123"/>
      <c r="AF91" s="123"/>
      <c r="AH91" s="123"/>
      <c r="AM91" s="123"/>
      <c r="AN91" s="123"/>
      <c r="AO91" s="123"/>
      <c r="AP91" s="123"/>
    </row>
    <row r="92" spans="3:42" x14ac:dyDescent="0.3">
      <c r="C92" s="42"/>
      <c r="F92" s="123"/>
      <c r="H92" s="184"/>
      <c r="I92" s="184"/>
      <c r="J92" s="238"/>
      <c r="K92" s="238"/>
      <c r="L92" s="123"/>
      <c r="M92" s="123"/>
      <c r="N92" s="160"/>
      <c r="O92" s="160"/>
      <c r="P92" s="123"/>
      <c r="Q92" s="123"/>
      <c r="R92" s="123"/>
      <c r="T92" s="42"/>
    </row>
    <row r="93" spans="3:42" x14ac:dyDescent="0.3">
      <c r="C93" s="42"/>
      <c r="H93" s="184"/>
      <c r="I93" s="184"/>
      <c r="J93" s="238"/>
      <c r="K93" s="238"/>
      <c r="L93" s="123"/>
      <c r="M93" s="123"/>
      <c r="N93" s="160"/>
      <c r="O93" s="160"/>
      <c r="P93" s="123"/>
      <c r="Q93" s="123"/>
      <c r="R93" s="123"/>
      <c r="T93" s="42"/>
      <c r="V93" s="184"/>
      <c r="Y93" s="184"/>
      <c r="Z93" s="237"/>
      <c r="AA93" s="123"/>
      <c r="AB93" s="123"/>
      <c r="AC93" s="160"/>
      <c r="AD93" s="160"/>
      <c r="AE93" s="123"/>
      <c r="AF93" s="123"/>
      <c r="AH93" s="160"/>
      <c r="AI93" s="123"/>
      <c r="AJ93" s="123"/>
      <c r="AL93" s="123"/>
      <c r="AM93" s="160"/>
      <c r="AN93" s="160"/>
    </row>
    <row r="94" spans="3:42" x14ac:dyDescent="0.3">
      <c r="F94" s="123"/>
      <c r="H94" s="123"/>
      <c r="I94" s="123"/>
      <c r="J94" s="213"/>
      <c r="K94" s="213"/>
      <c r="L94" s="210"/>
      <c r="M94" s="210"/>
      <c r="N94" s="210"/>
      <c r="O94" s="210"/>
      <c r="P94" s="210"/>
      <c r="Q94" s="210"/>
      <c r="R94" s="210"/>
      <c r="T94" s="42"/>
      <c r="V94" s="184"/>
      <c r="Y94" s="123"/>
      <c r="Z94" s="193"/>
      <c r="AA94" s="123"/>
      <c r="AB94" s="123"/>
      <c r="AC94" s="160"/>
      <c r="AD94" s="160"/>
      <c r="AE94" s="123"/>
      <c r="AF94" s="123"/>
      <c r="AH94" s="236"/>
      <c r="AI94" s="123"/>
      <c r="AJ94" s="123"/>
      <c r="AL94" s="123"/>
      <c r="AM94" s="160"/>
      <c r="AN94" s="160"/>
    </row>
    <row r="95" spans="3:42" x14ac:dyDescent="0.3">
      <c r="C95" s="42"/>
      <c r="F95" s="123"/>
      <c r="H95" s="123"/>
      <c r="I95" s="123"/>
      <c r="J95" s="219"/>
      <c r="K95" s="219"/>
      <c r="L95" s="123"/>
      <c r="M95" s="123"/>
      <c r="N95" s="160"/>
      <c r="O95" s="160"/>
      <c r="P95" s="123"/>
      <c r="Q95" s="123"/>
      <c r="R95" s="123"/>
      <c r="T95" s="42"/>
      <c r="V95" s="184"/>
      <c r="Y95" s="123"/>
      <c r="Z95" s="193"/>
      <c r="AA95" s="123"/>
      <c r="AB95" s="123"/>
      <c r="AC95" s="160"/>
      <c r="AD95" s="160"/>
      <c r="AE95" s="123"/>
      <c r="AF95" s="123"/>
      <c r="AH95" s="236"/>
      <c r="AI95" s="123"/>
      <c r="AJ95" s="123"/>
      <c r="AL95" s="123"/>
      <c r="AM95" s="160"/>
      <c r="AN95" s="160"/>
    </row>
    <row r="96" spans="3:42" x14ac:dyDescent="0.3">
      <c r="F96" s="123"/>
      <c r="H96" s="123"/>
      <c r="I96" s="123"/>
      <c r="J96" s="213"/>
      <c r="K96" s="213"/>
      <c r="L96" s="210"/>
      <c r="M96" s="210"/>
      <c r="N96" s="210"/>
      <c r="O96" s="210"/>
      <c r="P96" s="210"/>
      <c r="Q96" s="210"/>
      <c r="R96" s="210"/>
      <c r="V96" s="123"/>
      <c r="Y96" s="210"/>
      <c r="Z96" s="213"/>
      <c r="AA96" s="210"/>
      <c r="AB96" s="210"/>
      <c r="AC96" s="210"/>
      <c r="AD96" s="210"/>
      <c r="AE96" s="210"/>
      <c r="AF96" s="210"/>
      <c r="AI96" s="210"/>
      <c r="AJ96" s="210"/>
      <c r="AK96" s="214"/>
      <c r="AL96" s="210"/>
      <c r="AM96" s="160"/>
      <c r="AN96" s="160"/>
    </row>
    <row r="97" spans="1:40" x14ac:dyDescent="0.3">
      <c r="C97" s="42"/>
      <c r="F97" s="123"/>
      <c r="H97" s="123"/>
      <c r="I97" s="123"/>
      <c r="J97" s="219"/>
      <c r="K97" s="219"/>
      <c r="L97" s="123"/>
      <c r="M97" s="123"/>
      <c r="N97" s="160"/>
      <c r="O97" s="160"/>
      <c r="P97" s="123"/>
      <c r="Q97" s="123"/>
      <c r="R97" s="123"/>
      <c r="T97" s="42"/>
      <c r="V97" s="123"/>
      <c r="Y97" s="123"/>
      <c r="Z97" s="213"/>
      <c r="AA97" s="123"/>
      <c r="AB97" s="123"/>
      <c r="AC97" s="160"/>
      <c r="AD97" s="160"/>
      <c r="AE97" s="123"/>
      <c r="AF97" s="123"/>
      <c r="AH97" s="236"/>
      <c r="AI97" s="123"/>
      <c r="AJ97" s="123"/>
      <c r="AL97" s="123"/>
      <c r="AM97" s="160"/>
      <c r="AN97" s="160"/>
    </row>
    <row r="98" spans="1:40" x14ac:dyDescent="0.3">
      <c r="C98" s="42"/>
      <c r="F98" s="184"/>
      <c r="H98" s="184"/>
      <c r="I98" s="184"/>
      <c r="J98" s="227"/>
      <c r="K98" s="227"/>
      <c r="L98" s="123"/>
      <c r="M98" s="123"/>
      <c r="N98" s="160"/>
      <c r="O98" s="160"/>
      <c r="P98" s="123"/>
      <c r="Q98" s="123"/>
      <c r="R98" s="123"/>
      <c r="V98" s="123"/>
      <c r="Y98" s="210"/>
      <c r="Z98" s="213"/>
      <c r="AA98" s="210"/>
      <c r="AB98" s="210"/>
      <c r="AC98" s="210"/>
      <c r="AD98" s="210"/>
      <c r="AE98" s="210"/>
      <c r="AF98" s="210"/>
      <c r="AI98" s="210"/>
      <c r="AJ98" s="210"/>
      <c r="AK98" s="214"/>
      <c r="AL98" s="210"/>
      <c r="AM98" s="160"/>
      <c r="AN98" s="160"/>
    </row>
    <row r="99" spans="1:40" x14ac:dyDescent="0.3">
      <c r="F99" s="210"/>
      <c r="H99" s="210"/>
      <c r="I99" s="210"/>
      <c r="J99" s="213"/>
      <c r="K99" s="213"/>
      <c r="L99" s="210"/>
      <c r="M99" s="210"/>
      <c r="N99" s="210"/>
      <c r="O99" s="210"/>
      <c r="P99" s="210"/>
      <c r="Q99" s="210"/>
      <c r="R99" s="210"/>
      <c r="T99" s="42"/>
      <c r="V99" s="123"/>
      <c r="Y99" s="123"/>
      <c r="Z99" s="213"/>
      <c r="AA99" s="123"/>
      <c r="AB99" s="123"/>
      <c r="AC99" s="123"/>
      <c r="AD99" s="123"/>
      <c r="AE99" s="123"/>
      <c r="AF99" s="123"/>
      <c r="AH99" s="236"/>
      <c r="AI99" s="123"/>
      <c r="AJ99" s="123"/>
      <c r="AL99" s="123"/>
      <c r="AM99" s="160"/>
      <c r="AN99" s="160"/>
    </row>
    <row r="100" spans="1:40" x14ac:dyDescent="0.3">
      <c r="C100" s="42"/>
      <c r="F100" s="123"/>
      <c r="H100" s="123"/>
      <c r="I100" s="123"/>
      <c r="J100" s="213"/>
      <c r="K100" s="213"/>
      <c r="L100" s="123"/>
      <c r="M100" s="123"/>
      <c r="N100" s="160"/>
      <c r="O100" s="160"/>
      <c r="P100" s="123"/>
      <c r="Q100" s="123"/>
      <c r="R100" s="123"/>
      <c r="S100" s="123"/>
      <c r="T100" s="42"/>
      <c r="V100" s="123"/>
      <c r="Y100" s="123"/>
      <c r="Z100" s="238"/>
      <c r="AA100" s="123"/>
      <c r="AB100" s="123"/>
      <c r="AC100" s="160"/>
      <c r="AD100" s="160"/>
      <c r="AE100" s="123"/>
      <c r="AF100" s="123"/>
      <c r="AH100" s="236"/>
      <c r="AI100" s="123"/>
      <c r="AJ100" s="123"/>
      <c r="AL100" s="123"/>
      <c r="AM100" s="160"/>
      <c r="AN100" s="160"/>
    </row>
    <row r="101" spans="1:40" x14ac:dyDescent="0.3">
      <c r="F101" s="210"/>
      <c r="H101" s="210"/>
      <c r="I101" s="210"/>
      <c r="J101" s="213"/>
      <c r="K101" s="213"/>
      <c r="L101" s="210"/>
      <c r="M101" s="210"/>
      <c r="N101" s="210"/>
      <c r="O101" s="210"/>
      <c r="P101" s="210"/>
      <c r="Q101" s="210"/>
      <c r="R101" s="210"/>
      <c r="S101" s="123"/>
      <c r="T101" s="42"/>
      <c r="Y101" s="123"/>
      <c r="Z101" s="238"/>
      <c r="AA101" s="123"/>
      <c r="AB101" s="123"/>
      <c r="AC101" s="160"/>
      <c r="AD101" s="160"/>
      <c r="AE101" s="123"/>
      <c r="AF101" s="123"/>
      <c r="AH101" s="236"/>
      <c r="AI101" s="123"/>
      <c r="AJ101" s="123"/>
      <c r="AL101" s="123"/>
      <c r="AM101" s="160"/>
      <c r="AN101" s="160"/>
    </row>
    <row r="102" spans="1:40" x14ac:dyDescent="0.3">
      <c r="C102" s="42"/>
      <c r="V102" s="123"/>
      <c r="Y102" s="123"/>
      <c r="Z102" s="213"/>
      <c r="AA102" s="210"/>
      <c r="AB102" s="210"/>
      <c r="AC102" s="210"/>
      <c r="AD102" s="210"/>
      <c r="AE102" s="210"/>
      <c r="AF102" s="210"/>
      <c r="AI102" s="210"/>
      <c r="AJ102" s="210"/>
      <c r="AK102" s="214"/>
      <c r="AL102" s="210"/>
      <c r="AM102" s="160"/>
      <c r="AN102" s="160"/>
    </row>
    <row r="103" spans="1:40" x14ac:dyDescent="0.3">
      <c r="C103" s="42"/>
      <c r="F103" s="123"/>
      <c r="H103" s="123"/>
      <c r="I103" s="123"/>
      <c r="L103" s="123"/>
      <c r="M103" s="123"/>
      <c r="N103" s="160"/>
      <c r="O103" s="160"/>
      <c r="P103" s="184"/>
      <c r="Q103" s="184"/>
      <c r="R103" s="123"/>
      <c r="T103" s="42"/>
      <c r="V103" s="123"/>
      <c r="Y103" s="123"/>
      <c r="Z103" s="219"/>
      <c r="AA103" s="123"/>
      <c r="AB103" s="123"/>
      <c r="AC103" s="160"/>
      <c r="AD103" s="160"/>
      <c r="AE103" s="123"/>
      <c r="AF103" s="123"/>
      <c r="AH103" s="236"/>
      <c r="AI103" s="123"/>
      <c r="AJ103" s="123"/>
      <c r="AL103" s="123"/>
      <c r="AM103" s="160"/>
      <c r="AN103" s="160"/>
    </row>
    <row r="104" spans="1:40" x14ac:dyDescent="0.3">
      <c r="F104" s="210"/>
      <c r="H104" s="210"/>
      <c r="I104" s="210"/>
      <c r="J104" s="213"/>
      <c r="K104" s="213"/>
      <c r="L104" s="210"/>
      <c r="M104" s="210"/>
      <c r="N104" s="210"/>
      <c r="O104" s="210"/>
      <c r="P104" s="210"/>
      <c r="Q104" s="210"/>
      <c r="R104" s="210"/>
      <c r="V104" s="123"/>
      <c r="Y104" s="123"/>
      <c r="Z104" s="213"/>
      <c r="AA104" s="210"/>
      <c r="AB104" s="210"/>
      <c r="AC104" s="210"/>
      <c r="AD104" s="210"/>
      <c r="AE104" s="210"/>
      <c r="AF104" s="210"/>
      <c r="AI104" s="210"/>
      <c r="AJ104" s="210"/>
      <c r="AK104" s="214"/>
      <c r="AL104" s="210"/>
      <c r="AM104" s="160"/>
      <c r="AN104" s="160"/>
    </row>
    <row r="105" spans="1:40" x14ac:dyDescent="0.3">
      <c r="T105" s="42"/>
      <c r="V105" s="123"/>
      <c r="Y105" s="123"/>
      <c r="Z105" s="219"/>
      <c r="AA105" s="123"/>
      <c r="AB105" s="123"/>
      <c r="AC105" s="160"/>
      <c r="AD105" s="160"/>
      <c r="AE105" s="123"/>
      <c r="AF105" s="123"/>
      <c r="AH105" s="236"/>
      <c r="AI105" s="123"/>
      <c r="AJ105" s="123"/>
      <c r="AL105" s="123"/>
      <c r="AM105" s="160"/>
      <c r="AN105" s="160"/>
    </row>
    <row r="106" spans="1:40" x14ac:dyDescent="0.3">
      <c r="C106" s="42"/>
      <c r="L106" s="123"/>
      <c r="M106" s="123"/>
      <c r="N106" s="123"/>
      <c r="O106" s="123"/>
      <c r="P106" s="123"/>
      <c r="Q106" s="123"/>
      <c r="R106" s="123"/>
      <c r="S106" s="123"/>
      <c r="T106" s="42"/>
      <c r="V106" s="184"/>
      <c r="Y106" s="123"/>
      <c r="Z106" s="227"/>
      <c r="AA106" s="123"/>
      <c r="AB106" s="123"/>
      <c r="AC106" s="160"/>
      <c r="AD106" s="160"/>
      <c r="AE106" s="123"/>
      <c r="AF106" s="123"/>
      <c r="AH106" s="236"/>
      <c r="AI106" s="123"/>
      <c r="AJ106" s="123"/>
      <c r="AL106" s="123"/>
      <c r="AM106" s="160"/>
      <c r="AN106" s="160"/>
    </row>
    <row r="107" spans="1:40" x14ac:dyDescent="0.3">
      <c r="A107" s="42"/>
      <c r="V107" s="210"/>
      <c r="Y107" s="210"/>
      <c r="Z107" s="213"/>
      <c r="AA107" s="210"/>
      <c r="AB107" s="210"/>
      <c r="AC107" s="210"/>
      <c r="AD107" s="210"/>
      <c r="AE107" s="210"/>
      <c r="AF107" s="210"/>
      <c r="AI107" s="210"/>
      <c r="AJ107" s="210"/>
      <c r="AK107" s="214"/>
      <c r="AL107" s="210"/>
      <c r="AM107" s="160"/>
      <c r="AN107" s="160"/>
    </row>
    <row r="108" spans="1:40" x14ac:dyDescent="0.3">
      <c r="T108" s="42"/>
      <c r="V108" s="123"/>
      <c r="Y108" s="123"/>
      <c r="Z108" s="213"/>
      <c r="AA108" s="123"/>
      <c r="AB108" s="123"/>
      <c r="AC108" s="160"/>
      <c r="AD108" s="160"/>
      <c r="AE108" s="123"/>
      <c r="AF108" s="123"/>
      <c r="AH108" s="160"/>
      <c r="AI108" s="123"/>
      <c r="AJ108" s="123"/>
      <c r="AL108" s="123"/>
      <c r="AM108" s="160"/>
      <c r="AN108" s="160"/>
    </row>
    <row r="109" spans="1:40" x14ac:dyDescent="0.3">
      <c r="H109" s="42"/>
      <c r="I109" s="42"/>
      <c r="V109" s="210"/>
      <c r="Y109" s="210"/>
      <c r="Z109" s="213"/>
      <c r="AA109" s="210"/>
      <c r="AB109" s="210"/>
      <c r="AC109" s="210"/>
      <c r="AD109" s="210"/>
      <c r="AE109" s="210"/>
      <c r="AF109" s="210"/>
      <c r="AI109" s="210"/>
      <c r="AJ109" s="210"/>
      <c r="AK109" s="214"/>
      <c r="AL109" s="210"/>
      <c r="AM109" s="160"/>
      <c r="AN109" s="160"/>
    </row>
    <row r="110" spans="1:40" x14ac:dyDescent="0.3">
      <c r="T110" s="42"/>
    </row>
    <row r="111" spans="1:40" x14ac:dyDescent="0.3">
      <c r="L111" s="42"/>
      <c r="M111" s="42"/>
      <c r="AA111" s="42"/>
      <c r="AB111" s="42"/>
    </row>
    <row r="112" spans="1:40" x14ac:dyDescent="0.3">
      <c r="R112" s="42"/>
      <c r="AK112" s="206"/>
      <c r="AL112" s="42"/>
    </row>
    <row r="113" spans="1:40" x14ac:dyDescent="0.3">
      <c r="R113" s="42"/>
      <c r="AK113" s="206"/>
      <c r="AL113" s="42"/>
    </row>
    <row r="114" spans="1:40" x14ac:dyDescent="0.3">
      <c r="A114" s="42"/>
      <c r="R114" s="42"/>
      <c r="AK114" s="206"/>
      <c r="AL114" s="42"/>
    </row>
    <row r="115" spans="1:40" x14ac:dyDescent="0.3">
      <c r="L115" s="42"/>
      <c r="M115" s="42"/>
      <c r="AA115" s="42"/>
      <c r="AB115" s="42"/>
    </row>
    <row r="116" spans="1:40" x14ac:dyDescent="0.3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207"/>
      <c r="AH116" s="135"/>
      <c r="AI116" s="135"/>
      <c r="AJ116" s="135"/>
      <c r="AK116" s="207"/>
      <c r="AL116" s="135"/>
      <c r="AM116" s="135"/>
      <c r="AN116" s="135"/>
    </row>
    <row r="117" spans="1:40" x14ac:dyDescent="0.3">
      <c r="L117" s="44"/>
      <c r="M117" s="44"/>
      <c r="N117" s="44"/>
      <c r="O117" s="44"/>
      <c r="R117" s="44"/>
      <c r="AA117" s="44"/>
      <c r="AB117" s="44"/>
      <c r="AC117" s="44"/>
      <c r="AD117" s="44"/>
      <c r="AE117" s="44"/>
      <c r="AF117" s="44"/>
      <c r="AG117" s="168"/>
      <c r="AH117" s="44"/>
      <c r="AK117" s="168"/>
      <c r="AL117" s="44"/>
      <c r="AM117" s="44"/>
      <c r="AN117" s="44"/>
    </row>
    <row r="118" spans="1:40" x14ac:dyDescent="0.3">
      <c r="L118" s="44"/>
      <c r="M118" s="44"/>
      <c r="N118" s="44"/>
      <c r="O118" s="44"/>
      <c r="R118" s="44"/>
      <c r="Z118" s="44"/>
      <c r="AA118" s="44"/>
      <c r="AB118" s="44"/>
      <c r="AC118" s="44"/>
      <c r="AD118" s="44"/>
      <c r="AE118" s="44"/>
      <c r="AF118" s="44"/>
      <c r="AG118" s="168"/>
      <c r="AH118" s="44"/>
      <c r="AK118" s="168"/>
      <c r="AL118" s="44"/>
      <c r="AM118" s="44"/>
      <c r="AN118" s="44"/>
    </row>
    <row r="119" spans="1:40" x14ac:dyDescent="0.3">
      <c r="A119" s="44"/>
      <c r="C119" s="44"/>
      <c r="D119" s="44"/>
      <c r="E119" s="44"/>
      <c r="F119" s="44"/>
      <c r="J119" s="44"/>
      <c r="K119" s="44"/>
      <c r="L119" s="44"/>
      <c r="M119" s="44"/>
      <c r="N119" s="44"/>
      <c r="O119" s="44"/>
      <c r="P119" s="44"/>
      <c r="Q119" s="44"/>
      <c r="R119" s="44"/>
      <c r="T119" s="44"/>
      <c r="U119" s="44"/>
      <c r="V119" s="44"/>
      <c r="Z119" s="44"/>
      <c r="AA119" s="44"/>
      <c r="AB119" s="44"/>
      <c r="AC119" s="44"/>
      <c r="AD119" s="44"/>
      <c r="AE119" s="44"/>
      <c r="AF119" s="44"/>
      <c r="AG119" s="168"/>
      <c r="AH119" s="44"/>
      <c r="AI119" s="44"/>
      <c r="AJ119" s="44"/>
      <c r="AK119" s="168"/>
      <c r="AL119" s="44"/>
      <c r="AM119" s="44"/>
      <c r="AN119" s="44"/>
    </row>
    <row r="120" spans="1:40" x14ac:dyDescent="0.3">
      <c r="A120" s="44"/>
      <c r="C120" s="44"/>
      <c r="D120" s="44"/>
      <c r="E120" s="44"/>
      <c r="F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T120" s="44"/>
      <c r="U120" s="44"/>
      <c r="V120" s="44"/>
      <c r="Y120" s="44"/>
      <c r="Z120" s="44"/>
      <c r="AA120" s="44"/>
      <c r="AB120" s="44"/>
      <c r="AC120" s="44"/>
      <c r="AD120" s="44"/>
      <c r="AE120" s="44"/>
      <c r="AF120" s="44"/>
      <c r="AG120" s="168"/>
      <c r="AH120" s="44"/>
      <c r="AI120" s="44"/>
      <c r="AJ120" s="44"/>
      <c r="AK120" s="168"/>
      <c r="AL120" s="44"/>
      <c r="AM120" s="44"/>
      <c r="AN120" s="44"/>
    </row>
    <row r="121" spans="1:40" x14ac:dyDescent="0.3">
      <c r="C121" s="44"/>
      <c r="D121" s="44"/>
      <c r="E121" s="44"/>
      <c r="F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T121" s="44"/>
      <c r="U121" s="44"/>
      <c r="V121" s="44"/>
      <c r="Y121" s="44"/>
      <c r="Z121" s="44"/>
      <c r="AA121" s="44"/>
      <c r="AB121" s="44"/>
      <c r="AC121" s="44"/>
      <c r="AD121" s="44"/>
      <c r="AE121" s="44"/>
      <c r="AF121" s="44"/>
      <c r="AG121" s="168"/>
      <c r="AH121" s="44"/>
      <c r="AI121" s="44"/>
      <c r="AJ121" s="44"/>
      <c r="AK121" s="168"/>
      <c r="AL121" s="44"/>
      <c r="AM121" s="44"/>
      <c r="AN121" s="44"/>
    </row>
    <row r="122" spans="1:40" x14ac:dyDescent="0.3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207"/>
      <c r="AH122" s="135"/>
      <c r="AI122" s="135"/>
      <c r="AJ122" s="135"/>
      <c r="AK122" s="207"/>
      <c r="AL122" s="135"/>
      <c r="AM122" s="135"/>
      <c r="AN122" s="135"/>
    </row>
    <row r="123" spans="1:40" x14ac:dyDescent="0.3"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Y123" s="44"/>
      <c r="Z123" s="44"/>
      <c r="AA123" s="44"/>
      <c r="AB123" s="44"/>
      <c r="AC123" s="44"/>
      <c r="AD123" s="44"/>
      <c r="AE123" s="44"/>
      <c r="AF123" s="44"/>
      <c r="AG123" s="168"/>
      <c r="AH123" s="44"/>
      <c r="AI123" s="44"/>
      <c r="AJ123" s="44"/>
      <c r="AK123" s="168"/>
      <c r="AL123" s="44"/>
      <c r="AM123" s="44"/>
      <c r="AN123" s="44"/>
    </row>
    <row r="124" spans="1:40" x14ac:dyDescent="0.3">
      <c r="C124" s="42"/>
      <c r="D124" s="42"/>
      <c r="E124" s="42"/>
      <c r="T124" s="42"/>
      <c r="U124" s="42"/>
    </row>
    <row r="125" spans="1:40" x14ac:dyDescent="0.3">
      <c r="D125" s="42"/>
      <c r="E125" s="42"/>
      <c r="U125" s="42"/>
    </row>
    <row r="127" spans="1:40" x14ac:dyDescent="0.3">
      <c r="C127" s="42"/>
      <c r="F127" s="184"/>
      <c r="H127" s="184"/>
      <c r="I127" s="184"/>
      <c r="J127" s="193"/>
      <c r="K127" s="193"/>
      <c r="L127" s="123"/>
      <c r="M127" s="123"/>
      <c r="N127" s="160"/>
      <c r="O127" s="160"/>
      <c r="R127" s="123"/>
      <c r="T127" s="42"/>
      <c r="V127" s="123"/>
      <c r="Y127" s="184"/>
      <c r="Z127" s="193"/>
      <c r="AA127" s="123"/>
      <c r="AB127" s="123"/>
      <c r="AC127" s="160"/>
      <c r="AD127" s="160"/>
      <c r="AE127" s="123"/>
      <c r="AF127" s="123"/>
      <c r="AG127" s="233"/>
      <c r="AH127" s="234"/>
      <c r="AL127" s="123"/>
      <c r="AM127" s="235"/>
      <c r="AN127" s="235"/>
    </row>
    <row r="128" spans="1:40" x14ac:dyDescent="0.3">
      <c r="C128" s="42"/>
      <c r="F128" s="184"/>
      <c r="H128" s="184"/>
      <c r="I128" s="184"/>
      <c r="J128" s="193"/>
      <c r="K128" s="193"/>
      <c r="L128" s="123"/>
      <c r="M128" s="123"/>
      <c r="N128" s="160"/>
      <c r="O128" s="160"/>
      <c r="R128" s="123"/>
      <c r="T128" s="42"/>
      <c r="V128" s="123"/>
      <c r="Y128" s="184"/>
      <c r="Z128" s="193"/>
      <c r="AA128" s="123"/>
      <c r="AB128" s="123"/>
      <c r="AC128" s="160"/>
      <c r="AD128" s="160"/>
      <c r="AE128" s="123"/>
      <c r="AF128" s="123"/>
      <c r="AH128" s="236"/>
      <c r="AL128" s="123"/>
      <c r="AM128" s="160"/>
      <c r="AN128" s="160"/>
    </row>
    <row r="129" spans="3:40" x14ac:dyDescent="0.3">
      <c r="F129" s="210"/>
      <c r="H129" s="123"/>
      <c r="I129" s="123"/>
      <c r="J129" s="213"/>
      <c r="K129" s="213"/>
      <c r="L129" s="210"/>
      <c r="M129" s="210"/>
      <c r="N129" s="210"/>
      <c r="O129" s="210"/>
      <c r="P129" s="210"/>
      <c r="Q129" s="210"/>
      <c r="R129" s="210"/>
      <c r="V129" s="210"/>
      <c r="Y129" s="123"/>
      <c r="Z129" s="213"/>
      <c r="AA129" s="210"/>
      <c r="AB129" s="210"/>
      <c r="AC129" s="210"/>
      <c r="AD129" s="210"/>
      <c r="AE129" s="210"/>
      <c r="AF129" s="210"/>
      <c r="AI129" s="210"/>
      <c r="AJ129" s="210"/>
      <c r="AK129" s="214"/>
      <c r="AL129" s="210"/>
      <c r="AM129" s="160"/>
      <c r="AN129" s="160"/>
    </row>
    <row r="130" spans="3:40" x14ac:dyDescent="0.3">
      <c r="C130" s="42"/>
      <c r="F130" s="123"/>
      <c r="H130" s="123"/>
      <c r="I130" s="123"/>
      <c r="J130" s="213"/>
      <c r="K130" s="213"/>
      <c r="L130" s="123"/>
      <c r="M130" s="123"/>
      <c r="N130" s="160"/>
      <c r="O130" s="160"/>
      <c r="P130" s="123"/>
      <c r="Q130" s="123"/>
      <c r="R130" s="123"/>
      <c r="T130" s="42"/>
      <c r="V130" s="123"/>
      <c r="Y130" s="123"/>
      <c r="Z130" s="219"/>
      <c r="AA130" s="123"/>
      <c r="AB130" s="123"/>
      <c r="AC130" s="160"/>
      <c r="AD130" s="160"/>
      <c r="AE130" s="123"/>
      <c r="AF130" s="123"/>
      <c r="AH130" s="236"/>
      <c r="AI130" s="123"/>
      <c r="AJ130" s="123"/>
      <c r="AL130" s="123"/>
      <c r="AM130" s="160"/>
      <c r="AN130" s="160"/>
    </row>
    <row r="131" spans="3:40" x14ac:dyDescent="0.3">
      <c r="F131" s="210"/>
      <c r="H131" s="123"/>
      <c r="I131" s="123"/>
      <c r="J131" s="213"/>
      <c r="K131" s="213"/>
      <c r="L131" s="210"/>
      <c r="M131" s="210"/>
      <c r="N131" s="210"/>
      <c r="O131" s="210"/>
      <c r="P131" s="210"/>
      <c r="Q131" s="210"/>
      <c r="R131" s="210"/>
      <c r="V131" s="210"/>
      <c r="Y131" s="123"/>
      <c r="Z131" s="213"/>
      <c r="AA131" s="210"/>
      <c r="AB131" s="210"/>
      <c r="AC131" s="210"/>
      <c r="AD131" s="210"/>
      <c r="AE131" s="210"/>
      <c r="AF131" s="210"/>
      <c r="AI131" s="210"/>
      <c r="AJ131" s="210"/>
      <c r="AK131" s="214"/>
      <c r="AL131" s="210"/>
      <c r="AM131" s="160"/>
      <c r="AN131" s="160"/>
    </row>
    <row r="132" spans="3:40" x14ac:dyDescent="0.3">
      <c r="F132" s="123"/>
      <c r="H132" s="123"/>
      <c r="I132" s="123"/>
      <c r="J132" s="213"/>
      <c r="K132" s="213"/>
      <c r="L132" s="123"/>
      <c r="M132" s="123"/>
      <c r="N132" s="160"/>
      <c r="O132" s="160"/>
      <c r="P132" s="123"/>
      <c r="Q132" s="123"/>
      <c r="R132" s="123"/>
      <c r="V132" s="123"/>
      <c r="Y132" s="123"/>
      <c r="Z132" s="219"/>
      <c r="AA132" s="123"/>
      <c r="AB132" s="123"/>
      <c r="AC132" s="160"/>
      <c r="AD132" s="160"/>
      <c r="AE132" s="123"/>
      <c r="AF132" s="123"/>
      <c r="AH132" s="236"/>
      <c r="AI132" s="123"/>
      <c r="AJ132" s="123"/>
      <c r="AL132" s="123"/>
      <c r="AM132" s="160"/>
      <c r="AN132" s="160"/>
    </row>
    <row r="133" spans="3:40" x14ac:dyDescent="0.3">
      <c r="C133" s="42"/>
      <c r="F133" s="184"/>
      <c r="H133" s="184"/>
      <c r="I133" s="184"/>
      <c r="J133" s="193"/>
      <c r="K133" s="193"/>
      <c r="L133" s="123"/>
      <c r="M133" s="123"/>
      <c r="N133" s="160"/>
      <c r="O133" s="160"/>
      <c r="P133" s="123"/>
      <c r="Q133" s="123"/>
      <c r="R133" s="123"/>
      <c r="T133" s="42"/>
      <c r="V133" s="184"/>
      <c r="Y133" s="123"/>
      <c r="Z133" s="193"/>
      <c r="AA133" s="123"/>
      <c r="AB133" s="123"/>
      <c r="AC133" s="160"/>
      <c r="AD133" s="160"/>
      <c r="AE133" s="123"/>
      <c r="AF133" s="123"/>
      <c r="AG133" s="233"/>
      <c r="AH133" s="234"/>
      <c r="AI133" s="123"/>
      <c r="AJ133" s="123"/>
      <c r="AL133" s="123"/>
      <c r="AM133" s="235"/>
      <c r="AN133" s="235"/>
    </row>
    <row r="134" spans="3:40" x14ac:dyDescent="0.3">
      <c r="C134" s="42"/>
      <c r="F134" s="184"/>
      <c r="H134" s="184"/>
      <c r="I134" s="184"/>
      <c r="J134" s="193"/>
      <c r="K134" s="193"/>
      <c r="L134" s="123"/>
      <c r="M134" s="123"/>
      <c r="N134" s="160"/>
      <c r="O134" s="160"/>
      <c r="P134" s="123"/>
      <c r="Q134" s="123"/>
      <c r="R134" s="123"/>
      <c r="T134" s="42"/>
      <c r="V134" s="184"/>
      <c r="Y134" s="123"/>
      <c r="Z134" s="193"/>
      <c r="AA134" s="123"/>
      <c r="AB134" s="123"/>
      <c r="AC134" s="160"/>
      <c r="AD134" s="160"/>
      <c r="AE134" s="123"/>
      <c r="AF134" s="123"/>
      <c r="AH134" s="236"/>
      <c r="AI134" s="123"/>
      <c r="AJ134" s="123"/>
      <c r="AL134" s="123"/>
      <c r="AM134" s="160"/>
      <c r="AN134" s="160"/>
    </row>
    <row r="135" spans="3:40" x14ac:dyDescent="0.3">
      <c r="F135" s="123"/>
      <c r="H135" s="210"/>
      <c r="I135" s="210"/>
      <c r="J135" s="213"/>
      <c r="K135" s="213"/>
      <c r="L135" s="210"/>
      <c r="M135" s="210"/>
      <c r="N135" s="210"/>
      <c r="O135" s="210"/>
      <c r="P135" s="210"/>
      <c r="Q135" s="210"/>
      <c r="R135" s="210"/>
      <c r="V135" s="123"/>
      <c r="Y135" s="210"/>
      <c r="Z135" s="213"/>
      <c r="AA135" s="210"/>
      <c r="AB135" s="210"/>
      <c r="AC135" s="210"/>
      <c r="AD135" s="210"/>
      <c r="AE135" s="210"/>
      <c r="AF135" s="210"/>
      <c r="AI135" s="210"/>
      <c r="AJ135" s="210"/>
      <c r="AK135" s="214"/>
      <c r="AL135" s="210"/>
      <c r="AM135" s="160"/>
      <c r="AN135" s="160"/>
    </row>
    <row r="136" spans="3:40" x14ac:dyDescent="0.3">
      <c r="C136" s="42"/>
      <c r="F136" s="123"/>
      <c r="H136" s="123"/>
      <c r="I136" s="123"/>
      <c r="J136" s="213"/>
      <c r="K136" s="213"/>
      <c r="L136" s="123"/>
      <c r="M136" s="123"/>
      <c r="N136" s="160"/>
      <c r="O136" s="160"/>
      <c r="P136" s="123"/>
      <c r="Q136" s="123"/>
      <c r="R136" s="123"/>
      <c r="T136" s="42"/>
      <c r="V136" s="123"/>
      <c r="Y136" s="123"/>
      <c r="Z136" s="213"/>
      <c r="AA136" s="123"/>
      <c r="AB136" s="123"/>
      <c r="AC136" s="160"/>
      <c r="AD136" s="160"/>
      <c r="AE136" s="123"/>
      <c r="AF136" s="123"/>
      <c r="AH136" s="236"/>
      <c r="AI136" s="123"/>
      <c r="AJ136" s="123"/>
      <c r="AL136" s="123"/>
      <c r="AM136" s="160"/>
      <c r="AN136" s="160"/>
    </row>
    <row r="137" spans="3:40" x14ac:dyDescent="0.3">
      <c r="F137" s="123"/>
      <c r="H137" s="210"/>
      <c r="I137" s="210"/>
      <c r="J137" s="213"/>
      <c r="K137" s="213"/>
      <c r="L137" s="210"/>
      <c r="M137" s="210"/>
      <c r="N137" s="210"/>
      <c r="O137" s="210"/>
      <c r="P137" s="210"/>
      <c r="Q137" s="210"/>
      <c r="R137" s="210"/>
      <c r="V137" s="123"/>
      <c r="Y137" s="210"/>
      <c r="Z137" s="213"/>
      <c r="AA137" s="210"/>
      <c r="AB137" s="210"/>
      <c r="AC137" s="210"/>
      <c r="AD137" s="210"/>
      <c r="AE137" s="210"/>
      <c r="AF137" s="210"/>
      <c r="AI137" s="210"/>
      <c r="AJ137" s="210"/>
      <c r="AK137" s="214"/>
      <c r="AL137" s="210"/>
      <c r="AM137" s="160"/>
      <c r="AN137" s="160"/>
    </row>
    <row r="138" spans="3:40" x14ac:dyDescent="0.3">
      <c r="F138" s="123"/>
      <c r="H138" s="123"/>
      <c r="I138" s="123"/>
      <c r="J138" s="213"/>
      <c r="K138" s="213"/>
      <c r="L138" s="123"/>
      <c r="M138" s="123"/>
      <c r="N138" s="123"/>
      <c r="O138" s="123"/>
      <c r="P138" s="123"/>
      <c r="Q138" s="123"/>
      <c r="R138" s="123"/>
      <c r="V138" s="123"/>
      <c r="Y138" s="123"/>
      <c r="Z138" s="213"/>
      <c r="AA138" s="123"/>
      <c r="AB138" s="123"/>
      <c r="AC138" s="123"/>
      <c r="AD138" s="123"/>
      <c r="AE138" s="123"/>
      <c r="AF138" s="123"/>
      <c r="AH138" s="236"/>
      <c r="AI138" s="123"/>
      <c r="AJ138" s="123"/>
      <c r="AL138" s="123"/>
      <c r="AM138" s="160"/>
      <c r="AN138" s="160"/>
    </row>
    <row r="139" spans="3:40" x14ac:dyDescent="0.3">
      <c r="C139" s="42"/>
      <c r="F139" s="184"/>
      <c r="H139" s="184"/>
      <c r="I139" s="184"/>
      <c r="J139" s="227"/>
      <c r="K139" s="227"/>
      <c r="L139" s="123"/>
      <c r="M139" s="123"/>
      <c r="N139" s="160"/>
      <c r="O139" s="160"/>
      <c r="P139" s="184"/>
      <c r="Q139" s="184"/>
      <c r="R139" s="123"/>
      <c r="T139" s="42"/>
      <c r="V139" s="184"/>
      <c r="Y139" s="184"/>
      <c r="Z139" s="237"/>
      <c r="AA139" s="123"/>
      <c r="AB139" s="123"/>
      <c r="AC139" s="160"/>
      <c r="AD139" s="160"/>
      <c r="AE139" s="123"/>
      <c r="AF139" s="123"/>
      <c r="AH139" s="236"/>
      <c r="AI139" s="184"/>
      <c r="AJ139" s="184"/>
      <c r="AL139" s="123"/>
      <c r="AM139" s="160"/>
      <c r="AN139" s="160"/>
    </row>
    <row r="140" spans="3:40" x14ac:dyDescent="0.3">
      <c r="C140" s="42"/>
      <c r="F140" s="184"/>
      <c r="H140" s="184"/>
      <c r="I140" s="184"/>
      <c r="J140" s="227"/>
      <c r="K140" s="227"/>
      <c r="L140" s="123"/>
      <c r="M140" s="123"/>
      <c r="N140" s="160"/>
      <c r="O140" s="160"/>
      <c r="P140" s="184"/>
      <c r="Q140" s="184"/>
      <c r="R140" s="123"/>
      <c r="T140" s="42"/>
      <c r="V140" s="184"/>
      <c r="Y140" s="123"/>
      <c r="Z140" s="212"/>
      <c r="AA140" s="123"/>
      <c r="AB140" s="123"/>
      <c r="AC140" s="160"/>
      <c r="AD140" s="160"/>
      <c r="AE140" s="123"/>
      <c r="AF140" s="123"/>
      <c r="AH140" s="236"/>
      <c r="AI140" s="184"/>
      <c r="AJ140" s="184"/>
      <c r="AL140" s="123"/>
      <c r="AM140" s="160"/>
      <c r="AN140" s="160"/>
    </row>
    <row r="141" spans="3:40" x14ac:dyDescent="0.3">
      <c r="C141" s="42"/>
      <c r="F141" s="184"/>
      <c r="H141" s="184"/>
      <c r="I141" s="184"/>
      <c r="J141" s="227"/>
      <c r="K141" s="227"/>
      <c r="L141" s="123"/>
      <c r="M141" s="123"/>
      <c r="N141" s="160"/>
      <c r="O141" s="160"/>
      <c r="P141" s="184"/>
      <c r="Q141" s="184"/>
      <c r="R141" s="123"/>
      <c r="T141" s="42"/>
      <c r="V141" s="184"/>
      <c r="Y141" s="123"/>
      <c r="Z141" s="212"/>
      <c r="AA141" s="123"/>
      <c r="AB141" s="123"/>
      <c r="AC141" s="160"/>
      <c r="AD141" s="160"/>
      <c r="AE141" s="123"/>
      <c r="AF141" s="123"/>
      <c r="AH141" s="236"/>
      <c r="AI141" s="184"/>
      <c r="AJ141" s="184"/>
      <c r="AL141" s="123"/>
      <c r="AM141" s="160"/>
      <c r="AN141" s="160"/>
    </row>
    <row r="142" spans="3:40" x14ac:dyDescent="0.3">
      <c r="F142" s="210"/>
      <c r="H142" s="210"/>
      <c r="I142" s="210"/>
      <c r="J142" s="213"/>
      <c r="K142" s="213"/>
      <c r="L142" s="210"/>
      <c r="M142" s="210"/>
      <c r="N142" s="210"/>
      <c r="O142" s="210"/>
      <c r="P142" s="210"/>
      <c r="Q142" s="210"/>
      <c r="R142" s="210"/>
      <c r="V142" s="210"/>
      <c r="Y142" s="210"/>
      <c r="Z142" s="213"/>
      <c r="AA142" s="210"/>
      <c r="AB142" s="210"/>
      <c r="AC142" s="210"/>
      <c r="AD142" s="210"/>
      <c r="AE142" s="210"/>
      <c r="AF142" s="210"/>
      <c r="AI142" s="210"/>
      <c r="AJ142" s="210"/>
      <c r="AK142" s="214"/>
      <c r="AL142" s="210"/>
      <c r="AM142" s="160"/>
      <c r="AN142" s="160"/>
    </row>
    <row r="143" spans="3:40" x14ac:dyDescent="0.3">
      <c r="C143" s="42"/>
      <c r="F143" s="123"/>
      <c r="H143" s="123"/>
      <c r="I143" s="123"/>
      <c r="J143" s="219"/>
      <c r="K143" s="219"/>
      <c r="L143" s="123"/>
      <c r="M143" s="123"/>
      <c r="N143" s="160"/>
      <c r="O143" s="160"/>
      <c r="P143" s="123"/>
      <c r="Q143" s="123"/>
      <c r="R143" s="123"/>
      <c r="T143" s="42"/>
      <c r="V143" s="123"/>
      <c r="Y143" s="123"/>
      <c r="Z143" s="219"/>
      <c r="AA143" s="123"/>
      <c r="AB143" s="123"/>
      <c r="AC143" s="160"/>
      <c r="AD143" s="160"/>
      <c r="AE143" s="123"/>
      <c r="AF143" s="123"/>
      <c r="AH143" s="236"/>
      <c r="AI143" s="123"/>
      <c r="AJ143" s="123"/>
      <c r="AL143" s="123"/>
      <c r="AM143" s="160"/>
      <c r="AN143" s="160"/>
    </row>
    <row r="144" spans="3:40" x14ac:dyDescent="0.3">
      <c r="F144" s="210"/>
      <c r="H144" s="210"/>
      <c r="I144" s="210"/>
      <c r="J144" s="213"/>
      <c r="K144" s="213"/>
      <c r="L144" s="210"/>
      <c r="M144" s="210"/>
      <c r="N144" s="210"/>
      <c r="O144" s="210"/>
      <c r="P144" s="210"/>
      <c r="Q144" s="210"/>
      <c r="R144" s="210"/>
      <c r="V144" s="210"/>
      <c r="Y144" s="210"/>
      <c r="Z144" s="213"/>
      <c r="AA144" s="210"/>
      <c r="AB144" s="210"/>
      <c r="AC144" s="210"/>
      <c r="AD144" s="210"/>
      <c r="AE144" s="210"/>
      <c r="AF144" s="210"/>
      <c r="AI144" s="210"/>
      <c r="AJ144" s="210"/>
      <c r="AK144" s="214"/>
      <c r="AL144" s="210"/>
      <c r="AM144" s="160"/>
      <c r="AN144" s="160"/>
    </row>
    <row r="145" spans="1:40" x14ac:dyDescent="0.3">
      <c r="C145" s="42"/>
      <c r="F145" s="123"/>
      <c r="H145" s="123"/>
      <c r="I145" s="123"/>
      <c r="J145" s="219"/>
      <c r="K145" s="219"/>
      <c r="L145" s="123"/>
      <c r="M145" s="123"/>
      <c r="N145" s="160"/>
      <c r="O145" s="160"/>
      <c r="P145" s="123"/>
      <c r="Q145" s="123"/>
      <c r="R145" s="123"/>
      <c r="T145" s="42"/>
      <c r="V145" s="123"/>
      <c r="Y145" s="123"/>
      <c r="Z145" s="219"/>
      <c r="AA145" s="123"/>
      <c r="AB145" s="123"/>
      <c r="AC145" s="160"/>
      <c r="AD145" s="160"/>
      <c r="AE145" s="123"/>
      <c r="AF145" s="123"/>
      <c r="AH145" s="236"/>
      <c r="AI145" s="123"/>
      <c r="AJ145" s="123"/>
      <c r="AL145" s="123"/>
      <c r="AM145" s="160"/>
      <c r="AN145" s="160"/>
    </row>
    <row r="146" spans="1:40" x14ac:dyDescent="0.3">
      <c r="C146" s="42"/>
      <c r="F146" s="123"/>
      <c r="H146" s="123"/>
      <c r="I146" s="123"/>
      <c r="J146" s="219"/>
      <c r="K146" s="219"/>
      <c r="L146" s="123"/>
      <c r="M146" s="123"/>
      <c r="N146" s="160"/>
      <c r="O146" s="160"/>
      <c r="P146" s="123"/>
      <c r="Q146" s="123"/>
      <c r="R146" s="123"/>
      <c r="T146" s="42"/>
      <c r="V146" s="123"/>
      <c r="Y146" s="123"/>
      <c r="Z146" s="219"/>
      <c r="AA146" s="123"/>
      <c r="AB146" s="123"/>
      <c r="AC146" s="160"/>
      <c r="AD146" s="160"/>
      <c r="AE146" s="123"/>
      <c r="AF146" s="123"/>
      <c r="AH146" s="236"/>
      <c r="AI146" s="123"/>
      <c r="AJ146" s="123"/>
      <c r="AL146" s="123"/>
      <c r="AM146" s="160"/>
      <c r="AN146" s="160"/>
    </row>
    <row r="147" spans="1:40" x14ac:dyDescent="0.3">
      <c r="F147" s="210"/>
      <c r="H147" s="210"/>
      <c r="I147" s="210"/>
      <c r="J147" s="213"/>
      <c r="K147" s="213"/>
      <c r="L147" s="210"/>
      <c r="M147" s="210"/>
      <c r="N147" s="210"/>
      <c r="O147" s="210"/>
      <c r="P147" s="210"/>
      <c r="Q147" s="210"/>
      <c r="R147" s="210"/>
      <c r="V147" s="210"/>
      <c r="Y147" s="210"/>
      <c r="Z147" s="213"/>
      <c r="AA147" s="210"/>
      <c r="AB147" s="210"/>
      <c r="AC147" s="210"/>
      <c r="AD147" s="210"/>
      <c r="AE147" s="210"/>
      <c r="AF147" s="210"/>
      <c r="AI147" s="210"/>
      <c r="AJ147" s="210"/>
      <c r="AK147" s="214"/>
      <c r="AL147" s="210"/>
      <c r="AM147" s="123"/>
      <c r="AN147" s="123"/>
    </row>
    <row r="148" spans="1:40" x14ac:dyDescent="0.3">
      <c r="F148" s="123"/>
      <c r="H148" s="123"/>
      <c r="I148" s="123"/>
      <c r="J148" s="219"/>
      <c r="K148" s="219"/>
      <c r="L148" s="123"/>
      <c r="M148" s="123"/>
      <c r="N148" s="123"/>
      <c r="O148" s="123"/>
      <c r="P148" s="123"/>
      <c r="Q148" s="123"/>
      <c r="R148" s="123"/>
      <c r="V148" s="123"/>
      <c r="Y148" s="123"/>
      <c r="Z148" s="219"/>
      <c r="AA148" s="123"/>
      <c r="AB148" s="123"/>
      <c r="AC148" s="123"/>
      <c r="AD148" s="123"/>
    </row>
    <row r="149" spans="1:40" x14ac:dyDescent="0.3">
      <c r="C149" s="42"/>
      <c r="F149" s="123"/>
      <c r="H149" s="123"/>
      <c r="I149" s="123"/>
      <c r="J149" s="219"/>
      <c r="K149" s="219"/>
      <c r="L149" s="123"/>
      <c r="M149" s="123"/>
      <c r="N149" s="123"/>
      <c r="O149" s="123"/>
      <c r="P149" s="123"/>
      <c r="Q149" s="123"/>
      <c r="R149" s="123"/>
      <c r="T149" s="42"/>
      <c r="V149" s="123"/>
      <c r="Y149" s="123"/>
      <c r="Z149" s="219"/>
      <c r="AA149" s="123"/>
      <c r="AB149" s="123"/>
      <c r="AC149" s="123"/>
      <c r="AD149" s="123"/>
    </row>
    <row r="150" spans="1:40" x14ac:dyDescent="0.3">
      <c r="A150" s="42"/>
    </row>
    <row r="152" spans="1:40" x14ac:dyDescent="0.3">
      <c r="H152" s="42"/>
      <c r="I152" s="42"/>
      <c r="Y152" s="42"/>
    </row>
    <row r="154" spans="1:40" x14ac:dyDescent="0.3">
      <c r="L154" s="42"/>
      <c r="M154" s="42"/>
      <c r="AA154" s="42"/>
      <c r="AB154" s="42"/>
    </row>
    <row r="155" spans="1:40" x14ac:dyDescent="0.3">
      <c r="R155" s="42"/>
      <c r="AK155" s="206"/>
      <c r="AL155" s="42"/>
    </row>
    <row r="156" spans="1:40" x14ac:dyDescent="0.3">
      <c r="R156" s="42"/>
      <c r="AK156" s="206"/>
      <c r="AL156" s="42"/>
    </row>
    <row r="157" spans="1:40" x14ac:dyDescent="0.3">
      <c r="A157" s="42"/>
      <c r="R157" s="42"/>
      <c r="AK157" s="206"/>
      <c r="AL157" s="42"/>
    </row>
    <row r="158" spans="1:40" x14ac:dyDescent="0.3">
      <c r="L158" s="42"/>
      <c r="M158" s="42"/>
      <c r="AA158" s="42"/>
      <c r="AB158" s="42"/>
    </row>
    <row r="159" spans="1:40" x14ac:dyDescent="0.3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207"/>
      <c r="AH159" s="135"/>
      <c r="AI159" s="135"/>
      <c r="AJ159" s="135"/>
      <c r="AK159" s="207"/>
      <c r="AL159" s="135"/>
      <c r="AM159" s="135"/>
      <c r="AN159" s="135"/>
    </row>
    <row r="160" spans="1:40" x14ac:dyDescent="0.3">
      <c r="L160" s="44"/>
      <c r="M160" s="44"/>
      <c r="N160" s="44"/>
      <c r="O160" s="44"/>
      <c r="R160" s="44"/>
      <c r="AA160" s="44"/>
      <c r="AB160" s="44"/>
      <c r="AC160" s="44"/>
      <c r="AD160" s="44"/>
      <c r="AE160" s="44"/>
      <c r="AF160" s="44"/>
      <c r="AG160" s="168"/>
      <c r="AH160" s="44"/>
      <c r="AK160" s="168"/>
      <c r="AL160" s="44"/>
      <c r="AM160" s="44"/>
      <c r="AN160" s="44"/>
    </row>
    <row r="161" spans="1:40" x14ac:dyDescent="0.3">
      <c r="L161" s="44"/>
      <c r="M161" s="44"/>
      <c r="N161" s="44"/>
      <c r="O161" s="44"/>
      <c r="R161" s="44"/>
      <c r="Z161" s="44"/>
      <c r="AA161" s="44"/>
      <c r="AB161" s="44"/>
      <c r="AC161" s="44"/>
      <c r="AD161" s="44"/>
      <c r="AE161" s="44"/>
      <c r="AF161" s="44"/>
      <c r="AG161" s="168"/>
      <c r="AH161" s="44"/>
      <c r="AK161" s="168"/>
      <c r="AL161" s="44"/>
      <c r="AM161" s="44"/>
      <c r="AN161" s="44"/>
    </row>
    <row r="162" spans="1:40" x14ac:dyDescent="0.3">
      <c r="A162" s="44"/>
      <c r="C162" s="44"/>
      <c r="D162" s="44"/>
      <c r="E162" s="44"/>
      <c r="F162" s="44"/>
      <c r="J162" s="44"/>
      <c r="K162" s="44"/>
      <c r="L162" s="44"/>
      <c r="M162" s="44"/>
      <c r="N162" s="44"/>
      <c r="O162" s="44"/>
      <c r="P162" s="44"/>
      <c r="Q162" s="44"/>
      <c r="R162" s="44"/>
      <c r="T162" s="44"/>
      <c r="U162" s="44"/>
      <c r="V162" s="44"/>
      <c r="Z162" s="44"/>
      <c r="AA162" s="44"/>
      <c r="AB162" s="44"/>
      <c r="AC162" s="44"/>
      <c r="AD162" s="44"/>
      <c r="AE162" s="44"/>
      <c r="AF162" s="44"/>
      <c r="AG162" s="168"/>
      <c r="AH162" s="44"/>
      <c r="AI162" s="44"/>
      <c r="AJ162" s="44"/>
      <c r="AK162" s="168"/>
      <c r="AL162" s="44"/>
      <c r="AM162" s="44"/>
      <c r="AN162" s="44"/>
    </row>
    <row r="163" spans="1:40" x14ac:dyDescent="0.3">
      <c r="A163" s="44"/>
      <c r="C163" s="44"/>
      <c r="D163" s="44"/>
      <c r="E163" s="44"/>
      <c r="F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T163" s="44"/>
      <c r="U163" s="44"/>
      <c r="V163" s="44"/>
      <c r="Y163" s="44"/>
      <c r="Z163" s="44"/>
      <c r="AA163" s="44"/>
      <c r="AB163" s="44"/>
      <c r="AC163" s="44"/>
      <c r="AD163" s="44"/>
      <c r="AE163" s="44"/>
      <c r="AF163" s="44"/>
      <c r="AG163" s="168"/>
      <c r="AH163" s="44"/>
      <c r="AI163" s="44"/>
      <c r="AJ163" s="44"/>
      <c r="AK163" s="168"/>
      <c r="AL163" s="44"/>
      <c r="AM163" s="44"/>
      <c r="AN163" s="44"/>
    </row>
    <row r="164" spans="1:40" x14ac:dyDescent="0.3">
      <c r="C164" s="44"/>
      <c r="D164" s="44"/>
      <c r="E164" s="44"/>
      <c r="F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T164" s="44"/>
      <c r="U164" s="44"/>
      <c r="V164" s="44"/>
      <c r="Y164" s="44"/>
      <c r="Z164" s="44"/>
      <c r="AA164" s="44"/>
      <c r="AB164" s="44"/>
      <c r="AC164" s="44"/>
      <c r="AD164" s="44"/>
      <c r="AE164" s="44"/>
      <c r="AF164" s="44"/>
      <c r="AG164" s="168"/>
      <c r="AH164" s="44"/>
      <c r="AI164" s="44"/>
      <c r="AJ164" s="44"/>
      <c r="AK164" s="168"/>
      <c r="AL164" s="44"/>
      <c r="AM164" s="44"/>
      <c r="AN164" s="44"/>
    </row>
    <row r="165" spans="1:40" x14ac:dyDescent="0.3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207"/>
      <c r="AH165" s="135"/>
      <c r="AI165" s="135"/>
      <c r="AJ165" s="135"/>
      <c r="AK165" s="207"/>
      <c r="AL165" s="135"/>
      <c r="AM165" s="135"/>
      <c r="AN165" s="135"/>
    </row>
    <row r="166" spans="1:40" x14ac:dyDescent="0.3"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Y166" s="44"/>
      <c r="Z166" s="44"/>
      <c r="AA166" s="44"/>
      <c r="AB166" s="44"/>
      <c r="AC166" s="44"/>
      <c r="AD166" s="44"/>
      <c r="AE166" s="44"/>
      <c r="AF166" s="44"/>
      <c r="AG166" s="168"/>
      <c r="AH166" s="44"/>
      <c r="AI166" s="44"/>
      <c r="AJ166" s="44"/>
      <c r="AK166" s="168"/>
      <c r="AL166" s="44"/>
      <c r="AM166" s="44"/>
      <c r="AN166" s="44"/>
    </row>
    <row r="167" spans="1:40" x14ac:dyDescent="0.3">
      <c r="C167" s="42"/>
      <c r="D167" s="42"/>
      <c r="E167" s="42"/>
      <c r="T167" s="42"/>
      <c r="U167" s="42"/>
    </row>
    <row r="169" spans="1:40" x14ac:dyDescent="0.3">
      <c r="C169" s="42"/>
      <c r="F169" s="184"/>
      <c r="H169" s="222"/>
      <c r="I169" s="222"/>
      <c r="J169" s="193"/>
      <c r="K169" s="193"/>
      <c r="L169" s="123"/>
      <c r="M169" s="123"/>
      <c r="R169" s="123"/>
      <c r="T169" s="42"/>
      <c r="V169" s="123"/>
      <c r="Z169" s="193"/>
      <c r="AA169" s="123"/>
      <c r="AB169" s="123"/>
      <c r="AE169" s="123"/>
      <c r="AF169" s="123"/>
      <c r="AG169" s="233"/>
      <c r="AH169" s="234"/>
      <c r="AI169" s="123"/>
      <c r="AJ169" s="123"/>
      <c r="AL169" s="123"/>
      <c r="AM169" s="235"/>
      <c r="AN169" s="235"/>
    </row>
    <row r="170" spans="1:40" x14ac:dyDescent="0.3">
      <c r="F170" s="184"/>
      <c r="H170" s="222"/>
      <c r="I170" s="222"/>
      <c r="J170" s="222"/>
      <c r="K170" s="222"/>
      <c r="R170" s="123"/>
      <c r="V170" s="123"/>
      <c r="Z170" s="222"/>
    </row>
    <row r="171" spans="1:40" x14ac:dyDescent="0.3">
      <c r="C171" s="42"/>
      <c r="F171" s="184"/>
      <c r="H171" s="184"/>
      <c r="I171" s="184"/>
      <c r="J171" s="227"/>
      <c r="K171" s="227"/>
      <c r="L171" s="123"/>
      <c r="M171" s="123"/>
      <c r="N171" s="160"/>
      <c r="O171" s="160"/>
      <c r="P171" s="184"/>
      <c r="Q171" s="184"/>
      <c r="R171" s="123"/>
      <c r="T171" s="42"/>
      <c r="V171" s="123"/>
      <c r="Y171" s="123"/>
      <c r="Z171" s="212"/>
      <c r="AA171" s="123"/>
      <c r="AB171" s="123"/>
      <c r="AC171" s="160"/>
      <c r="AD171" s="160"/>
      <c r="AE171" s="123"/>
      <c r="AF171" s="123"/>
      <c r="AH171" s="236"/>
      <c r="AI171" s="184"/>
      <c r="AJ171" s="184"/>
      <c r="AL171" s="123"/>
      <c r="AM171" s="160"/>
      <c r="AN171" s="160"/>
    </row>
    <row r="172" spans="1:40" x14ac:dyDescent="0.3">
      <c r="F172" s="210"/>
      <c r="H172" s="210"/>
      <c r="I172" s="210"/>
      <c r="J172" s="213"/>
      <c r="K172" s="213"/>
      <c r="L172" s="210"/>
      <c r="M172" s="210"/>
      <c r="N172" s="210"/>
      <c r="O172" s="210"/>
      <c r="P172" s="210"/>
      <c r="Q172" s="210"/>
      <c r="R172" s="210"/>
      <c r="V172" s="210"/>
      <c r="Y172" s="210"/>
      <c r="Z172" s="213"/>
      <c r="AA172" s="210"/>
      <c r="AB172" s="210"/>
      <c r="AC172" s="210"/>
      <c r="AD172" s="210"/>
      <c r="AE172" s="210"/>
      <c r="AF172" s="210"/>
      <c r="AI172" s="210"/>
      <c r="AJ172" s="210"/>
      <c r="AK172" s="214"/>
      <c r="AL172" s="210"/>
    </row>
    <row r="173" spans="1:40" x14ac:dyDescent="0.3">
      <c r="D173" s="42"/>
      <c r="E173" s="42"/>
      <c r="F173" s="123"/>
      <c r="H173" s="123"/>
      <c r="I173" s="123"/>
      <c r="J173" s="219"/>
      <c r="K173" s="219"/>
      <c r="L173" s="123"/>
      <c r="M173" s="123"/>
      <c r="N173" s="160"/>
      <c r="O173" s="160"/>
      <c r="P173" s="123"/>
      <c r="Q173" s="123"/>
      <c r="R173" s="123"/>
      <c r="U173" s="42"/>
      <c r="V173" s="123"/>
      <c r="Y173" s="123"/>
      <c r="Z173" s="219"/>
      <c r="AA173" s="123"/>
      <c r="AB173" s="123"/>
      <c r="AC173" s="160"/>
      <c r="AD173" s="160"/>
      <c r="AE173" s="123"/>
      <c r="AF173" s="123"/>
      <c r="AH173" s="236"/>
      <c r="AI173" s="123"/>
      <c r="AJ173" s="123"/>
      <c r="AL173" s="123"/>
      <c r="AM173" s="160"/>
      <c r="AN173" s="160"/>
    </row>
    <row r="174" spans="1:40" x14ac:dyDescent="0.3">
      <c r="F174" s="210"/>
      <c r="H174" s="210"/>
      <c r="I174" s="210"/>
      <c r="J174" s="213"/>
      <c r="K174" s="213"/>
      <c r="L174" s="210"/>
      <c r="M174" s="210"/>
      <c r="N174" s="210"/>
      <c r="O174" s="210"/>
      <c r="P174" s="210"/>
      <c r="Q174" s="210"/>
      <c r="R174" s="210"/>
      <c r="V174" s="210"/>
      <c r="Y174" s="210"/>
      <c r="Z174" s="213"/>
      <c r="AA174" s="210"/>
      <c r="AB174" s="210"/>
      <c r="AC174" s="210"/>
      <c r="AD174" s="210"/>
      <c r="AE174" s="210"/>
      <c r="AF174" s="210"/>
      <c r="AI174" s="210"/>
      <c r="AJ174" s="210"/>
      <c r="AK174" s="214"/>
      <c r="AL174" s="210"/>
    </row>
    <row r="175" spans="1:40" x14ac:dyDescent="0.3">
      <c r="R175" s="123"/>
    </row>
    <row r="176" spans="1:40" x14ac:dyDescent="0.3">
      <c r="R176" s="123"/>
    </row>
    <row r="177" spans="1:40" x14ac:dyDescent="0.3">
      <c r="R177" s="123"/>
    </row>
    <row r="178" spans="1:40" x14ac:dyDescent="0.3">
      <c r="C178" s="42"/>
      <c r="D178" s="42"/>
      <c r="E178" s="42"/>
      <c r="H178" s="123"/>
      <c r="I178" s="123"/>
      <c r="J178" s="219"/>
      <c r="K178" s="219"/>
      <c r="L178" s="123"/>
      <c r="M178" s="123"/>
      <c r="N178" s="160"/>
      <c r="O178" s="160"/>
      <c r="P178" s="123"/>
      <c r="Q178" s="123"/>
      <c r="R178" s="123"/>
      <c r="T178" s="42"/>
      <c r="U178" s="42"/>
      <c r="Y178" s="123"/>
      <c r="Z178" s="219"/>
      <c r="AA178" s="123"/>
      <c r="AB178" s="123"/>
      <c r="AC178" s="160"/>
      <c r="AD178" s="160"/>
    </row>
    <row r="179" spans="1:40" x14ac:dyDescent="0.3">
      <c r="H179" s="123"/>
      <c r="I179" s="123"/>
      <c r="J179" s="219"/>
      <c r="K179" s="219"/>
      <c r="L179" s="123"/>
      <c r="M179" s="123"/>
      <c r="N179" s="160"/>
      <c r="O179" s="160"/>
      <c r="P179" s="123"/>
      <c r="Q179" s="123"/>
      <c r="R179" s="123"/>
      <c r="Y179" s="123"/>
      <c r="Z179" s="219"/>
      <c r="AA179" s="123"/>
      <c r="AB179" s="123"/>
      <c r="AC179" s="160"/>
      <c r="AD179" s="160"/>
    </row>
    <row r="180" spans="1:40" x14ac:dyDescent="0.3">
      <c r="C180" s="42"/>
      <c r="F180" s="184"/>
      <c r="H180" s="184"/>
      <c r="I180" s="184"/>
      <c r="J180" s="240"/>
      <c r="K180" s="240"/>
      <c r="L180" s="184"/>
      <c r="M180" s="184"/>
      <c r="N180" s="160"/>
      <c r="O180" s="160"/>
      <c r="P180" s="123"/>
      <c r="Q180" s="123"/>
      <c r="R180" s="123"/>
      <c r="T180" s="42"/>
      <c r="V180" s="123"/>
      <c r="Y180" s="123"/>
      <c r="Z180" s="240"/>
      <c r="AA180" s="123"/>
      <c r="AB180" s="123"/>
      <c r="AC180" s="160"/>
      <c r="AD180" s="160"/>
      <c r="AE180" s="123"/>
      <c r="AF180" s="123"/>
      <c r="AH180" s="236"/>
      <c r="AI180" s="123"/>
      <c r="AJ180" s="123"/>
      <c r="AL180" s="123"/>
      <c r="AM180" s="160"/>
      <c r="AN180" s="160"/>
    </row>
    <row r="181" spans="1:40" x14ac:dyDescent="0.3">
      <c r="F181" s="184"/>
      <c r="H181" s="222"/>
      <c r="I181" s="222"/>
      <c r="J181" s="222"/>
      <c r="K181" s="222"/>
      <c r="R181" s="123"/>
      <c r="V181" s="123"/>
      <c r="Z181" s="222"/>
    </row>
    <row r="182" spans="1:40" x14ac:dyDescent="0.3">
      <c r="C182" s="42"/>
      <c r="F182" s="184"/>
      <c r="H182" s="184"/>
      <c r="I182" s="184"/>
      <c r="J182" s="193"/>
      <c r="K182" s="193"/>
      <c r="L182" s="123"/>
      <c r="M182" s="123"/>
      <c r="N182" s="160"/>
      <c r="O182" s="160"/>
      <c r="P182" s="123"/>
      <c r="Q182" s="123"/>
      <c r="R182" s="123"/>
      <c r="T182" s="42"/>
      <c r="V182" s="123"/>
      <c r="Y182" s="123"/>
      <c r="Z182" s="193"/>
      <c r="AA182" s="123"/>
      <c r="AB182" s="123"/>
      <c r="AC182" s="160"/>
      <c r="AD182" s="160"/>
      <c r="AE182" s="123"/>
      <c r="AF182" s="123"/>
      <c r="AH182" s="236"/>
      <c r="AI182" s="123"/>
      <c r="AJ182" s="123"/>
      <c r="AL182" s="123"/>
      <c r="AM182" s="160"/>
      <c r="AN182" s="160"/>
    </row>
    <row r="183" spans="1:40" x14ac:dyDescent="0.3">
      <c r="F183" s="184"/>
      <c r="H183" s="222"/>
      <c r="I183" s="222"/>
      <c r="J183" s="222"/>
      <c r="K183" s="222"/>
      <c r="R183" s="123"/>
      <c r="V183" s="123"/>
      <c r="Z183" s="222"/>
    </row>
    <row r="184" spans="1:40" x14ac:dyDescent="0.3">
      <c r="C184" s="42"/>
      <c r="F184" s="184"/>
      <c r="H184" s="184"/>
      <c r="I184" s="184"/>
      <c r="J184" s="227"/>
      <c r="K184" s="227"/>
      <c r="L184" s="123"/>
      <c r="M184" s="123"/>
      <c r="N184" s="160"/>
      <c r="O184" s="160"/>
      <c r="P184" s="123"/>
      <c r="Q184" s="123"/>
      <c r="R184" s="123"/>
      <c r="T184" s="42"/>
      <c r="V184" s="123"/>
      <c r="Y184" s="123"/>
      <c r="Z184" s="212"/>
      <c r="AA184" s="123"/>
      <c r="AB184" s="123"/>
      <c r="AC184" s="160"/>
      <c r="AD184" s="160"/>
      <c r="AE184" s="123"/>
      <c r="AF184" s="123"/>
      <c r="AH184" s="236"/>
      <c r="AI184" s="123"/>
      <c r="AJ184" s="123"/>
      <c r="AL184" s="123"/>
      <c r="AM184" s="160"/>
      <c r="AN184" s="160"/>
    </row>
    <row r="185" spans="1:40" x14ac:dyDescent="0.3">
      <c r="F185" s="210"/>
      <c r="H185" s="210"/>
      <c r="I185" s="210"/>
      <c r="J185" s="213"/>
      <c r="K185" s="213"/>
      <c r="L185" s="210"/>
      <c r="M185" s="210"/>
      <c r="N185" s="210"/>
      <c r="O185" s="210"/>
      <c r="P185" s="210"/>
      <c r="Q185" s="210"/>
      <c r="R185" s="210"/>
      <c r="S185" s="123"/>
      <c r="V185" s="210"/>
      <c r="Y185" s="210"/>
      <c r="Z185" s="213"/>
      <c r="AA185" s="210"/>
      <c r="AB185" s="210"/>
      <c r="AC185" s="210"/>
      <c r="AD185" s="210"/>
      <c r="AE185" s="210"/>
      <c r="AF185" s="210"/>
      <c r="AI185" s="210"/>
      <c r="AJ185" s="210"/>
      <c r="AK185" s="214"/>
      <c r="AL185" s="210"/>
    </row>
    <row r="186" spans="1:40" x14ac:dyDescent="0.3">
      <c r="D186" s="42"/>
      <c r="E186" s="42"/>
      <c r="F186" s="123"/>
      <c r="H186" s="123"/>
      <c r="I186" s="123"/>
      <c r="J186" s="219"/>
      <c r="K186" s="219"/>
      <c r="L186" s="123"/>
      <c r="M186" s="123"/>
      <c r="N186" s="160"/>
      <c r="O186" s="160"/>
      <c r="P186" s="184"/>
      <c r="Q186" s="184"/>
      <c r="R186" s="123"/>
      <c r="S186" s="123"/>
      <c r="U186" s="42"/>
      <c r="V186" s="123"/>
      <c r="Y186" s="123"/>
      <c r="Z186" s="219"/>
      <c r="AA186" s="123"/>
      <c r="AB186" s="123"/>
      <c r="AC186" s="160"/>
      <c r="AD186" s="160"/>
      <c r="AE186" s="123"/>
      <c r="AF186" s="123"/>
      <c r="AH186" s="236"/>
      <c r="AI186" s="184"/>
      <c r="AJ186" s="184"/>
      <c r="AL186" s="123"/>
      <c r="AM186" s="160"/>
      <c r="AN186" s="160"/>
    </row>
    <row r="187" spans="1:40" x14ac:dyDescent="0.3">
      <c r="F187" s="210"/>
      <c r="H187" s="210"/>
      <c r="I187" s="210"/>
      <c r="J187" s="213"/>
      <c r="K187" s="213"/>
      <c r="L187" s="210"/>
      <c r="M187" s="210"/>
      <c r="N187" s="210"/>
      <c r="O187" s="210"/>
      <c r="P187" s="210"/>
      <c r="Q187" s="210"/>
      <c r="R187" s="210"/>
      <c r="S187" s="123"/>
      <c r="V187" s="210"/>
      <c r="Y187" s="210"/>
      <c r="Z187" s="213"/>
      <c r="AA187" s="210"/>
      <c r="AB187" s="210"/>
      <c r="AC187" s="210"/>
      <c r="AD187" s="210"/>
      <c r="AE187" s="210"/>
      <c r="AF187" s="210"/>
      <c r="AI187" s="210"/>
      <c r="AJ187" s="210"/>
      <c r="AK187" s="214"/>
      <c r="AL187" s="210"/>
    </row>
    <row r="188" spans="1:40" x14ac:dyDescent="0.3">
      <c r="R188" s="123"/>
    </row>
    <row r="189" spans="1:40" x14ac:dyDescent="0.3">
      <c r="F189" s="123"/>
      <c r="H189" s="123"/>
      <c r="I189" s="123"/>
      <c r="J189" s="219"/>
      <c r="K189" s="219"/>
      <c r="L189" s="123"/>
      <c r="M189" s="123"/>
      <c r="N189" s="123"/>
      <c r="O189" s="123"/>
      <c r="P189" s="123"/>
      <c r="Q189" s="123"/>
      <c r="R189" s="123"/>
      <c r="V189" s="123"/>
      <c r="Y189" s="123"/>
      <c r="Z189" s="219"/>
      <c r="AA189" s="123"/>
      <c r="AB189" s="123"/>
      <c r="AC189" s="123"/>
      <c r="AD189" s="123"/>
    </row>
    <row r="190" spans="1:40" x14ac:dyDescent="0.3">
      <c r="C190" s="42"/>
      <c r="F190" s="123"/>
      <c r="H190" s="123"/>
      <c r="I190" s="123"/>
      <c r="J190" s="219"/>
      <c r="K190" s="219"/>
      <c r="L190" s="123"/>
      <c r="M190" s="123"/>
      <c r="N190" s="123"/>
      <c r="O190" s="123"/>
      <c r="P190" s="123"/>
      <c r="Q190" s="123"/>
      <c r="R190" s="123"/>
      <c r="T190" s="42"/>
      <c r="V190" s="123"/>
      <c r="Y190" s="123"/>
      <c r="Z190" s="219"/>
      <c r="AA190" s="123"/>
      <c r="AB190" s="123"/>
      <c r="AC190" s="123"/>
      <c r="AD190" s="123"/>
    </row>
    <row r="191" spans="1:40" x14ac:dyDescent="0.3">
      <c r="C191" s="42"/>
      <c r="T191" s="42"/>
    </row>
    <row r="192" spans="1:40" x14ac:dyDescent="0.3">
      <c r="A192" s="42"/>
    </row>
    <row r="195" spans="1:40" x14ac:dyDescent="0.3">
      <c r="H195" s="42"/>
      <c r="I195" s="42"/>
      <c r="Y195" s="42"/>
    </row>
    <row r="197" spans="1:40" x14ac:dyDescent="0.3">
      <c r="L197" s="42"/>
      <c r="M197" s="42"/>
      <c r="AA197" s="42"/>
      <c r="AB197" s="42"/>
    </row>
    <row r="198" spans="1:40" x14ac:dyDescent="0.3">
      <c r="R198" s="42"/>
      <c r="AK198" s="206"/>
      <c r="AL198" s="42"/>
    </row>
    <row r="199" spans="1:40" x14ac:dyDescent="0.3">
      <c r="R199" s="42"/>
      <c r="AK199" s="206"/>
      <c r="AL199" s="42"/>
    </row>
    <row r="200" spans="1:40" x14ac:dyDescent="0.3">
      <c r="A200" s="42"/>
      <c r="R200" s="42"/>
      <c r="AK200" s="206"/>
      <c r="AL200" s="42"/>
    </row>
    <row r="201" spans="1:40" x14ac:dyDescent="0.3">
      <c r="L201" s="42"/>
      <c r="M201" s="42"/>
      <c r="AA201" s="42"/>
      <c r="AB201" s="42"/>
    </row>
    <row r="202" spans="1:40" x14ac:dyDescent="0.3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207"/>
      <c r="AH202" s="135"/>
      <c r="AI202" s="135"/>
      <c r="AJ202" s="135"/>
      <c r="AK202" s="207"/>
      <c r="AL202" s="135"/>
      <c r="AM202" s="135"/>
      <c r="AN202" s="135"/>
    </row>
    <row r="203" spans="1:40" x14ac:dyDescent="0.3">
      <c r="L203" s="44"/>
      <c r="M203" s="44"/>
      <c r="N203" s="44"/>
      <c r="O203" s="44"/>
      <c r="R203" s="44"/>
      <c r="AA203" s="44"/>
      <c r="AB203" s="44"/>
      <c r="AC203" s="44"/>
      <c r="AD203" s="44"/>
      <c r="AE203" s="44"/>
      <c r="AF203" s="44"/>
      <c r="AG203" s="168"/>
      <c r="AH203" s="44"/>
      <c r="AK203" s="168"/>
      <c r="AL203" s="44"/>
      <c r="AM203" s="44"/>
      <c r="AN203" s="44"/>
    </row>
    <row r="204" spans="1:40" x14ac:dyDescent="0.3">
      <c r="L204" s="44"/>
      <c r="M204" s="44"/>
      <c r="N204" s="44"/>
      <c r="O204" s="44"/>
      <c r="R204" s="44"/>
      <c r="Z204" s="44"/>
      <c r="AA204" s="44"/>
      <c r="AB204" s="44"/>
      <c r="AC204" s="44"/>
      <c r="AD204" s="44"/>
      <c r="AE204" s="44"/>
      <c r="AF204" s="44"/>
      <c r="AG204" s="168"/>
      <c r="AH204" s="44"/>
      <c r="AK204" s="168"/>
      <c r="AL204" s="44"/>
      <c r="AM204" s="44"/>
      <c r="AN204" s="44"/>
    </row>
    <row r="205" spans="1:40" x14ac:dyDescent="0.3">
      <c r="A205" s="44"/>
      <c r="C205" s="44"/>
      <c r="D205" s="44"/>
      <c r="E205" s="44"/>
      <c r="F205" s="44"/>
      <c r="J205" s="44"/>
      <c r="K205" s="44"/>
      <c r="L205" s="44"/>
      <c r="M205" s="44"/>
      <c r="N205" s="44"/>
      <c r="O205" s="44"/>
      <c r="P205" s="44"/>
      <c r="Q205" s="44"/>
      <c r="R205" s="44"/>
      <c r="T205" s="44"/>
      <c r="U205" s="44"/>
      <c r="V205" s="44"/>
      <c r="Z205" s="44"/>
      <c r="AA205" s="44"/>
      <c r="AB205" s="44"/>
      <c r="AC205" s="44"/>
      <c r="AD205" s="44"/>
      <c r="AE205" s="44"/>
      <c r="AF205" s="44"/>
      <c r="AG205" s="168"/>
      <c r="AH205" s="44"/>
      <c r="AI205" s="44"/>
      <c r="AJ205" s="44"/>
      <c r="AK205" s="168"/>
      <c r="AL205" s="44"/>
      <c r="AM205" s="44"/>
      <c r="AN205" s="44"/>
    </row>
    <row r="206" spans="1:40" x14ac:dyDescent="0.3">
      <c r="A206" s="44"/>
      <c r="C206" s="44"/>
      <c r="D206" s="44"/>
      <c r="E206" s="44"/>
      <c r="F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T206" s="44"/>
      <c r="U206" s="44"/>
      <c r="V206" s="44"/>
      <c r="Y206" s="44"/>
      <c r="Z206" s="44"/>
      <c r="AA206" s="44"/>
      <c r="AB206" s="44"/>
      <c r="AC206" s="44"/>
      <c r="AD206" s="44"/>
      <c r="AE206" s="44"/>
      <c r="AF206" s="44"/>
      <c r="AG206" s="168"/>
      <c r="AH206" s="44"/>
      <c r="AI206" s="44"/>
      <c r="AJ206" s="44"/>
      <c r="AK206" s="168"/>
      <c r="AL206" s="44"/>
      <c r="AM206" s="44"/>
      <c r="AN206" s="44"/>
    </row>
    <row r="207" spans="1:40" x14ac:dyDescent="0.3">
      <c r="C207" s="44"/>
      <c r="D207" s="44"/>
      <c r="E207" s="44"/>
      <c r="F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T207" s="44"/>
      <c r="U207" s="44"/>
      <c r="V207" s="44"/>
      <c r="Y207" s="44"/>
      <c r="Z207" s="44"/>
      <c r="AA207" s="44"/>
      <c r="AB207" s="44"/>
      <c r="AC207" s="44"/>
      <c r="AD207" s="44"/>
      <c r="AE207" s="44"/>
      <c r="AF207" s="44"/>
      <c r="AG207" s="168"/>
      <c r="AH207" s="44"/>
      <c r="AI207" s="44"/>
      <c r="AJ207" s="44"/>
      <c r="AK207" s="168"/>
      <c r="AL207" s="44"/>
      <c r="AM207" s="44"/>
      <c r="AN207" s="44"/>
    </row>
    <row r="208" spans="1:40" x14ac:dyDescent="0.3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207"/>
      <c r="AH208" s="135"/>
      <c r="AI208" s="135"/>
      <c r="AJ208" s="135"/>
      <c r="AK208" s="207"/>
      <c r="AL208" s="135"/>
      <c r="AM208" s="135"/>
      <c r="AN208" s="135"/>
    </row>
    <row r="209" spans="3:40" x14ac:dyDescent="0.3"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Y209" s="44"/>
      <c r="Z209" s="44"/>
      <c r="AA209" s="44"/>
      <c r="AB209" s="44"/>
      <c r="AC209" s="44"/>
      <c r="AD209" s="44"/>
      <c r="AE209" s="44"/>
      <c r="AF209" s="44"/>
      <c r="AG209" s="168"/>
      <c r="AH209" s="44"/>
      <c r="AI209" s="44"/>
      <c r="AJ209" s="44"/>
      <c r="AK209" s="168"/>
      <c r="AL209" s="44"/>
      <c r="AM209" s="44"/>
      <c r="AN209" s="44"/>
    </row>
    <row r="210" spans="3:40" x14ac:dyDescent="0.3">
      <c r="C210" s="42"/>
      <c r="D210" s="42"/>
      <c r="E210" s="42"/>
      <c r="T210" s="42"/>
      <c r="U210" s="42"/>
    </row>
    <row r="211" spans="3:40" x14ac:dyDescent="0.3">
      <c r="D211" s="42"/>
      <c r="E211" s="42"/>
      <c r="U211" s="42"/>
    </row>
    <row r="213" spans="3:40" x14ac:dyDescent="0.3">
      <c r="C213" s="42"/>
      <c r="F213" s="123"/>
      <c r="J213" s="209"/>
      <c r="K213" s="209"/>
      <c r="L213" s="123"/>
      <c r="M213" s="123"/>
      <c r="R213" s="123"/>
      <c r="T213" s="42"/>
      <c r="V213" s="123"/>
      <c r="Z213" s="209"/>
      <c r="AA213" s="123"/>
      <c r="AB213" s="123"/>
      <c r="AL213" s="123"/>
    </row>
    <row r="214" spans="3:40" x14ac:dyDescent="0.3">
      <c r="F214" s="123"/>
      <c r="R214" s="123"/>
      <c r="V214" s="123"/>
      <c r="AL214" s="123"/>
    </row>
    <row r="215" spans="3:40" x14ac:dyDescent="0.3">
      <c r="C215" s="42"/>
      <c r="F215" s="184"/>
      <c r="H215" s="184"/>
      <c r="I215" s="184"/>
      <c r="J215" s="193"/>
      <c r="K215" s="193"/>
      <c r="L215" s="123"/>
      <c r="M215" s="123"/>
      <c r="N215" s="160"/>
      <c r="O215" s="160"/>
      <c r="P215" s="123"/>
      <c r="Q215" s="123"/>
      <c r="R215" s="123"/>
      <c r="T215" s="42"/>
      <c r="V215" s="123"/>
      <c r="Y215" s="123"/>
      <c r="Z215" s="193"/>
      <c r="AA215" s="123"/>
      <c r="AB215" s="123"/>
      <c r="AC215" s="160"/>
      <c r="AD215" s="160"/>
      <c r="AE215" s="123"/>
      <c r="AF215" s="123"/>
      <c r="AH215" s="236"/>
      <c r="AI215" s="123"/>
      <c r="AJ215" s="123"/>
      <c r="AL215" s="123"/>
      <c r="AM215" s="160"/>
      <c r="AN215" s="160"/>
    </row>
    <row r="216" spans="3:40" x14ac:dyDescent="0.3">
      <c r="C216" s="42"/>
      <c r="F216" s="184"/>
      <c r="H216" s="222"/>
      <c r="I216" s="222"/>
      <c r="J216" s="193"/>
      <c r="K216" s="193"/>
      <c r="L216" s="123"/>
      <c r="M216" s="123"/>
      <c r="N216" s="160"/>
      <c r="O216" s="160"/>
      <c r="P216" s="123"/>
      <c r="Q216" s="123"/>
      <c r="R216" s="123"/>
      <c r="T216" s="42"/>
      <c r="V216" s="123"/>
      <c r="Y216" s="123"/>
      <c r="Z216" s="193"/>
      <c r="AA216" s="123"/>
      <c r="AB216" s="123"/>
      <c r="AC216" s="160"/>
      <c r="AD216" s="160"/>
      <c r="AE216" s="123"/>
      <c r="AF216" s="123"/>
      <c r="AH216" s="236"/>
      <c r="AI216" s="123"/>
      <c r="AJ216" s="123"/>
      <c r="AL216" s="123"/>
      <c r="AM216" s="160"/>
      <c r="AN216" s="160"/>
    </row>
    <row r="217" spans="3:40" x14ac:dyDescent="0.3">
      <c r="F217" s="210"/>
      <c r="H217" s="123"/>
      <c r="I217" s="123"/>
      <c r="J217" s="213"/>
      <c r="K217" s="213"/>
      <c r="L217" s="210"/>
      <c r="M217" s="210"/>
      <c r="N217" s="210"/>
      <c r="O217" s="210"/>
      <c r="P217" s="210"/>
      <c r="Q217" s="210"/>
      <c r="R217" s="210"/>
      <c r="V217" s="210"/>
      <c r="Y217" s="123"/>
      <c r="Z217" s="213"/>
      <c r="AA217" s="210"/>
      <c r="AB217" s="210"/>
      <c r="AC217" s="210"/>
      <c r="AD217" s="210"/>
      <c r="AE217" s="210"/>
      <c r="AF217" s="210"/>
      <c r="AI217" s="210"/>
      <c r="AJ217" s="210"/>
      <c r="AK217" s="214"/>
      <c r="AL217" s="210"/>
    </row>
    <row r="218" spans="3:40" x14ac:dyDescent="0.3">
      <c r="C218" s="42"/>
      <c r="F218" s="123"/>
      <c r="H218" s="123"/>
      <c r="I218" s="123"/>
      <c r="J218" s="219"/>
      <c r="K218" s="219"/>
      <c r="L218" s="123"/>
      <c r="M218" s="123"/>
      <c r="N218" s="160"/>
      <c r="O218" s="160"/>
      <c r="P218" s="123"/>
      <c r="Q218" s="123"/>
      <c r="R218" s="123"/>
      <c r="T218" s="42"/>
      <c r="V218" s="123"/>
      <c r="Y218" s="123"/>
      <c r="Z218" s="219"/>
      <c r="AA218" s="123"/>
      <c r="AB218" s="123"/>
      <c r="AC218" s="160"/>
      <c r="AD218" s="160"/>
      <c r="AE218" s="123"/>
      <c r="AF218" s="123"/>
      <c r="AH218" s="236"/>
      <c r="AI218" s="123"/>
      <c r="AJ218" s="123"/>
      <c r="AL218" s="123"/>
      <c r="AM218" s="160"/>
      <c r="AN218" s="160"/>
    </row>
    <row r="219" spans="3:40" x14ac:dyDescent="0.3">
      <c r="F219" s="210"/>
      <c r="H219" s="123"/>
      <c r="I219" s="123"/>
      <c r="J219" s="213"/>
      <c r="K219" s="213"/>
      <c r="L219" s="210"/>
      <c r="M219" s="210"/>
      <c r="N219" s="210"/>
      <c r="O219" s="210"/>
      <c r="P219" s="210"/>
      <c r="Q219" s="210"/>
      <c r="R219" s="210"/>
      <c r="V219" s="210"/>
      <c r="Y219" s="123"/>
      <c r="Z219" s="213"/>
      <c r="AA219" s="210"/>
      <c r="AB219" s="210"/>
      <c r="AC219" s="210"/>
      <c r="AD219" s="210"/>
      <c r="AE219" s="210"/>
      <c r="AF219" s="210"/>
      <c r="AI219" s="210"/>
      <c r="AJ219" s="210"/>
      <c r="AK219" s="214"/>
      <c r="AL219" s="210"/>
    </row>
    <row r="220" spans="3:40" x14ac:dyDescent="0.3">
      <c r="F220" s="123"/>
      <c r="R220" s="123"/>
      <c r="V220" s="123"/>
      <c r="AL220" s="123"/>
    </row>
    <row r="221" spans="3:40" x14ac:dyDescent="0.3">
      <c r="C221" s="42"/>
      <c r="F221" s="123"/>
      <c r="R221" s="123"/>
      <c r="T221" s="42"/>
      <c r="V221" s="123"/>
      <c r="AL221" s="123"/>
    </row>
    <row r="222" spans="3:40" x14ac:dyDescent="0.3">
      <c r="F222" s="123"/>
      <c r="R222" s="123"/>
      <c r="V222" s="123"/>
      <c r="AL222" s="123"/>
    </row>
    <row r="223" spans="3:40" x14ac:dyDescent="0.3">
      <c r="C223" s="42"/>
      <c r="F223" s="123"/>
      <c r="H223" s="184"/>
      <c r="I223" s="184"/>
      <c r="J223" s="227"/>
      <c r="K223" s="227"/>
      <c r="L223" s="123"/>
      <c r="M223" s="123"/>
      <c r="N223" s="160"/>
      <c r="O223" s="160"/>
      <c r="P223" s="184"/>
      <c r="Q223" s="184"/>
      <c r="R223" s="123"/>
      <c r="T223" s="42"/>
      <c r="V223" s="123"/>
      <c r="Y223" s="123"/>
      <c r="Z223" s="212"/>
      <c r="AA223" s="123"/>
      <c r="AB223" s="123"/>
      <c r="AC223" s="160"/>
      <c r="AD223" s="160"/>
      <c r="AE223" s="123"/>
      <c r="AF223" s="123"/>
      <c r="AH223" s="236"/>
      <c r="AI223" s="184"/>
      <c r="AJ223" s="184"/>
      <c r="AL223" s="123"/>
      <c r="AM223" s="160"/>
      <c r="AN223" s="160"/>
    </row>
    <row r="224" spans="3:40" x14ac:dyDescent="0.3">
      <c r="H224" s="210"/>
      <c r="I224" s="210"/>
      <c r="J224" s="213"/>
      <c r="K224" s="213"/>
      <c r="L224" s="210"/>
      <c r="M224" s="210"/>
      <c r="N224" s="210"/>
      <c r="O224" s="210"/>
      <c r="P224" s="210"/>
      <c r="Q224" s="210"/>
      <c r="R224" s="210"/>
      <c r="V224" s="210"/>
      <c r="Y224" s="210"/>
      <c r="Z224" s="213"/>
      <c r="AA224" s="210"/>
      <c r="AB224" s="210"/>
      <c r="AC224" s="210"/>
      <c r="AD224" s="210"/>
      <c r="AE224" s="210"/>
      <c r="AF224" s="210"/>
      <c r="AI224" s="210"/>
      <c r="AJ224" s="210"/>
      <c r="AK224" s="214"/>
      <c r="AL224" s="210"/>
    </row>
    <row r="225" spans="1:40" x14ac:dyDescent="0.3">
      <c r="F225" s="210"/>
    </row>
    <row r="226" spans="1:40" x14ac:dyDescent="0.3">
      <c r="C226" s="42"/>
      <c r="F226" s="123"/>
      <c r="H226" s="123"/>
      <c r="I226" s="123"/>
      <c r="J226" s="209"/>
      <c r="K226" s="209"/>
      <c r="L226" s="123"/>
      <c r="M226" s="123"/>
      <c r="N226" s="160"/>
      <c r="O226" s="160"/>
      <c r="P226" s="123"/>
      <c r="Q226" s="123"/>
      <c r="R226" s="123"/>
      <c r="T226" s="42"/>
      <c r="V226" s="123"/>
      <c r="Y226" s="123"/>
      <c r="Z226" s="209"/>
      <c r="AA226" s="123"/>
      <c r="AB226" s="123"/>
      <c r="AC226" s="160"/>
      <c r="AD226" s="160"/>
      <c r="AE226" s="123"/>
      <c r="AF226" s="123"/>
      <c r="AH226" s="236"/>
      <c r="AI226" s="123"/>
      <c r="AJ226" s="123"/>
      <c r="AL226" s="123"/>
      <c r="AM226" s="160"/>
      <c r="AN226" s="160"/>
    </row>
    <row r="227" spans="1:40" x14ac:dyDescent="0.3">
      <c r="F227" s="210"/>
      <c r="H227" s="210"/>
      <c r="I227" s="210"/>
      <c r="J227" s="213"/>
      <c r="K227" s="213"/>
      <c r="L227" s="210"/>
      <c r="M227" s="210"/>
      <c r="N227" s="210"/>
      <c r="O227" s="210"/>
      <c r="P227" s="210"/>
      <c r="Q227" s="210"/>
      <c r="R227" s="210"/>
      <c r="V227" s="210"/>
      <c r="Y227" s="210"/>
      <c r="Z227" s="213"/>
      <c r="AA227" s="210"/>
      <c r="AB227" s="210"/>
      <c r="AC227" s="210"/>
      <c r="AD227" s="210"/>
      <c r="AE227" s="210"/>
      <c r="AF227" s="210"/>
      <c r="AI227" s="210"/>
      <c r="AJ227" s="210"/>
      <c r="AK227" s="214"/>
      <c r="AL227" s="210"/>
    </row>
    <row r="228" spans="1:40" x14ac:dyDescent="0.3">
      <c r="R228" s="123"/>
      <c r="AH228" s="123"/>
    </row>
    <row r="229" spans="1:40" x14ac:dyDescent="0.3">
      <c r="F229" s="123"/>
      <c r="H229" s="123"/>
      <c r="I229" s="123"/>
      <c r="J229" s="219"/>
      <c r="K229" s="219"/>
      <c r="L229" s="123"/>
      <c r="M229" s="123"/>
      <c r="N229" s="123"/>
      <c r="O229" s="123"/>
      <c r="P229" s="123"/>
      <c r="Q229" s="123"/>
      <c r="R229" s="123"/>
      <c r="V229" s="123"/>
      <c r="Y229" s="123"/>
      <c r="Z229" s="219"/>
      <c r="AA229" s="123"/>
      <c r="AB229" s="123"/>
      <c r="AC229" s="123"/>
      <c r="AD229" s="123"/>
      <c r="AE229" s="123"/>
      <c r="AF229" s="123"/>
      <c r="AH229" s="123"/>
    </row>
    <row r="230" spans="1:40" x14ac:dyDescent="0.3">
      <c r="C230" s="42"/>
      <c r="F230" s="123"/>
      <c r="H230" s="123"/>
      <c r="I230" s="123"/>
      <c r="J230" s="219"/>
      <c r="K230" s="219"/>
      <c r="L230" s="123"/>
      <c r="M230" s="123"/>
      <c r="N230" s="123"/>
      <c r="O230" s="123"/>
      <c r="P230" s="123"/>
      <c r="Q230" s="123"/>
      <c r="R230" s="123"/>
      <c r="T230" s="42"/>
      <c r="V230" s="123"/>
      <c r="Y230" s="123"/>
      <c r="Z230" s="219"/>
      <c r="AA230" s="123"/>
      <c r="AB230" s="123"/>
      <c r="AC230" s="123"/>
      <c r="AD230" s="123"/>
      <c r="AE230" s="123"/>
      <c r="AF230" s="123"/>
      <c r="AH230" s="123"/>
    </row>
    <row r="231" spans="1:40" x14ac:dyDescent="0.3">
      <c r="A231" s="42"/>
    </row>
    <row r="234" spans="1:40" x14ac:dyDescent="0.3">
      <c r="H234" s="42"/>
      <c r="I234" s="42"/>
      <c r="Y234" s="42"/>
    </row>
    <row r="236" spans="1:40" x14ac:dyDescent="0.3">
      <c r="L236" s="42"/>
      <c r="M236" s="42"/>
      <c r="AA236" s="42"/>
      <c r="AB236" s="42"/>
    </row>
    <row r="237" spans="1:40" x14ac:dyDescent="0.3">
      <c r="R237" s="42"/>
      <c r="AK237" s="206"/>
      <c r="AL237" s="42"/>
    </row>
    <row r="238" spans="1:40" x14ac:dyDescent="0.3">
      <c r="R238" s="42"/>
      <c r="AK238" s="206"/>
      <c r="AL238" s="42"/>
    </row>
    <row r="239" spans="1:40" x14ac:dyDescent="0.3">
      <c r="A239" s="42"/>
      <c r="R239" s="42"/>
      <c r="AK239" s="206"/>
      <c r="AL239" s="42"/>
    </row>
    <row r="240" spans="1:40" x14ac:dyDescent="0.3">
      <c r="L240" s="42"/>
      <c r="M240" s="42"/>
      <c r="AA240" s="42"/>
      <c r="AB240" s="42"/>
    </row>
    <row r="241" spans="1:40" x14ac:dyDescent="0.3">
      <c r="A241" s="135"/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207"/>
      <c r="AH241" s="135"/>
      <c r="AI241" s="135"/>
      <c r="AJ241" s="135"/>
      <c r="AK241" s="207"/>
      <c r="AL241" s="135"/>
      <c r="AM241" s="135"/>
      <c r="AN241" s="135"/>
    </row>
    <row r="242" spans="1:40" x14ac:dyDescent="0.3">
      <c r="L242" s="44"/>
      <c r="M242" s="44"/>
      <c r="N242" s="44"/>
      <c r="O242" s="44"/>
      <c r="R242" s="44"/>
      <c r="AA242" s="44"/>
      <c r="AB242" s="44"/>
      <c r="AC242" s="44"/>
      <c r="AD242" s="44"/>
      <c r="AE242" s="44"/>
      <c r="AF242" s="44"/>
      <c r="AG242" s="168"/>
      <c r="AH242" s="44"/>
      <c r="AK242" s="168"/>
      <c r="AL242" s="44"/>
      <c r="AM242" s="44"/>
      <c r="AN242" s="44"/>
    </row>
    <row r="243" spans="1:40" x14ac:dyDescent="0.3">
      <c r="L243" s="44"/>
      <c r="M243" s="44"/>
      <c r="N243" s="44"/>
      <c r="O243" s="44"/>
      <c r="R243" s="44"/>
      <c r="Z243" s="44"/>
      <c r="AA243" s="44"/>
      <c r="AB243" s="44"/>
      <c r="AC243" s="44"/>
      <c r="AD243" s="44"/>
      <c r="AE243" s="44"/>
      <c r="AF243" s="44"/>
      <c r="AG243" s="168"/>
      <c r="AH243" s="44"/>
      <c r="AK243" s="168"/>
      <c r="AL243" s="44"/>
      <c r="AM243" s="44"/>
      <c r="AN243" s="44"/>
    </row>
    <row r="244" spans="1:40" x14ac:dyDescent="0.3">
      <c r="A244" s="44"/>
      <c r="C244" s="44"/>
      <c r="D244" s="44"/>
      <c r="E244" s="44"/>
      <c r="F244" s="44"/>
      <c r="J244" s="44"/>
      <c r="K244" s="44"/>
      <c r="L244" s="44"/>
      <c r="M244" s="44"/>
      <c r="N244" s="44"/>
      <c r="O244" s="44"/>
      <c r="P244" s="44"/>
      <c r="Q244" s="44"/>
      <c r="R244" s="44"/>
      <c r="T244" s="44"/>
      <c r="U244" s="44"/>
      <c r="V244" s="44"/>
      <c r="Z244" s="44"/>
      <c r="AA244" s="44"/>
      <c r="AB244" s="44"/>
      <c r="AC244" s="44"/>
      <c r="AD244" s="44"/>
      <c r="AE244" s="44"/>
      <c r="AF244" s="44"/>
      <c r="AG244" s="168"/>
      <c r="AH244" s="44"/>
      <c r="AI244" s="44"/>
      <c r="AJ244" s="44"/>
      <c r="AK244" s="168"/>
      <c r="AL244" s="44"/>
      <c r="AM244" s="44"/>
      <c r="AN244" s="44"/>
    </row>
    <row r="245" spans="1:40" x14ac:dyDescent="0.3">
      <c r="A245" s="44"/>
      <c r="C245" s="44"/>
      <c r="D245" s="44"/>
      <c r="E245" s="44"/>
      <c r="F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T245" s="44"/>
      <c r="U245" s="44"/>
      <c r="V245" s="44"/>
      <c r="Y245" s="44"/>
      <c r="Z245" s="44"/>
      <c r="AA245" s="44"/>
      <c r="AB245" s="44"/>
      <c r="AC245" s="44"/>
      <c r="AD245" s="44"/>
      <c r="AE245" s="44"/>
      <c r="AF245" s="44"/>
      <c r="AG245" s="168"/>
      <c r="AH245" s="44"/>
      <c r="AI245" s="44"/>
      <c r="AJ245" s="44"/>
      <c r="AK245" s="168"/>
      <c r="AL245" s="44"/>
      <c r="AM245" s="44"/>
      <c r="AN245" s="44"/>
    </row>
    <row r="246" spans="1:40" x14ac:dyDescent="0.3">
      <c r="C246" s="44"/>
      <c r="D246" s="44"/>
      <c r="E246" s="44"/>
      <c r="F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T246" s="44"/>
      <c r="U246" s="44"/>
      <c r="V246" s="44"/>
      <c r="Y246" s="44"/>
      <c r="Z246" s="44"/>
      <c r="AA246" s="44"/>
      <c r="AB246" s="44"/>
      <c r="AC246" s="44"/>
      <c r="AD246" s="44"/>
      <c r="AE246" s="44"/>
      <c r="AF246" s="44"/>
      <c r="AG246" s="168"/>
      <c r="AH246" s="44"/>
      <c r="AI246" s="44"/>
      <c r="AJ246" s="44"/>
      <c r="AK246" s="168"/>
      <c r="AL246" s="44"/>
      <c r="AM246" s="44"/>
      <c r="AN246" s="44"/>
    </row>
    <row r="247" spans="1:40" x14ac:dyDescent="0.3">
      <c r="A247" s="135"/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207"/>
      <c r="AH247" s="135"/>
      <c r="AI247" s="135"/>
      <c r="AJ247" s="135"/>
      <c r="AK247" s="207"/>
      <c r="AL247" s="135"/>
      <c r="AM247" s="135"/>
      <c r="AN247" s="135"/>
    </row>
    <row r="248" spans="1:40" x14ac:dyDescent="0.3"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Y248" s="44"/>
      <c r="Z248" s="44"/>
      <c r="AA248" s="44"/>
      <c r="AB248" s="44"/>
      <c r="AC248" s="44"/>
      <c r="AD248" s="44"/>
      <c r="AE248" s="44"/>
      <c r="AF248" s="44"/>
      <c r="AG248" s="168"/>
      <c r="AH248" s="44"/>
      <c r="AI248" s="44"/>
      <c r="AJ248" s="44"/>
      <c r="AK248" s="168"/>
      <c r="AL248" s="44"/>
      <c r="AM248" s="44"/>
      <c r="AN248" s="44"/>
    </row>
    <row r="249" spans="1:40" x14ac:dyDescent="0.3">
      <c r="C249" s="42"/>
      <c r="D249" s="42"/>
      <c r="E249" s="42"/>
      <c r="T249" s="42"/>
      <c r="U249" s="42"/>
    </row>
    <row r="250" spans="1:40" x14ac:dyDescent="0.3">
      <c r="C250" s="42"/>
      <c r="T250" s="42"/>
    </row>
    <row r="252" spans="1:40" x14ac:dyDescent="0.3">
      <c r="C252" s="42"/>
      <c r="F252" s="184"/>
      <c r="H252" s="184"/>
      <c r="I252" s="184"/>
      <c r="J252" s="193"/>
      <c r="K252" s="193"/>
      <c r="L252" s="123"/>
      <c r="M252" s="123"/>
      <c r="N252" s="160"/>
      <c r="O252" s="160"/>
      <c r="R252" s="123"/>
      <c r="T252" s="42"/>
      <c r="V252" s="123"/>
      <c r="Y252" s="184"/>
      <c r="Z252" s="193"/>
      <c r="AA252" s="123"/>
      <c r="AB252" s="123"/>
      <c r="AC252" s="160"/>
      <c r="AD252" s="160"/>
      <c r="AE252" s="123"/>
      <c r="AF252" s="123"/>
      <c r="AH252" s="236"/>
      <c r="AL252" s="123"/>
      <c r="AM252" s="160"/>
      <c r="AN252" s="160"/>
    </row>
    <row r="253" spans="1:40" x14ac:dyDescent="0.3">
      <c r="F253" s="210"/>
      <c r="H253" s="123"/>
      <c r="I253" s="123"/>
      <c r="J253" s="213"/>
      <c r="K253" s="213"/>
      <c r="L253" s="210"/>
      <c r="M253" s="210"/>
      <c r="N253" s="210"/>
      <c r="O253" s="210"/>
      <c r="P253" s="210"/>
      <c r="Q253" s="210"/>
      <c r="R253" s="210"/>
      <c r="V253" s="210"/>
      <c r="Y253" s="123"/>
      <c r="Z253" s="213"/>
      <c r="AA253" s="210"/>
      <c r="AB253" s="210"/>
      <c r="AC253" s="210"/>
      <c r="AD253" s="210"/>
      <c r="AE253" s="210"/>
      <c r="AF253" s="210"/>
      <c r="AI253" s="210"/>
      <c r="AJ253" s="210"/>
      <c r="AK253" s="214"/>
      <c r="AL253" s="210"/>
      <c r="AM253" s="160"/>
      <c r="AN253" s="160"/>
    </row>
    <row r="254" spans="1:40" x14ac:dyDescent="0.3">
      <c r="C254" s="42"/>
      <c r="F254" s="184"/>
      <c r="H254" s="184"/>
      <c r="I254" s="184"/>
      <c r="J254" s="237"/>
      <c r="K254" s="237"/>
      <c r="L254" s="123"/>
      <c r="M254" s="123"/>
      <c r="N254" s="160"/>
      <c r="O254" s="160"/>
      <c r="P254" s="123"/>
      <c r="Q254" s="123"/>
      <c r="R254" s="123"/>
      <c r="S254" s="123"/>
      <c r="T254" s="42"/>
      <c r="V254" s="184"/>
      <c r="Y254" s="184"/>
      <c r="Z254" s="237"/>
      <c r="AA254" s="123"/>
      <c r="AB254" s="123"/>
      <c r="AC254" s="160"/>
      <c r="AD254" s="160"/>
      <c r="AE254" s="123"/>
      <c r="AF254" s="123"/>
      <c r="AH254" s="160"/>
      <c r="AI254" s="123"/>
      <c r="AJ254" s="123"/>
      <c r="AL254" s="123"/>
      <c r="AM254" s="160"/>
      <c r="AN254" s="160"/>
    </row>
    <row r="255" spans="1:40" x14ac:dyDescent="0.3">
      <c r="C255" s="42"/>
      <c r="F255" s="184"/>
      <c r="H255" s="184"/>
      <c r="I255" s="184"/>
      <c r="J255" s="193"/>
      <c r="K255" s="193"/>
      <c r="L255" s="123"/>
      <c r="M255" s="123"/>
      <c r="N255" s="160"/>
      <c r="O255" s="160"/>
      <c r="P255" s="123"/>
      <c r="Q255" s="123"/>
      <c r="R255" s="123"/>
      <c r="T255" s="42"/>
      <c r="V255" s="184"/>
      <c r="Y255" s="123"/>
      <c r="Z255" s="193"/>
      <c r="AA255" s="123"/>
      <c r="AB255" s="123"/>
      <c r="AC255" s="160"/>
      <c r="AD255" s="160"/>
      <c r="AE255" s="123"/>
      <c r="AF255" s="123"/>
      <c r="AH255" s="236"/>
      <c r="AI255" s="123"/>
      <c r="AJ255" s="123"/>
      <c r="AL255" s="123"/>
      <c r="AM255" s="160"/>
      <c r="AN255" s="160"/>
    </row>
    <row r="256" spans="1:40" x14ac:dyDescent="0.3">
      <c r="C256" s="42"/>
      <c r="F256" s="184"/>
      <c r="H256" s="184"/>
      <c r="I256" s="184"/>
      <c r="J256" s="193"/>
      <c r="K256" s="193"/>
      <c r="L256" s="123"/>
      <c r="M256" s="123"/>
      <c r="N256" s="160"/>
      <c r="O256" s="160"/>
      <c r="P256" s="123"/>
      <c r="Q256" s="123"/>
      <c r="R256" s="123"/>
      <c r="T256" s="42"/>
      <c r="V256" s="184"/>
      <c r="Y256" s="123"/>
      <c r="Z256" s="193"/>
      <c r="AA256" s="123"/>
      <c r="AB256" s="123"/>
      <c r="AC256" s="160"/>
      <c r="AD256" s="160"/>
      <c r="AE256" s="123"/>
      <c r="AF256" s="123"/>
      <c r="AH256" s="236"/>
      <c r="AI256" s="123"/>
      <c r="AJ256" s="123"/>
      <c r="AL256" s="123"/>
      <c r="AM256" s="160"/>
      <c r="AN256" s="160"/>
    </row>
    <row r="257" spans="3:40" x14ac:dyDescent="0.3">
      <c r="F257" s="210"/>
      <c r="H257" s="210"/>
      <c r="I257" s="210"/>
      <c r="J257" s="213"/>
      <c r="K257" s="213"/>
      <c r="L257" s="210"/>
      <c r="M257" s="210"/>
      <c r="N257" s="210"/>
      <c r="O257" s="210"/>
      <c r="P257" s="210"/>
      <c r="Q257" s="210"/>
      <c r="R257" s="210"/>
      <c r="V257" s="210"/>
      <c r="Y257" s="210"/>
      <c r="Z257" s="213"/>
      <c r="AA257" s="210"/>
      <c r="AB257" s="210"/>
      <c r="AC257" s="210"/>
      <c r="AD257" s="210"/>
      <c r="AE257" s="210"/>
      <c r="AF257" s="210"/>
      <c r="AI257" s="210"/>
      <c r="AJ257" s="210"/>
      <c r="AK257" s="214"/>
      <c r="AL257" s="210"/>
      <c r="AM257" s="160"/>
      <c r="AN257" s="160"/>
    </row>
    <row r="258" spans="3:40" x14ac:dyDescent="0.3">
      <c r="C258" s="42"/>
      <c r="F258" s="123"/>
      <c r="H258" s="123"/>
      <c r="I258" s="123"/>
      <c r="J258" s="219"/>
      <c r="K258" s="219"/>
      <c r="L258" s="123"/>
      <c r="M258" s="123"/>
      <c r="N258" s="160"/>
      <c r="O258" s="160"/>
      <c r="P258" s="123"/>
      <c r="Q258" s="123"/>
      <c r="R258" s="123"/>
      <c r="T258" s="42"/>
      <c r="V258" s="123"/>
      <c r="Y258" s="123"/>
      <c r="Z258" s="219"/>
      <c r="AA258" s="123"/>
      <c r="AB258" s="123"/>
      <c r="AC258" s="160"/>
      <c r="AD258" s="160"/>
      <c r="AE258" s="123"/>
      <c r="AF258" s="123"/>
      <c r="AH258" s="236"/>
      <c r="AI258" s="123"/>
      <c r="AJ258" s="123"/>
      <c r="AL258" s="123"/>
      <c r="AM258" s="160"/>
      <c r="AN258" s="160"/>
    </row>
    <row r="259" spans="3:40" x14ac:dyDescent="0.3">
      <c r="F259" s="210"/>
      <c r="H259" s="210"/>
      <c r="I259" s="210"/>
      <c r="J259" s="213"/>
      <c r="K259" s="213"/>
      <c r="L259" s="210"/>
      <c r="M259" s="210"/>
      <c r="N259" s="210"/>
      <c r="O259" s="210"/>
      <c r="P259" s="210"/>
      <c r="Q259" s="210"/>
      <c r="R259" s="210"/>
      <c r="V259" s="210"/>
      <c r="Y259" s="210"/>
      <c r="Z259" s="213"/>
      <c r="AA259" s="210"/>
      <c r="AB259" s="210"/>
      <c r="AC259" s="210"/>
      <c r="AD259" s="210"/>
      <c r="AE259" s="210"/>
      <c r="AF259" s="210"/>
      <c r="AI259" s="210"/>
      <c r="AJ259" s="210"/>
      <c r="AK259" s="214"/>
      <c r="AL259" s="210"/>
      <c r="AM259" s="160"/>
      <c r="AN259" s="160"/>
    </row>
    <row r="260" spans="3:40" x14ac:dyDescent="0.3">
      <c r="C260" s="42"/>
      <c r="F260" s="123"/>
      <c r="H260" s="123"/>
      <c r="I260" s="123"/>
      <c r="J260" s="219"/>
      <c r="K260" s="219"/>
      <c r="L260" s="123"/>
      <c r="M260" s="123"/>
      <c r="N260" s="160"/>
      <c r="O260" s="160"/>
      <c r="P260" s="123"/>
      <c r="Q260" s="123"/>
      <c r="R260" s="123"/>
      <c r="T260" s="42"/>
      <c r="V260" s="123"/>
      <c r="Y260" s="123"/>
      <c r="Z260" s="219"/>
      <c r="AA260" s="123"/>
      <c r="AB260" s="123"/>
      <c r="AC260" s="160"/>
      <c r="AD260" s="160"/>
      <c r="AE260" s="123"/>
      <c r="AF260" s="123"/>
      <c r="AH260" s="236"/>
      <c r="AI260" s="123"/>
      <c r="AJ260" s="123"/>
      <c r="AL260" s="123"/>
      <c r="AM260" s="160"/>
      <c r="AN260" s="160"/>
    </row>
    <row r="261" spans="3:40" x14ac:dyDescent="0.3">
      <c r="C261" s="42"/>
      <c r="F261" s="123"/>
      <c r="H261" s="184"/>
      <c r="I261" s="184"/>
      <c r="J261" s="227"/>
      <c r="K261" s="227"/>
      <c r="L261" s="123"/>
      <c r="M261" s="123"/>
      <c r="N261" s="160"/>
      <c r="O261" s="160"/>
      <c r="P261" s="123"/>
      <c r="Q261" s="123"/>
      <c r="R261" s="123"/>
      <c r="T261" s="42"/>
      <c r="V261" s="123"/>
      <c r="Y261" s="123"/>
      <c r="Z261" s="212"/>
      <c r="AA261" s="123"/>
      <c r="AB261" s="123"/>
      <c r="AC261" s="160"/>
      <c r="AD261" s="160"/>
      <c r="AE261" s="123"/>
      <c r="AF261" s="123"/>
      <c r="AH261" s="236"/>
      <c r="AI261" s="123"/>
      <c r="AJ261" s="123"/>
      <c r="AL261" s="123"/>
      <c r="AM261" s="160"/>
      <c r="AN261" s="160"/>
    </row>
    <row r="262" spans="3:40" x14ac:dyDescent="0.3">
      <c r="H262" s="210"/>
      <c r="I262" s="210"/>
      <c r="J262" s="213"/>
      <c r="K262" s="213"/>
      <c r="L262" s="210"/>
      <c r="M262" s="210"/>
      <c r="N262" s="210"/>
      <c r="O262" s="210"/>
      <c r="P262" s="210"/>
      <c r="Q262" s="210"/>
      <c r="R262" s="210"/>
      <c r="V262" s="210"/>
      <c r="Y262" s="210"/>
      <c r="Z262" s="213"/>
      <c r="AA262" s="210"/>
      <c r="AB262" s="210"/>
      <c r="AC262" s="210"/>
      <c r="AD262" s="210"/>
      <c r="AE262" s="210"/>
      <c r="AF262" s="210"/>
      <c r="AI262" s="210"/>
      <c r="AJ262" s="210"/>
      <c r="AK262" s="214"/>
      <c r="AL262" s="210"/>
      <c r="AM262" s="160"/>
      <c r="AN262" s="160"/>
    </row>
    <row r="263" spans="3:40" x14ac:dyDescent="0.3">
      <c r="F263" s="210"/>
    </row>
    <row r="264" spans="3:40" x14ac:dyDescent="0.3">
      <c r="C264" s="42"/>
      <c r="F264" s="123"/>
      <c r="H264" s="123"/>
      <c r="I264" s="123"/>
      <c r="J264" s="213"/>
      <c r="K264" s="213"/>
      <c r="L264" s="123"/>
      <c r="M264" s="123"/>
      <c r="N264" s="160"/>
      <c r="O264" s="160"/>
      <c r="P264" s="123"/>
      <c r="Q264" s="123"/>
      <c r="R264" s="123"/>
      <c r="S264" s="123"/>
      <c r="T264" s="42"/>
      <c r="V264" s="123"/>
      <c r="Y264" s="123"/>
      <c r="Z264" s="213"/>
      <c r="AA264" s="123"/>
      <c r="AB264" s="123"/>
      <c r="AC264" s="160"/>
      <c r="AD264" s="160"/>
      <c r="AE264" s="123"/>
      <c r="AF264" s="123"/>
      <c r="AH264" s="160"/>
      <c r="AI264" s="123"/>
      <c r="AJ264" s="123"/>
      <c r="AL264" s="123"/>
      <c r="AM264" s="160"/>
      <c r="AN264" s="160"/>
    </row>
    <row r="265" spans="3:40" x14ac:dyDescent="0.3">
      <c r="F265" s="210"/>
      <c r="H265" s="210"/>
      <c r="I265" s="210"/>
      <c r="J265" s="213"/>
      <c r="K265" s="213"/>
      <c r="L265" s="210"/>
      <c r="M265" s="210"/>
      <c r="N265" s="210"/>
      <c r="O265" s="210"/>
      <c r="P265" s="210"/>
      <c r="Q265" s="210"/>
      <c r="R265" s="210"/>
      <c r="S265" s="123"/>
      <c r="V265" s="210"/>
      <c r="Y265" s="210"/>
      <c r="Z265" s="213"/>
      <c r="AA265" s="210"/>
      <c r="AB265" s="210"/>
      <c r="AC265" s="210"/>
      <c r="AD265" s="210"/>
      <c r="AE265" s="210"/>
      <c r="AF265" s="210"/>
      <c r="AI265" s="210"/>
      <c r="AJ265" s="210"/>
      <c r="AK265" s="214"/>
      <c r="AL265" s="210"/>
      <c r="AM265" s="160"/>
      <c r="AN265" s="160"/>
    </row>
    <row r="266" spans="3:40" x14ac:dyDescent="0.3">
      <c r="C266" s="42"/>
      <c r="H266" s="184"/>
      <c r="I266" s="184"/>
      <c r="J266" s="213"/>
      <c r="K266" s="213"/>
      <c r="L266" s="123"/>
      <c r="M266" s="123"/>
      <c r="N266" s="160"/>
      <c r="O266" s="160"/>
      <c r="P266" s="123"/>
      <c r="Q266" s="123"/>
      <c r="R266" s="123"/>
      <c r="S266" s="123"/>
      <c r="T266" s="42"/>
      <c r="V266" s="184"/>
      <c r="Y266" s="184"/>
      <c r="Z266" s="213"/>
      <c r="AA266" s="123"/>
      <c r="AB266" s="123"/>
      <c r="AC266" s="160"/>
      <c r="AD266" s="160"/>
      <c r="AE266" s="123"/>
      <c r="AF266" s="123"/>
      <c r="AI266" s="123"/>
      <c r="AJ266" s="123"/>
      <c r="AL266" s="123"/>
      <c r="AM266" s="160"/>
      <c r="AN266" s="160"/>
    </row>
    <row r="267" spans="3:40" x14ac:dyDescent="0.3">
      <c r="F267" s="184"/>
    </row>
    <row r="268" spans="3:40" x14ac:dyDescent="0.3">
      <c r="C268" s="42"/>
      <c r="F268" s="184"/>
      <c r="H268" s="184"/>
      <c r="I268" s="184"/>
      <c r="J268" s="193"/>
      <c r="K268" s="193"/>
      <c r="L268" s="123"/>
      <c r="M268" s="123"/>
      <c r="N268" s="160"/>
      <c r="O268" s="160"/>
      <c r="R268" s="123"/>
      <c r="T268" s="42"/>
      <c r="V268" s="123"/>
      <c r="Y268" s="184"/>
      <c r="Z268" s="193"/>
      <c r="AA268" s="123"/>
      <c r="AB268" s="123"/>
      <c r="AC268" s="160"/>
      <c r="AD268" s="160"/>
      <c r="AE268" s="123"/>
      <c r="AF268" s="123"/>
      <c r="AH268" s="236"/>
      <c r="AL268" s="123"/>
      <c r="AM268" s="160"/>
      <c r="AN268" s="160"/>
    </row>
    <row r="269" spans="3:40" x14ac:dyDescent="0.3">
      <c r="F269" s="210"/>
      <c r="H269" s="123"/>
      <c r="I269" s="123"/>
      <c r="J269" s="213"/>
      <c r="K269" s="213"/>
      <c r="L269" s="210"/>
      <c r="M269" s="210"/>
      <c r="N269" s="210"/>
      <c r="O269" s="210"/>
      <c r="P269" s="210"/>
      <c r="Q269" s="210"/>
      <c r="R269" s="210"/>
      <c r="V269" s="210"/>
      <c r="Y269" s="123"/>
      <c r="Z269" s="213"/>
      <c r="AA269" s="210"/>
      <c r="AB269" s="210"/>
      <c r="AC269" s="210"/>
      <c r="AD269" s="210"/>
      <c r="AE269" s="210"/>
      <c r="AF269" s="210"/>
      <c r="AI269" s="210"/>
      <c r="AJ269" s="210"/>
      <c r="AK269" s="214"/>
      <c r="AL269" s="210"/>
      <c r="AM269" s="160"/>
      <c r="AN269" s="160"/>
    </row>
    <row r="270" spans="3:40" x14ac:dyDescent="0.3">
      <c r="C270" s="42"/>
      <c r="F270" s="184"/>
      <c r="H270" s="184"/>
      <c r="I270" s="184"/>
      <c r="J270" s="237"/>
      <c r="K270" s="237"/>
      <c r="L270" s="123"/>
      <c r="M270" s="123"/>
      <c r="N270" s="160"/>
      <c r="O270" s="160"/>
      <c r="P270" s="123"/>
      <c r="Q270" s="123"/>
      <c r="R270" s="123"/>
      <c r="S270" s="123"/>
      <c r="T270" s="42"/>
      <c r="V270" s="184"/>
      <c r="Y270" s="184"/>
      <c r="Z270" s="237"/>
      <c r="AA270" s="123"/>
      <c r="AB270" s="123"/>
      <c r="AC270" s="160"/>
      <c r="AD270" s="160"/>
      <c r="AE270" s="123"/>
      <c r="AF270" s="123"/>
      <c r="AH270" s="160"/>
      <c r="AI270" s="123"/>
      <c r="AJ270" s="123"/>
      <c r="AL270" s="123"/>
      <c r="AM270" s="160"/>
      <c r="AN270" s="160"/>
    </row>
    <row r="271" spans="3:40" x14ac:dyDescent="0.3">
      <c r="C271" s="42"/>
      <c r="F271" s="184"/>
      <c r="H271" s="184"/>
      <c r="I271" s="184"/>
      <c r="J271" s="193"/>
      <c r="K271" s="193"/>
      <c r="L271" s="123"/>
      <c r="M271" s="123"/>
      <c r="N271" s="160"/>
      <c r="O271" s="160"/>
      <c r="P271" s="123"/>
      <c r="Q271" s="123"/>
      <c r="R271" s="123"/>
      <c r="T271" s="42"/>
      <c r="V271" s="184"/>
      <c r="Y271" s="123"/>
      <c r="Z271" s="193"/>
      <c r="AA271" s="123"/>
      <c r="AB271" s="123"/>
      <c r="AC271" s="160"/>
      <c r="AD271" s="160"/>
      <c r="AE271" s="123"/>
      <c r="AF271" s="123"/>
      <c r="AH271" s="236"/>
      <c r="AI271" s="123"/>
      <c r="AJ271" s="123"/>
      <c r="AL271" s="123"/>
      <c r="AM271" s="160"/>
      <c r="AN271" s="160"/>
    </row>
    <row r="272" spans="3:40" x14ac:dyDescent="0.3">
      <c r="C272" s="42"/>
      <c r="F272" s="184"/>
      <c r="H272" s="184"/>
      <c r="I272" s="184"/>
      <c r="J272" s="193"/>
      <c r="K272" s="193"/>
      <c r="L272" s="123"/>
      <c r="M272" s="123"/>
      <c r="N272" s="160"/>
      <c r="O272" s="160"/>
      <c r="P272" s="123"/>
      <c r="Q272" s="123"/>
      <c r="R272" s="123"/>
      <c r="T272" s="42"/>
      <c r="V272" s="184"/>
      <c r="Y272" s="123"/>
      <c r="Z272" s="193"/>
      <c r="AA272" s="123"/>
      <c r="AB272" s="123"/>
      <c r="AC272" s="160"/>
      <c r="AD272" s="160"/>
      <c r="AE272" s="123"/>
      <c r="AF272" s="123"/>
      <c r="AH272" s="236"/>
      <c r="AI272" s="123"/>
      <c r="AJ272" s="123"/>
      <c r="AL272" s="123"/>
      <c r="AM272" s="160"/>
      <c r="AN272" s="160"/>
    </row>
    <row r="273" spans="1:40" x14ac:dyDescent="0.3">
      <c r="F273" s="210"/>
      <c r="H273" s="210"/>
      <c r="I273" s="210"/>
      <c r="J273" s="213"/>
      <c r="K273" s="213"/>
      <c r="L273" s="210"/>
      <c r="M273" s="210"/>
      <c r="N273" s="210"/>
      <c r="O273" s="210"/>
      <c r="P273" s="210"/>
      <c r="Q273" s="210"/>
      <c r="R273" s="210"/>
      <c r="V273" s="210"/>
      <c r="Y273" s="210"/>
      <c r="Z273" s="213"/>
      <c r="AA273" s="210"/>
      <c r="AB273" s="210"/>
      <c r="AC273" s="210"/>
      <c r="AD273" s="210"/>
      <c r="AE273" s="210"/>
      <c r="AF273" s="210"/>
      <c r="AI273" s="210"/>
      <c r="AJ273" s="210"/>
      <c r="AK273" s="214"/>
      <c r="AL273" s="210"/>
      <c r="AM273" s="160"/>
      <c r="AN273" s="160"/>
    </row>
    <row r="274" spans="1:40" x14ac:dyDescent="0.3">
      <c r="C274" s="42"/>
      <c r="F274" s="123"/>
      <c r="H274" s="123"/>
      <c r="I274" s="123"/>
      <c r="J274" s="219"/>
      <c r="K274" s="219"/>
      <c r="L274" s="123"/>
      <c r="M274" s="123"/>
      <c r="N274" s="160"/>
      <c r="O274" s="160"/>
      <c r="P274" s="123"/>
      <c r="Q274" s="123"/>
      <c r="R274" s="123"/>
      <c r="T274" s="42"/>
      <c r="V274" s="123"/>
      <c r="Y274" s="123"/>
      <c r="Z274" s="219"/>
      <c r="AA274" s="123"/>
      <c r="AB274" s="123"/>
      <c r="AC274" s="160"/>
      <c r="AD274" s="160"/>
      <c r="AE274" s="123"/>
      <c r="AF274" s="123"/>
      <c r="AH274" s="236"/>
      <c r="AI274" s="123"/>
      <c r="AJ274" s="123"/>
      <c r="AL274" s="123"/>
      <c r="AM274" s="160"/>
      <c r="AN274" s="160"/>
    </row>
    <row r="275" spans="1:40" x14ac:dyDescent="0.3">
      <c r="F275" s="210"/>
      <c r="H275" s="210"/>
      <c r="I275" s="210"/>
      <c r="J275" s="213"/>
      <c r="K275" s="213"/>
      <c r="L275" s="210"/>
      <c r="M275" s="210"/>
      <c r="N275" s="210"/>
      <c r="O275" s="210"/>
      <c r="P275" s="210"/>
      <c r="Q275" s="210"/>
      <c r="R275" s="210"/>
      <c r="V275" s="210"/>
      <c r="Y275" s="210"/>
      <c r="Z275" s="213"/>
      <c r="AA275" s="210"/>
      <c r="AB275" s="210"/>
      <c r="AC275" s="210"/>
      <c r="AD275" s="210"/>
      <c r="AE275" s="210"/>
      <c r="AF275" s="210"/>
      <c r="AI275" s="210"/>
      <c r="AJ275" s="210"/>
      <c r="AK275" s="214"/>
      <c r="AL275" s="210"/>
      <c r="AM275" s="160"/>
      <c r="AN275" s="160"/>
    </row>
    <row r="276" spans="1:40" x14ac:dyDescent="0.3">
      <c r="C276" s="42"/>
      <c r="F276" s="123"/>
      <c r="H276" s="123"/>
      <c r="I276" s="123"/>
      <c r="J276" s="219"/>
      <c r="K276" s="219"/>
      <c r="L276" s="123"/>
      <c r="M276" s="123"/>
      <c r="N276" s="160"/>
      <c r="O276" s="160"/>
      <c r="P276" s="123"/>
      <c r="Q276" s="123"/>
      <c r="R276" s="123"/>
      <c r="T276" s="42"/>
      <c r="V276" s="123"/>
      <c r="Y276" s="123"/>
      <c r="Z276" s="219"/>
      <c r="AA276" s="123"/>
      <c r="AB276" s="123"/>
      <c r="AC276" s="160"/>
      <c r="AD276" s="160"/>
      <c r="AE276" s="123"/>
      <c r="AF276" s="123"/>
      <c r="AH276" s="236"/>
      <c r="AI276" s="123"/>
      <c r="AJ276" s="123"/>
      <c r="AL276" s="123"/>
      <c r="AM276" s="160"/>
      <c r="AN276" s="160"/>
    </row>
    <row r="277" spans="1:40" x14ac:dyDescent="0.3">
      <c r="C277" s="42"/>
      <c r="F277" s="123"/>
      <c r="H277" s="184"/>
      <c r="I277" s="184"/>
      <c r="J277" s="227"/>
      <c r="K277" s="227"/>
      <c r="L277" s="123"/>
      <c r="M277" s="123"/>
      <c r="N277" s="160"/>
      <c r="O277" s="160"/>
      <c r="P277" s="123"/>
      <c r="Q277" s="123"/>
      <c r="R277" s="123"/>
      <c r="T277" s="42"/>
      <c r="V277" s="123"/>
      <c r="Y277" s="123"/>
      <c r="Z277" s="212"/>
      <c r="AA277" s="123"/>
      <c r="AB277" s="123"/>
      <c r="AC277" s="160"/>
      <c r="AD277" s="160"/>
      <c r="AE277" s="123"/>
      <c r="AF277" s="123"/>
      <c r="AH277" s="236"/>
      <c r="AI277" s="123"/>
      <c r="AJ277" s="123"/>
      <c r="AL277" s="123"/>
      <c r="AM277" s="160"/>
      <c r="AN277" s="160"/>
    </row>
    <row r="278" spans="1:40" x14ac:dyDescent="0.3">
      <c r="H278" s="210"/>
      <c r="I278" s="210"/>
      <c r="J278" s="213"/>
      <c r="K278" s="213"/>
      <c r="L278" s="210"/>
      <c r="M278" s="210"/>
      <c r="N278" s="210"/>
      <c r="O278" s="210"/>
      <c r="P278" s="210"/>
      <c r="Q278" s="210"/>
      <c r="R278" s="210"/>
      <c r="V278" s="210"/>
      <c r="Y278" s="210"/>
      <c r="Z278" s="213"/>
      <c r="AA278" s="210"/>
      <c r="AB278" s="210"/>
      <c r="AC278" s="210"/>
      <c r="AD278" s="210"/>
      <c r="AE278" s="210"/>
      <c r="AF278" s="210"/>
      <c r="AI278" s="210"/>
      <c r="AJ278" s="210"/>
      <c r="AK278" s="214"/>
      <c r="AL278" s="210"/>
      <c r="AM278" s="160"/>
      <c r="AN278" s="160"/>
    </row>
    <row r="279" spans="1:40" x14ac:dyDescent="0.3">
      <c r="F279" s="210"/>
    </row>
    <row r="280" spans="1:40" x14ac:dyDescent="0.3">
      <c r="C280" s="42"/>
      <c r="F280" s="123"/>
      <c r="H280" s="123"/>
      <c r="I280" s="123"/>
      <c r="J280" s="213"/>
      <c r="K280" s="213"/>
      <c r="L280" s="123"/>
      <c r="M280" s="123"/>
      <c r="N280" s="160"/>
      <c r="O280" s="160"/>
      <c r="P280" s="123"/>
      <c r="Q280" s="123"/>
      <c r="R280" s="123"/>
      <c r="S280" s="123"/>
      <c r="T280" s="42"/>
      <c r="V280" s="123"/>
      <c r="Y280" s="123"/>
      <c r="Z280" s="213"/>
      <c r="AA280" s="123"/>
      <c r="AB280" s="123"/>
      <c r="AC280" s="160"/>
      <c r="AD280" s="160"/>
      <c r="AE280" s="123"/>
      <c r="AF280" s="123"/>
      <c r="AH280" s="160"/>
      <c r="AI280" s="123"/>
      <c r="AJ280" s="123"/>
      <c r="AL280" s="123"/>
      <c r="AM280" s="160"/>
      <c r="AN280" s="160"/>
    </row>
    <row r="281" spans="1:40" x14ac:dyDescent="0.3">
      <c r="F281" s="210"/>
      <c r="H281" s="210"/>
      <c r="I281" s="210"/>
      <c r="J281" s="213"/>
      <c r="K281" s="213"/>
      <c r="L281" s="210"/>
      <c r="M281" s="210"/>
      <c r="N281" s="210"/>
      <c r="O281" s="210"/>
      <c r="P281" s="210"/>
      <c r="Q281" s="210"/>
      <c r="R281" s="210"/>
      <c r="S281" s="123"/>
      <c r="V281" s="210"/>
      <c r="Y281" s="210"/>
      <c r="Z281" s="213"/>
      <c r="AA281" s="210"/>
      <c r="AB281" s="210"/>
      <c r="AC281" s="210"/>
      <c r="AD281" s="210"/>
      <c r="AE281" s="210"/>
      <c r="AF281" s="210"/>
      <c r="AI281" s="210"/>
      <c r="AJ281" s="210"/>
      <c r="AK281" s="214"/>
      <c r="AL281" s="210"/>
      <c r="AM281" s="160"/>
      <c r="AN281" s="160"/>
    </row>
    <row r="282" spans="1:40" x14ac:dyDescent="0.3">
      <c r="C282" s="42"/>
      <c r="T282" s="42"/>
    </row>
    <row r="283" spans="1:40" x14ac:dyDescent="0.3">
      <c r="C283" s="42"/>
      <c r="F283" s="123"/>
      <c r="H283" s="123"/>
      <c r="I283" s="123"/>
      <c r="L283" s="123"/>
      <c r="M283" s="123"/>
      <c r="N283" s="160"/>
      <c r="O283" s="160"/>
      <c r="P283" s="184"/>
      <c r="Q283" s="184"/>
      <c r="R283" s="123"/>
      <c r="T283" s="42"/>
      <c r="V283" s="123"/>
      <c r="Y283" s="123"/>
      <c r="AA283" s="123"/>
      <c r="AB283" s="123"/>
      <c r="AC283" s="160"/>
      <c r="AD283" s="160"/>
      <c r="AE283" s="123"/>
      <c r="AF283" s="123"/>
      <c r="AH283" s="160"/>
      <c r="AI283" s="184"/>
      <c r="AJ283" s="184"/>
      <c r="AL283" s="123"/>
      <c r="AM283" s="160"/>
      <c r="AN283" s="160"/>
    </row>
    <row r="284" spans="1:40" x14ac:dyDescent="0.3">
      <c r="H284" s="210"/>
      <c r="I284" s="210"/>
      <c r="J284" s="213"/>
      <c r="K284" s="213"/>
      <c r="L284" s="210"/>
      <c r="M284" s="210"/>
      <c r="N284" s="210"/>
      <c r="O284" s="210"/>
      <c r="P284" s="210"/>
      <c r="Q284" s="210"/>
      <c r="R284" s="210"/>
      <c r="V284" s="210"/>
      <c r="Y284" s="210"/>
      <c r="Z284" s="213"/>
      <c r="AA284" s="210"/>
      <c r="AB284" s="210"/>
      <c r="AC284" s="210"/>
      <c r="AD284" s="210"/>
      <c r="AE284" s="210"/>
      <c r="AF284" s="210"/>
      <c r="AI284" s="210"/>
      <c r="AJ284" s="210"/>
      <c r="AK284" s="214"/>
      <c r="AL284" s="210"/>
    </row>
    <row r="285" spans="1:40" x14ac:dyDescent="0.3">
      <c r="F285" s="210"/>
    </row>
    <row r="286" spans="1:40" x14ac:dyDescent="0.3">
      <c r="C286" s="42"/>
      <c r="L286" s="123"/>
      <c r="M286" s="123"/>
      <c r="N286" s="123"/>
      <c r="O286" s="123"/>
      <c r="P286" s="123"/>
      <c r="Q286" s="123"/>
      <c r="R286" s="123"/>
      <c r="S286" s="123"/>
      <c r="T286" s="42"/>
      <c r="AA286" s="123"/>
      <c r="AB286" s="123"/>
      <c r="AC286" s="123"/>
      <c r="AD286" s="123"/>
      <c r="AI286" s="123"/>
      <c r="AJ286" s="123"/>
      <c r="AL286" s="123"/>
    </row>
    <row r="287" spans="1:40" x14ac:dyDescent="0.3">
      <c r="A287" s="42"/>
    </row>
    <row r="289" spans="1:40" x14ac:dyDescent="0.3">
      <c r="H289" s="42"/>
      <c r="I289" s="42"/>
      <c r="Y289" s="42"/>
    </row>
    <row r="291" spans="1:40" x14ac:dyDescent="0.3">
      <c r="L291" s="42"/>
      <c r="M291" s="42"/>
      <c r="AA291" s="42"/>
      <c r="AB291" s="42"/>
    </row>
    <row r="292" spans="1:40" x14ac:dyDescent="0.3">
      <c r="R292" s="42"/>
      <c r="AK292" s="206"/>
      <c r="AL292" s="42"/>
    </row>
    <row r="293" spans="1:40" x14ac:dyDescent="0.3">
      <c r="R293" s="42"/>
      <c r="AK293" s="206"/>
      <c r="AL293" s="42"/>
    </row>
    <row r="294" spans="1:40" x14ac:dyDescent="0.3">
      <c r="A294" s="42"/>
      <c r="R294" s="42"/>
      <c r="AK294" s="206"/>
      <c r="AL294" s="42"/>
    </row>
    <row r="295" spans="1:40" x14ac:dyDescent="0.3">
      <c r="L295" s="42"/>
      <c r="M295" s="42"/>
      <c r="AA295" s="42"/>
      <c r="AB295" s="42"/>
    </row>
    <row r="296" spans="1:40" x14ac:dyDescent="0.3">
      <c r="A296" s="135"/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207"/>
      <c r="AH296" s="135"/>
      <c r="AI296" s="135"/>
      <c r="AJ296" s="135"/>
      <c r="AK296" s="207"/>
      <c r="AL296" s="135"/>
      <c r="AM296" s="135"/>
      <c r="AN296" s="135"/>
    </row>
    <row r="297" spans="1:40" x14ac:dyDescent="0.3">
      <c r="L297" s="44"/>
      <c r="M297" s="44"/>
      <c r="N297" s="44"/>
      <c r="O297" s="44"/>
      <c r="R297" s="44"/>
      <c r="AA297" s="44"/>
      <c r="AB297" s="44"/>
      <c r="AC297" s="44"/>
      <c r="AD297" s="44"/>
      <c r="AE297" s="44"/>
      <c r="AF297" s="44"/>
      <c r="AG297" s="168"/>
      <c r="AH297" s="44"/>
      <c r="AK297" s="168"/>
      <c r="AL297" s="44"/>
      <c r="AM297" s="44"/>
      <c r="AN297" s="44"/>
    </row>
    <row r="298" spans="1:40" x14ac:dyDescent="0.3">
      <c r="L298" s="44"/>
      <c r="M298" s="44"/>
      <c r="N298" s="44"/>
      <c r="O298" s="44"/>
      <c r="R298" s="44"/>
      <c r="Z298" s="44"/>
      <c r="AA298" s="44"/>
      <c r="AB298" s="44"/>
      <c r="AC298" s="44"/>
      <c r="AD298" s="44"/>
      <c r="AE298" s="44"/>
      <c r="AF298" s="44"/>
      <c r="AG298" s="168"/>
      <c r="AH298" s="44"/>
      <c r="AK298" s="168"/>
      <c r="AL298" s="44"/>
      <c r="AM298" s="44"/>
      <c r="AN298" s="44"/>
    </row>
    <row r="299" spans="1:40" x14ac:dyDescent="0.3">
      <c r="A299" s="44"/>
      <c r="C299" s="44"/>
      <c r="D299" s="44"/>
      <c r="E299" s="44"/>
      <c r="F299" s="44"/>
      <c r="J299" s="44"/>
      <c r="K299" s="44"/>
      <c r="L299" s="44"/>
      <c r="M299" s="44"/>
      <c r="N299" s="44"/>
      <c r="O299" s="44"/>
      <c r="P299" s="44"/>
      <c r="Q299" s="44"/>
      <c r="R299" s="44"/>
      <c r="T299" s="44"/>
      <c r="U299" s="44"/>
      <c r="V299" s="44"/>
      <c r="Z299" s="44"/>
      <c r="AA299" s="44"/>
      <c r="AB299" s="44"/>
      <c r="AC299" s="44"/>
      <c r="AD299" s="44"/>
      <c r="AE299" s="44"/>
      <c r="AF299" s="44"/>
      <c r="AG299" s="168"/>
      <c r="AH299" s="44"/>
      <c r="AI299" s="44"/>
      <c r="AJ299" s="44"/>
      <c r="AK299" s="168"/>
      <c r="AL299" s="44"/>
      <c r="AM299" s="44"/>
      <c r="AN299" s="44"/>
    </row>
    <row r="300" spans="1:40" x14ac:dyDescent="0.3">
      <c r="A300" s="44"/>
      <c r="C300" s="44"/>
      <c r="D300" s="44"/>
      <c r="E300" s="44"/>
      <c r="F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T300" s="44"/>
      <c r="U300" s="44"/>
      <c r="V300" s="44"/>
      <c r="Y300" s="44"/>
      <c r="Z300" s="44"/>
      <c r="AA300" s="44"/>
      <c r="AB300" s="44"/>
      <c r="AC300" s="44"/>
      <c r="AD300" s="44"/>
      <c r="AE300" s="44"/>
      <c r="AF300" s="44"/>
      <c r="AG300" s="168"/>
      <c r="AH300" s="44"/>
      <c r="AI300" s="44"/>
      <c r="AJ300" s="44"/>
      <c r="AK300" s="168"/>
      <c r="AL300" s="44"/>
      <c r="AM300" s="44"/>
      <c r="AN300" s="44"/>
    </row>
    <row r="301" spans="1:40" x14ac:dyDescent="0.3">
      <c r="C301" s="44"/>
      <c r="D301" s="44"/>
      <c r="E301" s="44"/>
      <c r="F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T301" s="44"/>
      <c r="U301" s="44"/>
      <c r="V301" s="44"/>
      <c r="Y301" s="44"/>
      <c r="Z301" s="44"/>
      <c r="AA301" s="44"/>
      <c r="AB301" s="44"/>
      <c r="AC301" s="44"/>
      <c r="AD301" s="44"/>
      <c r="AE301" s="44"/>
      <c r="AF301" s="44"/>
      <c r="AG301" s="168"/>
      <c r="AH301" s="44"/>
      <c r="AI301" s="44"/>
      <c r="AJ301" s="44"/>
      <c r="AK301" s="168"/>
      <c r="AL301" s="44"/>
      <c r="AM301" s="44"/>
      <c r="AN301" s="44"/>
    </row>
    <row r="302" spans="1:40" x14ac:dyDescent="0.3">
      <c r="A302" s="135"/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207"/>
      <c r="AH302" s="135"/>
      <c r="AI302" s="135"/>
      <c r="AJ302" s="135"/>
      <c r="AK302" s="207"/>
      <c r="AL302" s="135"/>
      <c r="AM302" s="135"/>
      <c r="AN302" s="135"/>
    </row>
    <row r="303" spans="1:40" x14ac:dyDescent="0.3"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Y303" s="44"/>
      <c r="Z303" s="44"/>
      <c r="AA303" s="44"/>
      <c r="AB303" s="44"/>
      <c r="AC303" s="44"/>
      <c r="AD303" s="44"/>
      <c r="AE303" s="44"/>
      <c r="AF303" s="44"/>
      <c r="AG303" s="168"/>
      <c r="AH303" s="44"/>
      <c r="AI303" s="44"/>
      <c r="AJ303" s="44"/>
      <c r="AK303" s="168"/>
      <c r="AL303" s="44"/>
      <c r="AM303" s="44"/>
      <c r="AN303" s="44"/>
    </row>
    <row r="304" spans="1:40" x14ac:dyDescent="0.3">
      <c r="C304" s="42"/>
      <c r="D304" s="42"/>
      <c r="E304" s="42"/>
      <c r="T304" s="42"/>
      <c r="U304" s="42"/>
    </row>
    <row r="305" spans="3:40" x14ac:dyDescent="0.3">
      <c r="D305" s="42"/>
      <c r="E305" s="42"/>
      <c r="U305" s="42"/>
    </row>
    <row r="307" spans="3:40" x14ac:dyDescent="0.3">
      <c r="C307" s="42"/>
      <c r="T307" s="42"/>
    </row>
    <row r="308" spans="3:40" x14ac:dyDescent="0.3">
      <c r="C308" s="42"/>
      <c r="F308" s="184"/>
      <c r="H308" s="184"/>
      <c r="I308" s="184"/>
      <c r="J308" s="238"/>
      <c r="K308" s="238"/>
      <c r="L308" s="123"/>
      <c r="M308" s="123"/>
      <c r="N308" s="160"/>
      <c r="O308" s="160"/>
      <c r="P308" s="123"/>
      <c r="Q308" s="123"/>
      <c r="R308" s="123"/>
      <c r="T308" s="42"/>
      <c r="V308" s="184"/>
      <c r="W308" s="123"/>
      <c r="X308" s="123"/>
      <c r="Y308" s="184"/>
      <c r="Z308" s="238"/>
      <c r="AA308" s="123"/>
      <c r="AB308" s="123"/>
      <c r="AC308" s="160"/>
      <c r="AD308" s="160"/>
      <c r="AE308" s="123"/>
      <c r="AF308" s="123"/>
      <c r="AH308" s="236"/>
      <c r="AI308" s="123"/>
      <c r="AJ308" s="123"/>
      <c r="AL308" s="123"/>
      <c r="AM308" s="160"/>
      <c r="AN308" s="160"/>
    </row>
    <row r="309" spans="3:40" x14ac:dyDescent="0.3">
      <c r="C309" s="42"/>
      <c r="F309" s="123"/>
      <c r="H309" s="123"/>
      <c r="I309" s="123"/>
      <c r="J309" s="213"/>
      <c r="K309" s="213"/>
      <c r="L309" s="123"/>
      <c r="M309" s="123"/>
      <c r="N309" s="160"/>
      <c r="O309" s="160"/>
      <c r="P309" s="123"/>
      <c r="Q309" s="123"/>
      <c r="R309" s="123"/>
      <c r="T309" s="42"/>
      <c r="V309" s="184"/>
      <c r="W309" s="123"/>
      <c r="X309" s="123"/>
      <c r="Y309" s="184"/>
      <c r="Z309" s="213"/>
      <c r="AA309" s="123"/>
      <c r="AB309" s="123"/>
      <c r="AC309" s="160"/>
      <c r="AD309" s="160"/>
      <c r="AE309" s="123"/>
      <c r="AF309" s="123"/>
      <c r="AH309" s="236"/>
      <c r="AI309" s="123"/>
      <c r="AJ309" s="123"/>
      <c r="AL309" s="123"/>
      <c r="AM309" s="160"/>
      <c r="AN309" s="160"/>
    </row>
    <row r="310" spans="3:40" x14ac:dyDescent="0.3">
      <c r="C310" s="42"/>
      <c r="F310" s="184"/>
      <c r="H310" s="184"/>
      <c r="I310" s="184"/>
      <c r="J310" s="238"/>
      <c r="K310" s="238"/>
      <c r="L310" s="123"/>
      <c r="M310" s="123"/>
      <c r="N310" s="160"/>
      <c r="O310" s="160"/>
      <c r="P310" s="123"/>
      <c r="Q310" s="123"/>
      <c r="R310" s="123"/>
      <c r="T310" s="42"/>
      <c r="V310" s="184"/>
      <c r="W310" s="123"/>
      <c r="X310" s="123"/>
      <c r="Y310" s="184"/>
      <c r="Z310" s="238"/>
      <c r="AA310" s="123"/>
      <c r="AB310" s="123"/>
      <c r="AC310" s="160"/>
      <c r="AD310" s="160"/>
      <c r="AE310" s="123"/>
      <c r="AF310" s="123"/>
      <c r="AH310" s="236"/>
      <c r="AI310" s="123"/>
      <c r="AJ310" s="123"/>
      <c r="AL310" s="123"/>
      <c r="AM310" s="160"/>
      <c r="AN310" s="160"/>
    </row>
    <row r="311" spans="3:40" x14ac:dyDescent="0.3">
      <c r="C311" s="42"/>
      <c r="F311" s="184"/>
      <c r="H311" s="184"/>
      <c r="I311" s="184"/>
      <c r="J311" s="238"/>
      <c r="K311" s="238"/>
      <c r="L311" s="123"/>
      <c r="M311" s="123"/>
      <c r="N311" s="160"/>
      <c r="O311" s="160"/>
      <c r="P311" s="123"/>
      <c r="Q311" s="123"/>
      <c r="R311" s="123"/>
      <c r="T311" s="42"/>
      <c r="V311" s="184"/>
      <c r="W311" s="123"/>
      <c r="X311" s="123"/>
      <c r="Y311" s="184"/>
      <c r="Z311" s="238"/>
      <c r="AA311" s="123"/>
      <c r="AB311" s="123"/>
      <c r="AC311" s="160"/>
      <c r="AD311" s="160"/>
      <c r="AE311" s="123"/>
      <c r="AF311" s="123"/>
      <c r="AH311" s="236"/>
      <c r="AI311" s="123"/>
      <c r="AJ311" s="123"/>
      <c r="AL311" s="123"/>
      <c r="AM311" s="160"/>
      <c r="AN311" s="160"/>
    </row>
    <row r="312" spans="3:40" x14ac:dyDescent="0.3">
      <c r="C312" s="42"/>
      <c r="F312" s="184"/>
      <c r="H312" s="184"/>
      <c r="I312" s="184"/>
      <c r="J312" s="238"/>
      <c r="K312" s="238"/>
      <c r="L312" s="123"/>
      <c r="M312" s="123"/>
      <c r="N312" s="160"/>
      <c r="O312" s="160"/>
      <c r="P312" s="123"/>
      <c r="Q312" s="123"/>
      <c r="R312" s="123"/>
      <c r="T312" s="42"/>
      <c r="V312" s="184"/>
      <c r="W312" s="123"/>
      <c r="X312" s="123"/>
      <c r="Y312" s="184"/>
      <c r="Z312" s="238"/>
      <c r="AA312" s="123"/>
      <c r="AB312" s="123"/>
      <c r="AC312" s="160"/>
      <c r="AD312" s="160"/>
      <c r="AE312" s="123"/>
      <c r="AF312" s="123"/>
      <c r="AH312" s="236"/>
      <c r="AI312" s="123"/>
      <c r="AJ312" s="123"/>
      <c r="AL312" s="123"/>
      <c r="AM312" s="160"/>
      <c r="AN312" s="160"/>
    </row>
    <row r="313" spans="3:40" x14ac:dyDescent="0.3">
      <c r="C313" s="42"/>
      <c r="F313" s="123"/>
      <c r="H313" s="123"/>
      <c r="I313" s="123"/>
      <c r="J313" s="238"/>
      <c r="K313" s="238"/>
      <c r="L313" s="123"/>
      <c r="M313" s="123"/>
      <c r="N313" s="160"/>
      <c r="O313" s="160"/>
      <c r="P313" s="123"/>
      <c r="Q313" s="123"/>
      <c r="R313" s="123"/>
      <c r="T313" s="42"/>
      <c r="V313" s="184"/>
      <c r="W313" s="123"/>
      <c r="X313" s="123"/>
      <c r="Y313" s="184"/>
      <c r="Z313" s="238"/>
      <c r="AA313" s="123"/>
      <c r="AB313" s="123"/>
      <c r="AC313" s="160"/>
      <c r="AD313" s="160"/>
      <c r="AE313" s="123"/>
      <c r="AF313" s="123"/>
      <c r="AH313" s="236"/>
      <c r="AI313" s="123"/>
      <c r="AJ313" s="123"/>
      <c r="AL313" s="123"/>
      <c r="AM313" s="160"/>
      <c r="AN313" s="160"/>
    </row>
    <row r="314" spans="3:40" x14ac:dyDescent="0.3">
      <c r="C314" s="42"/>
      <c r="F314" s="123"/>
      <c r="H314" s="123"/>
      <c r="I314" s="123"/>
      <c r="J314" s="238"/>
      <c r="K314" s="238"/>
      <c r="L314" s="123"/>
      <c r="M314" s="123"/>
      <c r="N314" s="160"/>
      <c r="O314" s="160"/>
      <c r="P314" s="123"/>
      <c r="Q314" s="123"/>
      <c r="R314" s="123"/>
      <c r="T314" s="42"/>
      <c r="V314" s="184"/>
      <c r="W314" s="123"/>
      <c r="X314" s="123"/>
      <c r="Y314" s="184"/>
      <c r="Z314" s="238"/>
      <c r="AA314" s="123"/>
      <c r="AB314" s="123"/>
      <c r="AC314" s="160"/>
      <c r="AD314" s="160"/>
      <c r="AE314" s="123"/>
      <c r="AF314" s="123"/>
      <c r="AH314" s="236"/>
      <c r="AI314" s="123"/>
      <c r="AJ314" s="123"/>
      <c r="AL314" s="123"/>
      <c r="AM314" s="160"/>
      <c r="AN314" s="160"/>
    </row>
    <row r="315" spans="3:40" x14ac:dyDescent="0.3">
      <c r="F315" s="241"/>
      <c r="H315" s="242"/>
      <c r="I315" s="242"/>
      <c r="J315" s="238"/>
      <c r="K315" s="238"/>
      <c r="L315" s="241"/>
      <c r="M315" s="241"/>
      <c r="N315" s="210"/>
      <c r="O315" s="210"/>
      <c r="P315" s="241"/>
      <c r="Q315" s="241"/>
      <c r="R315" s="241"/>
      <c r="V315" s="241"/>
      <c r="W315" s="123"/>
      <c r="X315" s="123"/>
      <c r="Y315" s="241"/>
      <c r="Z315" s="238"/>
      <c r="AA315" s="241"/>
      <c r="AB315" s="241"/>
      <c r="AC315" s="243"/>
      <c r="AD315" s="243"/>
      <c r="AE315" s="241"/>
      <c r="AF315" s="241"/>
      <c r="AH315" s="236"/>
      <c r="AI315" s="241"/>
      <c r="AJ315" s="241"/>
      <c r="AK315" s="207"/>
      <c r="AL315" s="241"/>
      <c r="AM315" s="160"/>
      <c r="AN315" s="160"/>
    </row>
    <row r="316" spans="3:40" x14ac:dyDescent="0.3">
      <c r="C316" s="42"/>
      <c r="F316" s="123"/>
      <c r="H316" s="123"/>
      <c r="I316" s="123"/>
      <c r="J316" s="238"/>
      <c r="K316" s="238"/>
      <c r="L316" s="123"/>
      <c r="M316" s="123"/>
      <c r="N316" s="236"/>
      <c r="O316" s="236"/>
      <c r="P316" s="123"/>
      <c r="Q316" s="123"/>
      <c r="R316" s="123"/>
      <c r="T316" s="44"/>
      <c r="V316" s="123"/>
      <c r="W316" s="123"/>
      <c r="X316" s="123"/>
      <c r="Y316" s="123"/>
      <c r="Z316" s="238"/>
      <c r="AA316" s="123"/>
      <c r="AB316" s="123"/>
      <c r="AC316" s="236"/>
      <c r="AD316" s="236"/>
      <c r="AE316" s="123"/>
      <c r="AF316" s="123"/>
      <c r="AH316" s="236"/>
      <c r="AI316" s="123"/>
      <c r="AJ316" s="123"/>
      <c r="AL316" s="123"/>
      <c r="AM316" s="160"/>
      <c r="AN316" s="160"/>
    </row>
    <row r="317" spans="3:40" x14ac:dyDescent="0.3">
      <c r="F317" s="135"/>
      <c r="H317" s="135"/>
      <c r="I317" s="135"/>
      <c r="L317" s="135"/>
      <c r="M317" s="135"/>
      <c r="N317" s="243"/>
      <c r="O317" s="243"/>
      <c r="P317" s="241"/>
      <c r="Q317" s="241"/>
      <c r="R317" s="241"/>
      <c r="V317" s="241"/>
      <c r="Y317" s="241"/>
      <c r="Z317" s="213"/>
      <c r="AA317" s="241"/>
      <c r="AB317" s="241"/>
      <c r="AC317" s="241"/>
      <c r="AD317" s="241"/>
      <c r="AE317" s="241"/>
      <c r="AF317" s="241"/>
      <c r="AI317" s="241"/>
      <c r="AJ317" s="241"/>
      <c r="AK317" s="207"/>
      <c r="AL317" s="241"/>
      <c r="AM317" s="243"/>
      <c r="AN317" s="243"/>
    </row>
    <row r="322" spans="1:40" x14ac:dyDescent="0.3">
      <c r="N322" s="123"/>
      <c r="O322" s="123"/>
      <c r="P322" s="123"/>
      <c r="Q322" s="123"/>
      <c r="R322" s="123"/>
      <c r="V322" s="123"/>
      <c r="Y322" s="123"/>
      <c r="Z322" s="219"/>
      <c r="AA322" s="123"/>
      <c r="AB322" s="123"/>
      <c r="AC322" s="160"/>
      <c r="AD322" s="160"/>
      <c r="AE322" s="123"/>
      <c r="AF322" s="123"/>
      <c r="AH322" s="236"/>
      <c r="AI322" s="123"/>
      <c r="AJ322" s="123"/>
      <c r="AL322" s="123"/>
      <c r="AM322" s="160"/>
      <c r="AN322" s="160"/>
    </row>
    <row r="323" spans="1:40" x14ac:dyDescent="0.3">
      <c r="C323" s="42"/>
      <c r="D323" s="42"/>
      <c r="E323" s="42"/>
      <c r="J323" s="188"/>
      <c r="K323" s="188"/>
      <c r="T323" s="42"/>
      <c r="U323" s="42"/>
      <c r="Z323" s="188"/>
      <c r="AE323" s="123"/>
      <c r="AF323" s="123"/>
      <c r="AI323" s="123"/>
      <c r="AJ323" s="123"/>
      <c r="AL323" s="123"/>
      <c r="AM323" s="160"/>
      <c r="AN323" s="160"/>
    </row>
    <row r="324" spans="1:40" x14ac:dyDescent="0.3">
      <c r="D324" s="42"/>
      <c r="E324" s="42"/>
      <c r="F324" s="123"/>
      <c r="H324" s="123"/>
      <c r="I324" s="123"/>
      <c r="J324" s="238"/>
      <c r="K324" s="238"/>
      <c r="L324" s="123"/>
      <c r="M324" s="123"/>
      <c r="N324" s="160"/>
      <c r="O324" s="160"/>
      <c r="P324" s="123"/>
      <c r="Q324" s="123"/>
      <c r="R324" s="123"/>
      <c r="U324" s="42"/>
      <c r="V324" s="123"/>
      <c r="Y324" s="123"/>
      <c r="Z324" s="238"/>
      <c r="AA324" s="123"/>
      <c r="AB324" s="123"/>
      <c r="AC324" s="160"/>
      <c r="AD324" s="160"/>
      <c r="AE324" s="123"/>
      <c r="AF324" s="123"/>
      <c r="AH324" s="236"/>
      <c r="AI324" s="123"/>
      <c r="AJ324" s="123"/>
      <c r="AL324" s="123"/>
      <c r="AM324" s="160"/>
      <c r="AN324" s="160"/>
    </row>
    <row r="325" spans="1:40" x14ac:dyDescent="0.3">
      <c r="F325" s="123"/>
      <c r="H325" s="123"/>
      <c r="I325" s="123"/>
      <c r="J325" s="213"/>
      <c r="K325" s="213"/>
      <c r="L325" s="123"/>
      <c r="M325" s="123"/>
      <c r="N325" s="123"/>
      <c r="O325" s="123"/>
      <c r="P325" s="123"/>
      <c r="Q325" s="123"/>
      <c r="R325" s="123"/>
      <c r="V325" s="123"/>
      <c r="Y325" s="123"/>
      <c r="Z325" s="213"/>
      <c r="AA325" s="123"/>
      <c r="AB325" s="123"/>
      <c r="AC325" s="123"/>
      <c r="AD325" s="123"/>
      <c r="AE325" s="123"/>
      <c r="AF325" s="123"/>
      <c r="AH325" s="236"/>
      <c r="AI325" s="184"/>
      <c r="AJ325" s="184"/>
      <c r="AL325" s="123"/>
      <c r="AM325" s="160"/>
      <c r="AN325" s="160"/>
    </row>
    <row r="326" spans="1:40" x14ac:dyDescent="0.3">
      <c r="C326" s="42"/>
      <c r="F326" s="184"/>
      <c r="H326" s="184"/>
      <c r="I326" s="184"/>
      <c r="J326" s="212"/>
      <c r="K326" s="212"/>
      <c r="L326" s="123"/>
      <c r="M326" s="123"/>
      <c r="N326" s="160"/>
      <c r="O326" s="160"/>
      <c r="P326" s="123"/>
      <c r="Q326" s="123"/>
      <c r="R326" s="123"/>
      <c r="T326" s="42"/>
      <c r="V326" s="184"/>
      <c r="Y326" s="184"/>
      <c r="Z326" s="212"/>
      <c r="AA326" s="123"/>
      <c r="AB326" s="123"/>
      <c r="AC326" s="160"/>
      <c r="AD326" s="160"/>
      <c r="AE326" s="123"/>
      <c r="AF326" s="123"/>
      <c r="AH326" s="236"/>
      <c r="AI326" s="123"/>
      <c r="AJ326" s="123"/>
      <c r="AL326" s="123"/>
      <c r="AM326" s="160"/>
      <c r="AN326" s="160"/>
    </row>
    <row r="327" spans="1:40" x14ac:dyDescent="0.3">
      <c r="F327" s="135"/>
      <c r="H327" s="135"/>
      <c r="I327" s="135"/>
      <c r="L327" s="135"/>
      <c r="M327" s="135"/>
      <c r="N327" s="135"/>
      <c r="O327" s="135"/>
      <c r="P327" s="135"/>
      <c r="Q327" s="135"/>
      <c r="R327" s="135"/>
      <c r="V327" s="135"/>
      <c r="Y327" s="135"/>
      <c r="AA327" s="135"/>
      <c r="AB327" s="135"/>
      <c r="AC327" s="135"/>
      <c r="AD327" s="135"/>
      <c r="AE327" s="135"/>
      <c r="AF327" s="135"/>
      <c r="AG327" s="207"/>
      <c r="AH327" s="135"/>
      <c r="AI327" s="135"/>
      <c r="AJ327" s="135"/>
      <c r="AK327" s="207"/>
      <c r="AL327" s="135"/>
      <c r="AM327" s="135"/>
      <c r="AN327" s="135"/>
    </row>
    <row r="328" spans="1:40" x14ac:dyDescent="0.3">
      <c r="C328" s="44"/>
      <c r="F328" s="184"/>
      <c r="H328" s="184"/>
      <c r="I328" s="184"/>
      <c r="J328" s="193"/>
      <c r="K328" s="193"/>
      <c r="L328" s="184"/>
      <c r="M328" s="184"/>
      <c r="N328" s="160"/>
      <c r="O328" s="160"/>
      <c r="P328" s="184"/>
      <c r="Q328" s="184"/>
      <c r="R328" s="184"/>
      <c r="T328" s="44"/>
      <c r="V328" s="123"/>
      <c r="Y328" s="123"/>
      <c r="Z328" s="219"/>
      <c r="AA328" s="123"/>
      <c r="AB328" s="123"/>
      <c r="AC328" s="160"/>
      <c r="AD328" s="160"/>
      <c r="AH328" s="236"/>
      <c r="AI328" s="123"/>
      <c r="AJ328" s="123"/>
      <c r="AL328" s="123"/>
      <c r="AM328" s="160"/>
      <c r="AN328" s="160"/>
    </row>
    <row r="329" spans="1:40" x14ac:dyDescent="0.3">
      <c r="F329" s="241"/>
      <c r="H329" s="241"/>
      <c r="I329" s="241"/>
      <c r="J329" s="213"/>
      <c r="K329" s="213"/>
      <c r="L329" s="241"/>
      <c r="M329" s="241"/>
      <c r="N329" s="241"/>
      <c r="O329" s="241"/>
      <c r="P329" s="241"/>
      <c r="Q329" s="241"/>
      <c r="R329" s="241"/>
      <c r="V329" s="135"/>
      <c r="Y329" s="135"/>
      <c r="AA329" s="135"/>
      <c r="AB329" s="135"/>
      <c r="AC329" s="135"/>
      <c r="AD329" s="135"/>
      <c r="AE329" s="135"/>
      <c r="AF329" s="135"/>
      <c r="AG329" s="207"/>
      <c r="AH329" s="135"/>
      <c r="AI329" s="135"/>
      <c r="AJ329" s="135"/>
      <c r="AK329" s="207"/>
      <c r="AL329" s="135"/>
      <c r="AM329" s="135"/>
      <c r="AN329" s="135"/>
    </row>
    <row r="330" spans="1:40" x14ac:dyDescent="0.3">
      <c r="F330" s="184"/>
      <c r="H330" s="184"/>
      <c r="I330" s="184"/>
      <c r="J330" s="237"/>
      <c r="K330" s="237"/>
      <c r="L330" s="123"/>
      <c r="M330" s="123"/>
      <c r="N330" s="160"/>
      <c r="O330" s="160"/>
      <c r="P330" s="123"/>
      <c r="Q330" s="123"/>
      <c r="R330" s="123"/>
    </row>
    <row r="331" spans="1:40" x14ac:dyDescent="0.3">
      <c r="A331" s="42"/>
      <c r="F331" s="184"/>
      <c r="H331" s="184"/>
      <c r="I331" s="184"/>
      <c r="J331" s="193"/>
      <c r="K331" s="193"/>
      <c r="L331" s="123"/>
      <c r="M331" s="123"/>
      <c r="N331" s="160"/>
      <c r="O331" s="160"/>
      <c r="P331" s="123"/>
      <c r="Q331" s="123"/>
      <c r="R331" s="123"/>
    </row>
    <row r="332" spans="1:40" x14ac:dyDescent="0.3">
      <c r="F332" s="184"/>
      <c r="H332" s="184"/>
      <c r="I332" s="184"/>
      <c r="J332" s="193"/>
      <c r="K332" s="193"/>
      <c r="L332" s="123"/>
      <c r="M332" s="123"/>
      <c r="N332" s="160"/>
      <c r="O332" s="160"/>
      <c r="P332" s="123"/>
      <c r="Q332" s="123"/>
      <c r="R332" s="123"/>
    </row>
    <row r="333" spans="1:40" x14ac:dyDescent="0.3">
      <c r="A333" s="42"/>
    </row>
    <row r="336" spans="1:40" x14ac:dyDescent="0.3">
      <c r="H336" s="42"/>
      <c r="I336" s="42"/>
      <c r="Y336" s="42"/>
    </row>
    <row r="338" spans="1:40" x14ac:dyDescent="0.3">
      <c r="L338" s="42"/>
      <c r="M338" s="42"/>
      <c r="AA338" s="42"/>
      <c r="AB338" s="42"/>
    </row>
    <row r="339" spans="1:40" x14ac:dyDescent="0.3">
      <c r="R339" s="42"/>
      <c r="AK339" s="206"/>
      <c r="AL339" s="42"/>
    </row>
    <row r="340" spans="1:40" x14ac:dyDescent="0.3">
      <c r="R340" s="42"/>
      <c r="AK340" s="206"/>
      <c r="AL340" s="42"/>
    </row>
    <row r="341" spans="1:40" x14ac:dyDescent="0.3">
      <c r="A341" s="42"/>
      <c r="R341" s="42"/>
      <c r="AK341" s="206"/>
      <c r="AL341" s="42"/>
    </row>
    <row r="342" spans="1:40" x14ac:dyDescent="0.3">
      <c r="L342" s="42"/>
      <c r="M342" s="42"/>
      <c r="AA342" s="42"/>
      <c r="AB342" s="42"/>
    </row>
    <row r="343" spans="1:40" x14ac:dyDescent="0.3">
      <c r="A343" s="135"/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207"/>
      <c r="AH343" s="135"/>
      <c r="AI343" s="135"/>
      <c r="AJ343" s="135"/>
      <c r="AK343" s="207"/>
      <c r="AL343" s="135"/>
      <c r="AM343" s="135"/>
      <c r="AN343" s="135"/>
    </row>
    <row r="344" spans="1:40" x14ac:dyDescent="0.3">
      <c r="L344" s="44"/>
      <c r="M344" s="44"/>
      <c r="N344" s="44"/>
      <c r="O344" s="44"/>
      <c r="R344" s="44"/>
      <c r="AA344" s="44"/>
      <c r="AB344" s="44"/>
      <c r="AC344" s="44"/>
      <c r="AD344" s="44"/>
      <c r="AE344" s="44"/>
      <c r="AF344" s="44"/>
      <c r="AG344" s="168"/>
      <c r="AH344" s="44"/>
      <c r="AK344" s="168"/>
      <c r="AL344" s="44"/>
      <c r="AM344" s="44"/>
      <c r="AN344" s="44"/>
    </row>
    <row r="345" spans="1:40" x14ac:dyDescent="0.3">
      <c r="L345" s="44"/>
      <c r="M345" s="44"/>
      <c r="N345" s="44"/>
      <c r="O345" s="44"/>
      <c r="R345" s="44"/>
      <c r="Z345" s="44"/>
      <c r="AA345" s="44"/>
      <c r="AB345" s="44"/>
      <c r="AC345" s="44"/>
      <c r="AD345" s="44"/>
      <c r="AE345" s="44"/>
      <c r="AF345" s="44"/>
      <c r="AG345" s="168"/>
      <c r="AH345" s="44"/>
      <c r="AK345" s="168"/>
      <c r="AL345" s="44"/>
      <c r="AM345" s="44"/>
      <c r="AN345" s="44"/>
    </row>
    <row r="346" spans="1:40" x14ac:dyDescent="0.3">
      <c r="A346" s="44"/>
      <c r="C346" s="44"/>
      <c r="D346" s="44"/>
      <c r="E346" s="44"/>
      <c r="F346" s="44"/>
      <c r="J346" s="44"/>
      <c r="K346" s="44"/>
      <c r="L346" s="44"/>
      <c r="M346" s="44"/>
      <c r="N346" s="44"/>
      <c r="O346" s="44"/>
      <c r="P346" s="44"/>
      <c r="Q346" s="44"/>
      <c r="R346" s="44"/>
      <c r="T346" s="44"/>
      <c r="U346" s="44"/>
      <c r="V346" s="44"/>
      <c r="Z346" s="44"/>
      <c r="AA346" s="44"/>
      <c r="AB346" s="44"/>
      <c r="AC346" s="44"/>
      <c r="AD346" s="44"/>
      <c r="AE346" s="44"/>
      <c r="AF346" s="44"/>
      <c r="AG346" s="168"/>
      <c r="AH346" s="44"/>
      <c r="AI346" s="44"/>
      <c r="AJ346" s="44"/>
      <c r="AK346" s="168"/>
      <c r="AL346" s="44"/>
      <c r="AM346" s="44"/>
      <c r="AN346" s="44"/>
    </row>
    <row r="347" spans="1:40" x14ac:dyDescent="0.3">
      <c r="A347" s="44"/>
      <c r="C347" s="44"/>
      <c r="D347" s="44"/>
      <c r="E347" s="44"/>
      <c r="F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T347" s="44"/>
      <c r="U347" s="44"/>
      <c r="V347" s="44"/>
      <c r="Y347" s="44"/>
      <c r="Z347" s="44"/>
      <c r="AA347" s="44"/>
      <c r="AB347" s="44"/>
      <c r="AC347" s="44"/>
      <c r="AD347" s="44"/>
      <c r="AE347" s="44"/>
      <c r="AF347" s="44"/>
      <c r="AG347" s="168"/>
      <c r="AH347" s="44"/>
      <c r="AI347" s="44"/>
      <c r="AJ347" s="44"/>
      <c r="AK347" s="168"/>
      <c r="AL347" s="44"/>
      <c r="AM347" s="44"/>
      <c r="AN347" s="44"/>
    </row>
    <row r="348" spans="1:40" x14ac:dyDescent="0.3">
      <c r="C348" s="44"/>
      <c r="D348" s="44"/>
      <c r="E348" s="44"/>
      <c r="F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T348" s="44"/>
      <c r="U348" s="44"/>
      <c r="V348" s="44"/>
      <c r="Y348" s="44"/>
      <c r="Z348" s="44"/>
      <c r="AA348" s="44"/>
      <c r="AB348" s="44"/>
      <c r="AC348" s="44"/>
      <c r="AD348" s="44"/>
      <c r="AE348" s="44"/>
      <c r="AF348" s="44"/>
      <c r="AG348" s="168"/>
      <c r="AH348" s="44"/>
      <c r="AI348" s="44"/>
      <c r="AJ348" s="44"/>
      <c r="AK348" s="168"/>
      <c r="AL348" s="44"/>
      <c r="AM348" s="44"/>
      <c r="AN348" s="44"/>
    </row>
    <row r="349" spans="1:40" x14ac:dyDescent="0.3">
      <c r="A349" s="135"/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207"/>
      <c r="AH349" s="135"/>
      <c r="AI349" s="135"/>
      <c r="AJ349" s="135"/>
      <c r="AK349" s="207"/>
      <c r="AL349" s="135"/>
      <c r="AM349" s="135"/>
      <c r="AN349" s="135"/>
    </row>
    <row r="350" spans="1:40" x14ac:dyDescent="0.3"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Y350" s="44"/>
      <c r="Z350" s="44"/>
      <c r="AA350" s="44"/>
      <c r="AB350" s="44"/>
      <c r="AC350" s="44"/>
      <c r="AD350" s="44"/>
      <c r="AE350" s="44"/>
      <c r="AF350" s="44"/>
      <c r="AG350" s="168"/>
      <c r="AH350" s="44"/>
      <c r="AI350" s="44"/>
      <c r="AJ350" s="44"/>
      <c r="AK350" s="168"/>
      <c r="AL350" s="44"/>
      <c r="AM350" s="44"/>
      <c r="AN350" s="44"/>
    </row>
    <row r="351" spans="1:40" x14ac:dyDescent="0.3">
      <c r="C351" s="42"/>
      <c r="D351" s="42"/>
      <c r="E351" s="42"/>
      <c r="T351" s="42"/>
      <c r="U351" s="42"/>
    </row>
    <row r="353" spans="3:40" x14ac:dyDescent="0.3">
      <c r="C353" s="42"/>
      <c r="T353" s="42"/>
    </row>
    <row r="354" spans="3:40" x14ac:dyDescent="0.3">
      <c r="C354" s="42"/>
      <c r="F354" s="184"/>
      <c r="H354" s="184"/>
      <c r="I354" s="184"/>
      <c r="J354" s="213"/>
      <c r="K354" s="213"/>
      <c r="L354" s="123"/>
      <c r="M354" s="123"/>
      <c r="N354" s="160"/>
      <c r="O354" s="160"/>
      <c r="P354" s="123"/>
      <c r="Q354" s="123"/>
      <c r="R354" s="123"/>
      <c r="T354" s="42"/>
      <c r="V354" s="184"/>
      <c r="Y354" s="184"/>
      <c r="Z354" s="213"/>
      <c r="AA354" s="123"/>
      <c r="AB354" s="123"/>
      <c r="AC354" s="160"/>
      <c r="AD354" s="160"/>
      <c r="AE354" s="123"/>
      <c r="AF354" s="123"/>
      <c r="AH354" s="236"/>
      <c r="AI354" s="123"/>
      <c r="AJ354" s="123"/>
      <c r="AL354" s="123"/>
      <c r="AM354" s="160"/>
      <c r="AN354" s="160"/>
    </row>
    <row r="355" spans="3:40" x14ac:dyDescent="0.3">
      <c r="C355" s="42"/>
      <c r="T355" s="42"/>
    </row>
    <row r="356" spans="3:40" x14ac:dyDescent="0.3">
      <c r="C356" s="42"/>
      <c r="F356" s="184"/>
      <c r="H356" s="184"/>
      <c r="I356" s="184"/>
      <c r="J356" s="238"/>
      <c r="K356" s="238"/>
      <c r="L356" s="123"/>
      <c r="M356" s="123"/>
      <c r="N356" s="160"/>
      <c r="O356" s="160"/>
      <c r="P356" s="123"/>
      <c r="Q356" s="123"/>
      <c r="R356" s="123"/>
      <c r="T356" s="42"/>
      <c r="V356" s="123"/>
      <c r="Y356" s="123"/>
      <c r="Z356" s="238"/>
      <c r="AA356" s="123"/>
      <c r="AB356" s="123"/>
      <c r="AC356" s="160"/>
      <c r="AD356" s="160"/>
      <c r="AE356" s="123"/>
      <c r="AF356" s="123"/>
      <c r="AH356" s="236"/>
      <c r="AI356" s="123"/>
      <c r="AJ356" s="123"/>
      <c r="AL356" s="123"/>
      <c r="AM356" s="160"/>
      <c r="AN356" s="160"/>
    </row>
    <row r="357" spans="3:40" x14ac:dyDescent="0.3">
      <c r="C357" s="42"/>
      <c r="F357" s="184"/>
      <c r="H357" s="184"/>
      <c r="I357" s="184"/>
      <c r="J357" s="238"/>
      <c r="K357" s="238"/>
      <c r="L357" s="123"/>
      <c r="M357" s="123"/>
      <c r="N357" s="160"/>
      <c r="O357" s="160"/>
      <c r="P357" s="123"/>
      <c r="Q357" s="123"/>
      <c r="R357" s="123"/>
      <c r="T357" s="42"/>
      <c r="V357" s="123"/>
      <c r="Y357" s="123"/>
      <c r="Z357" s="238"/>
      <c r="AA357" s="123"/>
      <c r="AB357" s="123"/>
      <c r="AC357" s="160"/>
      <c r="AD357" s="160"/>
      <c r="AE357" s="123"/>
      <c r="AF357" s="123"/>
      <c r="AH357" s="236"/>
      <c r="AI357" s="123"/>
      <c r="AJ357" s="123"/>
      <c r="AL357" s="123"/>
      <c r="AM357" s="160"/>
      <c r="AN357" s="160"/>
    </row>
    <row r="358" spans="3:40" x14ac:dyDescent="0.3">
      <c r="C358" s="42"/>
      <c r="F358" s="184"/>
      <c r="H358" s="184"/>
      <c r="I358" s="184"/>
      <c r="J358" s="238"/>
      <c r="K358" s="238"/>
      <c r="L358" s="123"/>
      <c r="M358" s="123"/>
      <c r="N358" s="160"/>
      <c r="O358" s="160"/>
      <c r="P358" s="123"/>
      <c r="Q358" s="123"/>
      <c r="R358" s="123"/>
      <c r="T358" s="42"/>
      <c r="V358" s="123"/>
      <c r="Y358" s="123"/>
      <c r="Z358" s="238"/>
      <c r="AA358" s="123"/>
      <c r="AB358" s="123"/>
      <c r="AC358" s="160"/>
      <c r="AD358" s="160"/>
      <c r="AE358" s="123"/>
      <c r="AF358" s="123"/>
      <c r="AH358" s="236"/>
      <c r="AI358" s="123"/>
      <c r="AJ358" s="123"/>
      <c r="AL358" s="123"/>
      <c r="AM358" s="160"/>
      <c r="AN358" s="160"/>
    </row>
    <row r="359" spans="3:40" x14ac:dyDescent="0.3">
      <c r="C359" s="42"/>
      <c r="F359" s="184"/>
      <c r="H359" s="184"/>
      <c r="I359" s="184"/>
      <c r="J359" s="238"/>
      <c r="K359" s="238"/>
      <c r="L359" s="123"/>
      <c r="M359" s="123"/>
      <c r="N359" s="160"/>
      <c r="O359" s="160"/>
      <c r="P359" s="123"/>
      <c r="Q359" s="123"/>
      <c r="R359" s="123"/>
      <c r="T359" s="42"/>
      <c r="V359" s="123"/>
      <c r="Y359" s="123"/>
      <c r="Z359" s="238"/>
      <c r="AA359" s="123"/>
      <c r="AB359" s="123"/>
      <c r="AC359" s="160"/>
      <c r="AD359" s="160"/>
      <c r="AE359" s="123"/>
      <c r="AF359" s="123"/>
      <c r="AH359" s="236"/>
      <c r="AI359" s="123"/>
      <c r="AJ359" s="123"/>
      <c r="AL359" s="123"/>
      <c r="AM359" s="160"/>
      <c r="AN359" s="160"/>
    </row>
    <row r="360" spans="3:40" x14ac:dyDescent="0.3">
      <c r="C360" s="42"/>
      <c r="J360" s="188"/>
      <c r="K360" s="188"/>
      <c r="T360" s="42"/>
      <c r="Z360" s="188"/>
    </row>
    <row r="361" spans="3:40" x14ac:dyDescent="0.3">
      <c r="C361" s="42"/>
      <c r="F361" s="184"/>
      <c r="H361" s="184"/>
      <c r="I361" s="184"/>
      <c r="J361" s="238"/>
      <c r="K361" s="238"/>
      <c r="L361" s="123"/>
      <c r="M361" s="123"/>
      <c r="N361" s="160"/>
      <c r="O361" s="160"/>
      <c r="P361" s="123"/>
      <c r="Q361" s="123"/>
      <c r="R361" s="123"/>
      <c r="T361" s="42"/>
      <c r="V361" s="123"/>
      <c r="Y361" s="123"/>
      <c r="Z361" s="238"/>
      <c r="AA361" s="123"/>
      <c r="AB361" s="123"/>
      <c r="AC361" s="160"/>
      <c r="AD361" s="160"/>
      <c r="AE361" s="123"/>
      <c r="AF361" s="123"/>
      <c r="AH361" s="236"/>
      <c r="AI361" s="123"/>
      <c r="AJ361" s="123"/>
      <c r="AL361" s="123"/>
      <c r="AM361" s="160"/>
      <c r="AN361" s="160"/>
    </row>
    <row r="362" spans="3:40" x14ac:dyDescent="0.3">
      <c r="C362" s="42"/>
      <c r="F362" s="184"/>
      <c r="H362" s="184"/>
      <c r="I362" s="184"/>
      <c r="J362" s="238"/>
      <c r="K362" s="238"/>
      <c r="L362" s="123"/>
      <c r="M362" s="123"/>
      <c r="N362" s="160"/>
      <c r="O362" s="160"/>
      <c r="P362" s="123"/>
      <c r="Q362" s="123"/>
      <c r="R362" s="123"/>
      <c r="T362" s="42"/>
      <c r="V362" s="123"/>
      <c r="Y362" s="123"/>
      <c r="Z362" s="238"/>
      <c r="AA362" s="123"/>
      <c r="AB362" s="123"/>
      <c r="AC362" s="160"/>
      <c r="AD362" s="160"/>
      <c r="AE362" s="123"/>
      <c r="AF362" s="123"/>
      <c r="AH362" s="236"/>
      <c r="AI362" s="123"/>
      <c r="AJ362" s="123"/>
      <c r="AL362" s="123"/>
      <c r="AM362" s="160"/>
      <c r="AN362" s="160"/>
    </row>
    <row r="363" spans="3:40" x14ac:dyDescent="0.3">
      <c r="C363" s="42"/>
      <c r="F363" s="184"/>
      <c r="H363" s="184"/>
      <c r="I363" s="184"/>
      <c r="J363" s="238"/>
      <c r="K363" s="238"/>
      <c r="L363" s="123"/>
      <c r="M363" s="123"/>
      <c r="N363" s="160"/>
      <c r="O363" s="160"/>
      <c r="P363" s="123"/>
      <c r="Q363" s="123"/>
      <c r="R363" s="123"/>
      <c r="T363" s="42"/>
      <c r="V363" s="123"/>
      <c r="Y363" s="123"/>
      <c r="Z363" s="238"/>
      <c r="AA363" s="123"/>
      <c r="AB363" s="123"/>
      <c r="AC363" s="160"/>
      <c r="AD363" s="160"/>
      <c r="AE363" s="123"/>
      <c r="AF363" s="123"/>
      <c r="AH363" s="236"/>
      <c r="AI363" s="123"/>
      <c r="AJ363" s="123"/>
      <c r="AL363" s="123"/>
      <c r="AM363" s="160"/>
      <c r="AN363" s="160"/>
    </row>
    <row r="364" spans="3:40" x14ac:dyDescent="0.3">
      <c r="C364" s="42"/>
      <c r="J364" s="188"/>
      <c r="K364" s="188"/>
      <c r="T364" s="42"/>
      <c r="Z364" s="188"/>
    </row>
    <row r="365" spans="3:40" x14ac:dyDescent="0.3">
      <c r="C365" s="42"/>
      <c r="F365" s="184"/>
      <c r="H365" s="184"/>
      <c r="I365" s="184"/>
      <c r="J365" s="238"/>
      <c r="K365" s="238"/>
      <c r="L365" s="123"/>
      <c r="M365" s="123"/>
      <c r="N365" s="160"/>
      <c r="O365" s="160"/>
      <c r="P365" s="123"/>
      <c r="Q365" s="123"/>
      <c r="R365" s="123"/>
      <c r="T365" s="42"/>
      <c r="V365" s="123"/>
      <c r="Y365" s="123"/>
      <c r="Z365" s="238"/>
      <c r="AA365" s="123"/>
      <c r="AB365" s="123"/>
      <c r="AC365" s="160"/>
      <c r="AD365" s="160"/>
      <c r="AE365" s="123"/>
      <c r="AF365" s="123"/>
      <c r="AH365" s="236"/>
      <c r="AI365" s="123"/>
      <c r="AJ365" s="123"/>
      <c r="AL365" s="123"/>
      <c r="AM365" s="160"/>
      <c r="AN365" s="160"/>
    </row>
    <row r="366" spans="3:40" x14ac:dyDescent="0.3">
      <c r="C366" s="42"/>
      <c r="F366" s="184"/>
      <c r="H366" s="184"/>
      <c r="I366" s="184"/>
      <c r="J366" s="238"/>
      <c r="K366" s="238"/>
      <c r="L366" s="123"/>
      <c r="M366" s="123"/>
      <c r="N366" s="160"/>
      <c r="O366" s="160"/>
      <c r="P366" s="123"/>
      <c r="Q366" s="123"/>
      <c r="R366" s="123"/>
      <c r="T366" s="42"/>
      <c r="V366" s="123"/>
      <c r="Y366" s="123"/>
      <c r="Z366" s="238"/>
      <c r="AA366" s="123"/>
      <c r="AB366" s="123"/>
      <c r="AC366" s="160"/>
      <c r="AD366" s="160"/>
      <c r="AE366" s="123"/>
      <c r="AF366" s="123"/>
      <c r="AH366" s="236"/>
      <c r="AI366" s="123"/>
      <c r="AJ366" s="123"/>
      <c r="AL366" s="123"/>
      <c r="AM366" s="160"/>
      <c r="AN366" s="160"/>
    </row>
    <row r="367" spans="3:40" x14ac:dyDescent="0.3">
      <c r="C367" s="42"/>
      <c r="J367" s="188"/>
      <c r="K367" s="188"/>
      <c r="T367" s="42"/>
      <c r="Z367" s="188"/>
    </row>
    <row r="368" spans="3:40" x14ac:dyDescent="0.3">
      <c r="C368" s="42"/>
      <c r="F368" s="184"/>
      <c r="H368" s="184"/>
      <c r="I368" s="184"/>
      <c r="J368" s="238"/>
      <c r="K368" s="238"/>
      <c r="L368" s="123"/>
      <c r="M368" s="123"/>
      <c r="N368" s="160"/>
      <c r="O368" s="160"/>
      <c r="P368" s="123"/>
      <c r="Q368" s="123"/>
      <c r="R368" s="123"/>
      <c r="T368" s="42"/>
      <c r="V368" s="123"/>
      <c r="Y368" s="123"/>
      <c r="Z368" s="238"/>
      <c r="AA368" s="123"/>
      <c r="AB368" s="123"/>
      <c r="AC368" s="160"/>
      <c r="AD368" s="160"/>
      <c r="AE368" s="123"/>
      <c r="AF368" s="123"/>
      <c r="AH368" s="236"/>
      <c r="AI368" s="123"/>
      <c r="AJ368" s="123"/>
      <c r="AL368" s="123"/>
      <c r="AM368" s="160"/>
      <c r="AN368" s="160"/>
    </row>
    <row r="369" spans="3:40" x14ac:dyDescent="0.3">
      <c r="C369" s="42"/>
      <c r="F369" s="184"/>
      <c r="H369" s="184"/>
      <c r="I369" s="184"/>
      <c r="J369" s="238"/>
      <c r="K369" s="238"/>
      <c r="L369" s="123"/>
      <c r="M369" s="123"/>
      <c r="N369" s="160"/>
      <c r="O369" s="160"/>
      <c r="P369" s="123"/>
      <c r="Q369" s="123"/>
      <c r="R369" s="123"/>
      <c r="T369" s="42"/>
      <c r="V369" s="123"/>
      <c r="Y369" s="123"/>
      <c r="Z369" s="238"/>
      <c r="AA369" s="123"/>
      <c r="AB369" s="123"/>
      <c r="AC369" s="160"/>
      <c r="AD369" s="160"/>
      <c r="AE369" s="123"/>
      <c r="AF369" s="123"/>
      <c r="AH369" s="236"/>
      <c r="AI369" s="123"/>
      <c r="AJ369" s="123"/>
      <c r="AL369" s="123"/>
      <c r="AM369" s="160"/>
      <c r="AN369" s="160"/>
    </row>
    <row r="370" spans="3:40" x14ac:dyDescent="0.3">
      <c r="C370" s="42"/>
      <c r="F370" s="184"/>
      <c r="H370" s="184"/>
      <c r="I370" s="184"/>
      <c r="J370" s="238"/>
      <c r="K370" s="238"/>
      <c r="L370" s="123"/>
      <c r="M370" s="123"/>
      <c r="N370" s="160"/>
      <c r="O370" s="160"/>
      <c r="P370" s="123"/>
      <c r="Q370" s="123"/>
      <c r="R370" s="123"/>
      <c r="T370" s="42"/>
      <c r="V370" s="123"/>
      <c r="Y370" s="123"/>
      <c r="Z370" s="238"/>
      <c r="AA370" s="123"/>
      <c r="AB370" s="123"/>
      <c r="AC370" s="160"/>
      <c r="AD370" s="160"/>
      <c r="AE370" s="123"/>
      <c r="AF370" s="123"/>
      <c r="AH370" s="236"/>
      <c r="AI370" s="123"/>
      <c r="AJ370" s="123"/>
      <c r="AL370" s="123"/>
      <c r="AM370" s="160"/>
      <c r="AN370" s="160"/>
    </row>
    <row r="371" spans="3:40" x14ac:dyDescent="0.3">
      <c r="F371" s="210"/>
      <c r="H371" s="210"/>
      <c r="I371" s="210"/>
      <c r="J371" s="238"/>
      <c r="K371" s="238"/>
      <c r="L371" s="210"/>
      <c r="M371" s="210"/>
      <c r="N371" s="210"/>
      <c r="O371" s="210"/>
      <c r="P371" s="210"/>
      <c r="Q371" s="210"/>
      <c r="R371" s="210"/>
      <c r="V371" s="210"/>
      <c r="Y371" s="210"/>
      <c r="Z371" s="238"/>
      <c r="AA371" s="210"/>
      <c r="AB371" s="210"/>
      <c r="AC371" s="210"/>
      <c r="AD371" s="210"/>
      <c r="AE371" s="210"/>
      <c r="AF371" s="210"/>
      <c r="AI371" s="210"/>
      <c r="AJ371" s="210"/>
      <c r="AK371" s="214"/>
      <c r="AL371" s="210"/>
    </row>
    <row r="372" spans="3:40" x14ac:dyDescent="0.3">
      <c r="C372" s="44"/>
      <c r="F372" s="123"/>
      <c r="H372" s="123"/>
      <c r="I372" s="123"/>
      <c r="J372" s="188"/>
      <c r="K372" s="188"/>
      <c r="L372" s="123"/>
      <c r="M372" s="123"/>
      <c r="N372" s="236"/>
      <c r="O372" s="236"/>
      <c r="P372" s="123"/>
      <c r="Q372" s="123"/>
      <c r="R372" s="123"/>
      <c r="T372" s="44"/>
      <c r="V372" s="123"/>
      <c r="Y372" s="123"/>
      <c r="Z372" s="188"/>
      <c r="AA372" s="123"/>
      <c r="AB372" s="123"/>
      <c r="AC372" s="123"/>
      <c r="AD372" s="123"/>
      <c r="AE372" s="123"/>
      <c r="AF372" s="123"/>
      <c r="AH372" s="236"/>
      <c r="AI372" s="123"/>
      <c r="AJ372" s="123"/>
      <c r="AL372" s="123"/>
      <c r="AM372" s="160"/>
      <c r="AN372" s="160"/>
    </row>
    <row r="373" spans="3:40" x14ac:dyDescent="0.3">
      <c r="F373" s="210"/>
      <c r="H373" s="210"/>
      <c r="I373" s="210"/>
      <c r="J373" s="238"/>
      <c r="K373" s="238"/>
      <c r="L373" s="210"/>
      <c r="M373" s="210"/>
      <c r="N373" s="210"/>
      <c r="O373" s="210"/>
      <c r="P373" s="210"/>
      <c r="Q373" s="210"/>
      <c r="R373" s="210"/>
      <c r="V373" s="210"/>
      <c r="Y373" s="210"/>
      <c r="Z373" s="238"/>
      <c r="AA373" s="210"/>
      <c r="AB373" s="210"/>
      <c r="AC373" s="210"/>
      <c r="AD373" s="210"/>
      <c r="AE373" s="210"/>
      <c r="AF373" s="210"/>
      <c r="AI373" s="210"/>
      <c r="AJ373" s="210"/>
      <c r="AK373" s="214"/>
      <c r="AL373" s="210"/>
    </row>
    <row r="374" spans="3:40" x14ac:dyDescent="0.3">
      <c r="C374" s="42"/>
      <c r="J374" s="188"/>
      <c r="K374" s="188"/>
      <c r="T374" s="42"/>
      <c r="Z374" s="188"/>
    </row>
    <row r="375" spans="3:40" x14ac:dyDescent="0.3">
      <c r="C375" s="42"/>
      <c r="J375" s="188"/>
      <c r="K375" s="188"/>
      <c r="T375" s="42"/>
      <c r="Z375" s="188"/>
    </row>
    <row r="376" spans="3:40" x14ac:dyDescent="0.3">
      <c r="C376" s="42"/>
      <c r="F376" s="184"/>
      <c r="H376" s="184"/>
      <c r="I376" s="184"/>
      <c r="J376" s="238"/>
      <c r="K376" s="238"/>
      <c r="L376" s="123"/>
      <c r="M376" s="123"/>
      <c r="N376" s="160"/>
      <c r="O376" s="160"/>
      <c r="P376" s="123"/>
      <c r="Q376" s="123"/>
      <c r="R376" s="123"/>
      <c r="T376" s="42"/>
      <c r="V376" s="123"/>
      <c r="Y376" s="123"/>
      <c r="Z376" s="238"/>
      <c r="AA376" s="123"/>
      <c r="AB376" s="123"/>
      <c r="AC376" s="160"/>
      <c r="AD376" s="160"/>
      <c r="AE376" s="123"/>
      <c r="AF376" s="123"/>
      <c r="AH376" s="236"/>
      <c r="AI376" s="123"/>
      <c r="AJ376" s="123"/>
      <c r="AL376" s="123"/>
      <c r="AM376" s="160"/>
      <c r="AN376" s="160"/>
    </row>
    <row r="377" spans="3:40" x14ac:dyDescent="0.3">
      <c r="C377" s="42"/>
      <c r="F377" s="184"/>
      <c r="H377" s="184"/>
      <c r="I377" s="184"/>
      <c r="J377" s="238"/>
      <c r="K377" s="238"/>
      <c r="L377" s="123"/>
      <c r="M377" s="123"/>
      <c r="N377" s="160"/>
      <c r="O377" s="160"/>
      <c r="P377" s="123"/>
      <c r="Q377" s="123"/>
      <c r="R377" s="123"/>
      <c r="T377" s="42"/>
      <c r="V377" s="123"/>
      <c r="Y377" s="123"/>
      <c r="Z377" s="238"/>
      <c r="AA377" s="123"/>
      <c r="AB377" s="123"/>
      <c r="AC377" s="160"/>
      <c r="AD377" s="160"/>
      <c r="AE377" s="123"/>
      <c r="AF377" s="123"/>
      <c r="AH377" s="236"/>
      <c r="AI377" s="123"/>
      <c r="AJ377" s="123"/>
      <c r="AL377" s="123"/>
      <c r="AM377" s="160"/>
      <c r="AN377" s="160"/>
    </row>
    <row r="378" spans="3:40" x14ac:dyDescent="0.3">
      <c r="C378" s="42"/>
      <c r="F378" s="184"/>
      <c r="H378" s="184"/>
      <c r="I378" s="184"/>
      <c r="J378" s="238"/>
      <c r="K378" s="238"/>
      <c r="L378" s="123"/>
      <c r="M378" s="123"/>
      <c r="N378" s="160"/>
      <c r="O378" s="160"/>
      <c r="P378" s="123"/>
      <c r="Q378" s="123"/>
      <c r="R378" s="123"/>
      <c r="T378" s="42"/>
      <c r="V378" s="123"/>
      <c r="Y378" s="123"/>
      <c r="Z378" s="238"/>
      <c r="AA378" s="123"/>
      <c r="AB378" s="123"/>
      <c r="AC378" s="160"/>
      <c r="AD378" s="160"/>
      <c r="AE378" s="123"/>
      <c r="AF378" s="123"/>
      <c r="AH378" s="236"/>
      <c r="AI378" s="123"/>
      <c r="AJ378" s="123"/>
      <c r="AL378" s="123"/>
      <c r="AM378" s="160"/>
      <c r="AN378" s="160"/>
    </row>
    <row r="379" spans="3:40" x14ac:dyDescent="0.3">
      <c r="C379" s="42"/>
      <c r="F379" s="184"/>
      <c r="H379" s="184"/>
      <c r="I379" s="184"/>
      <c r="J379" s="238"/>
      <c r="K379" s="238"/>
      <c r="L379" s="123"/>
      <c r="M379" s="123"/>
      <c r="N379" s="160"/>
      <c r="O379" s="160"/>
      <c r="P379" s="123"/>
      <c r="Q379" s="123"/>
      <c r="R379" s="123"/>
      <c r="T379" s="42"/>
      <c r="V379" s="123"/>
      <c r="Y379" s="123"/>
      <c r="Z379" s="238"/>
      <c r="AA379" s="123"/>
      <c r="AB379" s="123"/>
      <c r="AC379" s="160"/>
      <c r="AD379" s="160"/>
      <c r="AE379" s="123"/>
      <c r="AF379" s="123"/>
      <c r="AH379" s="236"/>
      <c r="AI379" s="123"/>
      <c r="AJ379" s="123"/>
      <c r="AL379" s="123"/>
      <c r="AM379" s="160"/>
      <c r="AN379" s="160"/>
    </row>
    <row r="380" spans="3:40" x14ac:dyDescent="0.3">
      <c r="C380" s="42"/>
      <c r="F380" s="184"/>
      <c r="H380" s="184"/>
      <c r="I380" s="184"/>
      <c r="J380" s="238"/>
      <c r="K380" s="238"/>
      <c r="L380" s="123"/>
      <c r="M380" s="123"/>
      <c r="N380" s="160"/>
      <c r="O380" s="160"/>
      <c r="P380" s="123"/>
      <c r="Q380" s="123"/>
      <c r="R380" s="123"/>
      <c r="T380" s="42"/>
      <c r="V380" s="123"/>
      <c r="Y380" s="123"/>
      <c r="Z380" s="238"/>
      <c r="AA380" s="123"/>
      <c r="AB380" s="123"/>
      <c r="AC380" s="160"/>
      <c r="AD380" s="160"/>
      <c r="AE380" s="123"/>
      <c r="AF380" s="123"/>
      <c r="AH380" s="236"/>
      <c r="AI380" s="123"/>
      <c r="AJ380" s="123"/>
      <c r="AL380" s="123"/>
      <c r="AM380" s="160"/>
      <c r="AN380" s="160"/>
    </row>
    <row r="381" spans="3:40" x14ac:dyDescent="0.3">
      <c r="C381" s="42"/>
      <c r="F381" s="184"/>
      <c r="H381" s="184"/>
      <c r="I381" s="184"/>
      <c r="J381" s="238"/>
      <c r="K381" s="238"/>
      <c r="L381" s="123"/>
      <c r="M381" s="123"/>
      <c r="N381" s="160"/>
      <c r="O381" s="160"/>
      <c r="P381" s="123"/>
      <c r="Q381" s="123"/>
      <c r="R381" s="123"/>
      <c r="T381" s="42"/>
      <c r="V381" s="123"/>
      <c r="Y381" s="123"/>
      <c r="Z381" s="238"/>
      <c r="AA381" s="123"/>
      <c r="AB381" s="123"/>
      <c r="AC381" s="160"/>
      <c r="AD381" s="160"/>
      <c r="AE381" s="123"/>
      <c r="AF381" s="123"/>
      <c r="AH381" s="236"/>
      <c r="AI381" s="123"/>
      <c r="AJ381" s="123"/>
      <c r="AL381" s="123"/>
      <c r="AM381" s="160"/>
      <c r="AN381" s="160"/>
    </row>
    <row r="382" spans="3:40" x14ac:dyDescent="0.3">
      <c r="C382" s="42"/>
      <c r="F382" s="184"/>
      <c r="H382" s="184"/>
      <c r="I382" s="184"/>
      <c r="J382" s="238"/>
      <c r="K382" s="238"/>
      <c r="L382" s="123"/>
      <c r="M382" s="123"/>
      <c r="N382" s="160"/>
      <c r="O382" s="160"/>
      <c r="P382" s="123"/>
      <c r="Q382" s="123"/>
      <c r="R382" s="123"/>
      <c r="T382" s="42"/>
      <c r="V382" s="123"/>
      <c r="Y382" s="123"/>
      <c r="Z382" s="238"/>
      <c r="AA382" s="123"/>
      <c r="AB382" s="123"/>
      <c r="AC382" s="160"/>
      <c r="AD382" s="160"/>
      <c r="AE382" s="123"/>
      <c r="AF382" s="123"/>
      <c r="AH382" s="236"/>
      <c r="AI382" s="123"/>
      <c r="AJ382" s="123"/>
      <c r="AL382" s="123"/>
      <c r="AM382" s="160"/>
      <c r="AN382" s="160"/>
    </row>
    <row r="383" spans="3:40" x14ac:dyDescent="0.3">
      <c r="C383" s="42"/>
      <c r="J383" s="188"/>
      <c r="K383" s="188"/>
      <c r="T383" s="42"/>
      <c r="Z383" s="188"/>
    </row>
    <row r="384" spans="3:40" x14ac:dyDescent="0.3">
      <c r="C384" s="42"/>
      <c r="F384" s="184"/>
      <c r="H384" s="184"/>
      <c r="I384" s="184"/>
      <c r="J384" s="238"/>
      <c r="K384" s="238"/>
      <c r="L384" s="123"/>
      <c r="M384" s="123"/>
      <c r="N384" s="160"/>
      <c r="O384" s="160"/>
      <c r="P384" s="123"/>
      <c r="Q384" s="123"/>
      <c r="R384" s="123"/>
      <c r="T384" s="42"/>
      <c r="V384" s="123"/>
      <c r="Y384" s="123"/>
      <c r="Z384" s="238"/>
      <c r="AA384" s="123"/>
      <c r="AB384" s="123"/>
      <c r="AC384" s="160"/>
      <c r="AD384" s="160"/>
      <c r="AE384" s="123"/>
      <c r="AF384" s="123"/>
      <c r="AH384" s="236"/>
      <c r="AI384" s="123"/>
      <c r="AJ384" s="123"/>
      <c r="AL384" s="123"/>
      <c r="AM384" s="160"/>
      <c r="AN384" s="160"/>
    </row>
    <row r="385" spans="3:40" x14ac:dyDescent="0.3">
      <c r="C385" s="42"/>
      <c r="F385" s="184"/>
      <c r="H385" s="184"/>
      <c r="I385" s="184"/>
      <c r="J385" s="238"/>
      <c r="K385" s="238"/>
      <c r="L385" s="123"/>
      <c r="M385" s="123"/>
      <c r="N385" s="160"/>
      <c r="O385" s="160"/>
      <c r="P385" s="123"/>
      <c r="Q385" s="123"/>
      <c r="R385" s="123"/>
      <c r="T385" s="42"/>
      <c r="V385" s="123"/>
      <c r="Y385" s="123"/>
      <c r="Z385" s="238"/>
      <c r="AA385" s="123"/>
      <c r="AB385" s="123"/>
      <c r="AC385" s="160"/>
      <c r="AD385" s="160"/>
      <c r="AE385" s="123"/>
      <c r="AF385" s="123"/>
      <c r="AH385" s="236"/>
      <c r="AI385" s="123"/>
      <c r="AJ385" s="123"/>
      <c r="AL385" s="123"/>
      <c r="AM385" s="160"/>
      <c r="AN385" s="160"/>
    </row>
    <row r="386" spans="3:40" x14ac:dyDescent="0.3">
      <c r="C386" s="42"/>
      <c r="F386" s="184"/>
      <c r="H386" s="184"/>
      <c r="I386" s="184"/>
      <c r="J386" s="238"/>
      <c r="K386" s="238"/>
      <c r="L386" s="123"/>
      <c r="M386" s="123"/>
      <c r="N386" s="160"/>
      <c r="O386" s="160"/>
      <c r="P386" s="123"/>
      <c r="Q386" s="123"/>
      <c r="R386" s="123"/>
      <c r="T386" s="42"/>
      <c r="V386" s="123"/>
      <c r="Y386" s="123"/>
      <c r="Z386" s="238"/>
      <c r="AA386" s="123"/>
      <c r="AB386" s="123"/>
      <c r="AC386" s="160"/>
      <c r="AD386" s="160"/>
      <c r="AE386" s="123"/>
      <c r="AF386" s="123"/>
      <c r="AH386" s="236"/>
      <c r="AI386" s="123"/>
      <c r="AJ386" s="123"/>
      <c r="AL386" s="123"/>
      <c r="AM386" s="160"/>
      <c r="AN386" s="160"/>
    </row>
    <row r="387" spans="3:40" x14ac:dyDescent="0.3">
      <c r="C387" s="42"/>
      <c r="F387" s="184"/>
      <c r="H387" s="184"/>
      <c r="I387" s="184"/>
      <c r="J387" s="238"/>
      <c r="K387" s="238"/>
      <c r="L387" s="123"/>
      <c r="M387" s="123"/>
      <c r="N387" s="160"/>
      <c r="O387" s="160"/>
      <c r="P387" s="123"/>
      <c r="Q387" s="123"/>
      <c r="R387" s="123"/>
      <c r="T387" s="42"/>
      <c r="V387" s="123"/>
      <c r="Y387" s="123"/>
      <c r="Z387" s="238"/>
      <c r="AA387" s="123"/>
      <c r="AB387" s="123"/>
      <c r="AC387" s="160"/>
      <c r="AD387" s="160"/>
      <c r="AE387" s="123"/>
      <c r="AF387" s="123"/>
      <c r="AH387" s="236"/>
      <c r="AI387" s="123"/>
      <c r="AJ387" s="123"/>
      <c r="AL387" s="123"/>
      <c r="AM387" s="160"/>
      <c r="AN387" s="160"/>
    </row>
    <row r="388" spans="3:40" x14ac:dyDescent="0.3">
      <c r="C388" s="42"/>
      <c r="J388" s="188"/>
      <c r="K388" s="188"/>
      <c r="T388" s="42"/>
      <c r="Z388" s="188"/>
    </row>
    <row r="389" spans="3:40" x14ac:dyDescent="0.3">
      <c r="C389" s="42"/>
      <c r="F389" s="184"/>
      <c r="H389" s="184"/>
      <c r="I389" s="184"/>
      <c r="J389" s="238"/>
      <c r="K389" s="238"/>
      <c r="L389" s="123"/>
      <c r="M389" s="123"/>
      <c r="N389" s="160"/>
      <c r="O389" s="160"/>
      <c r="P389" s="123"/>
      <c r="Q389" s="123"/>
      <c r="R389" s="123"/>
      <c r="T389" s="42"/>
      <c r="V389" s="123"/>
      <c r="Y389" s="123"/>
      <c r="Z389" s="238"/>
      <c r="AA389" s="123"/>
      <c r="AB389" s="123"/>
      <c r="AC389" s="160"/>
      <c r="AD389" s="160"/>
      <c r="AE389" s="123"/>
      <c r="AF389" s="123"/>
      <c r="AH389" s="236"/>
      <c r="AI389" s="123"/>
      <c r="AJ389" s="123"/>
      <c r="AL389" s="123"/>
      <c r="AM389" s="160"/>
      <c r="AN389" s="160"/>
    </row>
    <row r="390" spans="3:40" x14ac:dyDescent="0.3">
      <c r="C390" s="42"/>
      <c r="F390" s="184"/>
      <c r="H390" s="184"/>
      <c r="I390" s="184"/>
      <c r="J390" s="238"/>
      <c r="K390" s="238"/>
      <c r="L390" s="123"/>
      <c r="M390" s="123"/>
      <c r="N390" s="160"/>
      <c r="O390" s="160"/>
      <c r="P390" s="123"/>
      <c r="Q390" s="123"/>
      <c r="R390" s="123"/>
      <c r="T390" s="42"/>
      <c r="V390" s="123"/>
      <c r="Y390" s="123"/>
      <c r="Z390" s="238"/>
      <c r="AA390" s="123"/>
      <c r="AB390" s="123"/>
      <c r="AC390" s="160"/>
      <c r="AD390" s="160"/>
      <c r="AE390" s="123"/>
      <c r="AF390" s="123"/>
      <c r="AH390" s="236"/>
      <c r="AI390" s="123"/>
      <c r="AJ390" s="123"/>
      <c r="AL390" s="123"/>
      <c r="AM390" s="160"/>
      <c r="AN390" s="160"/>
    </row>
    <row r="391" spans="3:40" x14ac:dyDescent="0.3">
      <c r="C391" s="42"/>
      <c r="F391" s="184"/>
      <c r="H391" s="184"/>
      <c r="I391" s="184"/>
      <c r="J391" s="238"/>
      <c r="K391" s="238"/>
      <c r="L391" s="123"/>
      <c r="M391" s="123"/>
      <c r="N391" s="160"/>
      <c r="O391" s="160"/>
      <c r="P391" s="123"/>
      <c r="Q391" s="123"/>
      <c r="R391" s="123"/>
      <c r="T391" s="42"/>
      <c r="V391" s="123"/>
      <c r="Y391" s="123"/>
      <c r="Z391" s="238"/>
      <c r="AA391" s="123"/>
      <c r="AB391" s="123"/>
      <c r="AC391" s="160"/>
      <c r="AD391" s="160"/>
      <c r="AE391" s="123"/>
      <c r="AF391" s="123"/>
      <c r="AH391" s="236"/>
      <c r="AI391" s="123"/>
      <c r="AJ391" s="123"/>
      <c r="AL391" s="123"/>
      <c r="AM391" s="160"/>
      <c r="AN391" s="160"/>
    </row>
    <row r="392" spans="3:40" x14ac:dyDescent="0.3">
      <c r="C392" s="42"/>
      <c r="F392" s="184"/>
      <c r="H392" s="184"/>
      <c r="I392" s="184"/>
      <c r="J392" s="238"/>
      <c r="K392" s="238"/>
      <c r="L392" s="123"/>
      <c r="M392" s="123"/>
      <c r="N392" s="160"/>
      <c r="O392" s="160"/>
      <c r="P392" s="123"/>
      <c r="Q392" s="123"/>
      <c r="R392" s="123"/>
      <c r="T392" s="42"/>
      <c r="V392" s="123"/>
      <c r="Y392" s="123"/>
      <c r="Z392" s="238"/>
      <c r="AA392" s="123"/>
      <c r="AB392" s="123"/>
      <c r="AC392" s="160"/>
      <c r="AD392" s="160"/>
      <c r="AE392" s="123"/>
      <c r="AF392" s="123"/>
      <c r="AH392" s="236"/>
      <c r="AI392" s="123"/>
      <c r="AJ392" s="123"/>
      <c r="AL392" s="123"/>
      <c r="AM392" s="160"/>
      <c r="AN392" s="160"/>
    </row>
    <row r="393" spans="3:40" x14ac:dyDescent="0.3">
      <c r="C393" s="42"/>
      <c r="F393" s="184"/>
      <c r="H393" s="184"/>
      <c r="I393" s="184"/>
      <c r="J393" s="238"/>
      <c r="K393" s="238"/>
      <c r="L393" s="123"/>
      <c r="M393" s="123"/>
      <c r="N393" s="160"/>
      <c r="O393" s="160"/>
      <c r="P393" s="123"/>
      <c r="Q393" s="123"/>
      <c r="R393" s="123"/>
      <c r="T393" s="42"/>
      <c r="V393" s="123"/>
      <c r="Y393" s="123"/>
      <c r="Z393" s="238"/>
      <c r="AA393" s="123"/>
      <c r="AB393" s="123"/>
      <c r="AC393" s="160"/>
      <c r="AD393" s="160"/>
      <c r="AE393" s="123"/>
      <c r="AF393" s="123"/>
      <c r="AH393" s="236"/>
      <c r="AI393" s="123"/>
      <c r="AJ393" s="123"/>
      <c r="AL393" s="123"/>
      <c r="AM393" s="160"/>
      <c r="AN393" s="160"/>
    </row>
    <row r="394" spans="3:40" x14ac:dyDescent="0.3">
      <c r="F394" s="210"/>
      <c r="H394" s="210"/>
      <c r="I394" s="210"/>
      <c r="J394" s="213"/>
      <c r="K394" s="213"/>
      <c r="L394" s="210"/>
      <c r="M394" s="210"/>
      <c r="N394" s="210"/>
      <c r="O394" s="210"/>
      <c r="P394" s="210"/>
      <c r="Q394" s="210"/>
      <c r="R394" s="210"/>
      <c r="V394" s="210"/>
      <c r="Y394" s="210"/>
      <c r="Z394" s="238"/>
      <c r="AA394" s="210"/>
      <c r="AB394" s="210"/>
      <c r="AC394" s="210"/>
      <c r="AD394" s="210"/>
      <c r="AE394" s="210"/>
      <c r="AF394" s="210"/>
      <c r="AI394" s="210"/>
      <c r="AJ394" s="210"/>
      <c r="AK394" s="214"/>
      <c r="AL394" s="210"/>
    </row>
    <row r="395" spans="3:40" x14ac:dyDescent="0.3">
      <c r="C395" s="42"/>
      <c r="F395" s="123"/>
      <c r="H395" s="123"/>
      <c r="I395" s="123"/>
      <c r="L395" s="123"/>
      <c r="M395" s="123"/>
      <c r="N395" s="236"/>
      <c r="O395" s="236"/>
      <c r="P395" s="123"/>
      <c r="Q395" s="123"/>
      <c r="R395" s="123"/>
      <c r="T395" s="42"/>
      <c r="V395" s="123"/>
      <c r="Y395" s="123"/>
      <c r="AA395" s="123"/>
      <c r="AB395" s="123"/>
      <c r="AC395" s="160"/>
      <c r="AD395" s="160"/>
      <c r="AE395" s="123"/>
      <c r="AF395" s="123"/>
      <c r="AH395" s="236"/>
      <c r="AI395" s="123"/>
      <c r="AJ395" s="123"/>
      <c r="AL395" s="123"/>
      <c r="AM395" s="160"/>
      <c r="AN395" s="160"/>
    </row>
    <row r="396" spans="3:40" x14ac:dyDescent="0.3">
      <c r="F396" s="210"/>
      <c r="H396" s="210"/>
      <c r="I396" s="210"/>
      <c r="J396" s="213"/>
      <c r="K396" s="213"/>
      <c r="L396" s="210"/>
      <c r="M396" s="210"/>
      <c r="N396" s="210"/>
      <c r="O396" s="210"/>
      <c r="P396" s="210"/>
      <c r="Q396" s="210"/>
      <c r="R396" s="210"/>
      <c r="V396" s="210"/>
      <c r="Y396" s="210"/>
      <c r="Z396" s="213"/>
      <c r="AA396" s="210"/>
      <c r="AB396" s="210"/>
      <c r="AC396" s="210"/>
      <c r="AD396" s="210"/>
      <c r="AE396" s="210"/>
      <c r="AF396" s="210"/>
      <c r="AI396" s="210"/>
      <c r="AJ396" s="210"/>
      <c r="AK396" s="214"/>
      <c r="AL396" s="210"/>
    </row>
    <row r="397" spans="3:40" x14ac:dyDescent="0.3">
      <c r="C397" s="42"/>
      <c r="T397" s="42"/>
    </row>
    <row r="398" spans="3:40" x14ac:dyDescent="0.3">
      <c r="C398" s="42"/>
      <c r="F398" s="184"/>
      <c r="H398" s="184"/>
      <c r="I398" s="184"/>
      <c r="J398" s="193"/>
      <c r="K398" s="193"/>
      <c r="L398" s="123"/>
      <c r="M398" s="123"/>
      <c r="N398" s="160"/>
      <c r="O398" s="160"/>
      <c r="P398" s="123"/>
      <c r="Q398" s="123"/>
      <c r="R398" s="123"/>
      <c r="T398" s="42"/>
      <c r="V398" s="123"/>
      <c r="Y398" s="123"/>
      <c r="Z398" s="193"/>
      <c r="AA398" s="123"/>
      <c r="AB398" s="123"/>
      <c r="AC398" s="160"/>
      <c r="AD398" s="160"/>
      <c r="AE398" s="123"/>
      <c r="AF398" s="123"/>
      <c r="AH398" s="236"/>
      <c r="AI398" s="123"/>
      <c r="AJ398" s="123"/>
      <c r="AL398" s="123"/>
      <c r="AM398" s="160"/>
      <c r="AN398" s="160"/>
    </row>
    <row r="399" spans="3:40" x14ac:dyDescent="0.3">
      <c r="C399" s="42"/>
      <c r="F399" s="184"/>
      <c r="H399" s="184"/>
      <c r="I399" s="184"/>
      <c r="J399" s="193"/>
      <c r="K399" s="193"/>
      <c r="L399" s="123"/>
      <c r="M399" s="123"/>
      <c r="N399" s="160"/>
      <c r="O399" s="160"/>
      <c r="P399" s="123"/>
      <c r="Q399" s="123"/>
      <c r="R399" s="123"/>
      <c r="T399" s="42"/>
      <c r="V399" s="123"/>
      <c r="Y399" s="123"/>
      <c r="Z399" s="193"/>
      <c r="AA399" s="123"/>
      <c r="AB399" s="123"/>
      <c r="AC399" s="160"/>
      <c r="AD399" s="160"/>
      <c r="AE399" s="123"/>
      <c r="AF399" s="123"/>
      <c r="AH399" s="236"/>
      <c r="AI399" s="123"/>
      <c r="AJ399" s="123"/>
      <c r="AL399" s="123"/>
      <c r="AM399" s="160"/>
      <c r="AN399" s="160"/>
    </row>
    <row r="400" spans="3:40" x14ac:dyDescent="0.3">
      <c r="F400" s="210"/>
      <c r="H400" s="123"/>
      <c r="I400" s="123"/>
      <c r="J400" s="213"/>
      <c r="K400" s="213"/>
      <c r="L400" s="210"/>
      <c r="M400" s="210"/>
      <c r="N400" s="210"/>
      <c r="O400" s="210"/>
      <c r="P400" s="210"/>
      <c r="Q400" s="210"/>
      <c r="R400" s="210"/>
      <c r="V400" s="210"/>
      <c r="Y400" s="123"/>
      <c r="Z400" s="213"/>
      <c r="AA400" s="210"/>
      <c r="AB400" s="210"/>
      <c r="AC400" s="210"/>
      <c r="AD400" s="210"/>
      <c r="AE400" s="210"/>
      <c r="AF400" s="210"/>
      <c r="AI400" s="210"/>
      <c r="AJ400" s="210"/>
      <c r="AK400" s="214"/>
      <c r="AL400" s="210"/>
    </row>
    <row r="401" spans="1:40" x14ac:dyDescent="0.3">
      <c r="F401" s="123"/>
      <c r="H401" s="123"/>
      <c r="I401" s="123"/>
      <c r="J401" s="213"/>
      <c r="K401" s="213"/>
      <c r="L401" s="123"/>
      <c r="M401" s="123"/>
      <c r="N401" s="123"/>
      <c r="O401" s="123"/>
      <c r="P401" s="123"/>
      <c r="Q401" s="123"/>
      <c r="R401" s="123"/>
      <c r="V401" s="123"/>
      <c r="Y401" s="123"/>
      <c r="Z401" s="213"/>
      <c r="AA401" s="123"/>
      <c r="AB401" s="123"/>
      <c r="AC401" s="123"/>
      <c r="AD401" s="123"/>
      <c r="AE401" s="123"/>
      <c r="AF401" s="123"/>
      <c r="AI401" s="123"/>
      <c r="AJ401" s="123"/>
      <c r="AL401" s="123"/>
    </row>
    <row r="402" spans="1:40" x14ac:dyDescent="0.3">
      <c r="C402" s="42"/>
      <c r="F402" s="123"/>
      <c r="H402" s="123"/>
      <c r="I402" s="123"/>
      <c r="L402" s="123"/>
      <c r="M402" s="123"/>
      <c r="N402" s="160"/>
      <c r="O402" s="160"/>
      <c r="P402" s="123"/>
      <c r="Q402" s="123"/>
      <c r="R402" s="123"/>
      <c r="T402" s="42"/>
      <c r="V402" s="123"/>
      <c r="Y402" s="123"/>
      <c r="AA402" s="123"/>
      <c r="AB402" s="123"/>
      <c r="AC402" s="160"/>
      <c r="AD402" s="160"/>
      <c r="AE402" s="123"/>
      <c r="AF402" s="123"/>
      <c r="AH402" s="236"/>
      <c r="AI402" s="184"/>
      <c r="AJ402" s="184"/>
      <c r="AL402" s="123"/>
      <c r="AM402" s="160"/>
      <c r="AN402" s="160"/>
    </row>
    <row r="403" spans="1:40" x14ac:dyDescent="0.3">
      <c r="H403" s="210"/>
      <c r="I403" s="210"/>
      <c r="J403" s="213"/>
      <c r="K403" s="213"/>
      <c r="L403" s="210"/>
      <c r="M403" s="210"/>
      <c r="N403" s="210"/>
      <c r="O403" s="210"/>
      <c r="P403" s="210"/>
      <c r="Q403" s="210"/>
      <c r="R403" s="210"/>
      <c r="V403" s="210"/>
      <c r="Y403" s="210"/>
      <c r="Z403" s="213"/>
      <c r="AA403" s="210"/>
      <c r="AB403" s="210"/>
      <c r="AC403" s="210"/>
      <c r="AD403" s="210"/>
      <c r="AE403" s="210"/>
      <c r="AF403" s="210"/>
      <c r="AI403" s="210"/>
      <c r="AJ403" s="210"/>
      <c r="AK403" s="214"/>
      <c r="AL403" s="210"/>
    </row>
    <row r="404" spans="1:40" x14ac:dyDescent="0.3">
      <c r="F404" s="210"/>
    </row>
    <row r="405" spans="1:40" x14ac:dyDescent="0.3">
      <c r="A405" s="42"/>
      <c r="T405" s="42"/>
    </row>
    <row r="406" spans="1:40" x14ac:dyDescent="0.3">
      <c r="A406" s="42"/>
      <c r="T406" s="42"/>
    </row>
    <row r="407" spans="1:40" x14ac:dyDescent="0.3">
      <c r="A407" s="42"/>
      <c r="T407" s="42"/>
    </row>
    <row r="408" spans="1:40" x14ac:dyDescent="0.3">
      <c r="A408" s="42"/>
      <c r="T408" s="42"/>
    </row>
    <row r="409" spans="1:40" x14ac:dyDescent="0.3">
      <c r="A409" s="42"/>
      <c r="T409" s="42"/>
    </row>
    <row r="410" spans="1:40" x14ac:dyDescent="0.3">
      <c r="A410" s="42"/>
      <c r="T410" s="42"/>
    </row>
    <row r="411" spans="1:40" x14ac:dyDescent="0.3">
      <c r="A411" s="42"/>
      <c r="T411" s="42"/>
    </row>
    <row r="412" spans="1:40" x14ac:dyDescent="0.3">
      <c r="A412" s="42"/>
      <c r="T412" s="42"/>
    </row>
    <row r="413" spans="1:40" x14ac:dyDescent="0.3">
      <c r="A413" s="42"/>
      <c r="T413" s="42"/>
    </row>
    <row r="415" spans="1:40" x14ac:dyDescent="0.3">
      <c r="A415" s="42"/>
    </row>
    <row r="417" spans="1:40" x14ac:dyDescent="0.3">
      <c r="H417" s="42"/>
      <c r="I417" s="42"/>
      <c r="Y417" s="42"/>
    </row>
    <row r="419" spans="1:40" x14ac:dyDescent="0.3">
      <c r="L419" s="42"/>
      <c r="M419" s="42"/>
      <c r="AA419" s="42"/>
      <c r="AB419" s="42"/>
    </row>
    <row r="420" spans="1:40" x14ac:dyDescent="0.3">
      <c r="R420" s="42"/>
      <c r="AK420" s="206"/>
      <c r="AL420" s="42"/>
    </row>
    <row r="421" spans="1:40" x14ac:dyDescent="0.3">
      <c r="R421" s="42"/>
      <c r="AK421" s="206"/>
      <c r="AL421" s="42"/>
    </row>
    <row r="422" spans="1:40" x14ac:dyDescent="0.3">
      <c r="A422" s="42"/>
      <c r="R422" s="42"/>
      <c r="AK422" s="206"/>
      <c r="AL422" s="42"/>
    </row>
    <row r="423" spans="1:40" x14ac:dyDescent="0.3">
      <c r="L423" s="42"/>
      <c r="M423" s="42"/>
      <c r="AA423" s="42"/>
      <c r="AB423" s="42"/>
    </row>
    <row r="424" spans="1:40" x14ac:dyDescent="0.3">
      <c r="A424" s="135"/>
      <c r="B424" s="135"/>
      <c r="C424" s="135"/>
      <c r="D424" s="135"/>
      <c r="E424" s="135"/>
      <c r="F424" s="135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207"/>
      <c r="AH424" s="135"/>
      <c r="AI424" s="135"/>
      <c r="AJ424" s="135"/>
      <c r="AK424" s="207"/>
      <c r="AL424" s="135"/>
      <c r="AM424" s="135"/>
      <c r="AN424" s="135"/>
    </row>
    <row r="425" spans="1:40" x14ac:dyDescent="0.3">
      <c r="L425" s="44"/>
      <c r="M425" s="44"/>
      <c r="N425" s="44"/>
      <c r="O425" s="44"/>
      <c r="R425" s="44"/>
      <c r="AA425" s="44"/>
      <c r="AB425" s="44"/>
      <c r="AC425" s="44"/>
      <c r="AD425" s="44"/>
      <c r="AE425" s="44"/>
      <c r="AF425" s="44"/>
      <c r="AG425" s="168"/>
      <c r="AH425" s="44"/>
      <c r="AK425" s="168"/>
      <c r="AL425" s="44"/>
      <c r="AM425" s="44"/>
      <c r="AN425" s="44"/>
    </row>
    <row r="426" spans="1:40" x14ac:dyDescent="0.3">
      <c r="L426" s="44"/>
      <c r="M426" s="44"/>
      <c r="N426" s="44"/>
      <c r="O426" s="44"/>
      <c r="R426" s="44"/>
      <c r="Z426" s="44"/>
      <c r="AA426" s="44"/>
      <c r="AB426" s="44"/>
      <c r="AC426" s="44"/>
      <c r="AD426" s="44"/>
      <c r="AE426" s="44"/>
      <c r="AF426" s="44"/>
      <c r="AG426" s="168"/>
      <c r="AH426" s="44"/>
      <c r="AK426" s="168"/>
      <c r="AL426" s="44"/>
      <c r="AM426" s="44"/>
      <c r="AN426" s="44"/>
    </row>
    <row r="427" spans="1:40" x14ac:dyDescent="0.3">
      <c r="A427" s="44"/>
      <c r="C427" s="44"/>
      <c r="D427" s="44"/>
      <c r="E427" s="44"/>
      <c r="F427" s="44"/>
      <c r="J427" s="44"/>
      <c r="K427" s="44"/>
      <c r="L427" s="44"/>
      <c r="M427" s="44"/>
      <c r="N427" s="44"/>
      <c r="O427" s="44"/>
      <c r="P427" s="44"/>
      <c r="Q427" s="44"/>
      <c r="R427" s="44"/>
      <c r="T427" s="44"/>
      <c r="U427" s="44"/>
      <c r="V427" s="44"/>
      <c r="Z427" s="44"/>
      <c r="AA427" s="44"/>
      <c r="AB427" s="44"/>
      <c r="AC427" s="44"/>
      <c r="AD427" s="44"/>
      <c r="AE427" s="44"/>
      <c r="AF427" s="44"/>
      <c r="AG427" s="168"/>
      <c r="AH427" s="44"/>
      <c r="AI427" s="44"/>
      <c r="AJ427" s="44"/>
      <c r="AK427" s="168"/>
      <c r="AL427" s="44"/>
      <c r="AM427" s="44"/>
      <c r="AN427" s="44"/>
    </row>
    <row r="428" spans="1:40" x14ac:dyDescent="0.3">
      <c r="A428" s="44"/>
      <c r="C428" s="44"/>
      <c r="D428" s="44"/>
      <c r="E428" s="44"/>
      <c r="F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T428" s="44"/>
      <c r="U428" s="44"/>
      <c r="V428" s="44"/>
      <c r="Y428" s="44"/>
      <c r="Z428" s="44"/>
      <c r="AA428" s="44"/>
      <c r="AB428" s="44"/>
      <c r="AC428" s="44"/>
      <c r="AD428" s="44"/>
      <c r="AE428" s="44"/>
      <c r="AF428" s="44"/>
      <c r="AG428" s="168"/>
      <c r="AH428" s="44"/>
      <c r="AI428" s="44"/>
      <c r="AJ428" s="44"/>
      <c r="AK428" s="168"/>
      <c r="AL428" s="44"/>
      <c r="AM428" s="44"/>
      <c r="AN428" s="44"/>
    </row>
    <row r="429" spans="1:40" x14ac:dyDescent="0.3">
      <c r="C429" s="44"/>
      <c r="D429" s="44"/>
      <c r="E429" s="44"/>
      <c r="F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T429" s="44"/>
      <c r="U429" s="44"/>
      <c r="V429" s="44"/>
      <c r="Y429" s="44"/>
      <c r="Z429" s="44"/>
      <c r="AA429" s="44"/>
      <c r="AB429" s="44"/>
      <c r="AC429" s="44"/>
      <c r="AD429" s="44"/>
      <c r="AE429" s="44"/>
      <c r="AF429" s="44"/>
      <c r="AG429" s="168"/>
      <c r="AH429" s="44"/>
      <c r="AI429" s="44"/>
      <c r="AJ429" s="44"/>
      <c r="AK429" s="168"/>
      <c r="AL429" s="44"/>
      <c r="AM429" s="44"/>
      <c r="AN429" s="44"/>
    </row>
    <row r="430" spans="1:40" x14ac:dyDescent="0.3">
      <c r="A430" s="135"/>
      <c r="B430" s="135"/>
      <c r="C430" s="135"/>
      <c r="D430" s="135"/>
      <c r="E430" s="135"/>
      <c r="F430" s="135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207"/>
      <c r="AH430" s="135"/>
      <c r="AI430" s="135"/>
      <c r="AJ430" s="135"/>
      <c r="AK430" s="207"/>
      <c r="AL430" s="135"/>
      <c r="AM430" s="135"/>
      <c r="AN430" s="135"/>
    </row>
    <row r="431" spans="1:40" x14ac:dyDescent="0.3"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Y431" s="44"/>
      <c r="Z431" s="44"/>
      <c r="AA431" s="44"/>
      <c r="AB431" s="44"/>
      <c r="AC431" s="44"/>
      <c r="AD431" s="44"/>
      <c r="AE431" s="44"/>
      <c r="AF431" s="44"/>
      <c r="AG431" s="168"/>
      <c r="AH431" s="44"/>
      <c r="AI431" s="44"/>
      <c r="AJ431" s="44"/>
      <c r="AK431" s="168"/>
      <c r="AL431" s="44"/>
      <c r="AM431" s="44"/>
      <c r="AN431" s="44"/>
    </row>
    <row r="432" spans="1:40" x14ac:dyDescent="0.3">
      <c r="C432" s="42"/>
      <c r="D432" s="42"/>
      <c r="E432" s="42"/>
      <c r="T432" s="42"/>
      <c r="U432" s="42"/>
    </row>
    <row r="433" spans="3:40" x14ac:dyDescent="0.3">
      <c r="D433" s="42"/>
      <c r="E433" s="42"/>
      <c r="U433" s="42"/>
    </row>
    <row r="435" spans="3:40" x14ac:dyDescent="0.3">
      <c r="C435" s="42"/>
      <c r="F435" s="123"/>
      <c r="J435" s="209"/>
      <c r="K435" s="209"/>
      <c r="L435" s="123"/>
      <c r="M435" s="123"/>
      <c r="R435" s="123"/>
      <c r="T435" s="42"/>
      <c r="V435" s="123"/>
      <c r="Z435" s="209"/>
      <c r="AA435" s="123"/>
      <c r="AB435" s="123"/>
      <c r="AH435" s="123"/>
      <c r="AL435" s="123"/>
    </row>
    <row r="436" spans="3:40" x14ac:dyDescent="0.3">
      <c r="C436" s="42"/>
      <c r="F436" s="123"/>
      <c r="R436" s="123"/>
      <c r="T436" s="42"/>
      <c r="V436" s="123"/>
      <c r="AH436" s="123"/>
      <c r="AL436" s="123"/>
    </row>
    <row r="437" spans="3:40" x14ac:dyDescent="0.3">
      <c r="AI437" s="123"/>
      <c r="AJ437" s="123"/>
      <c r="AL437" s="123"/>
      <c r="AM437" s="160"/>
      <c r="AN437" s="160"/>
    </row>
    <row r="438" spans="3:40" x14ac:dyDescent="0.3">
      <c r="C438" s="42"/>
      <c r="F438" s="184"/>
      <c r="H438" s="184"/>
      <c r="I438" s="184"/>
      <c r="J438" s="237"/>
      <c r="K438" s="237"/>
      <c r="L438" s="123"/>
      <c r="M438" s="123"/>
      <c r="N438" s="160"/>
      <c r="O438" s="160"/>
      <c r="P438" s="123"/>
      <c r="Q438" s="123"/>
      <c r="R438" s="123"/>
      <c r="T438" s="42"/>
      <c r="V438" s="123"/>
      <c r="Y438" s="123"/>
      <c r="Z438" s="237"/>
      <c r="AA438" s="123"/>
      <c r="AB438" s="123"/>
      <c r="AC438" s="160"/>
      <c r="AD438" s="160"/>
      <c r="AE438" s="123"/>
      <c r="AF438" s="123"/>
      <c r="AH438" s="236"/>
      <c r="AI438" s="123"/>
      <c r="AJ438" s="123"/>
      <c r="AL438" s="123"/>
      <c r="AM438" s="160"/>
      <c r="AN438" s="160"/>
    </row>
    <row r="439" spans="3:40" x14ac:dyDescent="0.3">
      <c r="F439" s="123"/>
      <c r="H439" s="123"/>
      <c r="I439" s="123"/>
      <c r="J439" s="219"/>
      <c r="K439" s="219"/>
      <c r="L439" s="123"/>
      <c r="M439" s="123"/>
      <c r="P439" s="123"/>
      <c r="Q439" s="123"/>
      <c r="R439" s="123"/>
      <c r="V439" s="123"/>
      <c r="Y439" s="123"/>
      <c r="Z439" s="219"/>
      <c r="AA439" s="123"/>
      <c r="AB439" s="123"/>
      <c r="AI439" s="123"/>
      <c r="AJ439" s="123"/>
      <c r="AL439" s="123"/>
      <c r="AM439" s="160"/>
      <c r="AN439" s="160"/>
    </row>
    <row r="440" spans="3:40" x14ac:dyDescent="0.3">
      <c r="F440" s="123"/>
      <c r="R440" s="123"/>
      <c r="V440" s="123"/>
      <c r="AL440" s="123"/>
      <c r="AM440" s="160"/>
      <c r="AN440" s="160"/>
    </row>
    <row r="441" spans="3:40" x14ac:dyDescent="0.3">
      <c r="C441" s="42"/>
      <c r="F441" s="123"/>
      <c r="J441" s="209"/>
      <c r="K441" s="209"/>
      <c r="L441" s="123"/>
      <c r="M441" s="123"/>
      <c r="N441" s="160"/>
      <c r="O441" s="160"/>
      <c r="R441" s="123"/>
      <c r="T441" s="42"/>
      <c r="V441" s="123"/>
      <c r="Z441" s="209"/>
      <c r="AA441" s="123"/>
      <c r="AB441" s="123"/>
      <c r="AC441" s="160"/>
      <c r="AD441" s="160"/>
      <c r="AL441" s="123"/>
      <c r="AM441" s="160"/>
      <c r="AN441" s="160"/>
    </row>
    <row r="442" spans="3:40" x14ac:dyDescent="0.3">
      <c r="C442" s="42"/>
      <c r="F442" s="123"/>
      <c r="H442" s="123"/>
      <c r="I442" s="123"/>
      <c r="J442" s="209"/>
      <c r="K442" s="209"/>
      <c r="L442" s="123"/>
      <c r="M442" s="123"/>
      <c r="N442" s="160"/>
      <c r="O442" s="160"/>
      <c r="P442" s="123"/>
      <c r="Q442" s="123"/>
      <c r="R442" s="123"/>
      <c r="T442" s="42"/>
      <c r="V442" s="123"/>
      <c r="Y442" s="123"/>
      <c r="Z442" s="209"/>
      <c r="AA442" s="123"/>
      <c r="AB442" s="123"/>
      <c r="AC442" s="160"/>
      <c r="AD442" s="160"/>
      <c r="AI442" s="123"/>
      <c r="AJ442" s="123"/>
      <c r="AL442" s="123"/>
      <c r="AM442" s="160"/>
      <c r="AN442" s="160"/>
    </row>
    <row r="443" spans="3:40" x14ac:dyDescent="0.3">
      <c r="C443" s="42"/>
      <c r="T443" s="42"/>
      <c r="AM443" s="160"/>
      <c r="AN443" s="160"/>
    </row>
    <row r="444" spans="3:40" x14ac:dyDescent="0.3">
      <c r="C444" s="42"/>
      <c r="T444" s="42"/>
      <c r="AM444" s="160"/>
      <c r="AN444" s="160"/>
    </row>
    <row r="445" spans="3:40" x14ac:dyDescent="0.3">
      <c r="AM445" s="160"/>
      <c r="AN445" s="160"/>
    </row>
    <row r="446" spans="3:40" x14ac:dyDescent="0.3">
      <c r="C446" s="42"/>
      <c r="F446" s="184"/>
      <c r="H446" s="184"/>
      <c r="I446" s="184"/>
      <c r="J446" s="237"/>
      <c r="K446" s="237"/>
      <c r="L446" s="123"/>
      <c r="M446" s="123"/>
      <c r="N446" s="160"/>
      <c r="O446" s="160"/>
      <c r="P446" s="123"/>
      <c r="Q446" s="123"/>
      <c r="R446" s="123"/>
      <c r="T446" s="42"/>
      <c r="V446" s="123"/>
      <c r="Y446" s="123"/>
      <c r="Z446" s="237"/>
      <c r="AA446" s="123"/>
      <c r="AB446" s="123"/>
      <c r="AC446" s="160"/>
      <c r="AD446" s="160"/>
      <c r="AE446" s="123"/>
      <c r="AF446" s="123"/>
      <c r="AH446" s="236"/>
      <c r="AI446" s="123"/>
      <c r="AJ446" s="123"/>
      <c r="AL446" s="123"/>
      <c r="AM446" s="160"/>
      <c r="AN446" s="160"/>
    </row>
    <row r="447" spans="3:40" x14ac:dyDescent="0.3">
      <c r="F447" s="210"/>
      <c r="H447" s="210"/>
      <c r="I447" s="210"/>
      <c r="J447" s="213"/>
      <c r="K447" s="213"/>
      <c r="L447" s="210"/>
      <c r="M447" s="210"/>
      <c r="N447" s="210"/>
      <c r="O447" s="210"/>
      <c r="P447" s="210"/>
      <c r="Q447" s="210"/>
      <c r="R447" s="210"/>
      <c r="V447" s="210"/>
      <c r="Y447" s="210"/>
      <c r="Z447" s="213"/>
      <c r="AA447" s="210"/>
      <c r="AB447" s="210"/>
      <c r="AC447" s="210"/>
      <c r="AD447" s="210"/>
      <c r="AE447" s="210"/>
      <c r="AF447" s="210"/>
      <c r="AI447" s="210"/>
      <c r="AJ447" s="210"/>
      <c r="AK447" s="214"/>
      <c r="AL447" s="210"/>
      <c r="AM447" s="160"/>
      <c r="AN447" s="160"/>
    </row>
    <row r="448" spans="3:40" x14ac:dyDescent="0.3">
      <c r="H448" s="123"/>
      <c r="I448" s="123"/>
      <c r="Y448" s="123"/>
      <c r="AM448" s="160"/>
      <c r="AN448" s="160"/>
    </row>
    <row r="449" spans="1:40" x14ac:dyDescent="0.3">
      <c r="C449" s="42"/>
      <c r="F449" s="123"/>
      <c r="H449" s="123"/>
      <c r="I449" s="123"/>
      <c r="L449" s="123"/>
      <c r="M449" s="123"/>
      <c r="N449" s="160"/>
      <c r="O449" s="160"/>
      <c r="P449" s="184"/>
      <c r="Q449" s="184"/>
      <c r="R449" s="123"/>
      <c r="T449" s="42"/>
      <c r="V449" s="123"/>
      <c r="Y449" s="123"/>
      <c r="AA449" s="123"/>
      <c r="AB449" s="123"/>
      <c r="AC449" s="160"/>
      <c r="AD449" s="160"/>
      <c r="AE449" s="123"/>
      <c r="AF449" s="123"/>
      <c r="AH449" s="236"/>
      <c r="AI449" s="184"/>
      <c r="AJ449" s="184"/>
      <c r="AL449" s="123"/>
      <c r="AM449" s="160"/>
      <c r="AN449" s="160"/>
    </row>
    <row r="450" spans="1:40" x14ac:dyDescent="0.3">
      <c r="H450" s="210"/>
      <c r="I450" s="210"/>
      <c r="J450" s="213"/>
      <c r="K450" s="213"/>
      <c r="L450" s="210"/>
      <c r="M450" s="210"/>
      <c r="N450" s="210"/>
      <c r="O450" s="210"/>
      <c r="P450" s="210"/>
      <c r="Q450" s="210"/>
      <c r="R450" s="210"/>
      <c r="V450" s="210"/>
      <c r="Y450" s="210"/>
      <c r="Z450" s="213"/>
      <c r="AA450" s="210"/>
      <c r="AB450" s="210"/>
      <c r="AC450" s="210"/>
      <c r="AD450" s="210"/>
      <c r="AE450" s="210"/>
      <c r="AF450" s="210"/>
      <c r="AI450" s="210"/>
      <c r="AJ450" s="210"/>
      <c r="AK450" s="214"/>
      <c r="AL450" s="210"/>
      <c r="AM450" s="160"/>
      <c r="AN450" s="160"/>
    </row>
    <row r="451" spans="1:40" x14ac:dyDescent="0.3">
      <c r="F451" s="210"/>
    </row>
    <row r="452" spans="1:40" x14ac:dyDescent="0.3">
      <c r="F452" s="123"/>
      <c r="H452" s="123"/>
      <c r="I452" s="123"/>
      <c r="J452" s="219"/>
      <c r="K452" s="219"/>
      <c r="L452" s="123"/>
      <c r="M452" s="123"/>
      <c r="N452" s="123"/>
      <c r="O452" s="123"/>
      <c r="P452" s="123"/>
      <c r="Q452" s="123"/>
      <c r="R452" s="123"/>
      <c r="V452" s="123"/>
      <c r="Y452" s="123"/>
      <c r="Z452" s="219"/>
      <c r="AA452" s="123"/>
      <c r="AB452" s="123"/>
      <c r="AC452" s="123"/>
      <c r="AD452" s="123"/>
      <c r="AE452" s="123"/>
      <c r="AF452" s="123"/>
      <c r="AH452" s="123"/>
      <c r="AI452" s="123"/>
      <c r="AJ452" s="123"/>
      <c r="AL452" s="123"/>
    </row>
    <row r="453" spans="1:40" x14ac:dyDescent="0.3">
      <c r="A453" s="42"/>
    </row>
    <row r="455" spans="1:40" x14ac:dyDescent="0.3">
      <c r="H455" s="42"/>
      <c r="I455" s="42"/>
      <c r="Y455" s="42"/>
    </row>
    <row r="457" spans="1:40" x14ac:dyDescent="0.3">
      <c r="L457" s="42"/>
      <c r="M457" s="42"/>
      <c r="AA457" s="42"/>
      <c r="AB457" s="42"/>
    </row>
    <row r="458" spans="1:40" x14ac:dyDescent="0.3">
      <c r="R458" s="42"/>
      <c r="AK458" s="206"/>
      <c r="AL458" s="42"/>
    </row>
    <row r="459" spans="1:40" x14ac:dyDescent="0.3">
      <c r="R459" s="42"/>
      <c r="AK459" s="206"/>
      <c r="AL459" s="42"/>
    </row>
    <row r="460" spans="1:40" x14ac:dyDescent="0.3">
      <c r="A460" s="42"/>
      <c r="R460" s="42"/>
      <c r="AK460" s="206"/>
      <c r="AL460" s="42"/>
    </row>
    <row r="461" spans="1:40" x14ac:dyDescent="0.3">
      <c r="L461" s="42"/>
      <c r="M461" s="42"/>
      <c r="AA461" s="42"/>
      <c r="AB461" s="42"/>
    </row>
    <row r="462" spans="1:40" x14ac:dyDescent="0.3">
      <c r="A462" s="135"/>
      <c r="B462" s="135"/>
      <c r="C462" s="135"/>
      <c r="D462" s="135"/>
      <c r="E462" s="135"/>
      <c r="F462" s="135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207"/>
      <c r="AH462" s="135"/>
      <c r="AI462" s="135"/>
      <c r="AJ462" s="135"/>
      <c r="AK462" s="207"/>
      <c r="AL462" s="135"/>
      <c r="AM462" s="135"/>
      <c r="AN462" s="135"/>
    </row>
    <row r="463" spans="1:40" x14ac:dyDescent="0.3">
      <c r="L463" s="44"/>
      <c r="M463" s="44"/>
      <c r="N463" s="44"/>
      <c r="O463" s="44"/>
      <c r="R463" s="44"/>
      <c r="AA463" s="44"/>
      <c r="AB463" s="44"/>
      <c r="AC463" s="44"/>
      <c r="AD463" s="44"/>
      <c r="AE463" s="44"/>
      <c r="AF463" s="44"/>
      <c r="AG463" s="168"/>
      <c r="AH463" s="44"/>
      <c r="AK463" s="168"/>
      <c r="AL463" s="44"/>
      <c r="AM463" s="44"/>
      <c r="AN463" s="44"/>
    </row>
    <row r="464" spans="1:40" x14ac:dyDescent="0.3">
      <c r="L464" s="44"/>
      <c r="M464" s="44"/>
      <c r="N464" s="44"/>
      <c r="O464" s="44"/>
      <c r="R464" s="44"/>
      <c r="Z464" s="44"/>
      <c r="AA464" s="44"/>
      <c r="AB464" s="44"/>
      <c r="AC464" s="44"/>
      <c r="AD464" s="44"/>
      <c r="AE464" s="44"/>
      <c r="AF464" s="44"/>
      <c r="AG464" s="168"/>
      <c r="AH464" s="44"/>
      <c r="AK464" s="168"/>
      <c r="AL464" s="44"/>
      <c r="AM464" s="44"/>
      <c r="AN464" s="44"/>
    </row>
    <row r="465" spans="1:40" x14ac:dyDescent="0.3">
      <c r="A465" s="44"/>
      <c r="C465" s="44"/>
      <c r="D465" s="44"/>
      <c r="E465" s="44"/>
      <c r="F465" s="44"/>
      <c r="J465" s="44"/>
      <c r="K465" s="44"/>
      <c r="L465" s="44"/>
      <c r="M465" s="44"/>
      <c r="N465" s="44"/>
      <c r="O465" s="44"/>
      <c r="P465" s="44"/>
      <c r="Q465" s="44"/>
      <c r="R465" s="44"/>
      <c r="T465" s="44"/>
      <c r="U465" s="44"/>
      <c r="V465" s="44"/>
      <c r="Z465" s="44"/>
      <c r="AA465" s="44"/>
      <c r="AB465" s="44"/>
      <c r="AC465" s="44"/>
      <c r="AD465" s="44"/>
      <c r="AE465" s="44"/>
      <c r="AF465" s="44"/>
      <c r="AG465" s="168"/>
      <c r="AH465" s="44"/>
      <c r="AI465" s="44"/>
      <c r="AJ465" s="44"/>
      <c r="AK465" s="168"/>
      <c r="AL465" s="44"/>
      <c r="AM465" s="44"/>
      <c r="AN465" s="44"/>
    </row>
    <row r="466" spans="1:40" x14ac:dyDescent="0.3">
      <c r="A466" s="44"/>
      <c r="C466" s="44"/>
      <c r="D466" s="44"/>
      <c r="E466" s="44"/>
      <c r="F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T466" s="44"/>
      <c r="U466" s="44"/>
      <c r="V466" s="44"/>
      <c r="Y466" s="44"/>
      <c r="Z466" s="44"/>
      <c r="AA466" s="44"/>
      <c r="AB466" s="44"/>
      <c r="AC466" s="44"/>
      <c r="AD466" s="44"/>
      <c r="AE466" s="44"/>
      <c r="AF466" s="44"/>
      <c r="AG466" s="168"/>
      <c r="AH466" s="44"/>
      <c r="AI466" s="44"/>
      <c r="AJ466" s="44"/>
      <c r="AK466" s="168"/>
      <c r="AL466" s="44"/>
      <c r="AM466" s="44"/>
      <c r="AN466" s="44"/>
    </row>
    <row r="467" spans="1:40" x14ac:dyDescent="0.3">
      <c r="C467" s="44"/>
      <c r="D467" s="44"/>
      <c r="E467" s="44"/>
      <c r="F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T467" s="44"/>
      <c r="U467" s="44"/>
      <c r="V467" s="44"/>
      <c r="Y467" s="44"/>
      <c r="Z467" s="44"/>
      <c r="AA467" s="44"/>
      <c r="AB467" s="44"/>
      <c r="AC467" s="44"/>
      <c r="AD467" s="44"/>
      <c r="AE467" s="44"/>
      <c r="AF467" s="44"/>
      <c r="AG467" s="168"/>
      <c r="AH467" s="44"/>
      <c r="AI467" s="44"/>
      <c r="AJ467" s="44"/>
      <c r="AK467" s="168"/>
      <c r="AL467" s="44"/>
      <c r="AM467" s="44"/>
      <c r="AN467" s="44"/>
    </row>
    <row r="468" spans="1:40" x14ac:dyDescent="0.3">
      <c r="A468" s="135"/>
      <c r="B468" s="135"/>
      <c r="C468" s="135"/>
      <c r="D468" s="135"/>
      <c r="E468" s="135"/>
      <c r="F468" s="135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207"/>
      <c r="AH468" s="135"/>
      <c r="AI468" s="135"/>
      <c r="AJ468" s="135"/>
      <c r="AK468" s="207"/>
      <c r="AL468" s="135"/>
      <c r="AM468" s="135"/>
      <c r="AN468" s="135"/>
    </row>
    <row r="469" spans="1:40" x14ac:dyDescent="0.3"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Y469" s="44"/>
      <c r="Z469" s="44"/>
      <c r="AA469" s="44"/>
      <c r="AB469" s="44"/>
      <c r="AC469" s="44"/>
      <c r="AD469" s="44"/>
      <c r="AE469" s="44"/>
      <c r="AF469" s="44"/>
      <c r="AG469" s="168"/>
      <c r="AH469" s="44"/>
      <c r="AI469" s="44"/>
      <c r="AJ469" s="44"/>
      <c r="AK469" s="168"/>
      <c r="AL469" s="44"/>
      <c r="AM469" s="44"/>
      <c r="AN469" s="44"/>
    </row>
    <row r="470" spans="1:40" x14ac:dyDescent="0.3">
      <c r="C470" s="42"/>
      <c r="D470" s="42"/>
      <c r="E470" s="42"/>
      <c r="T470" s="42"/>
      <c r="U470" s="42"/>
      <c r="V470" s="123"/>
      <c r="W470" s="123"/>
      <c r="X470" s="123"/>
      <c r="Y470" s="123"/>
      <c r="Z470" s="237"/>
    </row>
    <row r="472" spans="1:40" x14ac:dyDescent="0.3">
      <c r="C472" s="42"/>
      <c r="T472" s="42"/>
      <c r="V472" s="123"/>
      <c r="W472" s="123"/>
      <c r="X472" s="123"/>
      <c r="Y472" s="123"/>
      <c r="Z472" s="237"/>
    </row>
    <row r="473" spans="1:40" x14ac:dyDescent="0.3">
      <c r="C473" s="42"/>
      <c r="F473" s="184"/>
      <c r="H473" s="184"/>
      <c r="I473" s="184"/>
      <c r="J473" s="238"/>
      <c r="K473" s="238"/>
      <c r="L473" s="123"/>
      <c r="M473" s="123"/>
      <c r="N473" s="160"/>
      <c r="O473" s="160"/>
      <c r="P473" s="123"/>
      <c r="Q473" s="123"/>
      <c r="R473" s="123"/>
      <c r="T473" s="42"/>
      <c r="V473" s="123"/>
      <c r="W473" s="123"/>
      <c r="X473" s="123"/>
      <c r="Y473" s="123"/>
      <c r="Z473" s="238"/>
      <c r="AA473" s="123"/>
      <c r="AB473" s="123"/>
      <c r="AC473" s="160"/>
      <c r="AD473" s="160"/>
      <c r="AE473" s="123"/>
      <c r="AF473" s="123"/>
      <c r="AH473" s="236"/>
      <c r="AI473" s="123"/>
      <c r="AJ473" s="123"/>
      <c r="AL473" s="123"/>
      <c r="AM473" s="160"/>
      <c r="AN473" s="160"/>
    </row>
    <row r="474" spans="1:40" x14ac:dyDescent="0.3">
      <c r="C474" s="42"/>
      <c r="F474" s="184"/>
      <c r="H474" s="184"/>
      <c r="I474" s="184"/>
      <c r="J474" s="238"/>
      <c r="K474" s="238"/>
      <c r="L474" s="123"/>
      <c r="M474" s="123"/>
      <c r="N474" s="160"/>
      <c r="O474" s="160"/>
      <c r="P474" s="123"/>
      <c r="Q474" s="123"/>
      <c r="R474" s="123"/>
      <c r="T474" s="42"/>
      <c r="V474" s="123"/>
      <c r="W474" s="123"/>
      <c r="X474" s="123"/>
      <c r="Y474" s="123"/>
      <c r="Z474" s="238"/>
      <c r="AA474" s="123"/>
      <c r="AB474" s="123"/>
      <c r="AC474" s="160"/>
      <c r="AD474" s="160"/>
      <c r="AE474" s="123"/>
      <c r="AF474" s="123"/>
      <c r="AH474" s="236"/>
      <c r="AI474" s="123"/>
      <c r="AJ474" s="123"/>
      <c r="AL474" s="123"/>
      <c r="AM474" s="160"/>
      <c r="AN474" s="160"/>
    </row>
    <row r="475" spans="1:40" x14ac:dyDescent="0.3">
      <c r="C475" s="42"/>
      <c r="F475" s="184"/>
      <c r="H475" s="184"/>
      <c r="I475" s="184"/>
      <c r="J475" s="238"/>
      <c r="K475" s="238"/>
      <c r="L475" s="123"/>
      <c r="M475" s="123"/>
      <c r="N475" s="160"/>
      <c r="O475" s="160"/>
      <c r="P475" s="123"/>
      <c r="Q475" s="123"/>
      <c r="R475" s="123"/>
      <c r="T475" s="42"/>
      <c r="V475" s="123"/>
      <c r="W475" s="123"/>
      <c r="X475" s="123"/>
      <c r="Y475" s="123"/>
      <c r="Z475" s="238"/>
      <c r="AA475" s="123"/>
      <c r="AB475" s="123"/>
      <c r="AC475" s="160"/>
      <c r="AD475" s="160"/>
      <c r="AE475" s="123"/>
      <c r="AF475" s="123"/>
      <c r="AH475" s="236"/>
      <c r="AI475" s="123"/>
      <c r="AJ475" s="123"/>
      <c r="AL475" s="123"/>
      <c r="AM475" s="160"/>
      <c r="AN475" s="160"/>
    </row>
    <row r="476" spans="1:40" x14ac:dyDescent="0.3">
      <c r="C476" s="42"/>
      <c r="F476" s="184"/>
      <c r="H476" s="184"/>
      <c r="I476" s="184"/>
      <c r="J476" s="238"/>
      <c r="K476" s="238"/>
      <c r="L476" s="123"/>
      <c r="M476" s="123"/>
      <c r="N476" s="160"/>
      <c r="O476" s="160"/>
      <c r="P476" s="123"/>
      <c r="Q476" s="123"/>
      <c r="R476" s="123"/>
      <c r="T476" s="42"/>
      <c r="V476" s="123"/>
      <c r="W476" s="123"/>
      <c r="X476" s="123"/>
      <c r="Y476" s="123"/>
      <c r="Z476" s="238"/>
      <c r="AA476" s="123"/>
      <c r="AB476" s="123"/>
      <c r="AC476" s="160"/>
      <c r="AD476" s="160"/>
      <c r="AE476" s="123"/>
      <c r="AF476" s="123"/>
      <c r="AH476" s="236"/>
      <c r="AI476" s="123"/>
      <c r="AJ476" s="123"/>
      <c r="AL476" s="123"/>
      <c r="AM476" s="160"/>
      <c r="AN476" s="160"/>
    </row>
    <row r="477" spans="1:40" x14ac:dyDescent="0.3">
      <c r="J477" s="188"/>
      <c r="K477" s="188"/>
      <c r="V477" s="123"/>
      <c r="W477" s="123"/>
      <c r="X477" s="123"/>
      <c r="Y477" s="123"/>
      <c r="Z477" s="238"/>
    </row>
    <row r="478" spans="1:40" x14ac:dyDescent="0.3">
      <c r="C478" s="42"/>
      <c r="F478" s="184"/>
      <c r="H478" s="184"/>
      <c r="I478" s="184"/>
      <c r="J478" s="238"/>
      <c r="K478" s="238"/>
      <c r="L478" s="123"/>
      <c r="M478" s="123"/>
      <c r="N478" s="160"/>
      <c r="O478" s="160"/>
      <c r="P478" s="123"/>
      <c r="Q478" s="123"/>
      <c r="R478" s="123"/>
      <c r="T478" s="42"/>
      <c r="V478" s="123"/>
      <c r="W478" s="123"/>
      <c r="X478" s="123"/>
      <c r="Y478" s="123"/>
      <c r="Z478" s="238"/>
      <c r="AA478" s="123"/>
      <c r="AB478" s="123"/>
      <c r="AC478" s="160"/>
      <c r="AD478" s="160"/>
      <c r="AE478" s="123"/>
      <c r="AF478" s="123"/>
      <c r="AH478" s="236"/>
      <c r="AI478" s="123"/>
      <c r="AJ478" s="123"/>
      <c r="AL478" s="123"/>
      <c r="AM478" s="236"/>
      <c r="AN478" s="236"/>
    </row>
    <row r="479" spans="1:40" x14ac:dyDescent="0.3">
      <c r="C479" s="42"/>
      <c r="J479" s="188"/>
      <c r="K479" s="188"/>
      <c r="T479" s="42"/>
      <c r="V479" s="123"/>
      <c r="W479" s="123"/>
      <c r="X479" s="123"/>
      <c r="Y479" s="123"/>
      <c r="Z479" s="238"/>
    </row>
    <row r="480" spans="1:40" x14ac:dyDescent="0.3">
      <c r="C480" s="42"/>
      <c r="F480" s="184"/>
      <c r="H480" s="184"/>
      <c r="I480" s="184"/>
      <c r="J480" s="238"/>
      <c r="K480" s="238"/>
      <c r="L480" s="123"/>
      <c r="M480" s="123"/>
      <c r="N480" s="160"/>
      <c r="O480" s="160"/>
      <c r="P480" s="123"/>
      <c r="Q480" s="123"/>
      <c r="R480" s="123"/>
      <c r="T480" s="42"/>
      <c r="V480" s="123"/>
      <c r="W480" s="123"/>
      <c r="X480" s="123"/>
      <c r="Y480" s="123"/>
      <c r="Z480" s="238"/>
      <c r="AA480" s="123"/>
      <c r="AB480" s="123"/>
      <c r="AC480" s="160"/>
      <c r="AD480" s="160"/>
      <c r="AE480" s="123"/>
      <c r="AF480" s="123"/>
      <c r="AH480" s="236"/>
      <c r="AI480" s="123"/>
      <c r="AJ480" s="123"/>
      <c r="AL480" s="123"/>
      <c r="AM480" s="236"/>
      <c r="AN480" s="236"/>
    </row>
    <row r="481" spans="1:40" x14ac:dyDescent="0.3">
      <c r="J481" s="188"/>
      <c r="K481" s="188"/>
      <c r="Z481" s="188"/>
    </row>
    <row r="482" spans="1:40" x14ac:dyDescent="0.3">
      <c r="C482" s="42"/>
      <c r="J482" s="188"/>
      <c r="K482" s="188"/>
      <c r="T482" s="42"/>
      <c r="V482" s="123"/>
      <c r="W482" s="123"/>
      <c r="X482" s="123"/>
      <c r="Y482" s="123"/>
      <c r="Z482" s="238"/>
    </row>
    <row r="483" spans="1:40" x14ac:dyDescent="0.3">
      <c r="C483" s="42"/>
      <c r="F483" s="184"/>
      <c r="H483" s="184"/>
      <c r="I483" s="184"/>
      <c r="J483" s="238"/>
      <c r="K483" s="238"/>
      <c r="L483" s="123"/>
      <c r="M483" s="123"/>
      <c r="N483" s="160"/>
      <c r="O483" s="160"/>
      <c r="P483" s="123"/>
      <c r="Q483" s="123"/>
      <c r="R483" s="123"/>
      <c r="T483" s="42"/>
      <c r="V483" s="123"/>
      <c r="W483" s="123"/>
      <c r="X483" s="123"/>
      <c r="Y483" s="123"/>
      <c r="Z483" s="238"/>
      <c r="AA483" s="123"/>
      <c r="AB483" s="123"/>
      <c r="AC483" s="160"/>
      <c r="AD483" s="160"/>
      <c r="AE483" s="123"/>
      <c r="AF483" s="123"/>
      <c r="AH483" s="236"/>
      <c r="AI483" s="123"/>
      <c r="AJ483" s="123"/>
      <c r="AL483" s="123"/>
      <c r="AM483" s="236"/>
      <c r="AN483" s="236"/>
    </row>
    <row r="484" spans="1:40" x14ac:dyDescent="0.3">
      <c r="C484" s="42"/>
      <c r="F484" s="184"/>
      <c r="H484" s="184"/>
      <c r="I484" s="184"/>
      <c r="J484" s="238"/>
      <c r="K484" s="238"/>
      <c r="L484" s="123"/>
      <c r="M484" s="123"/>
      <c r="N484" s="160"/>
      <c r="O484" s="160"/>
      <c r="P484" s="123"/>
      <c r="Q484" s="123"/>
      <c r="R484" s="123"/>
      <c r="T484" s="42"/>
      <c r="V484" s="123"/>
      <c r="W484" s="123"/>
      <c r="X484" s="123"/>
      <c r="Y484" s="123"/>
      <c r="Z484" s="238"/>
      <c r="AA484" s="123"/>
      <c r="AB484" s="123"/>
      <c r="AC484" s="160"/>
      <c r="AD484" s="160"/>
      <c r="AE484" s="123"/>
      <c r="AF484" s="123"/>
      <c r="AH484" s="236"/>
      <c r="AI484" s="123"/>
      <c r="AJ484" s="123"/>
      <c r="AL484" s="123"/>
      <c r="AM484" s="236"/>
      <c r="AN484" s="236"/>
    </row>
    <row r="485" spans="1:40" x14ac:dyDescent="0.3">
      <c r="F485" s="210"/>
      <c r="H485" s="210"/>
      <c r="I485" s="210"/>
      <c r="J485" s="238"/>
      <c r="K485" s="238"/>
      <c r="L485" s="210"/>
      <c r="M485" s="210"/>
      <c r="N485" s="210"/>
      <c r="O485" s="210"/>
      <c r="P485" s="210"/>
      <c r="Q485" s="210"/>
      <c r="R485" s="210"/>
      <c r="V485" s="210"/>
      <c r="Y485" s="210"/>
      <c r="Z485" s="213"/>
      <c r="AA485" s="210"/>
      <c r="AB485" s="210"/>
      <c r="AC485" s="210"/>
      <c r="AD485" s="210"/>
      <c r="AE485" s="210"/>
      <c r="AF485" s="210"/>
      <c r="AI485" s="210"/>
      <c r="AJ485" s="210"/>
      <c r="AK485" s="214"/>
      <c r="AL485" s="210"/>
    </row>
    <row r="486" spans="1:40" x14ac:dyDescent="0.3">
      <c r="C486" s="42"/>
      <c r="F486" s="123"/>
      <c r="H486" s="123"/>
      <c r="I486" s="123"/>
      <c r="L486" s="123"/>
      <c r="M486" s="123"/>
      <c r="N486" s="160"/>
      <c r="O486" s="160"/>
      <c r="P486" s="184"/>
      <c r="Q486" s="184"/>
      <c r="R486" s="123"/>
      <c r="T486" s="42"/>
      <c r="V486" s="123"/>
      <c r="W486" s="123"/>
      <c r="X486" s="123"/>
      <c r="Y486" s="123"/>
      <c r="Z486" s="237"/>
      <c r="AA486" s="123"/>
      <c r="AB486" s="123"/>
      <c r="AC486" s="160"/>
      <c r="AD486" s="160"/>
      <c r="AE486" s="123"/>
      <c r="AF486" s="123"/>
      <c r="AH486" s="236"/>
      <c r="AI486" s="184"/>
      <c r="AJ486" s="184"/>
      <c r="AL486" s="123"/>
      <c r="AM486" s="236"/>
      <c r="AN486" s="236"/>
    </row>
    <row r="487" spans="1:40" x14ac:dyDescent="0.3">
      <c r="H487" s="210"/>
      <c r="I487" s="210"/>
      <c r="J487" s="213"/>
      <c r="K487" s="213"/>
      <c r="L487" s="210"/>
      <c r="M487" s="210"/>
      <c r="N487" s="210"/>
      <c r="O487" s="210"/>
      <c r="P487" s="210"/>
      <c r="Q487" s="210"/>
      <c r="R487" s="210"/>
      <c r="V487" s="210"/>
      <c r="Y487" s="210"/>
      <c r="Z487" s="213"/>
      <c r="AA487" s="210"/>
      <c r="AB487" s="210"/>
      <c r="AC487" s="210"/>
      <c r="AD487" s="210"/>
      <c r="AE487" s="210"/>
      <c r="AF487" s="210"/>
      <c r="AI487" s="210"/>
      <c r="AJ487" s="210"/>
      <c r="AK487" s="214"/>
      <c r="AL487" s="210"/>
    </row>
    <row r="488" spans="1:40" x14ac:dyDescent="0.3">
      <c r="F488" s="210"/>
    </row>
    <row r="490" spans="1:40" x14ac:dyDescent="0.3">
      <c r="A490" s="42"/>
    </row>
    <row r="492" spans="1:40" x14ac:dyDescent="0.3">
      <c r="H492" s="42"/>
      <c r="I492" s="42"/>
      <c r="Y492" s="42"/>
    </row>
    <row r="494" spans="1:40" x14ac:dyDescent="0.3">
      <c r="L494" s="42"/>
      <c r="M494" s="42"/>
      <c r="AA494" s="42"/>
      <c r="AB494" s="42"/>
    </row>
    <row r="495" spans="1:40" x14ac:dyDescent="0.3">
      <c r="R495" s="42"/>
      <c r="AK495" s="206"/>
      <c r="AL495" s="42"/>
    </row>
    <row r="496" spans="1:40" x14ac:dyDescent="0.3">
      <c r="R496" s="42"/>
      <c r="AK496" s="206"/>
      <c r="AL496" s="42"/>
    </row>
    <row r="497" spans="1:40" x14ac:dyDescent="0.3">
      <c r="A497" s="42"/>
      <c r="R497" s="42"/>
      <c r="AK497" s="206"/>
      <c r="AL497" s="42"/>
    </row>
    <row r="498" spans="1:40" x14ac:dyDescent="0.3">
      <c r="L498" s="42"/>
      <c r="M498" s="42"/>
      <c r="AA498" s="42"/>
      <c r="AB498" s="42"/>
    </row>
    <row r="499" spans="1:40" x14ac:dyDescent="0.3">
      <c r="A499" s="135"/>
      <c r="B499" s="135"/>
      <c r="C499" s="135"/>
      <c r="D499" s="135"/>
      <c r="E499" s="135"/>
      <c r="F499" s="135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207"/>
      <c r="AH499" s="135"/>
      <c r="AI499" s="135"/>
      <c r="AJ499" s="135"/>
      <c r="AK499" s="207"/>
      <c r="AL499" s="135"/>
      <c r="AM499" s="135"/>
      <c r="AN499" s="135"/>
    </row>
    <row r="500" spans="1:40" x14ac:dyDescent="0.3">
      <c r="L500" s="44"/>
      <c r="M500" s="44"/>
      <c r="N500" s="44"/>
      <c r="O500" s="44"/>
      <c r="R500" s="44"/>
      <c r="AA500" s="44"/>
      <c r="AB500" s="44"/>
      <c r="AC500" s="44"/>
      <c r="AD500" s="44"/>
      <c r="AE500" s="44"/>
      <c r="AF500" s="44"/>
      <c r="AG500" s="168"/>
      <c r="AH500" s="44"/>
      <c r="AK500" s="168"/>
      <c r="AL500" s="44"/>
      <c r="AM500" s="44"/>
      <c r="AN500" s="44"/>
    </row>
    <row r="501" spans="1:40" x14ac:dyDescent="0.3">
      <c r="L501" s="44"/>
      <c r="M501" s="44"/>
      <c r="N501" s="44"/>
      <c r="O501" s="44"/>
      <c r="R501" s="44"/>
      <c r="Z501" s="44"/>
      <c r="AA501" s="44"/>
      <c r="AB501" s="44"/>
      <c r="AC501" s="44"/>
      <c r="AD501" s="44"/>
      <c r="AE501" s="44"/>
      <c r="AF501" s="44"/>
      <c r="AG501" s="168"/>
      <c r="AH501" s="44"/>
      <c r="AK501" s="168"/>
      <c r="AL501" s="44"/>
      <c r="AM501" s="44"/>
      <c r="AN501" s="44"/>
    </row>
    <row r="502" spans="1:40" x14ac:dyDescent="0.3">
      <c r="A502" s="44"/>
      <c r="C502" s="44"/>
      <c r="D502" s="44"/>
      <c r="E502" s="44"/>
      <c r="F502" s="44"/>
      <c r="J502" s="44"/>
      <c r="K502" s="44"/>
      <c r="L502" s="44"/>
      <c r="M502" s="44"/>
      <c r="N502" s="44"/>
      <c r="O502" s="44"/>
      <c r="P502" s="44"/>
      <c r="Q502" s="44"/>
      <c r="R502" s="44"/>
      <c r="T502" s="44"/>
      <c r="U502" s="44"/>
      <c r="V502" s="44"/>
      <c r="Z502" s="44"/>
      <c r="AA502" s="44"/>
      <c r="AB502" s="44"/>
      <c r="AC502" s="44"/>
      <c r="AD502" s="44"/>
      <c r="AE502" s="44"/>
      <c r="AF502" s="44"/>
      <c r="AG502" s="168"/>
      <c r="AH502" s="44"/>
      <c r="AI502" s="44"/>
      <c r="AJ502" s="44"/>
      <c r="AK502" s="168"/>
      <c r="AL502" s="44"/>
      <c r="AM502" s="44"/>
      <c r="AN502" s="44"/>
    </row>
    <row r="503" spans="1:40" x14ac:dyDescent="0.3">
      <c r="A503" s="44"/>
      <c r="C503" s="44"/>
      <c r="D503" s="44"/>
      <c r="E503" s="44"/>
      <c r="F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T503" s="44"/>
      <c r="U503" s="44"/>
      <c r="V503" s="44"/>
      <c r="Y503" s="44"/>
      <c r="Z503" s="44"/>
      <c r="AA503" s="44"/>
      <c r="AB503" s="44"/>
      <c r="AC503" s="44"/>
      <c r="AD503" s="44"/>
      <c r="AE503" s="44"/>
      <c r="AF503" s="44"/>
      <c r="AG503" s="168"/>
      <c r="AH503" s="44"/>
      <c r="AI503" s="44"/>
      <c r="AJ503" s="44"/>
      <c r="AK503" s="168"/>
      <c r="AL503" s="44"/>
      <c r="AM503" s="44"/>
      <c r="AN503" s="44"/>
    </row>
    <row r="504" spans="1:40" x14ac:dyDescent="0.3">
      <c r="C504" s="44"/>
      <c r="D504" s="44"/>
      <c r="E504" s="44"/>
      <c r="F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T504" s="44"/>
      <c r="U504" s="44"/>
      <c r="V504" s="44"/>
      <c r="Y504" s="44"/>
      <c r="Z504" s="44"/>
      <c r="AA504" s="44"/>
      <c r="AB504" s="44"/>
      <c r="AC504" s="44"/>
      <c r="AD504" s="44"/>
      <c r="AE504" s="44"/>
      <c r="AF504" s="44"/>
      <c r="AG504" s="168"/>
      <c r="AH504" s="44"/>
      <c r="AI504" s="44"/>
      <c r="AJ504" s="44"/>
      <c r="AK504" s="168"/>
      <c r="AL504" s="44"/>
      <c r="AM504" s="44"/>
      <c r="AN504" s="44"/>
    </row>
    <row r="505" spans="1:40" x14ac:dyDescent="0.3">
      <c r="A505" s="135"/>
      <c r="B505" s="135"/>
      <c r="C505" s="135"/>
      <c r="D505" s="135"/>
      <c r="E505" s="135"/>
      <c r="F505" s="135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207"/>
      <c r="AH505" s="135"/>
      <c r="AI505" s="135"/>
      <c r="AJ505" s="135"/>
      <c r="AK505" s="207"/>
      <c r="AL505" s="135"/>
      <c r="AM505" s="135"/>
      <c r="AN505" s="135"/>
    </row>
    <row r="506" spans="1:40" x14ac:dyDescent="0.3"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Y506" s="44"/>
      <c r="Z506" s="44"/>
      <c r="AA506" s="44"/>
      <c r="AB506" s="44"/>
      <c r="AC506" s="44"/>
      <c r="AD506" s="44"/>
      <c r="AE506" s="44"/>
      <c r="AF506" s="44"/>
      <c r="AG506" s="168"/>
      <c r="AH506" s="44"/>
      <c r="AI506" s="44"/>
      <c r="AJ506" s="44"/>
      <c r="AK506" s="168"/>
      <c r="AL506" s="44"/>
      <c r="AM506" s="44"/>
      <c r="AN506" s="44"/>
    </row>
    <row r="507" spans="1:40" x14ac:dyDescent="0.3">
      <c r="C507" s="42"/>
      <c r="D507" s="42"/>
      <c r="E507" s="42"/>
      <c r="T507" s="42"/>
      <c r="U507" s="42"/>
    </row>
    <row r="509" spans="1:40" x14ac:dyDescent="0.3">
      <c r="C509" s="42"/>
      <c r="T509" s="42"/>
    </row>
    <row r="510" spans="1:40" x14ac:dyDescent="0.3">
      <c r="C510" s="42"/>
      <c r="T510" s="42"/>
    </row>
    <row r="511" spans="1:40" x14ac:dyDescent="0.3">
      <c r="C511" s="42"/>
      <c r="F511" s="184"/>
      <c r="H511" s="184"/>
      <c r="I511" s="184"/>
      <c r="J511" s="238"/>
      <c r="K511" s="238"/>
      <c r="L511" s="123"/>
      <c r="M511" s="123"/>
      <c r="N511" s="160"/>
      <c r="O511" s="160"/>
      <c r="P511" s="123"/>
      <c r="Q511" s="123"/>
      <c r="R511" s="123"/>
      <c r="T511" s="42"/>
      <c r="V511" s="123"/>
      <c r="W511" s="123"/>
      <c r="X511" s="123"/>
      <c r="Y511" s="123"/>
      <c r="Z511" s="238"/>
      <c r="AA511" s="123"/>
      <c r="AB511" s="123"/>
      <c r="AC511" s="160"/>
      <c r="AD511" s="160"/>
      <c r="AE511" s="123"/>
      <c r="AF511" s="123"/>
      <c r="AH511" s="236"/>
      <c r="AI511" s="123"/>
      <c r="AJ511" s="123"/>
      <c r="AL511" s="123"/>
      <c r="AM511" s="236"/>
      <c r="AN511" s="236"/>
    </row>
    <row r="512" spans="1:40" x14ac:dyDescent="0.3">
      <c r="C512" s="42"/>
      <c r="F512" s="123"/>
      <c r="H512" s="123"/>
      <c r="I512" s="123"/>
      <c r="J512" s="188"/>
      <c r="K512" s="188"/>
      <c r="L512" s="123"/>
      <c r="M512" s="123"/>
      <c r="N512" s="160"/>
      <c r="O512" s="160"/>
      <c r="P512" s="123"/>
      <c r="Q512" s="123"/>
      <c r="R512" s="123"/>
      <c r="T512" s="42"/>
      <c r="V512" s="123"/>
      <c r="W512" s="123"/>
      <c r="X512" s="123"/>
      <c r="Y512" s="123"/>
      <c r="Z512" s="188"/>
      <c r="AA512" s="123"/>
      <c r="AB512" s="123"/>
      <c r="AC512" s="160"/>
      <c r="AD512" s="160"/>
      <c r="AE512" s="123"/>
      <c r="AF512" s="123"/>
      <c r="AH512" s="236"/>
      <c r="AI512" s="123"/>
      <c r="AJ512" s="123"/>
      <c r="AL512" s="123"/>
      <c r="AM512" s="236"/>
      <c r="AN512" s="236"/>
    </row>
    <row r="513" spans="3:40" x14ac:dyDescent="0.3">
      <c r="C513" s="42"/>
      <c r="F513" s="123"/>
      <c r="H513" s="123"/>
      <c r="I513" s="123"/>
      <c r="J513" s="188"/>
      <c r="K513" s="188"/>
      <c r="L513" s="123"/>
      <c r="M513" s="123"/>
      <c r="N513" s="160"/>
      <c r="O513" s="160"/>
      <c r="P513" s="123"/>
      <c r="Q513" s="123"/>
      <c r="R513" s="123"/>
      <c r="T513" s="42"/>
      <c r="V513" s="123"/>
      <c r="W513" s="123"/>
      <c r="X513" s="123"/>
      <c r="Y513" s="123"/>
      <c r="Z513" s="188"/>
      <c r="AA513" s="123"/>
      <c r="AB513" s="123"/>
      <c r="AC513" s="160"/>
      <c r="AD513" s="160"/>
      <c r="AE513" s="123"/>
      <c r="AF513" s="123"/>
      <c r="AH513" s="236"/>
      <c r="AI513" s="123"/>
      <c r="AJ513" s="123"/>
      <c r="AL513" s="123"/>
      <c r="AM513" s="236"/>
      <c r="AN513" s="236"/>
    </row>
    <row r="514" spans="3:40" x14ac:dyDescent="0.3">
      <c r="C514" s="42"/>
      <c r="F514" s="123"/>
      <c r="H514" s="123"/>
      <c r="I514" s="123"/>
      <c r="J514" s="188"/>
      <c r="K514" s="188"/>
      <c r="T514" s="42"/>
      <c r="V514" s="123"/>
      <c r="Z514" s="188"/>
    </row>
    <row r="515" spans="3:40" x14ac:dyDescent="0.3">
      <c r="C515" s="42"/>
      <c r="F515" s="184"/>
      <c r="H515" s="184"/>
      <c r="I515" s="184"/>
      <c r="J515" s="238"/>
      <c r="K515" s="238"/>
      <c r="L515" s="123"/>
      <c r="M515" s="123"/>
      <c r="N515" s="160"/>
      <c r="O515" s="160"/>
      <c r="P515" s="123"/>
      <c r="Q515" s="123"/>
      <c r="R515" s="123"/>
      <c r="T515" s="42"/>
      <c r="V515" s="123"/>
      <c r="W515" s="123"/>
      <c r="X515" s="123"/>
      <c r="Y515" s="123"/>
      <c r="Z515" s="238"/>
      <c r="AA515" s="123"/>
      <c r="AB515" s="123"/>
      <c r="AC515" s="160"/>
      <c r="AD515" s="160"/>
      <c r="AE515" s="123"/>
      <c r="AF515" s="123"/>
      <c r="AH515" s="236"/>
      <c r="AI515" s="123"/>
      <c r="AJ515" s="123"/>
      <c r="AL515" s="123"/>
      <c r="AM515" s="236"/>
      <c r="AN515" s="236"/>
    </row>
    <row r="516" spans="3:40" x14ac:dyDescent="0.3">
      <c r="C516" s="42"/>
      <c r="F516" s="123"/>
      <c r="H516" s="123"/>
      <c r="I516" s="123"/>
      <c r="J516" s="188"/>
      <c r="K516" s="188"/>
      <c r="T516" s="42"/>
      <c r="V516" s="123"/>
      <c r="W516" s="123"/>
      <c r="X516" s="123"/>
      <c r="Y516" s="123"/>
      <c r="Z516" s="188"/>
      <c r="AC516" s="160"/>
      <c r="AD516" s="160"/>
      <c r="AE516" s="123"/>
      <c r="AF516" s="123"/>
      <c r="AH516" s="236"/>
      <c r="AI516" s="123"/>
      <c r="AJ516" s="123"/>
      <c r="AL516" s="123"/>
      <c r="AM516" s="236"/>
      <c r="AN516" s="236"/>
    </row>
    <row r="517" spans="3:40" x14ac:dyDescent="0.3">
      <c r="C517" s="42"/>
      <c r="F517" s="184"/>
      <c r="H517" s="184"/>
      <c r="I517" s="184"/>
      <c r="J517" s="238"/>
      <c r="K517" s="238"/>
      <c r="L517" s="123"/>
      <c r="M517" s="123"/>
      <c r="N517" s="160"/>
      <c r="O517" s="160"/>
      <c r="P517" s="123"/>
      <c r="Q517" s="123"/>
      <c r="R517" s="123"/>
      <c r="T517" s="42"/>
      <c r="V517" s="123"/>
      <c r="W517" s="123"/>
      <c r="X517" s="123"/>
      <c r="Y517" s="123"/>
      <c r="Z517" s="238"/>
      <c r="AA517" s="123"/>
      <c r="AB517" s="123"/>
      <c r="AC517" s="160"/>
      <c r="AD517" s="160"/>
      <c r="AE517" s="123"/>
      <c r="AF517" s="123"/>
      <c r="AH517" s="236"/>
      <c r="AI517" s="123"/>
      <c r="AJ517" s="123"/>
      <c r="AL517" s="123"/>
      <c r="AM517" s="236"/>
      <c r="AN517" s="236"/>
    </row>
    <row r="518" spans="3:40" x14ac:dyDescent="0.3">
      <c r="C518" s="42"/>
      <c r="F518" s="123"/>
      <c r="H518" s="123"/>
      <c r="I518" s="123"/>
      <c r="J518" s="188"/>
      <c r="K518" s="188"/>
      <c r="L518" s="123"/>
      <c r="M518" s="123"/>
      <c r="N518" s="160"/>
      <c r="O518" s="160"/>
      <c r="P518" s="123"/>
      <c r="Q518" s="123"/>
      <c r="R518" s="123"/>
      <c r="T518" s="42"/>
      <c r="V518" s="123"/>
      <c r="W518" s="123"/>
      <c r="X518" s="123"/>
      <c r="Y518" s="123"/>
      <c r="Z518" s="188"/>
      <c r="AA518" s="123"/>
      <c r="AB518" s="123"/>
      <c r="AC518" s="160"/>
      <c r="AD518" s="160"/>
      <c r="AE518" s="123"/>
      <c r="AF518" s="123"/>
      <c r="AH518" s="236"/>
      <c r="AI518" s="123"/>
      <c r="AJ518" s="123"/>
      <c r="AL518" s="123"/>
      <c r="AM518" s="236"/>
      <c r="AN518" s="236"/>
    </row>
    <row r="519" spans="3:40" x14ac:dyDescent="0.3">
      <c r="F519" s="123"/>
      <c r="H519" s="123"/>
      <c r="I519" s="123"/>
      <c r="J519" s="188"/>
      <c r="K519" s="188"/>
      <c r="Z519" s="188"/>
    </row>
    <row r="520" spans="3:40" x14ac:dyDescent="0.3">
      <c r="C520" s="42"/>
      <c r="F520" s="123"/>
      <c r="H520" s="184"/>
      <c r="I520" s="184"/>
      <c r="J520" s="238"/>
      <c r="K520" s="238"/>
      <c r="L520" s="123"/>
      <c r="M520" s="123"/>
      <c r="N520" s="160"/>
      <c r="O520" s="160"/>
      <c r="P520" s="123"/>
      <c r="Q520" s="123"/>
      <c r="R520" s="123"/>
      <c r="T520" s="42"/>
      <c r="V520" s="123"/>
      <c r="W520" s="123"/>
      <c r="X520" s="123"/>
      <c r="Y520" s="123"/>
      <c r="Z520" s="238"/>
      <c r="AA520" s="123"/>
      <c r="AB520" s="123"/>
      <c r="AC520" s="160"/>
      <c r="AD520" s="160"/>
      <c r="AE520" s="123"/>
      <c r="AF520" s="123"/>
      <c r="AH520" s="236"/>
      <c r="AI520" s="123"/>
      <c r="AJ520" s="123"/>
      <c r="AL520" s="123"/>
      <c r="AM520" s="236"/>
      <c r="AN520" s="236"/>
    </row>
    <row r="521" spans="3:40" x14ac:dyDescent="0.3">
      <c r="F521" s="210"/>
      <c r="H521" s="210"/>
      <c r="I521" s="210"/>
      <c r="J521" s="238"/>
      <c r="K521" s="238"/>
      <c r="L521" s="210"/>
      <c r="M521" s="210"/>
      <c r="N521" s="210"/>
      <c r="O521" s="210"/>
      <c r="P521" s="210"/>
      <c r="Q521" s="210"/>
      <c r="R521" s="210"/>
      <c r="V521" s="210"/>
      <c r="Y521" s="210"/>
      <c r="Z521" s="238"/>
      <c r="AA521" s="210"/>
      <c r="AB521" s="210"/>
      <c r="AC521" s="210"/>
      <c r="AD521" s="210"/>
      <c r="AE521" s="210"/>
      <c r="AF521" s="210"/>
      <c r="AI521" s="210"/>
      <c r="AJ521" s="210"/>
      <c r="AK521" s="214"/>
      <c r="AL521" s="210"/>
    </row>
    <row r="522" spans="3:40" x14ac:dyDescent="0.3">
      <c r="C522" s="42"/>
      <c r="F522" s="123"/>
      <c r="H522" s="123"/>
      <c r="I522" s="123"/>
      <c r="J522" s="188"/>
      <c r="K522" s="188"/>
      <c r="L522" s="123"/>
      <c r="M522" s="123"/>
      <c r="P522" s="123"/>
      <c r="Q522" s="123"/>
      <c r="R522" s="123"/>
      <c r="T522" s="42"/>
      <c r="V522" s="123"/>
      <c r="Y522" s="123"/>
      <c r="Z522" s="188"/>
      <c r="AA522" s="123"/>
      <c r="AB522" s="123"/>
      <c r="AC522" s="236"/>
      <c r="AD522" s="236"/>
      <c r="AE522" s="123"/>
      <c r="AF522" s="123"/>
      <c r="AH522" s="236"/>
      <c r="AI522" s="123"/>
      <c r="AJ522" s="123"/>
      <c r="AL522" s="123"/>
      <c r="AM522" s="236"/>
      <c r="AN522" s="236"/>
    </row>
    <row r="523" spans="3:40" x14ac:dyDescent="0.3">
      <c r="F523" s="210"/>
      <c r="H523" s="210"/>
      <c r="I523" s="210"/>
      <c r="J523" s="238"/>
      <c r="K523" s="238"/>
      <c r="L523" s="210"/>
      <c r="M523" s="210"/>
      <c r="N523" s="210"/>
      <c r="O523" s="210"/>
      <c r="P523" s="210"/>
      <c r="Q523" s="210"/>
      <c r="R523" s="210"/>
      <c r="V523" s="210"/>
      <c r="Y523" s="210"/>
      <c r="Z523" s="238"/>
      <c r="AA523" s="210"/>
      <c r="AB523" s="210"/>
      <c r="AC523" s="210"/>
      <c r="AD523" s="210"/>
      <c r="AE523" s="210"/>
      <c r="AF523" s="210"/>
      <c r="AI523" s="210"/>
      <c r="AJ523" s="210"/>
      <c r="AK523" s="214"/>
      <c r="AL523" s="210"/>
    </row>
    <row r="524" spans="3:40" x14ac:dyDescent="0.3">
      <c r="J524" s="188"/>
      <c r="K524" s="188"/>
      <c r="Z524" s="188"/>
    </row>
    <row r="525" spans="3:40" x14ac:dyDescent="0.3">
      <c r="C525" s="42"/>
      <c r="J525" s="188"/>
      <c r="K525" s="188"/>
      <c r="T525" s="42"/>
      <c r="Z525" s="188"/>
    </row>
    <row r="526" spans="3:40" x14ac:dyDescent="0.3">
      <c r="C526" s="42"/>
      <c r="J526" s="188"/>
      <c r="K526" s="188"/>
      <c r="T526" s="42"/>
      <c r="Z526" s="188"/>
    </row>
    <row r="527" spans="3:40" x14ac:dyDescent="0.3">
      <c r="C527" s="42"/>
      <c r="F527" s="184"/>
      <c r="H527" s="184"/>
      <c r="I527" s="184"/>
      <c r="J527" s="238"/>
      <c r="K527" s="238"/>
      <c r="L527" s="123"/>
      <c r="M527" s="123"/>
      <c r="N527" s="160"/>
      <c r="O527" s="160"/>
      <c r="P527" s="123"/>
      <c r="Q527" s="123"/>
      <c r="R527" s="123"/>
      <c r="T527" s="42"/>
      <c r="V527" s="123"/>
      <c r="W527" s="123"/>
      <c r="X527" s="123"/>
      <c r="Y527" s="123"/>
      <c r="Z527" s="238"/>
      <c r="AA527" s="123"/>
      <c r="AB527" s="123"/>
      <c r="AC527" s="160"/>
      <c r="AD527" s="160"/>
      <c r="AE527" s="123"/>
      <c r="AF527" s="123"/>
      <c r="AH527" s="236"/>
      <c r="AI527" s="123"/>
      <c r="AJ527" s="123"/>
      <c r="AL527" s="123"/>
      <c r="AM527" s="236"/>
      <c r="AN527" s="236"/>
    </row>
    <row r="528" spans="3:40" x14ac:dyDescent="0.3">
      <c r="C528" s="42"/>
      <c r="J528" s="188"/>
      <c r="K528" s="188"/>
      <c r="T528" s="42"/>
      <c r="Z528" s="188"/>
    </row>
    <row r="529" spans="1:40" x14ac:dyDescent="0.3">
      <c r="C529" s="42"/>
      <c r="F529" s="184"/>
      <c r="H529" s="184"/>
      <c r="I529" s="184"/>
      <c r="J529" s="238"/>
      <c r="K529" s="238"/>
      <c r="L529" s="123"/>
      <c r="M529" s="123"/>
      <c r="N529" s="160"/>
      <c r="O529" s="160"/>
      <c r="P529" s="123"/>
      <c r="Q529" s="123"/>
      <c r="R529" s="123"/>
      <c r="T529" s="42"/>
      <c r="V529" s="123"/>
      <c r="W529" s="123"/>
      <c r="X529" s="123"/>
      <c r="Y529" s="123"/>
      <c r="Z529" s="238"/>
      <c r="AA529" s="123"/>
      <c r="AB529" s="123"/>
      <c r="AC529" s="160"/>
      <c r="AD529" s="160"/>
      <c r="AE529" s="123"/>
      <c r="AF529" s="123"/>
      <c r="AH529" s="236"/>
      <c r="AI529" s="123"/>
      <c r="AJ529" s="123"/>
      <c r="AL529" s="123"/>
      <c r="AM529" s="236"/>
      <c r="AN529" s="236"/>
    </row>
    <row r="530" spans="1:40" x14ac:dyDescent="0.3">
      <c r="F530" s="210"/>
      <c r="H530" s="210"/>
      <c r="I530" s="210"/>
      <c r="J530" s="238"/>
      <c r="K530" s="238"/>
      <c r="L530" s="210"/>
      <c r="M530" s="210"/>
      <c r="N530" s="210"/>
      <c r="O530" s="210"/>
      <c r="P530" s="210"/>
      <c r="Q530" s="210"/>
      <c r="R530" s="210"/>
      <c r="V530" s="210"/>
      <c r="Y530" s="210"/>
      <c r="Z530" s="238"/>
      <c r="AA530" s="210"/>
      <c r="AB530" s="210"/>
      <c r="AC530" s="210"/>
      <c r="AD530" s="210"/>
      <c r="AE530" s="210"/>
      <c r="AF530" s="210"/>
      <c r="AI530" s="210"/>
      <c r="AJ530" s="210"/>
      <c r="AK530" s="214"/>
      <c r="AL530" s="210"/>
    </row>
    <row r="531" spans="1:40" x14ac:dyDescent="0.3">
      <c r="C531" s="42"/>
      <c r="F531" s="123"/>
      <c r="H531" s="123"/>
      <c r="I531" s="123"/>
      <c r="J531" s="188"/>
      <c r="K531" s="188"/>
      <c r="L531" s="123"/>
      <c r="M531" s="123"/>
      <c r="N531" s="236"/>
      <c r="O531" s="236"/>
      <c r="P531" s="123"/>
      <c r="Q531" s="123"/>
      <c r="R531" s="123"/>
      <c r="T531" s="42"/>
      <c r="V531" s="123"/>
      <c r="Y531" s="123"/>
      <c r="Z531" s="188"/>
      <c r="AA531" s="123"/>
      <c r="AB531" s="123"/>
      <c r="AC531" s="236"/>
      <c r="AD531" s="236"/>
      <c r="AE531" s="123"/>
      <c r="AF531" s="123"/>
      <c r="AH531" s="236"/>
      <c r="AI531" s="123"/>
      <c r="AJ531" s="123"/>
      <c r="AL531" s="123"/>
      <c r="AM531" s="236"/>
      <c r="AN531" s="236"/>
    </row>
    <row r="532" spans="1:40" x14ac:dyDescent="0.3">
      <c r="F532" s="210"/>
      <c r="H532" s="210"/>
      <c r="I532" s="210"/>
      <c r="J532" s="238"/>
      <c r="K532" s="238"/>
      <c r="L532" s="210"/>
      <c r="M532" s="210"/>
      <c r="N532" s="210"/>
      <c r="O532" s="210"/>
      <c r="P532" s="210"/>
      <c r="Q532" s="210"/>
      <c r="R532" s="210"/>
      <c r="V532" s="210"/>
      <c r="Y532" s="210"/>
      <c r="Z532" s="213"/>
      <c r="AA532" s="210"/>
      <c r="AB532" s="210"/>
      <c r="AC532" s="210"/>
      <c r="AD532" s="210"/>
      <c r="AE532" s="210"/>
      <c r="AF532" s="210"/>
      <c r="AI532" s="210"/>
      <c r="AJ532" s="210"/>
      <c r="AK532" s="214"/>
      <c r="AL532" s="210"/>
    </row>
    <row r="533" spans="1:40" x14ac:dyDescent="0.3">
      <c r="J533" s="188"/>
      <c r="K533" s="188"/>
    </row>
    <row r="534" spans="1:40" x14ac:dyDescent="0.3">
      <c r="C534" s="42"/>
      <c r="F534" s="123"/>
      <c r="H534" s="123"/>
      <c r="I534" s="123"/>
      <c r="J534" s="188"/>
      <c r="K534" s="188"/>
      <c r="L534" s="123"/>
      <c r="M534" s="123"/>
      <c r="N534" s="160"/>
      <c r="O534" s="160"/>
      <c r="P534" s="184"/>
      <c r="Q534" s="184"/>
      <c r="R534" s="123"/>
      <c r="T534" s="42"/>
      <c r="V534" s="123"/>
      <c r="Y534" s="123"/>
      <c r="AA534" s="123"/>
      <c r="AB534" s="123"/>
      <c r="AC534" s="236"/>
      <c r="AD534" s="236"/>
      <c r="AE534" s="123"/>
      <c r="AF534" s="123"/>
      <c r="AH534" s="236"/>
      <c r="AI534" s="184"/>
      <c r="AJ534" s="184"/>
      <c r="AL534" s="123"/>
      <c r="AM534" s="236"/>
      <c r="AN534" s="236"/>
    </row>
    <row r="535" spans="1:40" x14ac:dyDescent="0.3">
      <c r="H535" s="210"/>
      <c r="I535" s="210"/>
      <c r="J535" s="238"/>
      <c r="K535" s="238"/>
      <c r="L535" s="210"/>
      <c r="M535" s="210"/>
      <c r="N535" s="210"/>
      <c r="O535" s="210"/>
      <c r="P535" s="210"/>
      <c r="Q535" s="210"/>
      <c r="R535" s="210"/>
      <c r="V535" s="210"/>
      <c r="Y535" s="210"/>
      <c r="Z535" s="213"/>
      <c r="AA535" s="210"/>
      <c r="AB535" s="210"/>
      <c r="AC535" s="210"/>
      <c r="AD535" s="210"/>
      <c r="AE535" s="210"/>
      <c r="AF535" s="210"/>
      <c r="AI535" s="210"/>
      <c r="AJ535" s="210"/>
      <c r="AK535" s="214"/>
      <c r="AL535" s="210"/>
    </row>
    <row r="536" spans="1:40" x14ac:dyDescent="0.3">
      <c r="F536" s="210"/>
    </row>
    <row r="538" spans="1:40" x14ac:dyDescent="0.3">
      <c r="A538" s="42"/>
    </row>
    <row r="540" spans="1:40" x14ac:dyDescent="0.3">
      <c r="H540" s="42"/>
      <c r="I540" s="42"/>
      <c r="Y540" s="42"/>
    </row>
    <row r="542" spans="1:40" x14ac:dyDescent="0.3">
      <c r="L542" s="42"/>
      <c r="M542" s="42"/>
      <c r="AA542" s="42"/>
      <c r="AB542" s="42"/>
    </row>
    <row r="543" spans="1:40" x14ac:dyDescent="0.3">
      <c r="R543" s="42"/>
      <c r="AK543" s="206"/>
      <c r="AL543" s="42"/>
    </row>
    <row r="544" spans="1:40" x14ac:dyDescent="0.3">
      <c r="R544" s="42"/>
      <c r="AK544" s="206"/>
      <c r="AL544" s="42"/>
    </row>
    <row r="545" spans="1:40" x14ac:dyDescent="0.3">
      <c r="A545" s="42"/>
      <c r="R545" s="42"/>
      <c r="AK545" s="206"/>
      <c r="AL545" s="42"/>
    </row>
    <row r="546" spans="1:40" x14ac:dyDescent="0.3">
      <c r="L546" s="42"/>
      <c r="M546" s="42"/>
      <c r="AA546" s="42"/>
      <c r="AB546" s="42"/>
    </row>
    <row r="547" spans="1:40" x14ac:dyDescent="0.3">
      <c r="A547" s="135"/>
      <c r="B547" s="135"/>
      <c r="C547" s="135"/>
      <c r="D547" s="135"/>
      <c r="E547" s="135"/>
      <c r="F547" s="135"/>
      <c r="G547" s="135"/>
      <c r="H547" s="135"/>
      <c r="I547" s="135"/>
      <c r="J547" s="135"/>
      <c r="K547" s="135"/>
      <c r="L547" s="135"/>
      <c r="M547" s="135"/>
      <c r="N547" s="135"/>
      <c r="O547" s="135"/>
      <c r="P547" s="135"/>
      <c r="Q547" s="135"/>
      <c r="R547" s="135"/>
      <c r="T547" s="135"/>
      <c r="U547" s="135"/>
      <c r="V547" s="135"/>
      <c r="W547" s="135"/>
      <c r="X547" s="135"/>
      <c r="Y547" s="135"/>
      <c r="Z547" s="135"/>
      <c r="AA547" s="135"/>
      <c r="AB547" s="135"/>
      <c r="AC547" s="135"/>
      <c r="AD547" s="135"/>
      <c r="AE547" s="135"/>
      <c r="AF547" s="135"/>
      <c r="AG547" s="207"/>
      <c r="AH547" s="135"/>
      <c r="AI547" s="135"/>
      <c r="AJ547" s="135"/>
      <c r="AK547" s="207"/>
      <c r="AL547" s="135"/>
      <c r="AM547" s="135"/>
      <c r="AN547" s="135"/>
    </row>
    <row r="548" spans="1:40" x14ac:dyDescent="0.3">
      <c r="L548" s="44"/>
      <c r="M548" s="44"/>
      <c r="N548" s="44"/>
      <c r="O548" s="44"/>
      <c r="R548" s="44"/>
      <c r="AA548" s="44"/>
      <c r="AB548" s="44"/>
      <c r="AC548" s="44"/>
      <c r="AD548" s="44"/>
      <c r="AE548" s="44"/>
      <c r="AF548" s="44"/>
      <c r="AG548" s="168"/>
      <c r="AH548" s="44"/>
      <c r="AK548" s="168"/>
      <c r="AL548" s="44"/>
      <c r="AM548" s="44"/>
      <c r="AN548" s="44"/>
    </row>
    <row r="549" spans="1:40" x14ac:dyDescent="0.3">
      <c r="L549" s="44"/>
      <c r="M549" s="44"/>
      <c r="N549" s="44"/>
      <c r="O549" s="44"/>
      <c r="R549" s="44"/>
      <c r="Z549" s="44"/>
      <c r="AA549" s="44"/>
      <c r="AB549" s="44"/>
      <c r="AC549" s="44"/>
      <c r="AD549" s="44"/>
      <c r="AE549" s="44"/>
      <c r="AF549" s="44"/>
      <c r="AG549" s="168"/>
      <c r="AH549" s="44"/>
      <c r="AK549" s="168"/>
      <c r="AL549" s="44"/>
      <c r="AM549" s="44"/>
      <c r="AN549" s="44"/>
    </row>
    <row r="550" spans="1:40" x14ac:dyDescent="0.3">
      <c r="A550" s="44"/>
      <c r="C550" s="44"/>
      <c r="D550" s="44"/>
      <c r="E550" s="44"/>
      <c r="F550" s="44"/>
      <c r="J550" s="44"/>
      <c r="K550" s="44"/>
      <c r="L550" s="44"/>
      <c r="M550" s="44"/>
      <c r="N550" s="44"/>
      <c r="O550" s="44"/>
      <c r="P550" s="44"/>
      <c r="Q550" s="44"/>
      <c r="R550" s="44"/>
      <c r="T550" s="44"/>
      <c r="U550" s="44"/>
      <c r="V550" s="44"/>
      <c r="Z550" s="44"/>
      <c r="AA550" s="44"/>
      <c r="AB550" s="44"/>
      <c r="AC550" s="44"/>
      <c r="AD550" s="44"/>
      <c r="AE550" s="44"/>
      <c r="AF550" s="44"/>
      <c r="AG550" s="168"/>
      <c r="AH550" s="44"/>
      <c r="AI550" s="44"/>
      <c r="AJ550" s="44"/>
      <c r="AK550" s="168"/>
      <c r="AL550" s="44"/>
      <c r="AM550" s="44"/>
      <c r="AN550" s="44"/>
    </row>
    <row r="551" spans="1:40" x14ac:dyDescent="0.3">
      <c r="A551" s="44"/>
      <c r="C551" s="44"/>
      <c r="D551" s="44"/>
      <c r="E551" s="44"/>
      <c r="F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T551" s="44"/>
      <c r="U551" s="44"/>
      <c r="V551" s="44"/>
      <c r="Y551" s="44"/>
      <c r="Z551" s="44"/>
      <c r="AA551" s="44"/>
      <c r="AB551" s="44"/>
      <c r="AC551" s="44"/>
      <c r="AD551" s="44"/>
      <c r="AE551" s="44"/>
      <c r="AF551" s="44"/>
      <c r="AG551" s="168"/>
      <c r="AH551" s="44"/>
      <c r="AI551" s="44"/>
      <c r="AJ551" s="44"/>
      <c r="AK551" s="168"/>
      <c r="AL551" s="44"/>
      <c r="AM551" s="44"/>
      <c r="AN551" s="44"/>
    </row>
    <row r="552" spans="1:40" x14ac:dyDescent="0.3">
      <c r="C552" s="44"/>
      <c r="D552" s="44"/>
      <c r="E552" s="44"/>
      <c r="F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T552" s="44"/>
      <c r="U552" s="44"/>
      <c r="V552" s="44"/>
      <c r="Y552" s="44"/>
      <c r="Z552" s="44"/>
      <c r="AA552" s="44"/>
      <c r="AB552" s="44"/>
      <c r="AC552" s="44"/>
      <c r="AD552" s="44"/>
      <c r="AE552" s="44"/>
      <c r="AF552" s="44"/>
      <c r="AG552" s="168"/>
      <c r="AH552" s="44"/>
      <c r="AI552" s="44"/>
      <c r="AJ552" s="44"/>
      <c r="AK552" s="168"/>
      <c r="AL552" s="44"/>
      <c r="AM552" s="44"/>
      <c r="AN552" s="44"/>
    </row>
    <row r="553" spans="1:40" x14ac:dyDescent="0.3">
      <c r="A553" s="135"/>
      <c r="B553" s="135"/>
      <c r="C553" s="135"/>
      <c r="D553" s="135"/>
      <c r="E553" s="135"/>
      <c r="F553" s="135"/>
      <c r="G553" s="135"/>
      <c r="H553" s="135"/>
      <c r="I553" s="135"/>
      <c r="J553" s="135"/>
      <c r="K553" s="135"/>
      <c r="L553" s="135"/>
      <c r="M553" s="135"/>
      <c r="N553" s="135"/>
      <c r="O553" s="135"/>
      <c r="P553" s="135"/>
      <c r="Q553" s="135"/>
      <c r="R553" s="135"/>
      <c r="T553" s="135"/>
      <c r="U553" s="135"/>
      <c r="V553" s="135"/>
      <c r="W553" s="135"/>
      <c r="X553" s="135"/>
      <c r="Y553" s="135"/>
      <c r="Z553" s="135"/>
      <c r="AA553" s="135"/>
      <c r="AB553" s="135"/>
      <c r="AC553" s="135"/>
      <c r="AD553" s="135"/>
      <c r="AE553" s="135"/>
      <c r="AF553" s="135"/>
      <c r="AG553" s="207"/>
      <c r="AH553" s="135"/>
      <c r="AI553" s="135"/>
      <c r="AJ553" s="135"/>
      <c r="AK553" s="207"/>
      <c r="AL553" s="135"/>
      <c r="AM553" s="135"/>
      <c r="AN553" s="135"/>
    </row>
    <row r="554" spans="1:40" x14ac:dyDescent="0.3"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Y554" s="44"/>
      <c r="Z554" s="44"/>
      <c r="AA554" s="44"/>
      <c r="AB554" s="44"/>
      <c r="AC554" s="44"/>
      <c r="AD554" s="44"/>
      <c r="AE554" s="44"/>
      <c r="AF554" s="44"/>
      <c r="AG554" s="168"/>
      <c r="AH554" s="44"/>
      <c r="AI554" s="44"/>
      <c r="AJ554" s="44"/>
      <c r="AK554" s="168"/>
      <c r="AL554" s="44"/>
      <c r="AM554" s="44"/>
      <c r="AN554" s="44"/>
    </row>
    <row r="555" spans="1:40" x14ac:dyDescent="0.3">
      <c r="C555" s="42"/>
      <c r="D555" s="42"/>
      <c r="E555" s="42"/>
      <c r="T555" s="42"/>
      <c r="U555" s="42"/>
    </row>
    <row r="557" spans="1:40" x14ac:dyDescent="0.3">
      <c r="C557" s="42"/>
      <c r="D557" s="42"/>
      <c r="E557" s="42"/>
      <c r="T557" s="42"/>
      <c r="U557" s="42"/>
    </row>
    <row r="558" spans="1:40" x14ac:dyDescent="0.3">
      <c r="C558" s="42"/>
      <c r="T558" s="42"/>
    </row>
    <row r="559" spans="1:40" x14ac:dyDescent="0.3">
      <c r="C559" s="42"/>
      <c r="T559" s="42"/>
    </row>
    <row r="560" spans="1:40" x14ac:dyDescent="0.3">
      <c r="C560" s="42"/>
      <c r="H560" s="184"/>
      <c r="I560" s="184"/>
      <c r="J560" s="238"/>
      <c r="K560" s="238"/>
      <c r="L560" s="123"/>
      <c r="M560" s="123"/>
      <c r="N560" s="160"/>
      <c r="O560" s="160"/>
      <c r="P560" s="123"/>
      <c r="Q560" s="123"/>
      <c r="R560" s="123"/>
      <c r="T560" s="42"/>
      <c r="V560" s="123"/>
      <c r="W560" s="123"/>
      <c r="X560" s="123"/>
      <c r="Y560" s="123"/>
      <c r="Z560" s="238"/>
      <c r="AA560" s="123"/>
      <c r="AB560" s="123"/>
      <c r="AC560" s="160"/>
      <c r="AD560" s="160"/>
      <c r="AE560" s="123"/>
      <c r="AF560" s="123"/>
      <c r="AH560" s="236"/>
      <c r="AI560" s="123"/>
      <c r="AJ560" s="123"/>
      <c r="AL560" s="123"/>
      <c r="AM560" s="160"/>
      <c r="AN560" s="160"/>
    </row>
    <row r="561" spans="3:40" x14ac:dyDescent="0.3">
      <c r="C561" s="42"/>
      <c r="F561" s="184"/>
      <c r="J561" s="188"/>
      <c r="K561" s="188"/>
      <c r="T561" s="42"/>
      <c r="V561" s="123"/>
      <c r="W561" s="123"/>
      <c r="X561" s="123"/>
      <c r="Y561" s="123"/>
      <c r="Z561" s="238"/>
    </row>
    <row r="562" spans="3:40" x14ac:dyDescent="0.3">
      <c r="C562" s="42"/>
      <c r="H562" s="184"/>
      <c r="I562" s="184"/>
      <c r="J562" s="238"/>
      <c r="K562" s="238"/>
      <c r="L562" s="123"/>
      <c r="M562" s="123"/>
      <c r="N562" s="160"/>
      <c r="O562" s="160"/>
      <c r="P562" s="123"/>
      <c r="Q562" s="123"/>
      <c r="R562" s="123"/>
      <c r="T562" s="42"/>
      <c r="V562" s="123"/>
      <c r="W562" s="123"/>
      <c r="X562" s="123"/>
      <c r="Y562" s="123"/>
      <c r="Z562" s="238"/>
      <c r="AA562" s="123"/>
      <c r="AB562" s="123"/>
      <c r="AC562" s="160"/>
      <c r="AD562" s="160"/>
      <c r="AE562" s="123"/>
      <c r="AF562" s="123"/>
      <c r="AH562" s="236"/>
      <c r="AI562" s="123"/>
      <c r="AJ562" s="123"/>
      <c r="AL562" s="123"/>
      <c r="AM562" s="160"/>
      <c r="AN562" s="160"/>
    </row>
    <row r="563" spans="3:40" x14ac:dyDescent="0.3">
      <c r="C563" s="42"/>
      <c r="F563" s="184"/>
      <c r="J563" s="188"/>
      <c r="K563" s="188"/>
      <c r="T563" s="42"/>
      <c r="V563" s="123"/>
      <c r="W563" s="123"/>
      <c r="X563" s="123"/>
      <c r="Y563" s="123"/>
      <c r="Z563" s="238"/>
    </row>
    <row r="564" spans="3:40" x14ac:dyDescent="0.3">
      <c r="C564" s="42"/>
      <c r="H564" s="184"/>
      <c r="I564" s="184"/>
      <c r="J564" s="238"/>
      <c r="K564" s="238"/>
      <c r="L564" s="123"/>
      <c r="M564" s="123"/>
      <c r="N564" s="160"/>
      <c r="O564" s="160"/>
      <c r="P564" s="123"/>
      <c r="Q564" s="123"/>
      <c r="R564" s="123"/>
      <c r="T564" s="42"/>
      <c r="V564" s="123"/>
      <c r="W564" s="123"/>
      <c r="X564" s="123"/>
      <c r="Y564" s="123"/>
      <c r="Z564" s="238"/>
      <c r="AA564" s="123"/>
      <c r="AB564" s="123"/>
      <c r="AC564" s="160"/>
      <c r="AD564" s="160"/>
      <c r="AE564" s="123"/>
      <c r="AF564" s="123"/>
      <c r="AH564" s="236"/>
      <c r="AI564" s="123"/>
      <c r="AJ564" s="123"/>
      <c r="AL564" s="123"/>
      <c r="AM564" s="160"/>
      <c r="AN564" s="160"/>
    </row>
    <row r="565" spans="3:40" x14ac:dyDescent="0.3">
      <c r="C565" s="42"/>
      <c r="F565" s="184"/>
      <c r="J565" s="188"/>
      <c r="K565" s="188"/>
      <c r="T565" s="42"/>
      <c r="V565" s="123"/>
      <c r="W565" s="123"/>
      <c r="X565" s="123"/>
      <c r="Y565" s="123"/>
      <c r="Z565" s="238"/>
    </row>
    <row r="566" spans="3:40" x14ac:dyDescent="0.3">
      <c r="C566" s="42"/>
      <c r="H566" s="184"/>
      <c r="I566" s="184"/>
      <c r="J566" s="238"/>
      <c r="K566" s="238"/>
      <c r="L566" s="123"/>
      <c r="M566" s="123"/>
      <c r="N566" s="160"/>
      <c r="O566" s="160"/>
      <c r="P566" s="123"/>
      <c r="Q566" s="123"/>
      <c r="R566" s="123"/>
      <c r="T566" s="42"/>
      <c r="V566" s="123"/>
      <c r="W566" s="123"/>
      <c r="X566" s="123"/>
      <c r="Y566" s="123"/>
      <c r="Z566" s="238"/>
      <c r="AA566" s="123"/>
      <c r="AB566" s="123"/>
      <c r="AC566" s="160"/>
      <c r="AD566" s="160"/>
      <c r="AE566" s="123"/>
      <c r="AF566" s="123"/>
      <c r="AH566" s="236"/>
      <c r="AI566" s="123"/>
      <c r="AJ566" s="123"/>
      <c r="AL566" s="123"/>
      <c r="AM566" s="160"/>
      <c r="AN566" s="160"/>
    </row>
    <row r="567" spans="3:40" x14ac:dyDescent="0.3">
      <c r="C567" s="42"/>
      <c r="F567" s="184"/>
      <c r="J567" s="188"/>
      <c r="K567" s="188"/>
      <c r="T567" s="42"/>
      <c r="V567" s="123"/>
      <c r="W567" s="123"/>
      <c r="X567" s="123"/>
      <c r="Y567" s="123"/>
      <c r="Z567" s="238"/>
    </row>
    <row r="568" spans="3:40" x14ac:dyDescent="0.3">
      <c r="C568" s="42"/>
      <c r="H568" s="184"/>
      <c r="I568" s="184"/>
      <c r="J568" s="238"/>
      <c r="K568" s="238"/>
      <c r="L568" s="123"/>
      <c r="M568" s="123"/>
      <c r="N568" s="160"/>
      <c r="O568" s="160"/>
      <c r="P568" s="123"/>
      <c r="Q568" s="123"/>
      <c r="R568" s="123"/>
      <c r="T568" s="42"/>
      <c r="V568" s="123"/>
      <c r="W568" s="123"/>
      <c r="X568" s="123"/>
      <c r="Y568" s="123"/>
      <c r="Z568" s="238"/>
      <c r="AA568" s="123"/>
      <c r="AB568" s="123"/>
      <c r="AC568" s="160"/>
      <c r="AD568" s="160"/>
      <c r="AE568" s="123"/>
      <c r="AF568" s="123"/>
      <c r="AH568" s="236"/>
      <c r="AI568" s="123"/>
      <c r="AJ568" s="123"/>
      <c r="AL568" s="123"/>
      <c r="AM568" s="160"/>
      <c r="AN568" s="160"/>
    </row>
    <row r="569" spans="3:40" x14ac:dyDescent="0.3">
      <c r="C569" s="42"/>
      <c r="F569" s="184"/>
      <c r="J569" s="188"/>
      <c r="K569" s="188"/>
      <c r="T569" s="42"/>
      <c r="V569" s="123"/>
      <c r="W569" s="123"/>
      <c r="X569" s="123"/>
      <c r="Y569" s="123"/>
      <c r="Z569" s="238"/>
    </row>
    <row r="570" spans="3:40" x14ac:dyDescent="0.3">
      <c r="C570" s="42"/>
      <c r="H570" s="184"/>
      <c r="I570" s="184"/>
      <c r="J570" s="238"/>
      <c r="K570" s="238"/>
      <c r="L570" s="123"/>
      <c r="M570" s="123"/>
      <c r="N570" s="160"/>
      <c r="O570" s="160"/>
      <c r="P570" s="123"/>
      <c r="Q570" s="123"/>
      <c r="R570" s="123"/>
      <c r="T570" s="42"/>
      <c r="V570" s="123"/>
      <c r="W570" s="123"/>
      <c r="X570" s="123"/>
      <c r="Y570" s="123"/>
      <c r="Z570" s="238"/>
      <c r="AA570" s="123"/>
      <c r="AB570" s="123"/>
      <c r="AC570" s="160"/>
      <c r="AD570" s="160"/>
      <c r="AE570" s="123"/>
      <c r="AF570" s="123"/>
      <c r="AH570" s="236"/>
      <c r="AI570" s="123"/>
      <c r="AJ570" s="123"/>
      <c r="AL570" s="123"/>
      <c r="AM570" s="160"/>
      <c r="AN570" s="160"/>
    </row>
    <row r="571" spans="3:40" x14ac:dyDescent="0.3">
      <c r="F571" s="184"/>
      <c r="H571" s="210"/>
      <c r="I571" s="210"/>
      <c r="J571" s="238"/>
      <c r="K571" s="238"/>
      <c r="L571" s="210"/>
      <c r="M571" s="210"/>
      <c r="N571" s="210"/>
      <c r="O571" s="210"/>
      <c r="P571" s="210"/>
      <c r="Q571" s="210"/>
      <c r="R571" s="210"/>
      <c r="V571" s="210"/>
      <c r="Y571" s="210"/>
      <c r="Z571" s="238"/>
      <c r="AA571" s="210"/>
      <c r="AB571" s="210"/>
      <c r="AC571" s="210"/>
      <c r="AD571" s="210"/>
      <c r="AE571" s="210"/>
      <c r="AF571" s="210"/>
      <c r="AI571" s="210"/>
      <c r="AJ571" s="210"/>
      <c r="AK571" s="214"/>
      <c r="AL571" s="210"/>
      <c r="AM571" s="160"/>
      <c r="AN571" s="160"/>
    </row>
    <row r="572" spans="3:40" x14ac:dyDescent="0.3">
      <c r="C572" s="42"/>
      <c r="F572" s="210"/>
      <c r="H572" s="123"/>
      <c r="I572" s="123"/>
      <c r="J572" s="188"/>
      <c r="K572" s="188"/>
      <c r="L572" s="123"/>
      <c r="M572" s="123"/>
      <c r="N572" s="160"/>
      <c r="O572" s="160"/>
      <c r="P572" s="184"/>
      <c r="Q572" s="184"/>
      <c r="R572" s="123"/>
      <c r="T572" s="42"/>
      <c r="V572" s="123"/>
      <c r="W572" s="123"/>
      <c r="X572" s="123"/>
      <c r="Y572" s="123"/>
      <c r="Z572" s="238"/>
      <c r="AA572" s="123"/>
      <c r="AB572" s="123"/>
      <c r="AC572" s="160"/>
      <c r="AD572" s="160"/>
      <c r="AE572" s="123"/>
      <c r="AF572" s="123"/>
      <c r="AH572" s="236"/>
      <c r="AI572" s="184"/>
      <c r="AJ572" s="184"/>
      <c r="AL572" s="123"/>
      <c r="AM572" s="160"/>
      <c r="AN572" s="160"/>
    </row>
    <row r="573" spans="3:40" x14ac:dyDescent="0.3">
      <c r="F573" s="123"/>
      <c r="H573" s="210"/>
      <c r="I573" s="210"/>
      <c r="J573" s="238"/>
      <c r="K573" s="238"/>
      <c r="L573" s="210"/>
      <c r="M573" s="210"/>
      <c r="N573" s="210"/>
      <c r="O573" s="210"/>
      <c r="P573" s="210"/>
      <c r="Q573" s="210"/>
      <c r="R573" s="210"/>
      <c r="V573" s="210"/>
      <c r="Y573" s="210"/>
      <c r="Z573" s="238"/>
      <c r="AA573" s="210"/>
      <c r="AB573" s="210"/>
      <c r="AC573" s="210"/>
      <c r="AD573" s="210"/>
      <c r="AE573" s="210"/>
      <c r="AF573" s="210"/>
      <c r="AI573" s="210"/>
      <c r="AJ573" s="210"/>
      <c r="AK573" s="214"/>
      <c r="AL573" s="210"/>
    </row>
    <row r="574" spans="3:40" x14ac:dyDescent="0.3">
      <c r="C574" s="42"/>
      <c r="D574" s="42"/>
      <c r="E574" s="42"/>
      <c r="F574" s="210"/>
      <c r="J574" s="188"/>
      <c r="K574" s="188"/>
      <c r="T574" s="42"/>
      <c r="U574" s="42"/>
      <c r="V574" s="123"/>
      <c r="W574" s="123"/>
      <c r="X574" s="123"/>
      <c r="Y574" s="123"/>
      <c r="Z574" s="238"/>
    </row>
    <row r="575" spans="3:40" x14ac:dyDescent="0.3">
      <c r="C575" s="42"/>
      <c r="J575" s="188"/>
      <c r="K575" s="188"/>
      <c r="T575" s="42"/>
      <c r="V575" s="123"/>
      <c r="W575" s="123"/>
      <c r="X575" s="123"/>
      <c r="Y575" s="123"/>
      <c r="Z575" s="238"/>
    </row>
    <row r="576" spans="3:40" x14ac:dyDescent="0.3">
      <c r="C576" s="42"/>
      <c r="J576" s="188"/>
      <c r="K576" s="188"/>
      <c r="T576" s="42"/>
      <c r="V576" s="123"/>
      <c r="W576" s="123"/>
      <c r="X576" s="123"/>
      <c r="Y576" s="123"/>
      <c r="Z576" s="238"/>
    </row>
    <row r="577" spans="3:40" x14ac:dyDescent="0.3">
      <c r="C577" s="42"/>
      <c r="H577" s="184"/>
      <c r="I577" s="184"/>
      <c r="J577" s="238"/>
      <c r="K577" s="238"/>
      <c r="L577" s="123"/>
      <c r="M577" s="123"/>
      <c r="N577" s="160"/>
      <c r="O577" s="160"/>
      <c r="P577" s="123"/>
      <c r="Q577" s="123"/>
      <c r="R577" s="123"/>
      <c r="T577" s="42"/>
      <c r="V577" s="123"/>
      <c r="W577" s="123"/>
      <c r="X577" s="123"/>
      <c r="Y577" s="123"/>
      <c r="Z577" s="238"/>
      <c r="AA577" s="123"/>
      <c r="AB577" s="123"/>
      <c r="AC577" s="160"/>
      <c r="AD577" s="160"/>
      <c r="AE577" s="123"/>
      <c r="AF577" s="123"/>
      <c r="AH577" s="236"/>
      <c r="AI577" s="123"/>
      <c r="AJ577" s="123"/>
      <c r="AL577" s="123"/>
      <c r="AM577" s="160"/>
      <c r="AN577" s="160"/>
    </row>
    <row r="578" spans="3:40" x14ac:dyDescent="0.3">
      <c r="C578" s="42"/>
      <c r="F578" s="184"/>
      <c r="J578" s="188"/>
      <c r="K578" s="188"/>
      <c r="T578" s="42"/>
      <c r="V578" s="123"/>
      <c r="W578" s="123"/>
      <c r="X578" s="123"/>
      <c r="Y578" s="123"/>
      <c r="Z578" s="238"/>
    </row>
    <row r="579" spans="3:40" x14ac:dyDescent="0.3">
      <c r="C579" s="42"/>
      <c r="H579" s="184"/>
      <c r="I579" s="184"/>
      <c r="J579" s="238"/>
      <c r="K579" s="238"/>
      <c r="L579" s="123"/>
      <c r="M579" s="123"/>
      <c r="N579" s="160"/>
      <c r="O579" s="160"/>
      <c r="P579" s="123"/>
      <c r="Q579" s="123"/>
      <c r="R579" s="123"/>
      <c r="T579" s="42"/>
      <c r="V579" s="123"/>
      <c r="W579" s="123"/>
      <c r="X579" s="123"/>
      <c r="Y579" s="123"/>
      <c r="Z579" s="238"/>
      <c r="AA579" s="123"/>
      <c r="AB579" s="123"/>
      <c r="AC579" s="160"/>
      <c r="AD579" s="160"/>
      <c r="AE579" s="123"/>
      <c r="AF579" s="123"/>
      <c r="AH579" s="236"/>
      <c r="AI579" s="123"/>
      <c r="AJ579" s="123"/>
      <c r="AL579" s="123"/>
      <c r="AM579" s="160"/>
      <c r="AN579" s="160"/>
    </row>
    <row r="580" spans="3:40" x14ac:dyDescent="0.3">
      <c r="F580" s="184"/>
      <c r="H580" s="210"/>
      <c r="I580" s="210"/>
      <c r="J580" s="238"/>
      <c r="K580" s="238"/>
      <c r="L580" s="210"/>
      <c r="M580" s="210"/>
      <c r="N580" s="210"/>
      <c r="O580" s="210"/>
      <c r="P580" s="210"/>
      <c r="Q580" s="210"/>
      <c r="R580" s="210"/>
      <c r="V580" s="210"/>
      <c r="Y580" s="210"/>
      <c r="Z580" s="213"/>
      <c r="AA580" s="210"/>
      <c r="AB580" s="210"/>
      <c r="AC580" s="210"/>
      <c r="AD580" s="210"/>
      <c r="AE580" s="210"/>
      <c r="AF580" s="210"/>
      <c r="AI580" s="210"/>
      <c r="AJ580" s="210"/>
      <c r="AK580" s="214"/>
      <c r="AL580" s="210"/>
    </row>
    <row r="581" spans="3:40" x14ac:dyDescent="0.3">
      <c r="C581" s="42"/>
      <c r="F581" s="210"/>
      <c r="H581" s="123"/>
      <c r="I581" s="123"/>
      <c r="L581" s="123"/>
      <c r="M581" s="123"/>
      <c r="N581" s="160"/>
      <c r="O581" s="160"/>
      <c r="P581" s="184"/>
      <c r="Q581" s="184"/>
      <c r="R581" s="123"/>
      <c r="T581" s="42"/>
      <c r="V581" s="123"/>
      <c r="W581" s="123"/>
      <c r="X581" s="123"/>
      <c r="Y581" s="123"/>
      <c r="Z581" s="237"/>
      <c r="AA581" s="123"/>
      <c r="AB581" s="123"/>
      <c r="AC581" s="160"/>
      <c r="AD581" s="160"/>
      <c r="AE581" s="123"/>
      <c r="AF581" s="123"/>
      <c r="AH581" s="236"/>
      <c r="AI581" s="184"/>
      <c r="AJ581" s="184"/>
      <c r="AL581" s="123"/>
      <c r="AM581" s="160"/>
      <c r="AN581" s="160"/>
    </row>
    <row r="582" spans="3:40" x14ac:dyDescent="0.3">
      <c r="F582" s="123"/>
      <c r="H582" s="210"/>
      <c r="I582" s="210"/>
      <c r="J582" s="213"/>
      <c r="K582" s="213"/>
      <c r="L582" s="210"/>
      <c r="M582" s="210"/>
      <c r="N582" s="210"/>
      <c r="O582" s="210"/>
      <c r="P582" s="210"/>
      <c r="Q582" s="210"/>
      <c r="R582" s="210"/>
      <c r="V582" s="210"/>
      <c r="Y582" s="210"/>
      <c r="Z582" s="213"/>
      <c r="AA582" s="210"/>
      <c r="AB582" s="210"/>
      <c r="AC582" s="210"/>
      <c r="AD582" s="210"/>
      <c r="AE582" s="210"/>
      <c r="AF582" s="210"/>
      <c r="AI582" s="210"/>
      <c r="AJ582" s="210"/>
      <c r="AK582" s="214"/>
      <c r="AL582" s="210"/>
    </row>
    <row r="583" spans="3:40" x14ac:dyDescent="0.3">
      <c r="C583" s="42"/>
      <c r="D583" s="42"/>
      <c r="E583" s="42"/>
      <c r="F583" s="210"/>
      <c r="T583" s="42"/>
      <c r="U583" s="42"/>
      <c r="V583" s="123"/>
      <c r="W583" s="123"/>
      <c r="X583" s="123"/>
      <c r="Y583" s="123"/>
      <c r="Z583" s="237"/>
    </row>
    <row r="584" spans="3:40" x14ac:dyDescent="0.3">
      <c r="C584" s="42"/>
      <c r="T584" s="42"/>
      <c r="V584" s="123"/>
      <c r="W584" s="123"/>
      <c r="X584" s="123"/>
      <c r="Y584" s="123"/>
      <c r="Z584" s="237"/>
    </row>
    <row r="585" spans="3:40" x14ac:dyDescent="0.3">
      <c r="C585" s="42"/>
      <c r="H585" s="184"/>
      <c r="I585" s="184"/>
      <c r="J585" s="237"/>
      <c r="K585" s="237"/>
      <c r="L585" s="123"/>
      <c r="M585" s="123"/>
      <c r="N585" s="160"/>
      <c r="O585" s="160"/>
      <c r="P585" s="123"/>
      <c r="Q585" s="123"/>
      <c r="R585" s="123"/>
      <c r="T585" s="42"/>
      <c r="V585" s="123"/>
      <c r="W585" s="123"/>
      <c r="X585" s="123"/>
      <c r="Y585" s="123"/>
      <c r="Z585" s="237"/>
      <c r="AA585" s="123"/>
      <c r="AB585" s="123"/>
      <c r="AC585" s="160"/>
      <c r="AD585" s="160"/>
      <c r="AE585" s="123"/>
      <c r="AF585" s="123"/>
      <c r="AH585" s="236"/>
      <c r="AI585" s="123"/>
      <c r="AJ585" s="123"/>
      <c r="AL585" s="123"/>
      <c r="AM585" s="160"/>
      <c r="AN585" s="160"/>
    </row>
    <row r="586" spans="3:40" x14ac:dyDescent="0.3">
      <c r="C586" s="42"/>
      <c r="F586" s="184"/>
      <c r="T586" s="42"/>
      <c r="V586" s="123"/>
      <c r="W586" s="123"/>
      <c r="X586" s="123"/>
      <c r="Y586" s="123"/>
      <c r="Z586" s="237"/>
    </row>
    <row r="587" spans="3:40" x14ac:dyDescent="0.3">
      <c r="C587" s="42"/>
      <c r="H587" s="184"/>
      <c r="I587" s="184"/>
      <c r="J587" s="237"/>
      <c r="K587" s="237"/>
      <c r="L587" s="123"/>
      <c r="M587" s="123"/>
      <c r="N587" s="160"/>
      <c r="O587" s="160"/>
      <c r="P587" s="123"/>
      <c r="Q587" s="123"/>
      <c r="R587" s="123"/>
      <c r="T587" s="42"/>
      <c r="V587" s="123"/>
      <c r="W587" s="123"/>
      <c r="X587" s="123"/>
      <c r="Y587" s="123"/>
      <c r="Z587" s="237"/>
      <c r="AA587" s="123"/>
      <c r="AB587" s="123"/>
      <c r="AC587" s="160"/>
      <c r="AD587" s="160"/>
      <c r="AE587" s="123"/>
      <c r="AF587" s="123"/>
      <c r="AH587" s="236"/>
      <c r="AI587" s="123"/>
      <c r="AJ587" s="123"/>
      <c r="AL587" s="123"/>
      <c r="AM587" s="160"/>
      <c r="AN587" s="160"/>
    </row>
    <row r="588" spans="3:40" x14ac:dyDescent="0.3">
      <c r="C588" s="42"/>
      <c r="F588" s="184"/>
      <c r="T588" s="42"/>
      <c r="V588" s="123"/>
      <c r="W588" s="123"/>
      <c r="X588" s="123"/>
      <c r="Y588" s="123"/>
      <c r="Z588" s="237"/>
    </row>
    <row r="589" spans="3:40" x14ac:dyDescent="0.3">
      <c r="C589" s="42"/>
      <c r="H589" s="184"/>
      <c r="I589" s="184"/>
      <c r="J589" s="237"/>
      <c r="K589" s="237"/>
      <c r="L589" s="123"/>
      <c r="M589" s="123"/>
      <c r="N589" s="160"/>
      <c r="O589" s="160"/>
      <c r="P589" s="123"/>
      <c r="Q589" s="123"/>
      <c r="R589" s="123"/>
      <c r="T589" s="42"/>
      <c r="V589" s="123"/>
      <c r="W589" s="123"/>
      <c r="X589" s="123"/>
      <c r="Y589" s="123"/>
      <c r="Z589" s="237"/>
      <c r="AA589" s="123"/>
      <c r="AB589" s="123"/>
      <c r="AC589" s="160"/>
      <c r="AD589" s="160"/>
      <c r="AE589" s="123"/>
      <c r="AF589" s="123"/>
      <c r="AH589" s="236"/>
      <c r="AI589" s="123"/>
      <c r="AJ589" s="123"/>
      <c r="AL589" s="123"/>
      <c r="AM589" s="160"/>
      <c r="AN589" s="160"/>
    </row>
    <row r="590" spans="3:40" x14ac:dyDescent="0.3">
      <c r="C590" s="42"/>
      <c r="F590" s="184"/>
      <c r="T590" s="42"/>
      <c r="V590" s="123"/>
      <c r="W590" s="123"/>
      <c r="X590" s="123"/>
      <c r="Y590" s="123"/>
      <c r="Z590" s="237"/>
    </row>
    <row r="591" spans="3:40" x14ac:dyDescent="0.3">
      <c r="C591" s="42"/>
      <c r="H591" s="184"/>
      <c r="I591" s="184"/>
      <c r="J591" s="237"/>
      <c r="K591" s="237"/>
      <c r="L591" s="123"/>
      <c r="M591" s="123"/>
      <c r="N591" s="160"/>
      <c r="O591" s="160"/>
      <c r="P591" s="123"/>
      <c r="Q591" s="123"/>
      <c r="R591" s="123"/>
      <c r="T591" s="42"/>
      <c r="V591" s="123"/>
      <c r="W591" s="123"/>
      <c r="X591" s="123"/>
      <c r="Y591" s="123"/>
      <c r="Z591" s="237"/>
      <c r="AA591" s="123"/>
      <c r="AB591" s="123"/>
      <c r="AC591" s="160"/>
      <c r="AD591" s="160"/>
      <c r="AE591" s="123"/>
      <c r="AF591" s="123"/>
      <c r="AH591" s="236"/>
      <c r="AI591" s="123"/>
      <c r="AJ591" s="123"/>
      <c r="AL591" s="123"/>
      <c r="AM591" s="160"/>
      <c r="AN591" s="160"/>
    </row>
    <row r="592" spans="3:40" x14ac:dyDescent="0.3">
      <c r="F592" s="184"/>
      <c r="H592" s="210"/>
      <c r="I592" s="210"/>
      <c r="J592" s="213"/>
      <c r="K592" s="213"/>
      <c r="L592" s="210"/>
      <c r="M592" s="210"/>
      <c r="N592" s="210"/>
      <c r="O592" s="210"/>
      <c r="P592" s="210"/>
      <c r="Q592" s="210"/>
      <c r="R592" s="210"/>
      <c r="V592" s="210"/>
      <c r="Y592" s="210"/>
      <c r="Z592" s="213"/>
      <c r="AA592" s="210"/>
      <c r="AB592" s="210"/>
      <c r="AC592" s="210"/>
      <c r="AD592" s="210"/>
      <c r="AE592" s="210"/>
      <c r="AF592" s="210"/>
      <c r="AI592" s="210"/>
      <c r="AJ592" s="210"/>
      <c r="AK592" s="214"/>
      <c r="AL592" s="210"/>
    </row>
    <row r="593" spans="1:40" x14ac:dyDescent="0.3">
      <c r="C593" s="42"/>
      <c r="F593" s="210"/>
      <c r="H593" s="123"/>
      <c r="I593" s="123"/>
      <c r="L593" s="123"/>
      <c r="M593" s="123"/>
      <c r="N593" s="160"/>
      <c r="O593" s="160"/>
      <c r="P593" s="184"/>
      <c r="Q593" s="184"/>
      <c r="R593" s="123"/>
      <c r="T593" s="42"/>
      <c r="V593" s="123"/>
      <c r="W593" s="123"/>
      <c r="X593" s="123"/>
      <c r="Y593" s="123"/>
      <c r="Z593" s="237"/>
      <c r="AA593" s="123"/>
      <c r="AB593" s="123"/>
      <c r="AC593" s="160"/>
      <c r="AD593" s="160"/>
      <c r="AE593" s="123"/>
      <c r="AF593" s="123"/>
      <c r="AH593" s="236"/>
      <c r="AI593" s="184"/>
      <c r="AJ593" s="184"/>
      <c r="AL593" s="123"/>
      <c r="AM593" s="160"/>
      <c r="AN593" s="160"/>
    </row>
    <row r="594" spans="1:40" x14ac:dyDescent="0.3">
      <c r="F594" s="123"/>
      <c r="H594" s="210"/>
      <c r="I594" s="210"/>
      <c r="J594" s="213"/>
      <c r="K594" s="213"/>
      <c r="L594" s="210"/>
      <c r="M594" s="210"/>
      <c r="N594" s="210"/>
      <c r="O594" s="210"/>
      <c r="P594" s="210"/>
      <c r="Q594" s="210"/>
      <c r="R594" s="210"/>
      <c r="V594" s="210"/>
      <c r="Y594" s="210"/>
      <c r="Z594" s="213"/>
      <c r="AA594" s="210"/>
      <c r="AB594" s="210"/>
      <c r="AC594" s="210"/>
      <c r="AD594" s="210"/>
      <c r="AE594" s="210"/>
      <c r="AF594" s="210"/>
      <c r="AI594" s="210"/>
      <c r="AJ594" s="210"/>
      <c r="AK594" s="214"/>
      <c r="AL594" s="210"/>
    </row>
    <row r="595" spans="1:40" x14ac:dyDescent="0.3">
      <c r="C595" s="42"/>
      <c r="F595" s="210"/>
      <c r="H595" s="123"/>
      <c r="I595" s="123"/>
      <c r="L595" s="123"/>
      <c r="M595" s="123"/>
      <c r="N595" s="160"/>
      <c r="O595" s="160"/>
      <c r="P595" s="123"/>
      <c r="Q595" s="123"/>
      <c r="R595" s="123"/>
      <c r="T595" s="42"/>
      <c r="V595" s="123"/>
      <c r="W595" s="123"/>
      <c r="X595" s="123"/>
      <c r="Y595" s="123"/>
      <c r="AA595" s="123"/>
      <c r="AB595" s="123"/>
      <c r="AC595" s="160"/>
      <c r="AD595" s="160"/>
      <c r="AE595" s="123"/>
      <c r="AF595" s="123"/>
      <c r="AH595" s="236"/>
      <c r="AI595" s="123"/>
      <c r="AJ595" s="123"/>
      <c r="AL595" s="123"/>
      <c r="AM595" s="236"/>
      <c r="AN595" s="236"/>
    </row>
    <row r="596" spans="1:40" x14ac:dyDescent="0.3">
      <c r="F596" s="123"/>
      <c r="H596" s="210"/>
      <c r="I596" s="210"/>
      <c r="J596" s="213"/>
      <c r="K596" s="213"/>
      <c r="L596" s="210"/>
      <c r="M596" s="210"/>
      <c r="N596" s="210"/>
      <c r="O596" s="210"/>
      <c r="P596" s="210"/>
      <c r="Q596" s="210"/>
      <c r="R596" s="210"/>
      <c r="V596" s="210"/>
      <c r="Y596" s="210"/>
      <c r="Z596" s="213"/>
      <c r="AA596" s="210"/>
      <c r="AB596" s="210"/>
      <c r="AC596" s="210"/>
      <c r="AD596" s="210"/>
      <c r="AE596" s="210"/>
      <c r="AF596" s="210"/>
      <c r="AI596" s="210"/>
      <c r="AJ596" s="210"/>
      <c r="AK596" s="214"/>
      <c r="AL596" s="210"/>
    </row>
    <row r="598" spans="1:40" x14ac:dyDescent="0.3">
      <c r="F598" s="210"/>
    </row>
    <row r="599" spans="1:40" x14ac:dyDescent="0.3">
      <c r="A599" s="42"/>
    </row>
    <row r="601" spans="1:40" x14ac:dyDescent="0.3">
      <c r="H601" s="42"/>
      <c r="I601" s="42"/>
      <c r="Y601" s="42"/>
    </row>
    <row r="603" spans="1:40" x14ac:dyDescent="0.3">
      <c r="L603" s="42"/>
      <c r="M603" s="42"/>
      <c r="AA603" s="42"/>
      <c r="AB603" s="42"/>
    </row>
    <row r="604" spans="1:40" x14ac:dyDescent="0.3">
      <c r="R604" s="42"/>
      <c r="AK604" s="206"/>
      <c r="AL604" s="42"/>
    </row>
    <row r="605" spans="1:40" x14ac:dyDescent="0.3">
      <c r="R605" s="42"/>
      <c r="AK605" s="206"/>
      <c r="AL605" s="42"/>
    </row>
    <row r="606" spans="1:40" x14ac:dyDescent="0.3">
      <c r="A606" s="42"/>
      <c r="R606" s="42"/>
      <c r="AK606" s="206"/>
      <c r="AL606" s="42"/>
    </row>
    <row r="607" spans="1:40" x14ac:dyDescent="0.3">
      <c r="L607" s="42"/>
      <c r="M607" s="42"/>
      <c r="AA607" s="42"/>
      <c r="AB607" s="42"/>
    </row>
    <row r="608" spans="1:40" x14ac:dyDescent="0.3">
      <c r="A608" s="135"/>
      <c r="B608" s="135"/>
      <c r="C608" s="135"/>
      <c r="D608" s="135"/>
      <c r="E608" s="135"/>
      <c r="G608" s="135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T608" s="135"/>
      <c r="U608" s="135"/>
      <c r="V608" s="135"/>
      <c r="W608" s="135"/>
      <c r="X608" s="135"/>
      <c r="Y608" s="135"/>
      <c r="Z608" s="135"/>
      <c r="AA608" s="135"/>
      <c r="AB608" s="135"/>
      <c r="AC608" s="135"/>
      <c r="AD608" s="135"/>
      <c r="AE608" s="135"/>
      <c r="AF608" s="135"/>
      <c r="AG608" s="207"/>
      <c r="AH608" s="135"/>
      <c r="AI608" s="135"/>
      <c r="AJ608" s="135"/>
      <c r="AK608" s="207"/>
      <c r="AL608" s="135"/>
      <c r="AM608" s="135"/>
      <c r="AN608" s="135"/>
    </row>
    <row r="609" spans="1:40" x14ac:dyDescent="0.3">
      <c r="F609" s="135"/>
      <c r="L609" s="44"/>
      <c r="M609" s="44"/>
      <c r="N609" s="44"/>
      <c r="O609" s="44"/>
      <c r="R609" s="44"/>
      <c r="AA609" s="44"/>
      <c r="AB609" s="44"/>
      <c r="AC609" s="44"/>
      <c r="AD609" s="44"/>
      <c r="AE609" s="44"/>
      <c r="AF609" s="44"/>
      <c r="AG609" s="168"/>
      <c r="AH609" s="44"/>
      <c r="AK609" s="168"/>
      <c r="AL609" s="44"/>
      <c r="AM609" s="44"/>
      <c r="AN609" s="44"/>
    </row>
    <row r="610" spans="1:40" x14ac:dyDescent="0.3">
      <c r="L610" s="44"/>
      <c r="M610" s="44"/>
      <c r="N610" s="44"/>
      <c r="O610" s="44"/>
      <c r="R610" s="44"/>
      <c r="Z610" s="44"/>
      <c r="AA610" s="44"/>
      <c r="AB610" s="44"/>
      <c r="AC610" s="44"/>
      <c r="AD610" s="44"/>
      <c r="AE610" s="44"/>
      <c r="AF610" s="44"/>
      <c r="AG610" s="168"/>
      <c r="AH610" s="44"/>
      <c r="AK610" s="168"/>
      <c r="AL610" s="44"/>
      <c r="AM610" s="44"/>
      <c r="AN610" s="44"/>
    </row>
    <row r="611" spans="1:40" x14ac:dyDescent="0.3">
      <c r="A611" s="44"/>
      <c r="C611" s="44"/>
      <c r="D611" s="44"/>
      <c r="E611" s="44"/>
      <c r="J611" s="44"/>
      <c r="K611" s="44"/>
      <c r="L611" s="44"/>
      <c r="M611" s="44"/>
      <c r="N611" s="44"/>
      <c r="O611" s="44"/>
      <c r="P611" s="44"/>
      <c r="Q611" s="44"/>
      <c r="R611" s="44"/>
      <c r="T611" s="44"/>
      <c r="U611" s="44"/>
      <c r="V611" s="44"/>
      <c r="Z611" s="44"/>
      <c r="AA611" s="44"/>
      <c r="AB611" s="44"/>
      <c r="AC611" s="44"/>
      <c r="AD611" s="44"/>
      <c r="AE611" s="44"/>
      <c r="AF611" s="44"/>
      <c r="AG611" s="168"/>
      <c r="AH611" s="44"/>
      <c r="AI611" s="44"/>
      <c r="AJ611" s="44"/>
      <c r="AK611" s="168"/>
      <c r="AL611" s="44"/>
      <c r="AM611" s="44"/>
      <c r="AN611" s="44"/>
    </row>
    <row r="612" spans="1:40" x14ac:dyDescent="0.3">
      <c r="A612" s="44"/>
      <c r="C612" s="44"/>
      <c r="D612" s="44"/>
      <c r="E612" s="44"/>
      <c r="F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T612" s="44"/>
      <c r="U612" s="44"/>
      <c r="V612" s="44"/>
      <c r="Y612" s="44"/>
      <c r="Z612" s="44"/>
      <c r="AA612" s="44"/>
      <c r="AB612" s="44"/>
      <c r="AC612" s="44"/>
      <c r="AD612" s="44"/>
      <c r="AE612" s="44"/>
      <c r="AF612" s="44"/>
      <c r="AG612" s="168"/>
      <c r="AH612" s="44"/>
      <c r="AI612" s="44"/>
      <c r="AJ612" s="44"/>
      <c r="AK612" s="168"/>
      <c r="AL612" s="44"/>
      <c r="AM612" s="44"/>
      <c r="AN612" s="44"/>
    </row>
    <row r="613" spans="1:40" x14ac:dyDescent="0.3">
      <c r="C613" s="44"/>
      <c r="D613" s="44"/>
      <c r="E613" s="44"/>
      <c r="F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T613" s="44"/>
      <c r="U613" s="44"/>
      <c r="V613" s="44"/>
      <c r="Y613" s="44"/>
      <c r="Z613" s="44"/>
      <c r="AA613" s="44"/>
      <c r="AB613" s="44"/>
      <c r="AC613" s="44"/>
      <c r="AD613" s="44"/>
      <c r="AE613" s="44"/>
      <c r="AF613" s="44"/>
      <c r="AG613" s="168"/>
      <c r="AH613" s="44"/>
      <c r="AI613" s="44"/>
      <c r="AJ613" s="44"/>
      <c r="AK613" s="168"/>
      <c r="AL613" s="44"/>
      <c r="AM613" s="44"/>
      <c r="AN613" s="44"/>
    </row>
    <row r="614" spans="1:40" x14ac:dyDescent="0.3">
      <c r="A614" s="135"/>
      <c r="B614" s="135"/>
      <c r="C614" s="135"/>
      <c r="D614" s="135"/>
      <c r="E614" s="135"/>
      <c r="F614" s="44"/>
      <c r="G614" s="135"/>
      <c r="H614" s="135"/>
      <c r="I614" s="135"/>
      <c r="J614" s="135"/>
      <c r="K614" s="135"/>
      <c r="L614" s="135"/>
      <c r="M614" s="135"/>
      <c r="N614" s="135"/>
      <c r="O614" s="135"/>
      <c r="P614" s="135"/>
      <c r="Q614" s="135"/>
      <c r="R614" s="135"/>
      <c r="T614" s="135"/>
      <c r="U614" s="135"/>
      <c r="V614" s="135"/>
      <c r="W614" s="135"/>
      <c r="X614" s="135"/>
      <c r="Y614" s="135"/>
      <c r="Z614" s="135"/>
      <c r="AA614" s="135"/>
      <c r="AB614" s="135"/>
      <c r="AC614" s="135"/>
      <c r="AD614" s="135"/>
      <c r="AE614" s="135"/>
      <c r="AF614" s="135"/>
      <c r="AG614" s="207"/>
      <c r="AH614" s="135"/>
      <c r="AI614" s="135"/>
      <c r="AJ614" s="135"/>
      <c r="AK614" s="207"/>
      <c r="AL614" s="135"/>
      <c r="AM614" s="135"/>
      <c r="AN614" s="135"/>
    </row>
    <row r="615" spans="1:40" x14ac:dyDescent="0.3">
      <c r="F615" s="135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Y615" s="44"/>
      <c r="Z615" s="44"/>
      <c r="AA615" s="44"/>
      <c r="AB615" s="44"/>
      <c r="AC615" s="44"/>
      <c r="AD615" s="44"/>
      <c r="AE615" s="44"/>
      <c r="AF615" s="44"/>
      <c r="AG615" s="168"/>
      <c r="AH615" s="44"/>
      <c r="AI615" s="44"/>
      <c r="AJ615" s="44"/>
      <c r="AK615" s="168"/>
      <c r="AL615" s="44"/>
      <c r="AM615" s="44"/>
      <c r="AN615" s="44"/>
    </row>
    <row r="616" spans="1:40" x14ac:dyDescent="0.3">
      <c r="C616" s="42"/>
      <c r="D616" s="42"/>
      <c r="E616" s="42"/>
      <c r="H616" s="123"/>
      <c r="I616" s="123"/>
      <c r="J616" s="219"/>
      <c r="K616" s="219"/>
      <c r="L616" s="123"/>
      <c r="M616" s="123"/>
      <c r="N616" s="219"/>
      <c r="O616" s="219"/>
      <c r="P616" s="123"/>
      <c r="Q616" s="123"/>
      <c r="R616" s="123"/>
      <c r="T616" s="42"/>
      <c r="U616" s="42"/>
      <c r="V616" s="123"/>
      <c r="Y616" s="123"/>
      <c r="Z616" s="219"/>
      <c r="AA616" s="123"/>
      <c r="AB616" s="123"/>
      <c r="AC616" s="219"/>
      <c r="AD616" s="219"/>
      <c r="AE616" s="123"/>
      <c r="AF616" s="123"/>
      <c r="AH616" s="236"/>
      <c r="AI616" s="123"/>
      <c r="AJ616" s="123"/>
      <c r="AL616" s="123"/>
      <c r="AM616" s="160"/>
      <c r="AN616" s="160"/>
    </row>
    <row r="617" spans="1:40" x14ac:dyDescent="0.3">
      <c r="F617" s="123"/>
      <c r="H617" s="210"/>
      <c r="I617" s="210"/>
      <c r="J617" s="213"/>
      <c r="K617" s="213"/>
      <c r="L617" s="210"/>
      <c r="M617" s="210"/>
      <c r="N617" s="210"/>
      <c r="O617" s="210"/>
      <c r="P617" s="210"/>
      <c r="Q617" s="210"/>
      <c r="R617" s="210"/>
      <c r="V617" s="210"/>
      <c r="Y617" s="210"/>
      <c r="Z617" s="213"/>
      <c r="AA617" s="210"/>
      <c r="AB617" s="210"/>
      <c r="AC617" s="210"/>
      <c r="AD617" s="210"/>
      <c r="AE617" s="210"/>
      <c r="AF617" s="210"/>
      <c r="AI617" s="210"/>
      <c r="AJ617" s="210"/>
      <c r="AK617" s="214"/>
      <c r="AL617" s="210"/>
      <c r="AM617" s="160"/>
      <c r="AN617" s="160"/>
    </row>
    <row r="618" spans="1:40" x14ac:dyDescent="0.3">
      <c r="C618" s="42"/>
      <c r="F618" s="210"/>
      <c r="H618" s="123"/>
      <c r="I618" s="123"/>
      <c r="J618" s="219"/>
      <c r="K618" s="219"/>
      <c r="L618" s="123"/>
      <c r="M618" s="123"/>
      <c r="N618" s="219"/>
      <c r="O618" s="219"/>
      <c r="P618" s="123"/>
      <c r="Q618" s="123"/>
      <c r="R618" s="123"/>
      <c r="T618" s="42"/>
      <c r="V618" s="123"/>
      <c r="Y618" s="123"/>
      <c r="Z618" s="219"/>
      <c r="AA618" s="123"/>
      <c r="AB618" s="123"/>
      <c r="AC618" s="219"/>
      <c r="AD618" s="219"/>
      <c r="AE618" s="123"/>
      <c r="AF618" s="123"/>
      <c r="AH618" s="236"/>
      <c r="AI618" s="123"/>
      <c r="AJ618" s="123"/>
      <c r="AL618" s="123"/>
      <c r="AM618" s="160"/>
      <c r="AN618" s="160"/>
    </row>
    <row r="619" spans="1:40" x14ac:dyDescent="0.3">
      <c r="F619" s="123"/>
      <c r="H619" s="123"/>
      <c r="I619" s="123"/>
      <c r="J619" s="219"/>
      <c r="K619" s="219"/>
      <c r="L619" s="123"/>
      <c r="M619" s="123"/>
      <c r="N619" s="219"/>
      <c r="O619" s="219"/>
      <c r="P619" s="123"/>
      <c r="Q619" s="123"/>
      <c r="R619" s="123"/>
      <c r="V619" s="123"/>
      <c r="Y619" s="123"/>
      <c r="Z619" s="219"/>
      <c r="AA619" s="123"/>
      <c r="AB619" s="123"/>
      <c r="AC619" s="219"/>
      <c r="AD619" s="219"/>
      <c r="AH619" s="236"/>
      <c r="AI619" s="123"/>
      <c r="AJ619" s="123"/>
      <c r="AL619" s="123"/>
      <c r="AM619" s="160"/>
      <c r="AN619" s="160"/>
    </row>
    <row r="620" spans="1:40" x14ac:dyDescent="0.3">
      <c r="C620" s="42"/>
      <c r="D620" s="42"/>
      <c r="E620" s="42"/>
      <c r="F620" s="123"/>
      <c r="H620" s="123"/>
      <c r="I620" s="123"/>
      <c r="J620" s="219"/>
      <c r="K620" s="219"/>
      <c r="L620" s="123"/>
      <c r="M620" s="123"/>
      <c r="N620" s="219"/>
      <c r="O620" s="219"/>
      <c r="P620" s="123"/>
      <c r="Q620" s="123"/>
      <c r="R620" s="123"/>
      <c r="T620" s="42"/>
      <c r="U620" s="42"/>
      <c r="V620" s="123"/>
      <c r="Y620" s="123"/>
      <c r="Z620" s="219"/>
      <c r="AA620" s="123"/>
      <c r="AB620" s="123"/>
      <c r="AC620" s="219"/>
      <c r="AD620" s="219"/>
      <c r="AE620" s="123"/>
      <c r="AF620" s="123"/>
      <c r="AH620" s="236"/>
      <c r="AI620" s="123"/>
      <c r="AJ620" s="123"/>
      <c r="AL620" s="123"/>
      <c r="AM620" s="160"/>
      <c r="AN620" s="160"/>
    </row>
    <row r="621" spans="1:40" x14ac:dyDescent="0.3">
      <c r="C621" s="42"/>
      <c r="D621" s="42"/>
      <c r="E621" s="42"/>
      <c r="F621" s="123"/>
      <c r="H621" s="123"/>
      <c r="I621" s="123"/>
      <c r="J621" s="219"/>
      <c r="K621" s="219"/>
      <c r="L621" s="123"/>
      <c r="M621" s="123"/>
      <c r="N621" s="219"/>
      <c r="O621" s="219"/>
      <c r="P621" s="123"/>
      <c r="Q621" s="123"/>
      <c r="R621" s="123"/>
      <c r="T621" s="42"/>
      <c r="U621" s="42"/>
      <c r="V621" s="123"/>
      <c r="Y621" s="123"/>
      <c r="Z621" s="219"/>
      <c r="AA621" s="123"/>
      <c r="AB621" s="123"/>
      <c r="AC621" s="219"/>
      <c r="AD621" s="219"/>
      <c r="AE621" s="123"/>
      <c r="AF621" s="123"/>
      <c r="AH621" s="236"/>
      <c r="AI621" s="123"/>
      <c r="AJ621" s="123"/>
      <c r="AL621" s="123"/>
      <c r="AM621" s="160"/>
      <c r="AN621" s="160"/>
    </row>
    <row r="622" spans="1:40" x14ac:dyDescent="0.3">
      <c r="C622" s="42"/>
      <c r="D622" s="42"/>
      <c r="E622" s="42"/>
      <c r="F622" s="123"/>
      <c r="H622" s="123"/>
      <c r="I622" s="123"/>
      <c r="J622" s="219"/>
      <c r="K622" s="219"/>
      <c r="L622" s="123"/>
      <c r="M622" s="123"/>
      <c r="N622" s="219"/>
      <c r="O622" s="219"/>
      <c r="P622" s="123"/>
      <c r="Q622" s="123"/>
      <c r="R622" s="123"/>
      <c r="T622" s="42"/>
      <c r="U622" s="42"/>
      <c r="V622" s="123"/>
      <c r="Y622" s="123"/>
      <c r="Z622" s="219"/>
      <c r="AA622" s="123"/>
      <c r="AB622" s="123"/>
      <c r="AC622" s="219"/>
      <c r="AD622" s="219"/>
      <c r="AE622" s="123"/>
      <c r="AF622" s="123"/>
      <c r="AH622" s="236"/>
      <c r="AI622" s="123"/>
      <c r="AJ622" s="123"/>
      <c r="AL622" s="123"/>
      <c r="AM622" s="160"/>
      <c r="AN622" s="160"/>
    </row>
    <row r="623" spans="1:40" x14ac:dyDescent="0.3">
      <c r="C623" s="42"/>
      <c r="D623" s="42"/>
      <c r="E623" s="42"/>
      <c r="F623" s="123"/>
      <c r="H623" s="123"/>
      <c r="I623" s="123"/>
      <c r="J623" s="219"/>
      <c r="K623" s="219"/>
      <c r="L623" s="123"/>
      <c r="M623" s="123"/>
      <c r="N623" s="219"/>
      <c r="O623" s="219"/>
      <c r="P623" s="123"/>
      <c r="Q623" s="123"/>
      <c r="R623" s="123"/>
      <c r="T623" s="42"/>
      <c r="U623" s="42"/>
      <c r="V623" s="123"/>
      <c r="Y623" s="123"/>
      <c r="Z623" s="219"/>
      <c r="AA623" s="123"/>
      <c r="AB623" s="123"/>
      <c r="AC623" s="219"/>
      <c r="AD623" s="219"/>
      <c r="AE623" s="123"/>
      <c r="AF623" s="123"/>
      <c r="AH623" s="236"/>
      <c r="AI623" s="123"/>
      <c r="AJ623" s="123"/>
      <c r="AL623" s="123"/>
      <c r="AM623" s="160"/>
      <c r="AN623" s="160"/>
    </row>
    <row r="624" spans="1:40" x14ac:dyDescent="0.3">
      <c r="C624" s="42"/>
      <c r="D624" s="42"/>
      <c r="E624" s="42"/>
      <c r="F624" s="123"/>
      <c r="H624" s="123"/>
      <c r="I624" s="123"/>
      <c r="J624" s="219"/>
      <c r="K624" s="219"/>
      <c r="L624" s="123"/>
      <c r="M624" s="123"/>
      <c r="N624" s="219"/>
      <c r="O624" s="219"/>
      <c r="P624" s="123"/>
      <c r="Q624" s="123"/>
      <c r="R624" s="123"/>
      <c r="T624" s="42"/>
      <c r="U624" s="42"/>
      <c r="V624" s="123"/>
      <c r="Y624" s="123"/>
      <c r="Z624" s="219"/>
      <c r="AA624" s="123"/>
      <c r="AB624" s="123"/>
      <c r="AC624" s="219"/>
      <c r="AD624" s="219"/>
      <c r="AE624" s="123"/>
      <c r="AF624" s="123"/>
      <c r="AH624" s="236"/>
      <c r="AI624" s="123"/>
      <c r="AJ624" s="123"/>
      <c r="AL624" s="123"/>
      <c r="AM624" s="160"/>
      <c r="AN624" s="160"/>
    </row>
    <row r="625" spans="3:40" x14ac:dyDescent="0.3">
      <c r="C625" s="42"/>
      <c r="D625" s="42"/>
      <c r="E625" s="42"/>
      <c r="F625" s="123"/>
      <c r="H625" s="123"/>
      <c r="I625" s="123"/>
      <c r="J625" s="219"/>
      <c r="K625" s="219"/>
      <c r="L625" s="123"/>
      <c r="M625" s="123"/>
      <c r="N625" s="219"/>
      <c r="O625" s="219"/>
      <c r="P625" s="123"/>
      <c r="Q625" s="123"/>
      <c r="R625" s="123"/>
      <c r="T625" s="42"/>
      <c r="U625" s="42"/>
      <c r="V625" s="123"/>
      <c r="Y625" s="123"/>
      <c r="Z625" s="219"/>
      <c r="AA625" s="123"/>
      <c r="AB625" s="123"/>
      <c r="AC625" s="219"/>
      <c r="AD625" s="219"/>
      <c r="AE625" s="123"/>
      <c r="AF625" s="123"/>
      <c r="AH625" s="236"/>
      <c r="AI625" s="123"/>
      <c r="AJ625" s="123"/>
      <c r="AL625" s="123"/>
      <c r="AM625" s="160"/>
      <c r="AN625" s="160"/>
    </row>
    <row r="626" spans="3:40" x14ac:dyDescent="0.3">
      <c r="F626" s="123"/>
      <c r="H626" s="210"/>
      <c r="I626" s="210"/>
      <c r="J626" s="213"/>
      <c r="K626" s="213"/>
      <c r="L626" s="210"/>
      <c r="M626" s="210"/>
      <c r="N626" s="210"/>
      <c r="O626" s="210"/>
      <c r="P626" s="210"/>
      <c r="Q626" s="210"/>
      <c r="R626" s="210"/>
      <c r="V626" s="210"/>
      <c r="Y626" s="210"/>
      <c r="Z626" s="213"/>
      <c r="AA626" s="210"/>
      <c r="AB626" s="210"/>
      <c r="AC626" s="210"/>
      <c r="AD626" s="210"/>
      <c r="AE626" s="210"/>
      <c r="AF626" s="210"/>
      <c r="AI626" s="210"/>
      <c r="AJ626" s="210"/>
      <c r="AK626" s="214"/>
      <c r="AL626" s="210"/>
      <c r="AM626" s="160"/>
      <c r="AN626" s="160"/>
    </row>
    <row r="627" spans="3:40" x14ac:dyDescent="0.3">
      <c r="C627" s="42"/>
      <c r="F627" s="210"/>
      <c r="H627" s="123"/>
      <c r="I627" s="123"/>
      <c r="J627" s="219"/>
      <c r="K627" s="219"/>
      <c r="L627" s="123"/>
      <c r="M627" s="123"/>
      <c r="N627" s="219"/>
      <c r="O627" s="219"/>
      <c r="P627" s="123"/>
      <c r="Q627" s="123"/>
      <c r="R627" s="123"/>
      <c r="T627" s="42"/>
      <c r="V627" s="123"/>
      <c r="Y627" s="123"/>
      <c r="Z627" s="219"/>
      <c r="AA627" s="123"/>
      <c r="AB627" s="123"/>
      <c r="AC627" s="219"/>
      <c r="AD627" s="219"/>
      <c r="AE627" s="123"/>
      <c r="AF627" s="123"/>
      <c r="AH627" s="236"/>
      <c r="AI627" s="123"/>
      <c r="AJ627" s="123"/>
      <c r="AL627" s="123"/>
      <c r="AM627" s="160"/>
      <c r="AN627" s="160"/>
    </row>
    <row r="628" spans="3:40" x14ac:dyDescent="0.3">
      <c r="F628" s="123"/>
      <c r="H628" s="123"/>
      <c r="I628" s="123"/>
      <c r="J628" s="219"/>
      <c r="K628" s="219"/>
      <c r="L628" s="123"/>
      <c r="M628" s="123"/>
      <c r="N628" s="219"/>
      <c r="O628" s="219"/>
      <c r="P628" s="123"/>
      <c r="Q628" s="123"/>
      <c r="R628" s="123"/>
      <c r="V628" s="123"/>
      <c r="Y628" s="123"/>
      <c r="Z628" s="219"/>
      <c r="AA628" s="123"/>
      <c r="AB628" s="123"/>
      <c r="AC628" s="219"/>
      <c r="AD628" s="219"/>
      <c r="AH628" s="236"/>
      <c r="AI628" s="123"/>
      <c r="AJ628" s="123"/>
      <c r="AL628" s="123"/>
      <c r="AM628" s="160"/>
      <c r="AN628" s="160"/>
    </row>
    <row r="629" spans="3:40" x14ac:dyDescent="0.3">
      <c r="C629" s="42"/>
      <c r="D629" s="42"/>
      <c r="E629" s="42"/>
      <c r="F629" s="123"/>
      <c r="H629" s="123"/>
      <c r="I629" s="123"/>
      <c r="J629" s="219"/>
      <c r="K629" s="219"/>
      <c r="L629" s="123"/>
      <c r="M629" s="123"/>
      <c r="N629" s="219"/>
      <c r="O629" s="219"/>
      <c r="P629" s="123"/>
      <c r="Q629" s="123"/>
      <c r="R629" s="123"/>
      <c r="T629" s="42"/>
      <c r="U629" s="42"/>
      <c r="V629" s="123"/>
      <c r="Y629" s="123"/>
      <c r="Z629" s="219"/>
      <c r="AA629" s="123"/>
      <c r="AB629" s="123"/>
      <c r="AC629" s="219"/>
      <c r="AD629" s="219"/>
      <c r="AE629" s="123"/>
      <c r="AF629" s="123"/>
      <c r="AH629" s="236"/>
      <c r="AI629" s="123"/>
      <c r="AJ629" s="123"/>
      <c r="AL629" s="123"/>
      <c r="AM629" s="160"/>
      <c r="AN629" s="160"/>
    </row>
    <row r="630" spans="3:40" x14ac:dyDescent="0.3">
      <c r="F630" s="123"/>
      <c r="H630" s="210"/>
      <c r="I630" s="210"/>
      <c r="J630" s="213"/>
      <c r="K630" s="213"/>
      <c r="L630" s="210"/>
      <c r="M630" s="210"/>
      <c r="N630" s="210"/>
      <c r="O630" s="210"/>
      <c r="P630" s="210"/>
      <c r="Q630" s="210"/>
      <c r="R630" s="210"/>
      <c r="V630" s="210"/>
      <c r="Y630" s="210"/>
      <c r="Z630" s="213"/>
      <c r="AA630" s="210"/>
      <c r="AB630" s="210"/>
      <c r="AC630" s="210"/>
      <c r="AD630" s="210"/>
      <c r="AE630" s="210"/>
      <c r="AF630" s="210"/>
      <c r="AI630" s="210"/>
      <c r="AJ630" s="210"/>
      <c r="AK630" s="214"/>
      <c r="AL630" s="210"/>
      <c r="AM630" s="160"/>
      <c r="AN630" s="160"/>
    </row>
    <row r="631" spans="3:40" x14ac:dyDescent="0.3">
      <c r="C631" s="42"/>
      <c r="F631" s="210"/>
      <c r="H631" s="123"/>
      <c r="I631" s="123"/>
      <c r="J631" s="219"/>
      <c r="K631" s="219"/>
      <c r="L631" s="123"/>
      <c r="M631" s="123"/>
      <c r="N631" s="219"/>
      <c r="O631" s="219"/>
      <c r="P631" s="123"/>
      <c r="Q631" s="123"/>
      <c r="R631" s="123"/>
      <c r="T631" s="42"/>
      <c r="V631" s="123"/>
      <c r="Y631" s="123"/>
      <c r="Z631" s="219"/>
      <c r="AA631" s="123"/>
      <c r="AB631" s="123"/>
      <c r="AC631" s="219"/>
      <c r="AD631" s="219"/>
      <c r="AE631" s="123"/>
      <c r="AF631" s="123"/>
      <c r="AH631" s="236"/>
      <c r="AI631" s="123"/>
      <c r="AJ631" s="123"/>
      <c r="AL631" s="123"/>
      <c r="AM631" s="160"/>
      <c r="AN631" s="160"/>
    </row>
    <row r="632" spans="3:40" x14ac:dyDescent="0.3">
      <c r="F632" s="123"/>
      <c r="H632" s="123"/>
      <c r="I632" s="123"/>
      <c r="J632" s="219"/>
      <c r="K632" s="219"/>
      <c r="L632" s="123"/>
      <c r="M632" s="123"/>
      <c r="N632" s="219"/>
      <c r="O632" s="219"/>
      <c r="P632" s="123"/>
      <c r="Q632" s="123"/>
      <c r="R632" s="123"/>
      <c r="V632" s="123"/>
      <c r="Y632" s="123"/>
      <c r="Z632" s="219"/>
      <c r="AA632" s="123"/>
      <c r="AB632" s="123"/>
      <c r="AC632" s="219"/>
      <c r="AD632" s="219"/>
      <c r="AH632" s="236"/>
      <c r="AI632" s="123"/>
      <c r="AJ632" s="123"/>
      <c r="AL632" s="123"/>
      <c r="AM632" s="160"/>
      <c r="AN632" s="160"/>
    </row>
    <row r="633" spans="3:40" x14ac:dyDescent="0.3">
      <c r="C633" s="42"/>
      <c r="D633" s="42"/>
      <c r="E633" s="42"/>
      <c r="F633" s="123"/>
      <c r="H633" s="123"/>
      <c r="I633" s="123"/>
      <c r="J633" s="219"/>
      <c r="K633" s="219"/>
      <c r="L633" s="123"/>
      <c r="M633" s="123"/>
      <c r="N633" s="219"/>
      <c r="O633" s="219"/>
      <c r="P633" s="123"/>
      <c r="Q633" s="123"/>
      <c r="R633" s="123"/>
      <c r="T633" s="42"/>
      <c r="U633" s="42"/>
      <c r="V633" s="123"/>
      <c r="Y633" s="123"/>
      <c r="Z633" s="219"/>
      <c r="AA633" s="123"/>
      <c r="AB633" s="123"/>
      <c r="AC633" s="219"/>
      <c r="AD633" s="219"/>
      <c r="AE633" s="123"/>
      <c r="AF633" s="123"/>
      <c r="AH633" s="236"/>
      <c r="AI633" s="123"/>
      <c r="AJ633" s="123"/>
      <c r="AL633" s="123"/>
      <c r="AM633" s="160"/>
      <c r="AN633" s="160"/>
    </row>
    <row r="634" spans="3:40" x14ac:dyDescent="0.3">
      <c r="C634" s="42"/>
      <c r="D634" s="42"/>
      <c r="E634" s="42"/>
      <c r="F634" s="123"/>
      <c r="G634" s="123"/>
      <c r="H634" s="123"/>
      <c r="I634" s="123"/>
      <c r="J634" s="219"/>
      <c r="K634" s="219"/>
      <c r="L634" s="123"/>
      <c r="M634" s="123"/>
      <c r="N634" s="219"/>
      <c r="O634" s="219"/>
      <c r="P634" s="123"/>
      <c r="Q634" s="123"/>
      <c r="R634" s="123"/>
      <c r="T634" s="42"/>
      <c r="U634" s="42"/>
      <c r="V634" s="123"/>
      <c r="W634" s="123"/>
      <c r="X634" s="123"/>
      <c r="Y634" s="123"/>
      <c r="Z634" s="219"/>
      <c r="AA634" s="123"/>
      <c r="AB634" s="123"/>
      <c r="AC634" s="219"/>
      <c r="AD634" s="219"/>
      <c r="AE634" s="123"/>
      <c r="AF634" s="123"/>
      <c r="AH634" s="236"/>
      <c r="AI634" s="123"/>
      <c r="AJ634" s="123"/>
      <c r="AL634" s="123"/>
      <c r="AM634" s="160"/>
      <c r="AN634" s="160"/>
    </row>
    <row r="635" spans="3:40" x14ac:dyDescent="0.3">
      <c r="C635" s="42"/>
      <c r="D635" s="42"/>
      <c r="E635" s="42"/>
      <c r="F635" s="123"/>
      <c r="G635" s="123"/>
      <c r="H635" s="123"/>
      <c r="I635" s="123"/>
      <c r="J635" s="219"/>
      <c r="K635" s="219"/>
      <c r="L635" s="123"/>
      <c r="M635" s="123"/>
      <c r="N635" s="219"/>
      <c r="O635" s="219"/>
      <c r="P635" s="123"/>
      <c r="Q635" s="123"/>
      <c r="R635" s="123"/>
      <c r="T635" s="42"/>
      <c r="U635" s="42"/>
      <c r="V635" s="123"/>
      <c r="W635" s="123"/>
      <c r="X635" s="123"/>
      <c r="Y635" s="123"/>
      <c r="Z635" s="219"/>
      <c r="AA635" s="123"/>
      <c r="AB635" s="123"/>
      <c r="AC635" s="219"/>
      <c r="AD635" s="219"/>
      <c r="AE635" s="123"/>
      <c r="AF635" s="123"/>
      <c r="AH635" s="236"/>
      <c r="AI635" s="123"/>
      <c r="AJ635" s="123"/>
      <c r="AL635" s="123"/>
      <c r="AM635" s="160"/>
      <c r="AN635" s="160"/>
    </row>
    <row r="636" spans="3:40" x14ac:dyDescent="0.3">
      <c r="C636" s="42"/>
      <c r="D636" s="42"/>
      <c r="E636" s="42"/>
      <c r="F636" s="123"/>
      <c r="H636" s="123"/>
      <c r="I636" s="123"/>
      <c r="J636" s="219"/>
      <c r="K636" s="219"/>
      <c r="L636" s="123"/>
      <c r="M636" s="123"/>
      <c r="N636" s="219"/>
      <c r="O636" s="219"/>
      <c r="P636" s="123"/>
      <c r="Q636" s="123"/>
      <c r="R636" s="123"/>
      <c r="T636" s="42"/>
      <c r="U636" s="42"/>
      <c r="V636" s="123"/>
      <c r="Y636" s="123"/>
      <c r="Z636" s="219"/>
      <c r="AA636" s="123"/>
      <c r="AB636" s="123"/>
      <c r="AC636" s="219"/>
      <c r="AD636" s="219"/>
      <c r="AE636" s="123"/>
      <c r="AF636" s="123"/>
      <c r="AH636" s="236"/>
      <c r="AI636" s="123"/>
      <c r="AJ636" s="123"/>
      <c r="AL636" s="123"/>
      <c r="AM636" s="160"/>
      <c r="AN636" s="160"/>
    </row>
    <row r="637" spans="3:40" x14ac:dyDescent="0.3">
      <c r="C637" s="42"/>
      <c r="D637" s="42"/>
      <c r="E637" s="42"/>
      <c r="F637" s="123"/>
      <c r="H637" s="123"/>
      <c r="I637" s="123"/>
      <c r="J637" s="219"/>
      <c r="K637" s="219"/>
      <c r="L637" s="123"/>
      <c r="M637" s="123"/>
      <c r="N637" s="219"/>
      <c r="O637" s="219"/>
      <c r="P637" s="123"/>
      <c r="Q637" s="123"/>
      <c r="R637" s="123"/>
      <c r="T637" s="42"/>
      <c r="U637" s="42"/>
      <c r="V637" s="123"/>
      <c r="Y637" s="123"/>
      <c r="Z637" s="219"/>
      <c r="AA637" s="123"/>
      <c r="AB637" s="123"/>
      <c r="AC637" s="219"/>
      <c r="AD637" s="219"/>
      <c r="AE637" s="123"/>
      <c r="AF637" s="123"/>
      <c r="AH637" s="236"/>
      <c r="AI637" s="123"/>
      <c r="AJ637" s="123"/>
      <c r="AL637" s="123"/>
      <c r="AM637" s="160"/>
      <c r="AN637" s="160"/>
    </row>
    <row r="638" spans="3:40" x14ac:dyDescent="0.3">
      <c r="C638" s="42"/>
      <c r="D638" s="42"/>
      <c r="E638" s="42"/>
      <c r="F638" s="123"/>
      <c r="H638" s="123"/>
      <c r="I638" s="123"/>
      <c r="J638" s="219"/>
      <c r="K638" s="219"/>
      <c r="L638" s="123"/>
      <c r="M638" s="123"/>
      <c r="N638" s="219"/>
      <c r="O638" s="219"/>
      <c r="P638" s="123"/>
      <c r="Q638" s="123"/>
      <c r="R638" s="123"/>
      <c r="T638" s="42"/>
      <c r="U638" s="42"/>
      <c r="V638" s="123"/>
      <c r="Y638" s="123"/>
      <c r="Z638" s="219"/>
      <c r="AA638" s="123"/>
      <c r="AB638" s="123"/>
      <c r="AC638" s="219"/>
      <c r="AD638" s="219"/>
      <c r="AE638" s="123"/>
      <c r="AF638" s="123"/>
      <c r="AH638" s="236"/>
      <c r="AI638" s="123"/>
      <c r="AJ638" s="123"/>
      <c r="AL638" s="123"/>
      <c r="AM638" s="160"/>
      <c r="AN638" s="160"/>
    </row>
    <row r="639" spans="3:40" x14ac:dyDescent="0.3">
      <c r="C639" s="42"/>
      <c r="D639" s="42"/>
      <c r="E639" s="42"/>
      <c r="F639" s="123"/>
      <c r="H639" s="123"/>
      <c r="I639" s="123"/>
      <c r="J639" s="219"/>
      <c r="K639" s="219"/>
      <c r="L639" s="123"/>
      <c r="M639" s="123"/>
      <c r="N639" s="219"/>
      <c r="O639" s="219"/>
      <c r="P639" s="123"/>
      <c r="Q639" s="123"/>
      <c r="R639" s="123"/>
      <c r="T639" s="42"/>
      <c r="U639" s="42"/>
      <c r="V639" s="123"/>
      <c r="Y639" s="123"/>
      <c r="Z639" s="219"/>
      <c r="AA639" s="123"/>
      <c r="AB639" s="123"/>
      <c r="AC639" s="219"/>
      <c r="AD639" s="219"/>
      <c r="AE639" s="123"/>
      <c r="AF639" s="123"/>
      <c r="AH639" s="236"/>
      <c r="AI639" s="123"/>
      <c r="AJ639" s="123"/>
      <c r="AL639" s="123"/>
      <c r="AM639" s="160"/>
      <c r="AN639" s="160"/>
    </row>
    <row r="640" spans="3:40" x14ac:dyDescent="0.3">
      <c r="F640" s="123"/>
      <c r="H640" s="210"/>
      <c r="I640" s="210"/>
      <c r="J640" s="213"/>
      <c r="K640" s="213"/>
      <c r="L640" s="210"/>
      <c r="M640" s="210"/>
      <c r="N640" s="210"/>
      <c r="O640" s="210"/>
      <c r="P640" s="210"/>
      <c r="Q640" s="210"/>
      <c r="R640" s="210"/>
      <c r="V640" s="210"/>
      <c r="Y640" s="210"/>
      <c r="Z640" s="213"/>
      <c r="AA640" s="210"/>
      <c r="AB640" s="210"/>
      <c r="AC640" s="210"/>
      <c r="AD640" s="210"/>
      <c r="AE640" s="210"/>
      <c r="AF640" s="210"/>
      <c r="AI640" s="210"/>
      <c r="AJ640" s="210"/>
      <c r="AK640" s="214"/>
      <c r="AL640" s="210"/>
      <c r="AM640" s="160"/>
      <c r="AN640" s="160"/>
    </row>
    <row r="641" spans="3:40" x14ac:dyDescent="0.3">
      <c r="C641" s="42"/>
      <c r="F641" s="210"/>
      <c r="H641" s="123"/>
      <c r="I641" s="123"/>
      <c r="J641" s="219"/>
      <c r="K641" s="219"/>
      <c r="L641" s="123"/>
      <c r="M641" s="123"/>
      <c r="N641" s="219"/>
      <c r="O641" s="219"/>
      <c r="P641" s="123"/>
      <c r="Q641" s="123"/>
      <c r="R641" s="123"/>
      <c r="T641" s="42"/>
      <c r="V641" s="123"/>
      <c r="Y641" s="123"/>
      <c r="Z641" s="219"/>
      <c r="AA641" s="123"/>
      <c r="AB641" s="123"/>
      <c r="AC641" s="219"/>
      <c r="AD641" s="219"/>
      <c r="AE641" s="123"/>
      <c r="AF641" s="123"/>
      <c r="AH641" s="236"/>
      <c r="AI641" s="123"/>
      <c r="AJ641" s="123"/>
      <c r="AL641" s="123"/>
      <c r="AM641" s="160"/>
      <c r="AN641" s="160"/>
    </row>
    <row r="642" spans="3:40" x14ac:dyDescent="0.3">
      <c r="F642" s="123"/>
      <c r="V642" s="123"/>
      <c r="Y642" s="123"/>
      <c r="Z642" s="213"/>
      <c r="AA642" s="123"/>
      <c r="AB642" s="123"/>
      <c r="AC642" s="123"/>
      <c r="AD642" s="123"/>
      <c r="AE642" s="123"/>
      <c r="AF642" s="123"/>
      <c r="AI642" s="123"/>
      <c r="AJ642" s="123"/>
      <c r="AL642" s="123"/>
      <c r="AM642" s="160"/>
      <c r="AN642" s="160"/>
    </row>
    <row r="643" spans="3:40" x14ac:dyDescent="0.3">
      <c r="C643" s="42"/>
      <c r="D643" s="42"/>
      <c r="E643" s="42"/>
      <c r="L643" s="123"/>
      <c r="M643" s="123"/>
      <c r="N643" s="219"/>
      <c r="O643" s="219"/>
      <c r="R643" s="123"/>
      <c r="T643" s="42"/>
      <c r="U643" s="42"/>
      <c r="AA643" s="123"/>
      <c r="AB643" s="123"/>
      <c r="AC643" s="219"/>
      <c r="AD643" s="219"/>
      <c r="AE643" s="123"/>
      <c r="AF643" s="123"/>
      <c r="AH643" s="236"/>
      <c r="AL643" s="123"/>
      <c r="AM643" s="160"/>
      <c r="AN643" s="160"/>
    </row>
    <row r="644" spans="3:40" x14ac:dyDescent="0.3">
      <c r="D644" s="42"/>
      <c r="E644" s="42"/>
      <c r="H644" s="184"/>
      <c r="I644" s="184"/>
      <c r="J644" s="219"/>
      <c r="K644" s="219"/>
      <c r="L644" s="123"/>
      <c r="M644" s="123"/>
      <c r="N644" s="219"/>
      <c r="O644" s="219"/>
      <c r="P644" s="184"/>
      <c r="Q644" s="184"/>
      <c r="R644" s="123"/>
      <c r="U644" s="42"/>
      <c r="V644" s="123"/>
      <c r="Y644" s="123"/>
      <c r="Z644" s="219"/>
      <c r="AA644" s="123"/>
      <c r="AB644" s="123"/>
      <c r="AC644" s="219"/>
      <c r="AD644" s="219"/>
      <c r="AE644" s="123"/>
      <c r="AF644" s="123"/>
      <c r="AH644" s="236"/>
      <c r="AI644" s="123"/>
      <c r="AJ644" s="123"/>
      <c r="AL644" s="123"/>
      <c r="AM644" s="160"/>
      <c r="AN644" s="160"/>
    </row>
    <row r="645" spans="3:40" x14ac:dyDescent="0.3">
      <c r="F645" s="184"/>
      <c r="H645" s="210"/>
      <c r="I645" s="210"/>
      <c r="J645" s="213"/>
      <c r="K645" s="213"/>
      <c r="L645" s="210"/>
      <c r="M645" s="210"/>
      <c r="N645" s="210"/>
      <c r="O645" s="210"/>
      <c r="P645" s="210"/>
      <c r="Q645" s="210"/>
      <c r="R645" s="210"/>
      <c r="V645" s="210"/>
      <c r="Y645" s="210"/>
      <c r="Z645" s="213"/>
      <c r="AA645" s="210"/>
      <c r="AB645" s="210"/>
      <c r="AC645" s="210"/>
      <c r="AD645" s="210"/>
      <c r="AE645" s="210"/>
      <c r="AF645" s="210"/>
      <c r="AI645" s="210"/>
      <c r="AJ645" s="210"/>
      <c r="AK645" s="214"/>
      <c r="AL645" s="210"/>
      <c r="AM645" s="160"/>
      <c r="AN645" s="160"/>
    </row>
    <row r="646" spans="3:40" x14ac:dyDescent="0.3">
      <c r="C646" s="42"/>
      <c r="F646" s="210"/>
      <c r="H646" s="123"/>
      <c r="I646" s="123"/>
      <c r="J646" s="219"/>
      <c r="K646" s="219"/>
      <c r="L646" s="123"/>
      <c r="M646" s="123"/>
      <c r="N646" s="219"/>
      <c r="O646" s="219"/>
      <c r="P646" s="123"/>
      <c r="Q646" s="123"/>
      <c r="R646" s="123"/>
      <c r="T646" s="42"/>
      <c r="V646" s="123"/>
      <c r="Y646" s="123"/>
      <c r="Z646" s="219"/>
      <c r="AA646" s="123"/>
      <c r="AB646" s="123"/>
      <c r="AC646" s="219"/>
      <c r="AD646" s="219"/>
      <c r="AE646" s="123"/>
      <c r="AF646" s="123"/>
      <c r="AH646" s="236"/>
      <c r="AI646" s="123"/>
      <c r="AJ646" s="123"/>
      <c r="AL646" s="123"/>
      <c r="AM646" s="160"/>
      <c r="AN646" s="160"/>
    </row>
    <row r="647" spans="3:40" x14ac:dyDescent="0.3">
      <c r="F647" s="123"/>
      <c r="H647" s="123"/>
      <c r="I647" s="123"/>
      <c r="J647" s="219"/>
      <c r="K647" s="219"/>
      <c r="L647" s="123"/>
      <c r="M647" s="123"/>
      <c r="N647" s="219"/>
      <c r="O647" s="219"/>
      <c r="P647" s="123"/>
      <c r="Q647" s="123"/>
      <c r="R647" s="123"/>
      <c r="V647" s="123"/>
      <c r="Y647" s="123"/>
      <c r="Z647" s="219"/>
      <c r="AA647" s="123"/>
      <c r="AB647" s="123"/>
      <c r="AC647" s="219"/>
      <c r="AD647" s="219"/>
      <c r="AH647" s="236"/>
      <c r="AI647" s="123"/>
      <c r="AJ647" s="123"/>
      <c r="AL647" s="123"/>
      <c r="AM647" s="160"/>
      <c r="AN647" s="160"/>
    </row>
    <row r="648" spans="3:40" x14ac:dyDescent="0.3">
      <c r="D648" s="42"/>
      <c r="E648" s="42"/>
      <c r="F648" s="123"/>
      <c r="H648" s="123"/>
      <c r="I648" s="123"/>
      <c r="J648" s="219"/>
      <c r="K648" s="219"/>
      <c r="L648" s="184"/>
      <c r="M648" s="184"/>
      <c r="N648" s="219"/>
      <c r="O648" s="219"/>
      <c r="P648" s="123"/>
      <c r="Q648" s="123"/>
      <c r="R648" s="123"/>
      <c r="U648" s="42"/>
      <c r="V648" s="123"/>
      <c r="Y648" s="123"/>
      <c r="Z648" s="219"/>
      <c r="AA648" s="184"/>
      <c r="AB648" s="184"/>
      <c r="AC648" s="219"/>
      <c r="AD648" s="219"/>
      <c r="AE648" s="123"/>
      <c r="AF648" s="123"/>
      <c r="AH648" s="236"/>
      <c r="AI648" s="123"/>
      <c r="AJ648" s="123"/>
      <c r="AL648" s="123"/>
      <c r="AM648" s="160"/>
      <c r="AN648" s="160"/>
    </row>
    <row r="649" spans="3:40" x14ac:dyDescent="0.3">
      <c r="D649" s="42"/>
      <c r="E649" s="42"/>
      <c r="F649" s="123"/>
      <c r="H649" s="123"/>
      <c r="I649" s="123"/>
      <c r="J649" s="219"/>
      <c r="K649" s="219"/>
      <c r="L649" s="184"/>
      <c r="M649" s="184"/>
      <c r="N649" s="219"/>
      <c r="O649" s="219"/>
      <c r="P649" s="123"/>
      <c r="Q649" s="123"/>
      <c r="R649" s="123"/>
      <c r="U649" s="42"/>
      <c r="V649" s="123"/>
      <c r="Y649" s="123"/>
      <c r="Z649" s="219"/>
      <c r="AA649" s="184"/>
      <c r="AB649" s="184"/>
      <c r="AC649" s="219"/>
      <c r="AD649" s="219"/>
      <c r="AE649" s="123"/>
      <c r="AF649" s="123"/>
      <c r="AH649" s="236"/>
      <c r="AI649" s="123"/>
      <c r="AJ649" s="123"/>
      <c r="AL649" s="123"/>
      <c r="AM649" s="160"/>
      <c r="AN649" s="160"/>
    </row>
    <row r="650" spans="3:40" x14ac:dyDescent="0.3">
      <c r="D650" s="42"/>
      <c r="E650" s="42"/>
      <c r="F650" s="123"/>
      <c r="H650" s="123"/>
      <c r="I650" s="123"/>
      <c r="J650" s="219"/>
      <c r="K650" s="219"/>
      <c r="L650" s="184"/>
      <c r="M650" s="184"/>
      <c r="N650" s="219"/>
      <c r="O650" s="219"/>
      <c r="P650" s="123"/>
      <c r="Q650" s="123"/>
      <c r="R650" s="123"/>
      <c r="U650" s="42"/>
      <c r="V650" s="123"/>
      <c r="Y650" s="123"/>
      <c r="Z650" s="219"/>
      <c r="AA650" s="184"/>
      <c r="AB650" s="184"/>
      <c r="AC650" s="219"/>
      <c r="AD650" s="219"/>
      <c r="AE650" s="123"/>
      <c r="AF650" s="123"/>
      <c r="AH650" s="236"/>
      <c r="AI650" s="123"/>
      <c r="AJ650" s="123"/>
      <c r="AL650" s="123"/>
      <c r="AM650" s="160"/>
      <c r="AN650" s="160"/>
    </row>
    <row r="651" spans="3:40" x14ac:dyDescent="0.3">
      <c r="F651" s="123"/>
      <c r="H651" s="210"/>
      <c r="I651" s="210"/>
      <c r="J651" s="213"/>
      <c r="K651" s="213"/>
      <c r="L651" s="210"/>
      <c r="M651" s="210"/>
      <c r="N651" s="210"/>
      <c r="O651" s="210"/>
      <c r="P651" s="210"/>
      <c r="Q651" s="210"/>
      <c r="R651" s="210"/>
      <c r="V651" s="210"/>
      <c r="Y651" s="210"/>
      <c r="Z651" s="213"/>
      <c r="AA651" s="210"/>
      <c r="AB651" s="210"/>
      <c r="AC651" s="210"/>
      <c r="AD651" s="210"/>
      <c r="AE651" s="210"/>
      <c r="AF651" s="210"/>
      <c r="AI651" s="210"/>
      <c r="AJ651" s="210"/>
      <c r="AK651" s="214"/>
      <c r="AL651" s="210"/>
      <c r="AM651" s="160"/>
      <c r="AN651" s="160"/>
    </row>
    <row r="652" spans="3:40" x14ac:dyDescent="0.3">
      <c r="C652" s="42"/>
      <c r="F652" s="210"/>
      <c r="H652" s="123"/>
      <c r="I652" s="123"/>
      <c r="J652" s="219"/>
      <c r="K652" s="219"/>
      <c r="L652" s="123"/>
      <c r="M652" s="123"/>
      <c r="N652" s="219"/>
      <c r="O652" s="219"/>
      <c r="P652" s="123"/>
      <c r="Q652" s="123"/>
      <c r="R652" s="123"/>
      <c r="T652" s="42"/>
      <c r="V652" s="123"/>
      <c r="Y652" s="123"/>
      <c r="Z652" s="219"/>
      <c r="AA652" s="123"/>
      <c r="AB652" s="123"/>
      <c r="AC652" s="219"/>
      <c r="AD652" s="219"/>
      <c r="AE652" s="123"/>
      <c r="AF652" s="123"/>
      <c r="AH652" s="236"/>
      <c r="AI652" s="123"/>
      <c r="AJ652" s="123"/>
      <c r="AL652" s="123"/>
      <c r="AM652" s="160"/>
      <c r="AN652" s="160"/>
    </row>
    <row r="653" spans="3:40" x14ac:dyDescent="0.3">
      <c r="F653" s="123"/>
      <c r="H653" s="123"/>
      <c r="I653" s="123"/>
      <c r="J653" s="219"/>
      <c r="K653" s="219"/>
      <c r="L653" s="123"/>
      <c r="M653" s="123"/>
      <c r="N653" s="219"/>
      <c r="O653" s="219"/>
      <c r="P653" s="123"/>
      <c r="Q653" s="123"/>
      <c r="R653" s="123"/>
      <c r="V653" s="123"/>
      <c r="Y653" s="123"/>
      <c r="Z653" s="219"/>
      <c r="AA653" s="123"/>
      <c r="AB653" s="123"/>
      <c r="AC653" s="219"/>
      <c r="AD653" s="219"/>
      <c r="AH653" s="236"/>
      <c r="AI653" s="123"/>
      <c r="AJ653" s="123"/>
      <c r="AL653" s="123"/>
      <c r="AM653" s="160"/>
      <c r="AN653" s="160"/>
    </row>
    <row r="654" spans="3:40" x14ac:dyDescent="0.3">
      <c r="C654" s="42"/>
      <c r="F654" s="123"/>
      <c r="H654" s="123"/>
      <c r="I654" s="123"/>
      <c r="J654" s="219"/>
      <c r="K654" s="219"/>
      <c r="L654" s="123"/>
      <c r="M654" s="123"/>
      <c r="N654" s="219"/>
      <c r="O654" s="219"/>
      <c r="P654" s="123"/>
      <c r="Q654" s="123"/>
      <c r="R654" s="123"/>
      <c r="T654" s="42"/>
      <c r="V654" s="123"/>
      <c r="Y654" s="123"/>
      <c r="Z654" s="219"/>
      <c r="AA654" s="123"/>
      <c r="AB654" s="123"/>
      <c r="AC654" s="219"/>
      <c r="AD654" s="219"/>
      <c r="AE654" s="123"/>
      <c r="AF654" s="123"/>
      <c r="AH654" s="236"/>
      <c r="AI654" s="123"/>
      <c r="AJ654" s="123"/>
      <c r="AL654" s="123"/>
      <c r="AM654" s="160"/>
      <c r="AN654" s="160"/>
    </row>
    <row r="655" spans="3:40" x14ac:dyDescent="0.3">
      <c r="F655" s="123"/>
      <c r="H655" s="210"/>
      <c r="I655" s="210"/>
      <c r="J655" s="213"/>
      <c r="K655" s="213"/>
      <c r="L655" s="210"/>
      <c r="M655" s="210"/>
      <c r="N655" s="210"/>
      <c r="O655" s="210"/>
      <c r="P655" s="210"/>
      <c r="Q655" s="210"/>
      <c r="R655" s="210"/>
      <c r="V655" s="210"/>
      <c r="Y655" s="210"/>
      <c r="Z655" s="213"/>
      <c r="AA655" s="210"/>
      <c r="AB655" s="210"/>
      <c r="AC655" s="210"/>
      <c r="AD655" s="210"/>
      <c r="AE655" s="210"/>
      <c r="AF655" s="210"/>
      <c r="AI655" s="210"/>
      <c r="AJ655" s="210"/>
      <c r="AK655" s="214"/>
      <c r="AL655" s="210"/>
    </row>
    <row r="657" spans="1:20" x14ac:dyDescent="0.3">
      <c r="C657" s="42"/>
      <c r="F657" s="210"/>
      <c r="L657" s="123"/>
      <c r="M657" s="123"/>
      <c r="P657" s="123"/>
      <c r="Q657" s="123"/>
      <c r="R657" s="123"/>
      <c r="T657" s="42"/>
    </row>
    <row r="658" spans="1:20" x14ac:dyDescent="0.3">
      <c r="A658" s="42"/>
      <c r="L658" s="123"/>
      <c r="M658" s="123"/>
      <c r="P658" s="123"/>
      <c r="Q658" s="123"/>
      <c r="R658" s="123"/>
    </row>
    <row r="659" spans="1:20" x14ac:dyDescent="0.3">
      <c r="L659" s="123"/>
      <c r="M659" s="123"/>
      <c r="P659" s="123"/>
      <c r="Q659" s="123"/>
      <c r="R659" s="123"/>
    </row>
    <row r="660" spans="1:20" x14ac:dyDescent="0.3">
      <c r="L660" s="123"/>
      <c r="M660" s="123"/>
      <c r="P660" s="123"/>
      <c r="Q660" s="123"/>
      <c r="R660" s="123"/>
    </row>
    <row r="661" spans="1:20" x14ac:dyDescent="0.3">
      <c r="L661" s="123"/>
      <c r="M661" s="123"/>
      <c r="P661" s="123"/>
      <c r="Q661" s="123"/>
      <c r="R661" s="123"/>
    </row>
    <row r="662" spans="1:20" x14ac:dyDescent="0.3">
      <c r="L662" s="123"/>
      <c r="M662" s="123"/>
      <c r="P662" s="123"/>
      <c r="Q662" s="123"/>
      <c r="R662" s="123"/>
    </row>
    <row r="663" spans="1:20" x14ac:dyDescent="0.3">
      <c r="L663" s="123"/>
      <c r="M663" s="123"/>
      <c r="P663" s="123"/>
      <c r="Q663" s="123"/>
      <c r="R663" s="123"/>
    </row>
    <row r="696" spans="49:49" x14ac:dyDescent="0.3">
      <c r="AW696" s="123"/>
    </row>
    <row r="697" spans="49:49" x14ac:dyDescent="0.3">
      <c r="AW697" s="123"/>
    </row>
    <row r="698" spans="49:49" x14ac:dyDescent="0.3">
      <c r="AW698" s="123"/>
    </row>
    <row r="699" spans="49:49" x14ac:dyDescent="0.3">
      <c r="AW699" s="123"/>
    </row>
    <row r="700" spans="49:49" x14ac:dyDescent="0.3">
      <c r="AW700" s="123"/>
    </row>
    <row r="701" spans="49:49" x14ac:dyDescent="0.3">
      <c r="AW701" s="123"/>
    </row>
    <row r="704" spans="49:49" x14ac:dyDescent="0.3">
      <c r="AW704" s="123"/>
    </row>
    <row r="705" spans="49:49" x14ac:dyDescent="0.3">
      <c r="AW705" s="123"/>
    </row>
    <row r="706" spans="49:49" x14ac:dyDescent="0.3">
      <c r="AW706" s="123"/>
    </row>
    <row r="707" spans="49:49" x14ac:dyDescent="0.3">
      <c r="AW707" s="123"/>
    </row>
    <row r="708" spans="49:49" x14ac:dyDescent="0.3">
      <c r="AW708" s="123"/>
    </row>
    <row r="709" spans="49:49" x14ac:dyDescent="0.3">
      <c r="AW709" s="123"/>
    </row>
    <row r="710" spans="49:49" x14ac:dyDescent="0.3">
      <c r="AW710" s="123"/>
    </row>
    <row r="711" spans="49:49" x14ac:dyDescent="0.3">
      <c r="AW711" s="123"/>
    </row>
    <row r="714" spans="49:49" x14ac:dyDescent="0.3">
      <c r="AW714" s="123"/>
    </row>
    <row r="715" spans="49:49" x14ac:dyDescent="0.3">
      <c r="AW715" s="123"/>
    </row>
    <row r="718" spans="49:49" x14ac:dyDescent="0.3">
      <c r="AW718" s="123"/>
    </row>
    <row r="719" spans="49:49" x14ac:dyDescent="0.3">
      <c r="AW719" s="123"/>
    </row>
    <row r="720" spans="49:49" x14ac:dyDescent="0.3">
      <c r="AW720" s="123"/>
    </row>
    <row r="721" spans="45:57" x14ac:dyDescent="0.3">
      <c r="AW721" s="123"/>
    </row>
    <row r="729" spans="45:57" x14ac:dyDescent="0.3">
      <c r="AY729" s="42"/>
    </row>
    <row r="730" spans="45:57" x14ac:dyDescent="0.3">
      <c r="AY730" s="42"/>
    </row>
    <row r="731" spans="45:57" x14ac:dyDescent="0.3">
      <c r="BD731" s="42"/>
    </row>
    <row r="732" spans="45:57" x14ac:dyDescent="0.3">
      <c r="BD732" s="42"/>
    </row>
    <row r="733" spans="45:57" x14ac:dyDescent="0.3">
      <c r="AS733" s="42"/>
      <c r="BD733" s="42"/>
    </row>
    <row r="735" spans="45:57" x14ac:dyDescent="0.3">
      <c r="AS735" s="135"/>
      <c r="AT735" s="135"/>
      <c r="AU735" s="135"/>
      <c r="AV735" s="135"/>
      <c r="AW735" s="135"/>
      <c r="AX735" s="135"/>
      <c r="AY735" s="135"/>
      <c r="AZ735" s="135"/>
      <c r="BA735" s="135"/>
      <c r="BB735" s="135"/>
      <c r="BC735" s="135"/>
      <c r="BD735" s="135"/>
      <c r="BE735" s="135"/>
    </row>
    <row r="736" spans="45:57" x14ac:dyDescent="0.3">
      <c r="AX736" s="42"/>
    </row>
    <row r="737" spans="45:69" x14ac:dyDescent="0.3">
      <c r="AX737" s="135"/>
      <c r="AY737" s="135"/>
      <c r="AZ737" s="135"/>
      <c r="BA737" s="135"/>
      <c r="BC737" s="44"/>
      <c r="BD737" s="44"/>
    </row>
    <row r="738" spans="45:69" x14ac:dyDescent="0.3">
      <c r="AV738" s="44"/>
      <c r="AW738" s="44"/>
      <c r="AZ738" s="44"/>
      <c r="BA738" s="44"/>
      <c r="BC738" s="44"/>
      <c r="BD738" s="44"/>
      <c r="BE738" s="44"/>
      <c r="BG738" s="135"/>
      <c r="BH738" s="42"/>
      <c r="BK738" s="135"/>
      <c r="BM738" s="135"/>
      <c r="BN738" s="42"/>
      <c r="BQ738" s="135"/>
    </row>
    <row r="739" spans="45:69" x14ac:dyDescent="0.3"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H739" s="44"/>
      <c r="BI739" s="44"/>
      <c r="BJ739" s="44"/>
      <c r="BN739" s="44"/>
      <c r="BO739" s="44"/>
      <c r="BP739" s="44"/>
    </row>
    <row r="740" spans="45:69" x14ac:dyDescent="0.3">
      <c r="AS740" s="44"/>
      <c r="AU740" s="42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G740" s="44"/>
      <c r="BH740" s="44"/>
      <c r="BI740" s="44"/>
      <c r="BJ740" s="44"/>
      <c r="BK740" s="44"/>
      <c r="BM740" s="44"/>
      <c r="BN740" s="44"/>
      <c r="BO740" s="44"/>
      <c r="BP740" s="44"/>
      <c r="BQ740" s="44"/>
    </row>
    <row r="741" spans="45:69" x14ac:dyDescent="0.3">
      <c r="AS741" s="44"/>
      <c r="AU741" s="42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G741" s="44"/>
      <c r="BH741" s="44"/>
      <c r="BI741" s="44"/>
      <c r="BJ741" s="44"/>
      <c r="BK741" s="44"/>
      <c r="BM741" s="44"/>
      <c r="BN741" s="44"/>
      <c r="BO741" s="44"/>
      <c r="BP741" s="44"/>
      <c r="BQ741" s="44"/>
    </row>
    <row r="742" spans="45:69" x14ac:dyDescent="0.3">
      <c r="AS742" s="135"/>
      <c r="AT742" s="135"/>
      <c r="AU742" s="135"/>
      <c r="AV742" s="135"/>
      <c r="AW742" s="135"/>
      <c r="AX742" s="135"/>
      <c r="AY742" s="135"/>
      <c r="AZ742" s="135"/>
      <c r="BA742" s="135"/>
      <c r="BB742" s="135"/>
      <c r="BC742" s="135"/>
      <c r="BD742" s="135"/>
      <c r="BE742" s="135"/>
      <c r="BG742" s="135"/>
      <c r="BH742" s="135"/>
      <c r="BI742" s="135"/>
      <c r="BJ742" s="135"/>
      <c r="BK742" s="135"/>
      <c r="BM742" s="135"/>
      <c r="BN742" s="135"/>
      <c r="BO742" s="135"/>
      <c r="BP742" s="135"/>
      <c r="BQ742" s="135"/>
    </row>
    <row r="743" spans="45:69" x14ac:dyDescent="0.3"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</row>
    <row r="744" spans="45:69" x14ac:dyDescent="0.3">
      <c r="AU744" s="42"/>
      <c r="AV744" s="44"/>
      <c r="AY744" s="219"/>
    </row>
    <row r="745" spans="45:69" x14ac:dyDescent="0.3">
      <c r="AV745" s="44"/>
      <c r="AW745" s="123"/>
      <c r="AX745" s="188"/>
      <c r="AY745" s="188"/>
      <c r="AZ745" s="188"/>
      <c r="BA745" s="160"/>
      <c r="BB745" s="188"/>
      <c r="BC745" s="219"/>
      <c r="BD745" s="219"/>
      <c r="BE745" s="160"/>
      <c r="BG745" s="188"/>
      <c r="BH745" s="188"/>
      <c r="BI745" s="188"/>
      <c r="BJ745" s="188"/>
      <c r="BK745" s="188"/>
      <c r="BM745" s="188"/>
      <c r="BN745" s="188"/>
      <c r="BO745" s="188"/>
      <c r="BP745" s="188"/>
      <c r="BQ745" s="188"/>
    </row>
    <row r="746" spans="45:69" x14ac:dyDescent="0.3">
      <c r="AV746" s="44"/>
      <c r="AW746" s="123"/>
      <c r="AX746" s="188"/>
      <c r="AY746" s="188"/>
      <c r="AZ746" s="188"/>
      <c r="BA746" s="160"/>
      <c r="BB746" s="188"/>
      <c r="BC746" s="219"/>
      <c r="BD746" s="219"/>
      <c r="BE746" s="160"/>
      <c r="BG746" s="188"/>
      <c r="BH746" s="188"/>
      <c r="BI746" s="188"/>
      <c r="BJ746" s="188"/>
      <c r="BK746" s="188"/>
      <c r="BM746" s="188"/>
      <c r="BN746" s="188"/>
      <c r="BO746" s="188"/>
      <c r="BP746" s="188"/>
      <c r="BQ746" s="188"/>
    </row>
    <row r="747" spans="45:69" x14ac:dyDescent="0.3">
      <c r="AV747" s="44"/>
      <c r="AW747" s="123"/>
      <c r="AX747" s="188"/>
      <c r="AY747" s="188"/>
      <c r="AZ747" s="188"/>
      <c r="BA747" s="160"/>
      <c r="BB747" s="188"/>
      <c r="BC747" s="219"/>
      <c r="BD747" s="219"/>
      <c r="BE747" s="160"/>
      <c r="BG747" s="188"/>
      <c r="BH747" s="188"/>
      <c r="BI747" s="188"/>
      <c r="BJ747" s="188"/>
      <c r="BK747" s="188"/>
      <c r="BM747" s="188"/>
      <c r="BN747" s="188"/>
      <c r="BO747" s="188"/>
      <c r="BP747" s="188"/>
      <c r="BQ747" s="188"/>
    </row>
    <row r="748" spans="45:69" x14ac:dyDescent="0.3">
      <c r="AV748" s="44"/>
      <c r="AW748" s="123"/>
      <c r="AX748" s="188"/>
      <c r="AY748" s="188"/>
      <c r="AZ748" s="188"/>
      <c r="BA748" s="160"/>
      <c r="BB748" s="188"/>
      <c r="BC748" s="219"/>
      <c r="BD748" s="219"/>
      <c r="BE748" s="160"/>
      <c r="BG748" s="188"/>
      <c r="BH748" s="188"/>
      <c r="BI748" s="188"/>
      <c r="BJ748" s="188"/>
      <c r="BK748" s="188"/>
      <c r="BM748" s="188"/>
      <c r="BN748" s="188"/>
      <c r="BO748" s="188"/>
      <c r="BP748" s="188"/>
      <c r="BQ748" s="188"/>
    </row>
    <row r="749" spans="45:69" x14ac:dyDescent="0.3">
      <c r="AV749" s="44"/>
      <c r="AW749" s="123"/>
      <c r="AX749" s="188"/>
      <c r="AY749" s="188"/>
      <c r="AZ749" s="188"/>
      <c r="BA749" s="160"/>
      <c r="BB749" s="188"/>
      <c r="BC749" s="219"/>
      <c r="BD749" s="219"/>
      <c r="BE749" s="160"/>
      <c r="BG749" s="188"/>
      <c r="BH749" s="188"/>
      <c r="BI749" s="188"/>
      <c r="BJ749" s="188"/>
      <c r="BK749" s="188"/>
      <c r="BM749" s="188"/>
      <c r="BN749" s="188"/>
      <c r="BO749" s="188"/>
      <c r="BP749" s="188"/>
      <c r="BQ749" s="188"/>
    </row>
    <row r="750" spans="45:69" x14ac:dyDescent="0.3">
      <c r="AV750" s="44"/>
      <c r="AW750" s="123"/>
      <c r="AX750" s="188"/>
      <c r="AY750" s="188"/>
      <c r="AZ750" s="188"/>
      <c r="BA750" s="160"/>
      <c r="BB750" s="188"/>
      <c r="BC750" s="219"/>
      <c r="BD750" s="219"/>
      <c r="BE750" s="160"/>
      <c r="BG750" s="188"/>
      <c r="BH750" s="188"/>
      <c r="BI750" s="188"/>
      <c r="BJ750" s="188"/>
      <c r="BK750" s="188"/>
      <c r="BM750" s="188"/>
      <c r="BN750" s="188"/>
      <c r="BO750" s="188"/>
      <c r="BP750" s="188"/>
      <c r="BQ750" s="188"/>
    </row>
    <row r="751" spans="45:69" x14ac:dyDescent="0.3">
      <c r="AV751" s="44"/>
      <c r="AW751" s="123"/>
      <c r="AX751" s="188"/>
      <c r="AY751" s="188"/>
      <c r="AZ751" s="188"/>
      <c r="BA751" s="160"/>
      <c r="BB751" s="188"/>
      <c r="BC751" s="219"/>
      <c r="BD751" s="219"/>
      <c r="BE751" s="160"/>
      <c r="BG751" s="188"/>
      <c r="BH751" s="188"/>
      <c r="BI751" s="188"/>
      <c r="BJ751" s="188"/>
      <c r="BK751" s="188"/>
      <c r="BM751" s="188"/>
      <c r="BN751" s="188"/>
      <c r="BO751" s="188"/>
      <c r="BP751" s="188"/>
      <c r="BQ751" s="188"/>
    </row>
    <row r="752" spans="45:69" x14ac:dyDescent="0.3">
      <c r="AY752" s="219"/>
      <c r="AZ752" s="188"/>
      <c r="BA752" s="160"/>
      <c r="BB752" s="188"/>
      <c r="BC752" s="219"/>
      <c r="BD752" s="219"/>
      <c r="BE752" s="160"/>
      <c r="BK752" s="188"/>
      <c r="BQ752" s="188"/>
    </row>
    <row r="753" spans="45:69" x14ac:dyDescent="0.3">
      <c r="AV753" s="44"/>
      <c r="AY753" s="219"/>
      <c r="AZ753" s="188"/>
      <c r="BA753" s="160"/>
      <c r="BB753" s="188"/>
      <c r="BC753" s="219"/>
      <c r="BD753" s="219"/>
      <c r="BE753" s="160"/>
      <c r="BK753" s="188"/>
      <c r="BQ753" s="188"/>
    </row>
    <row r="754" spans="45:69" x14ac:dyDescent="0.3">
      <c r="AV754" s="44"/>
      <c r="AW754" s="123"/>
      <c r="AX754" s="188"/>
      <c r="AY754" s="188"/>
      <c r="AZ754" s="188"/>
      <c r="BA754" s="160"/>
      <c r="BB754" s="188"/>
      <c r="BC754" s="219"/>
      <c r="BD754" s="219"/>
      <c r="BE754" s="160"/>
      <c r="BG754" s="188"/>
      <c r="BH754" s="188"/>
      <c r="BI754" s="188"/>
      <c r="BJ754" s="188"/>
      <c r="BK754" s="188"/>
      <c r="BM754" s="188"/>
      <c r="BN754" s="188"/>
      <c r="BO754" s="188"/>
      <c r="BP754" s="188"/>
      <c r="BQ754" s="188"/>
    </row>
    <row r="755" spans="45:69" x14ac:dyDescent="0.3">
      <c r="AV755" s="44"/>
      <c r="AW755" s="123"/>
      <c r="AX755" s="188"/>
      <c r="AY755" s="188"/>
      <c r="AZ755" s="188"/>
      <c r="BA755" s="160"/>
      <c r="BB755" s="188"/>
      <c r="BC755" s="219"/>
      <c r="BD755" s="219"/>
      <c r="BE755" s="160"/>
      <c r="BG755" s="188"/>
      <c r="BH755" s="188"/>
      <c r="BI755" s="188"/>
      <c r="BJ755" s="188"/>
      <c r="BK755" s="188"/>
      <c r="BM755" s="188"/>
      <c r="BN755" s="188"/>
      <c r="BO755" s="188"/>
      <c r="BP755" s="188"/>
      <c r="BQ755" s="188"/>
    </row>
    <row r="756" spans="45:69" x14ac:dyDescent="0.3">
      <c r="AV756" s="44"/>
      <c r="AW756" s="123"/>
      <c r="AX756" s="188"/>
      <c r="AY756" s="188"/>
      <c r="AZ756" s="188"/>
      <c r="BA756" s="160"/>
      <c r="BB756" s="188"/>
      <c r="BC756" s="219"/>
      <c r="BD756" s="219"/>
      <c r="BE756" s="160"/>
      <c r="BG756" s="188"/>
      <c r="BH756" s="188"/>
      <c r="BI756" s="188"/>
      <c r="BJ756" s="188"/>
      <c r="BK756" s="188"/>
      <c r="BM756" s="188"/>
      <c r="BN756" s="188"/>
      <c r="BO756" s="188"/>
      <c r="BP756" s="188"/>
      <c r="BQ756" s="188"/>
    </row>
    <row r="757" spans="45:69" x14ac:dyDescent="0.3">
      <c r="AV757" s="44"/>
      <c r="AW757" s="123"/>
      <c r="AX757" s="188"/>
      <c r="AY757" s="188"/>
      <c r="AZ757" s="188"/>
      <c r="BA757" s="160"/>
      <c r="BB757" s="188"/>
      <c r="BC757" s="219"/>
      <c r="BD757" s="219"/>
      <c r="BE757" s="160"/>
      <c r="BG757" s="188"/>
      <c r="BH757" s="188"/>
      <c r="BI757" s="188"/>
      <c r="BJ757" s="188"/>
      <c r="BK757" s="188"/>
      <c r="BM757" s="188"/>
      <c r="BN757" s="188"/>
      <c r="BO757" s="188"/>
      <c r="BP757" s="188"/>
      <c r="BQ757" s="188"/>
    </row>
    <row r="758" spans="45:69" x14ac:dyDescent="0.3">
      <c r="AV758" s="44"/>
      <c r="AW758" s="123"/>
      <c r="AX758" s="188"/>
      <c r="AY758" s="188"/>
      <c r="AZ758" s="188"/>
      <c r="BA758" s="160"/>
      <c r="BB758" s="188"/>
      <c r="BC758" s="219"/>
      <c r="BD758" s="219"/>
      <c r="BE758" s="160"/>
      <c r="BG758" s="188"/>
      <c r="BH758" s="188"/>
      <c r="BI758" s="188"/>
      <c r="BJ758" s="188"/>
      <c r="BK758" s="188"/>
      <c r="BM758" s="188"/>
      <c r="BN758" s="188"/>
      <c r="BO758" s="188"/>
      <c r="BP758" s="188"/>
      <c r="BQ758" s="188"/>
    </row>
    <row r="759" spans="45:69" x14ac:dyDescent="0.3">
      <c r="AV759" s="44"/>
      <c r="AW759" s="123"/>
      <c r="AX759" s="188"/>
      <c r="AY759" s="188"/>
      <c r="AZ759" s="188"/>
      <c r="BA759" s="160"/>
      <c r="BB759" s="188"/>
      <c r="BC759" s="219"/>
      <c r="BD759" s="219"/>
      <c r="BE759" s="160"/>
      <c r="BG759" s="188"/>
      <c r="BH759" s="188"/>
      <c r="BI759" s="188"/>
      <c r="BJ759" s="188"/>
      <c r="BK759" s="188"/>
      <c r="BM759" s="188"/>
      <c r="BN759" s="188"/>
      <c r="BO759" s="188"/>
      <c r="BP759" s="188"/>
      <c r="BQ759" s="188"/>
    </row>
    <row r="760" spans="45:69" x14ac:dyDescent="0.3">
      <c r="AV760" s="44"/>
      <c r="AW760" s="123"/>
      <c r="AX760" s="188"/>
      <c r="AY760" s="188"/>
      <c r="AZ760" s="188"/>
      <c r="BA760" s="160"/>
      <c r="BB760" s="188"/>
      <c r="BC760" s="219"/>
      <c r="BD760" s="219"/>
      <c r="BE760" s="160"/>
      <c r="BG760" s="188"/>
      <c r="BH760" s="188"/>
      <c r="BI760" s="188"/>
      <c r="BJ760" s="188"/>
      <c r="BK760" s="188"/>
      <c r="BM760" s="188"/>
      <c r="BN760" s="188"/>
      <c r="BO760" s="188"/>
      <c r="BP760" s="188"/>
      <c r="BQ760" s="188"/>
    </row>
    <row r="761" spans="45:69" x14ac:dyDescent="0.3">
      <c r="AV761" s="44"/>
      <c r="AW761" s="123"/>
      <c r="AX761" s="188"/>
      <c r="AY761" s="188"/>
      <c r="AZ761" s="188"/>
      <c r="BA761" s="160"/>
      <c r="BB761" s="188"/>
      <c r="BC761" s="219"/>
      <c r="BD761" s="219"/>
      <c r="BE761" s="160"/>
      <c r="BG761" s="188"/>
      <c r="BH761" s="188"/>
      <c r="BI761" s="188"/>
      <c r="BJ761" s="188"/>
      <c r="BK761" s="188"/>
      <c r="BM761" s="188"/>
      <c r="BN761" s="188"/>
      <c r="BO761" s="188"/>
      <c r="BP761" s="188"/>
      <c r="BQ761" s="188"/>
    </row>
    <row r="762" spans="45:69" x14ac:dyDescent="0.3">
      <c r="AY762" s="219"/>
      <c r="AZ762" s="188"/>
      <c r="BA762" s="160"/>
      <c r="BB762" s="188"/>
      <c r="BC762" s="219"/>
      <c r="BD762" s="219"/>
      <c r="BE762" s="160"/>
      <c r="BK762" s="188"/>
      <c r="BQ762" s="188"/>
    </row>
    <row r="763" spans="45:69" x14ac:dyDescent="0.3">
      <c r="AU763" s="42"/>
      <c r="AZ763" s="188"/>
      <c r="BB763" s="188"/>
      <c r="BG763" s="188"/>
      <c r="BH763" s="188"/>
      <c r="BJ763" s="188"/>
      <c r="BK763" s="188"/>
    </row>
    <row r="764" spans="45:69" x14ac:dyDescent="0.3">
      <c r="AZ764" s="188"/>
      <c r="BB764" s="188"/>
    </row>
    <row r="765" spans="45:69" x14ac:dyDescent="0.3">
      <c r="AS765" s="42"/>
      <c r="AZ765" s="188"/>
      <c r="BB765" s="188"/>
      <c r="BI765" s="188"/>
    </row>
    <row r="766" spans="45:69" x14ac:dyDescent="0.3">
      <c r="AZ766" s="188"/>
      <c r="BB766" s="188"/>
    </row>
    <row r="767" spans="45:69" x14ac:dyDescent="0.3">
      <c r="AY767" s="188"/>
      <c r="BB767" s="188"/>
    </row>
    <row r="768" spans="45:69" x14ac:dyDescent="0.3">
      <c r="AY768" s="42"/>
      <c r="AZ768" s="188"/>
      <c r="BB768" s="188"/>
    </row>
    <row r="769" spans="45:75" x14ac:dyDescent="0.3">
      <c r="AY769" s="42"/>
      <c r="AZ769" s="188"/>
      <c r="BB769" s="188"/>
    </row>
    <row r="770" spans="45:75" x14ac:dyDescent="0.3">
      <c r="AZ770" s="188"/>
      <c r="BB770" s="188"/>
      <c r="BD770" s="42"/>
    </row>
    <row r="771" spans="45:75" x14ac:dyDescent="0.3">
      <c r="AZ771" s="188"/>
      <c r="BB771" s="188"/>
      <c r="BD771" s="42"/>
    </row>
    <row r="772" spans="45:75" x14ac:dyDescent="0.3">
      <c r="AS772" s="42"/>
      <c r="AZ772" s="188"/>
      <c r="BB772" s="188"/>
      <c r="BD772" s="42"/>
    </row>
    <row r="773" spans="45:75" x14ac:dyDescent="0.3">
      <c r="AZ773" s="188"/>
      <c r="BB773" s="188"/>
    </row>
    <row r="774" spans="45:75" x14ac:dyDescent="0.3">
      <c r="AS774" s="135"/>
      <c r="AT774" s="135"/>
      <c r="AU774" s="135"/>
      <c r="AV774" s="135"/>
      <c r="AW774" s="135"/>
      <c r="AX774" s="135"/>
      <c r="AY774" s="135"/>
      <c r="AZ774" s="244"/>
      <c r="BA774" s="135"/>
      <c r="BB774" s="244"/>
      <c r="BC774" s="135"/>
      <c r="BD774" s="135"/>
      <c r="BE774" s="135"/>
    </row>
    <row r="775" spans="45:75" x14ac:dyDescent="0.3">
      <c r="AX775" s="42"/>
      <c r="AZ775" s="188"/>
      <c r="BB775" s="188"/>
    </row>
    <row r="776" spans="45:75" x14ac:dyDescent="0.3">
      <c r="AX776" s="135"/>
      <c r="AY776" s="135"/>
      <c r="AZ776" s="244"/>
      <c r="BA776" s="135"/>
      <c r="BB776" s="188"/>
      <c r="BC776" s="44"/>
      <c r="BD776" s="44"/>
    </row>
    <row r="777" spans="45:75" x14ac:dyDescent="0.3">
      <c r="AV777" s="44"/>
      <c r="AW777" s="44"/>
      <c r="AZ777" s="245"/>
      <c r="BA777" s="44"/>
      <c r="BB777" s="188"/>
      <c r="BC777" s="44"/>
      <c r="BD777" s="44"/>
      <c r="BE777" s="44"/>
      <c r="BG777" s="135"/>
      <c r="BH777" s="135"/>
      <c r="BI777" s="42"/>
      <c r="BM777" s="135"/>
      <c r="BN777" s="135"/>
      <c r="BP777" s="135"/>
      <c r="BQ777" s="135"/>
      <c r="BR777" s="42"/>
      <c r="BV777" s="135"/>
      <c r="BW777" s="135"/>
    </row>
    <row r="778" spans="45:75" x14ac:dyDescent="0.3">
      <c r="AV778" s="44"/>
      <c r="AW778" s="44"/>
      <c r="AX778" s="44"/>
      <c r="AY778" s="44"/>
      <c r="AZ778" s="245"/>
      <c r="BA778" s="44"/>
      <c r="BB778" s="245"/>
      <c r="BC778" s="44"/>
      <c r="BD778" s="44"/>
      <c r="BE778" s="44"/>
      <c r="BH778" s="44"/>
      <c r="BI778" s="44"/>
      <c r="BJ778" s="44"/>
      <c r="BK778" s="44"/>
      <c r="BL778" s="44"/>
      <c r="BM778" s="44"/>
      <c r="BQ778" s="44"/>
      <c r="BR778" s="44"/>
      <c r="BS778" s="44"/>
      <c r="BT778" s="44"/>
      <c r="BU778" s="44"/>
      <c r="BV778" s="44"/>
    </row>
    <row r="779" spans="45:75" x14ac:dyDescent="0.3">
      <c r="AS779" s="44"/>
      <c r="AU779" s="42"/>
      <c r="AV779" s="44"/>
      <c r="AW779" s="44"/>
      <c r="AX779" s="44"/>
      <c r="AY779" s="44"/>
      <c r="AZ779" s="245"/>
      <c r="BA779" s="44"/>
      <c r="BB779" s="245"/>
      <c r="BC779" s="44"/>
      <c r="BD779" s="44"/>
      <c r="BE779" s="44"/>
      <c r="BG779" s="44"/>
      <c r="BH779" s="44"/>
      <c r="BI779" s="44"/>
      <c r="BJ779" s="44"/>
      <c r="BK779" s="44"/>
      <c r="BL779" s="44"/>
      <c r="BM779" s="44"/>
      <c r="BN779" s="44"/>
      <c r="BP779" s="44"/>
      <c r="BQ779" s="44"/>
      <c r="BR779" s="44"/>
      <c r="BS779" s="44"/>
      <c r="BT779" s="44"/>
      <c r="BU779" s="44"/>
      <c r="BV779" s="44"/>
      <c r="BW779" s="44"/>
    </row>
    <row r="780" spans="45:75" x14ac:dyDescent="0.3">
      <c r="AS780" s="44"/>
      <c r="AU780" s="42"/>
      <c r="AV780" s="44"/>
      <c r="AW780" s="44"/>
      <c r="AX780" s="44"/>
      <c r="AY780" s="44"/>
      <c r="AZ780" s="245"/>
      <c r="BA780" s="44"/>
      <c r="BB780" s="245"/>
      <c r="BC780" s="44"/>
      <c r="BD780" s="44"/>
      <c r="BE780" s="44"/>
      <c r="BG780" s="44"/>
      <c r="BH780" s="44"/>
      <c r="BI780" s="44"/>
      <c r="BJ780" s="44"/>
      <c r="BK780" s="44"/>
      <c r="BL780" s="44"/>
      <c r="BM780" s="44"/>
      <c r="BN780" s="44"/>
      <c r="BP780" s="44"/>
      <c r="BQ780" s="44"/>
      <c r="BR780" s="44"/>
      <c r="BS780" s="44"/>
      <c r="BT780" s="44"/>
      <c r="BU780" s="44"/>
      <c r="BV780" s="44"/>
      <c r="BW780" s="44"/>
    </row>
    <row r="781" spans="45:75" x14ac:dyDescent="0.3">
      <c r="AS781" s="135"/>
      <c r="AT781" s="135"/>
      <c r="AU781" s="135"/>
      <c r="AV781" s="135"/>
      <c r="AW781" s="135"/>
      <c r="AX781" s="135"/>
      <c r="AY781" s="135"/>
      <c r="AZ781" s="244"/>
      <c r="BA781" s="135"/>
      <c r="BB781" s="244"/>
      <c r="BC781" s="135"/>
      <c r="BD781" s="135"/>
      <c r="BE781" s="135"/>
      <c r="BG781" s="135"/>
      <c r="BH781" s="135"/>
      <c r="BI781" s="135"/>
      <c r="BJ781" s="135"/>
      <c r="BK781" s="135"/>
      <c r="BL781" s="135"/>
      <c r="BM781" s="135"/>
      <c r="BN781" s="135"/>
      <c r="BP781" s="135"/>
      <c r="BQ781" s="135"/>
      <c r="BR781" s="135"/>
      <c r="BS781" s="135"/>
      <c r="BT781" s="135"/>
      <c r="BU781" s="135"/>
      <c r="BV781" s="135"/>
      <c r="BW781" s="135"/>
    </row>
    <row r="782" spans="45:75" x14ac:dyDescent="0.3">
      <c r="AV782" s="44"/>
      <c r="AW782" s="44"/>
      <c r="AX782" s="44"/>
      <c r="AY782" s="44"/>
      <c r="AZ782" s="245"/>
      <c r="BA782" s="44"/>
      <c r="BB782" s="245"/>
      <c r="BC782" s="44"/>
      <c r="BD782" s="44"/>
      <c r="BE782" s="44"/>
      <c r="BG782" s="188"/>
      <c r="BH782" s="188"/>
      <c r="BI782" s="188"/>
      <c r="BJ782" s="188"/>
      <c r="BK782" s="188"/>
      <c r="BL782" s="188"/>
      <c r="BM782" s="188"/>
      <c r="BN782" s="188"/>
      <c r="BO782" s="188"/>
      <c r="BP782" s="188"/>
      <c r="BQ782" s="188"/>
      <c r="BR782" s="188"/>
      <c r="BS782" s="188"/>
      <c r="BT782" s="188"/>
      <c r="BU782" s="188"/>
      <c r="BV782" s="188"/>
      <c r="BW782" s="188"/>
    </row>
    <row r="783" spans="45:75" x14ac:dyDescent="0.3">
      <c r="AU783" s="42"/>
      <c r="AW783" s="123"/>
      <c r="AX783" s="188"/>
      <c r="AY783" s="188"/>
      <c r="AZ783" s="188"/>
      <c r="BA783" s="236"/>
      <c r="BB783" s="188"/>
      <c r="BC783" s="188"/>
      <c r="BD783" s="188"/>
      <c r="BE783" s="236"/>
      <c r="BG783" s="188"/>
      <c r="BH783" s="188"/>
      <c r="BI783" s="188"/>
      <c r="BJ783" s="188"/>
      <c r="BK783" s="188"/>
      <c r="BL783" s="188"/>
      <c r="BM783" s="188"/>
      <c r="BN783" s="188"/>
      <c r="BO783" s="188"/>
      <c r="BP783" s="188"/>
      <c r="BQ783" s="188"/>
      <c r="BR783" s="188"/>
      <c r="BS783" s="188"/>
      <c r="BT783" s="188"/>
      <c r="BU783" s="188"/>
      <c r="BV783" s="188"/>
      <c r="BW783" s="188"/>
    </row>
    <row r="784" spans="45:75" x14ac:dyDescent="0.3">
      <c r="AW784" s="123"/>
      <c r="AX784" s="188"/>
      <c r="AY784" s="188"/>
      <c r="AZ784" s="188"/>
      <c r="BA784" s="236"/>
      <c r="BB784" s="188"/>
      <c r="BC784" s="188"/>
      <c r="BD784" s="188"/>
      <c r="BE784" s="236"/>
      <c r="BG784" s="188"/>
      <c r="BH784" s="188"/>
      <c r="BI784" s="188"/>
      <c r="BJ784" s="188"/>
      <c r="BK784" s="188"/>
      <c r="BL784" s="188"/>
      <c r="BM784" s="188"/>
      <c r="BN784" s="188"/>
      <c r="BO784" s="188"/>
      <c r="BP784" s="188"/>
      <c r="BQ784" s="188"/>
      <c r="BR784" s="188"/>
      <c r="BS784" s="188"/>
      <c r="BT784" s="188"/>
      <c r="BU784" s="188"/>
      <c r="BV784" s="188"/>
      <c r="BW784" s="188"/>
    </row>
    <row r="785" spans="49:75" x14ac:dyDescent="0.3">
      <c r="AW785" s="123"/>
      <c r="AX785" s="188"/>
      <c r="AY785" s="188"/>
      <c r="AZ785" s="188"/>
      <c r="BA785" s="236"/>
      <c r="BB785" s="188"/>
      <c r="BC785" s="188"/>
      <c r="BD785" s="188"/>
      <c r="BE785" s="236"/>
      <c r="BG785" s="188"/>
      <c r="BH785" s="188"/>
      <c r="BI785" s="188"/>
      <c r="BJ785" s="188"/>
      <c r="BK785" s="188"/>
      <c r="BL785" s="188"/>
      <c r="BM785" s="188"/>
      <c r="BN785" s="188"/>
      <c r="BO785" s="188"/>
      <c r="BP785" s="188"/>
      <c r="BQ785" s="188"/>
      <c r="BR785" s="188"/>
      <c r="BS785" s="188"/>
      <c r="BT785" s="188"/>
      <c r="BU785" s="188"/>
      <c r="BV785" s="188"/>
      <c r="BW785" s="188"/>
    </row>
    <row r="786" spans="49:75" x14ac:dyDescent="0.3">
      <c r="AW786" s="123"/>
      <c r="AX786" s="188"/>
      <c r="AY786" s="188"/>
      <c r="AZ786" s="188"/>
      <c r="BA786" s="236"/>
      <c r="BB786" s="188"/>
      <c r="BC786" s="188"/>
      <c r="BD786" s="188"/>
      <c r="BE786" s="236"/>
      <c r="BG786" s="188"/>
      <c r="BH786" s="188"/>
      <c r="BI786" s="188"/>
      <c r="BJ786" s="188"/>
      <c r="BK786" s="188"/>
      <c r="BL786" s="188"/>
      <c r="BM786" s="188"/>
      <c r="BN786" s="188"/>
      <c r="BO786" s="188"/>
      <c r="BP786" s="188"/>
      <c r="BQ786" s="188"/>
      <c r="BR786" s="188"/>
      <c r="BS786" s="188"/>
      <c r="BT786" s="188"/>
      <c r="BU786" s="188"/>
      <c r="BV786" s="188"/>
      <c r="BW786" s="188"/>
    </row>
    <row r="787" spans="49:75" x14ac:dyDescent="0.3">
      <c r="AW787" s="123"/>
      <c r="AX787" s="188"/>
      <c r="AY787" s="188"/>
      <c r="AZ787" s="188"/>
      <c r="BA787" s="236"/>
      <c r="BB787" s="188"/>
      <c r="BC787" s="188"/>
      <c r="BD787" s="188"/>
      <c r="BE787" s="236"/>
      <c r="BG787" s="188"/>
      <c r="BH787" s="188"/>
      <c r="BI787" s="188"/>
      <c r="BJ787" s="188"/>
      <c r="BK787" s="188"/>
      <c r="BL787" s="188"/>
      <c r="BM787" s="188"/>
      <c r="BN787" s="188"/>
      <c r="BO787" s="188"/>
      <c r="BP787" s="188"/>
      <c r="BQ787" s="188"/>
      <c r="BR787" s="188"/>
      <c r="BS787" s="188"/>
      <c r="BT787" s="188"/>
      <c r="BU787" s="188"/>
      <c r="BV787" s="188"/>
      <c r="BW787" s="188"/>
    </row>
    <row r="788" spans="49:75" x14ac:dyDescent="0.3">
      <c r="AW788" s="123"/>
      <c r="AX788" s="188"/>
      <c r="AY788" s="188"/>
      <c r="AZ788" s="188"/>
      <c r="BA788" s="236"/>
      <c r="BB788" s="188"/>
      <c r="BC788" s="188"/>
      <c r="BD788" s="188"/>
      <c r="BE788" s="236"/>
      <c r="BG788" s="188"/>
      <c r="BH788" s="188"/>
      <c r="BI788" s="188"/>
      <c r="BJ788" s="188"/>
      <c r="BK788" s="188"/>
      <c r="BL788" s="188"/>
      <c r="BM788" s="188"/>
      <c r="BN788" s="188"/>
      <c r="BO788" s="188"/>
      <c r="BP788" s="188"/>
      <c r="BQ788" s="188"/>
      <c r="BR788" s="188"/>
      <c r="BS788" s="188"/>
      <c r="BT788" s="188"/>
      <c r="BU788" s="188"/>
      <c r="BV788" s="188"/>
      <c r="BW788" s="188"/>
    </row>
    <row r="789" spans="49:75" x14ac:dyDescent="0.3">
      <c r="AW789" s="123"/>
      <c r="AX789" s="188"/>
      <c r="AY789" s="188"/>
      <c r="AZ789" s="188"/>
      <c r="BA789" s="236"/>
      <c r="BB789" s="188"/>
      <c r="BC789" s="188"/>
      <c r="BD789" s="188"/>
      <c r="BE789" s="236"/>
      <c r="BG789" s="188"/>
      <c r="BH789" s="188"/>
      <c r="BI789" s="188"/>
      <c r="BJ789" s="188"/>
      <c r="BK789" s="188"/>
      <c r="BL789" s="188"/>
      <c r="BM789" s="188"/>
      <c r="BN789" s="188"/>
      <c r="BO789" s="188"/>
      <c r="BP789" s="188"/>
      <c r="BQ789" s="188"/>
      <c r="BR789" s="188"/>
      <c r="BS789" s="188"/>
      <c r="BT789" s="188"/>
      <c r="BU789" s="188"/>
      <c r="BV789" s="188"/>
      <c r="BW789" s="188"/>
    </row>
    <row r="790" spans="49:75" x14ac:dyDescent="0.3">
      <c r="AW790" s="123"/>
      <c r="AX790" s="188"/>
      <c r="AY790" s="188"/>
      <c r="AZ790" s="188"/>
      <c r="BA790" s="236"/>
      <c r="BB790" s="188"/>
      <c r="BC790" s="188"/>
      <c r="BD790" s="188"/>
      <c r="BE790" s="236"/>
      <c r="BG790" s="188"/>
      <c r="BH790" s="188"/>
      <c r="BI790" s="188"/>
      <c r="BJ790" s="188"/>
      <c r="BK790" s="188"/>
      <c r="BL790" s="188"/>
      <c r="BM790" s="188"/>
      <c r="BN790" s="188"/>
      <c r="BO790" s="188"/>
      <c r="BP790" s="188"/>
      <c r="BQ790" s="188"/>
      <c r="BR790" s="188"/>
      <c r="BS790" s="188"/>
      <c r="BT790" s="188"/>
      <c r="BU790" s="188"/>
      <c r="BV790" s="188"/>
      <c r="BW790" s="188"/>
    </row>
    <row r="791" spans="49:75" x14ac:dyDescent="0.3">
      <c r="AW791" s="123"/>
      <c r="AX791" s="188"/>
      <c r="AY791" s="188"/>
      <c r="AZ791" s="188"/>
      <c r="BA791" s="236"/>
      <c r="BB791" s="188"/>
      <c r="BC791" s="188"/>
      <c r="BD791" s="188"/>
      <c r="BE791" s="236"/>
      <c r="BG791" s="188"/>
      <c r="BH791" s="188"/>
      <c r="BI791" s="188"/>
      <c r="BJ791" s="188"/>
      <c r="BK791" s="188"/>
      <c r="BL791" s="188"/>
      <c r="BM791" s="188"/>
      <c r="BN791" s="188"/>
      <c r="BO791" s="188"/>
      <c r="BP791" s="188"/>
      <c r="BQ791" s="188"/>
      <c r="BR791" s="188"/>
      <c r="BS791" s="188"/>
      <c r="BT791" s="188"/>
      <c r="BU791" s="188"/>
      <c r="BV791" s="188"/>
      <c r="BW791" s="188"/>
    </row>
    <row r="792" spans="49:75" x14ac:dyDescent="0.3">
      <c r="AW792" s="123"/>
      <c r="AX792" s="188"/>
      <c r="AY792" s="188"/>
      <c r="AZ792" s="188"/>
      <c r="BA792" s="236"/>
      <c r="BB792" s="188"/>
      <c r="BC792" s="188"/>
      <c r="BD792" s="188"/>
      <c r="BE792" s="236"/>
      <c r="BG792" s="188"/>
      <c r="BH792" s="188"/>
      <c r="BI792" s="188"/>
      <c r="BJ792" s="188"/>
      <c r="BK792" s="188"/>
      <c r="BL792" s="188"/>
      <c r="BM792" s="188"/>
      <c r="BN792" s="188"/>
      <c r="BO792" s="188"/>
      <c r="BP792" s="188"/>
      <c r="BQ792" s="188"/>
      <c r="BR792" s="188"/>
      <c r="BS792" s="188"/>
      <c r="BT792" s="188"/>
      <c r="BU792" s="188"/>
      <c r="BV792" s="188"/>
      <c r="BW792" s="188"/>
    </row>
    <row r="793" spans="49:75" x14ac:dyDescent="0.3">
      <c r="AW793" s="123"/>
      <c r="AX793" s="188"/>
      <c r="AY793" s="188"/>
      <c r="AZ793" s="188"/>
      <c r="BA793" s="236"/>
      <c r="BB793" s="188"/>
      <c r="BC793" s="188"/>
      <c r="BD793" s="188"/>
      <c r="BE793" s="236"/>
      <c r="BG793" s="188"/>
      <c r="BH793" s="188"/>
      <c r="BI793" s="188"/>
      <c r="BJ793" s="188"/>
      <c r="BK793" s="188"/>
      <c r="BL793" s="188"/>
      <c r="BM793" s="188"/>
      <c r="BN793" s="188"/>
      <c r="BO793" s="188"/>
      <c r="BP793" s="188"/>
      <c r="BQ793" s="188"/>
      <c r="BR793" s="188"/>
      <c r="BS793" s="188"/>
      <c r="BT793" s="188"/>
      <c r="BU793" s="188"/>
      <c r="BV793" s="188"/>
      <c r="BW793" s="188"/>
    </row>
    <row r="794" spans="49:75" x14ac:dyDescent="0.3">
      <c r="AW794" s="123"/>
      <c r="AX794" s="188"/>
      <c r="AY794" s="188"/>
      <c r="AZ794" s="188"/>
      <c r="BA794" s="236"/>
      <c r="BB794" s="188"/>
      <c r="BC794" s="188"/>
      <c r="BD794" s="188"/>
      <c r="BE794" s="236"/>
      <c r="BG794" s="188"/>
      <c r="BH794" s="188"/>
      <c r="BI794" s="188"/>
      <c r="BJ794" s="188"/>
      <c r="BK794" s="188"/>
      <c r="BL794" s="188"/>
      <c r="BM794" s="188"/>
      <c r="BN794" s="188"/>
      <c r="BO794" s="188"/>
      <c r="BP794" s="188"/>
      <c r="BQ794" s="188"/>
      <c r="BR794" s="188"/>
      <c r="BS794" s="188"/>
      <c r="BT794" s="188"/>
      <c r="BU794" s="188"/>
      <c r="BV794" s="188"/>
      <c r="BW794" s="188"/>
    </row>
    <row r="795" spans="49:75" x14ac:dyDescent="0.3">
      <c r="AW795" s="123"/>
      <c r="AX795" s="188"/>
      <c r="AY795" s="188"/>
      <c r="AZ795" s="188"/>
      <c r="BA795" s="236"/>
      <c r="BB795" s="188"/>
      <c r="BC795" s="188"/>
      <c r="BD795" s="188"/>
      <c r="BE795" s="236"/>
      <c r="BG795" s="188"/>
      <c r="BH795" s="188"/>
      <c r="BI795" s="188"/>
      <c r="BJ795" s="188"/>
      <c r="BK795" s="188"/>
      <c r="BL795" s="188"/>
      <c r="BM795" s="188"/>
      <c r="BN795" s="188"/>
      <c r="BO795" s="188"/>
      <c r="BP795" s="188"/>
      <c r="BQ795" s="188"/>
      <c r="BR795" s="188"/>
      <c r="BS795" s="188"/>
      <c r="BT795" s="188"/>
      <c r="BU795" s="188"/>
      <c r="BV795" s="188"/>
      <c r="BW795" s="188"/>
    </row>
    <row r="796" spans="49:75" x14ac:dyDescent="0.3">
      <c r="AW796" s="123"/>
      <c r="AX796" s="188"/>
      <c r="AY796" s="188"/>
      <c r="AZ796" s="188"/>
      <c r="BA796" s="236"/>
      <c r="BB796" s="188"/>
      <c r="BC796" s="188"/>
      <c r="BD796" s="188"/>
      <c r="BE796" s="236"/>
      <c r="BG796" s="188"/>
      <c r="BH796" s="188"/>
      <c r="BI796" s="188"/>
      <c r="BJ796" s="188"/>
      <c r="BK796" s="188"/>
      <c r="BL796" s="188"/>
      <c r="BM796" s="188"/>
      <c r="BN796" s="188"/>
      <c r="BO796" s="188"/>
      <c r="BP796" s="188"/>
      <c r="BQ796" s="188"/>
      <c r="BR796" s="188"/>
      <c r="BS796" s="188"/>
      <c r="BT796" s="188"/>
      <c r="BU796" s="188"/>
      <c r="BV796" s="188"/>
      <c r="BW796" s="188"/>
    </row>
    <row r="797" spans="49:75" x14ac:dyDescent="0.3">
      <c r="AW797" s="123"/>
      <c r="AX797" s="188"/>
      <c r="AY797" s="188"/>
      <c r="AZ797" s="188"/>
      <c r="BA797" s="236"/>
      <c r="BB797" s="188"/>
      <c r="BC797" s="188"/>
      <c r="BD797" s="188"/>
      <c r="BE797" s="236"/>
      <c r="BG797" s="188"/>
      <c r="BH797" s="188"/>
      <c r="BI797" s="188"/>
      <c r="BJ797" s="188"/>
      <c r="BK797" s="188"/>
      <c r="BL797" s="188"/>
      <c r="BM797" s="188"/>
      <c r="BN797" s="188"/>
      <c r="BO797" s="188"/>
      <c r="BP797" s="188"/>
      <c r="BQ797" s="188"/>
      <c r="BR797" s="188"/>
      <c r="BS797" s="188"/>
      <c r="BT797" s="188"/>
      <c r="BU797" s="188"/>
      <c r="BV797" s="188"/>
      <c r="BW797" s="188"/>
    </row>
    <row r="798" spans="49:75" x14ac:dyDescent="0.3">
      <c r="AW798" s="123"/>
      <c r="AX798" s="188"/>
      <c r="AY798" s="188"/>
      <c r="AZ798" s="188"/>
      <c r="BA798" s="236"/>
      <c r="BB798" s="188"/>
      <c r="BC798" s="188"/>
      <c r="BD798" s="188"/>
      <c r="BE798" s="236"/>
      <c r="BG798" s="188"/>
      <c r="BH798" s="188"/>
      <c r="BI798" s="188"/>
      <c r="BJ798" s="188"/>
      <c r="BK798" s="188"/>
      <c r="BL798" s="188"/>
      <c r="BM798" s="188"/>
      <c r="BN798" s="188"/>
      <c r="BO798" s="188"/>
      <c r="BP798" s="188"/>
      <c r="BQ798" s="188"/>
      <c r="BR798" s="188"/>
      <c r="BS798" s="188"/>
      <c r="BT798" s="188"/>
      <c r="BU798" s="188"/>
      <c r="BV798" s="188"/>
      <c r="BW798" s="188"/>
    </row>
    <row r="799" spans="49:75" x14ac:dyDescent="0.3">
      <c r="AW799" s="123"/>
      <c r="AX799" s="188"/>
      <c r="AY799" s="188"/>
      <c r="AZ799" s="188"/>
      <c r="BA799" s="236"/>
      <c r="BB799" s="188"/>
      <c r="BC799" s="188"/>
      <c r="BD799" s="188"/>
      <c r="BE799" s="236"/>
      <c r="BG799" s="188"/>
      <c r="BH799" s="188"/>
      <c r="BI799" s="188"/>
      <c r="BJ799" s="188"/>
      <c r="BK799" s="188"/>
      <c r="BL799" s="188"/>
      <c r="BM799" s="188"/>
      <c r="BN799" s="188"/>
      <c r="BO799" s="188"/>
      <c r="BP799" s="188"/>
      <c r="BQ799" s="188"/>
      <c r="BR799" s="188"/>
      <c r="BS799" s="188"/>
      <c r="BT799" s="188"/>
      <c r="BU799" s="188"/>
      <c r="BV799" s="188"/>
      <c r="BW799" s="188"/>
    </row>
    <row r="800" spans="49:75" x14ac:dyDescent="0.3">
      <c r="AW800" s="123"/>
      <c r="AX800" s="188"/>
      <c r="AY800" s="188"/>
      <c r="AZ800" s="188"/>
      <c r="BA800" s="236"/>
      <c r="BB800" s="188"/>
      <c r="BC800" s="188"/>
      <c r="BD800" s="188"/>
      <c r="BE800" s="236"/>
      <c r="BG800" s="188"/>
      <c r="BH800" s="188"/>
      <c r="BI800" s="188"/>
      <c r="BJ800" s="188"/>
      <c r="BK800" s="188"/>
      <c r="BL800" s="188"/>
      <c r="BM800" s="188"/>
      <c r="BN800" s="188"/>
      <c r="BO800" s="188"/>
      <c r="BP800" s="188"/>
      <c r="BQ800" s="188"/>
      <c r="BR800" s="188"/>
      <c r="BS800" s="188"/>
      <c r="BT800" s="188"/>
      <c r="BU800" s="188"/>
      <c r="BV800" s="188"/>
      <c r="BW800" s="188"/>
    </row>
    <row r="801" spans="45:75" x14ac:dyDescent="0.3">
      <c r="AW801" s="123"/>
      <c r="AX801" s="188"/>
      <c r="AY801" s="188"/>
      <c r="AZ801" s="188"/>
      <c r="BA801" s="236"/>
      <c r="BB801" s="188"/>
      <c r="BC801" s="188"/>
      <c r="BD801" s="188"/>
      <c r="BE801" s="236"/>
      <c r="BG801" s="188"/>
      <c r="BH801" s="188"/>
      <c r="BI801" s="188"/>
      <c r="BJ801" s="188"/>
      <c r="BK801" s="188"/>
      <c r="BL801" s="188"/>
      <c r="BM801" s="188"/>
      <c r="BN801" s="188"/>
      <c r="BO801" s="188"/>
      <c r="BP801" s="188"/>
      <c r="BQ801" s="188"/>
      <c r="BR801" s="188"/>
      <c r="BS801" s="188"/>
      <c r="BT801" s="188"/>
      <c r="BU801" s="188"/>
      <c r="BV801" s="188"/>
      <c r="BW801" s="188"/>
    </row>
    <row r="802" spans="45:75" x14ac:dyDescent="0.3">
      <c r="AW802" s="123"/>
      <c r="AX802" s="188"/>
      <c r="AY802" s="188"/>
      <c r="AZ802" s="188"/>
      <c r="BA802" s="236"/>
      <c r="BB802" s="188"/>
      <c r="BC802" s="188"/>
      <c r="BD802" s="188"/>
      <c r="BE802" s="236"/>
      <c r="BG802" s="188"/>
      <c r="BH802" s="188"/>
      <c r="BI802" s="188"/>
      <c r="BJ802" s="188"/>
      <c r="BK802" s="188"/>
      <c r="BL802" s="188"/>
      <c r="BM802" s="188"/>
      <c r="BN802" s="188"/>
      <c r="BO802" s="188"/>
      <c r="BP802" s="188"/>
      <c r="BQ802" s="188"/>
      <c r="BR802" s="188"/>
      <c r="BS802" s="188"/>
      <c r="BT802" s="188"/>
      <c r="BU802" s="188"/>
      <c r="BV802" s="188"/>
      <c r="BW802" s="188"/>
    </row>
    <row r="803" spans="45:75" x14ac:dyDescent="0.3">
      <c r="AW803" s="123"/>
      <c r="AX803" s="188"/>
      <c r="AY803" s="188"/>
      <c r="AZ803" s="188"/>
      <c r="BA803" s="236"/>
      <c r="BB803" s="188"/>
      <c r="BC803" s="188"/>
      <c r="BD803" s="188"/>
      <c r="BE803" s="236"/>
      <c r="BG803" s="188"/>
      <c r="BH803" s="188"/>
      <c r="BI803" s="188"/>
      <c r="BJ803" s="188"/>
      <c r="BK803" s="188"/>
      <c r="BL803" s="188"/>
      <c r="BM803" s="188"/>
      <c r="BN803" s="188"/>
      <c r="BO803" s="188"/>
      <c r="BP803" s="188"/>
      <c r="BQ803" s="188"/>
      <c r="BR803" s="188"/>
      <c r="BS803" s="188"/>
      <c r="BT803" s="188"/>
      <c r="BU803" s="188"/>
      <c r="BV803" s="188"/>
      <c r="BW803" s="188"/>
    </row>
    <row r="804" spans="45:75" x14ac:dyDescent="0.3">
      <c r="AW804" s="123"/>
      <c r="AX804" s="188"/>
      <c r="AY804" s="188"/>
      <c r="AZ804" s="188"/>
      <c r="BA804" s="236"/>
      <c r="BB804" s="188"/>
      <c r="BC804" s="188"/>
      <c r="BD804" s="188"/>
      <c r="BE804" s="236"/>
      <c r="BG804" s="135"/>
      <c r="BH804" s="135"/>
      <c r="BI804" s="42"/>
      <c r="BM804" s="135"/>
      <c r="BN804" s="135"/>
      <c r="BO804" s="188"/>
      <c r="BP804" s="135"/>
      <c r="BQ804" s="135"/>
      <c r="BR804" s="42"/>
      <c r="BV804" s="135"/>
      <c r="BW804" s="135"/>
    </row>
    <row r="805" spans="45:75" x14ac:dyDescent="0.3">
      <c r="AU805" s="42"/>
      <c r="AV805" s="44"/>
      <c r="AW805" s="123"/>
      <c r="AX805" s="188"/>
      <c r="AY805" s="188"/>
      <c r="AZ805" s="188"/>
      <c r="BA805" s="236"/>
      <c r="BB805" s="188"/>
      <c r="BC805" s="188"/>
      <c r="BD805" s="188"/>
      <c r="BE805" s="236"/>
      <c r="BG805" s="245"/>
      <c r="BH805" s="188"/>
      <c r="BI805" s="188"/>
      <c r="BJ805" s="188"/>
      <c r="BK805" s="245"/>
      <c r="BL805" s="246"/>
      <c r="BM805" s="188"/>
      <c r="BN805" s="245"/>
      <c r="BO805" s="188"/>
      <c r="BP805" s="245"/>
      <c r="BQ805" s="188"/>
      <c r="BR805" s="188"/>
      <c r="BS805" s="188"/>
      <c r="BT805" s="245"/>
      <c r="BU805" s="246"/>
      <c r="BV805" s="188"/>
      <c r="BW805" s="245"/>
    </row>
    <row r="806" spans="45:75" x14ac:dyDescent="0.3">
      <c r="AV806" s="44"/>
      <c r="AW806" s="123"/>
      <c r="AX806" s="188"/>
      <c r="AY806" s="188"/>
      <c r="AZ806" s="188"/>
      <c r="BA806" s="236"/>
      <c r="BB806" s="188"/>
      <c r="BC806" s="188"/>
      <c r="BD806" s="188"/>
      <c r="BE806" s="236"/>
      <c r="BG806" s="188"/>
      <c r="BH806" s="188"/>
      <c r="BI806" s="188"/>
      <c r="BJ806" s="188"/>
      <c r="BK806" s="188"/>
      <c r="BL806" s="246"/>
      <c r="BM806" s="188"/>
      <c r="BN806" s="188"/>
      <c r="BO806" s="188"/>
      <c r="BP806" s="188"/>
      <c r="BQ806" s="188"/>
      <c r="BR806" s="188"/>
      <c r="BS806" s="188"/>
      <c r="BT806" s="188"/>
      <c r="BU806" s="246"/>
      <c r="BV806" s="188"/>
      <c r="BW806" s="188"/>
    </row>
    <row r="807" spans="45:75" x14ac:dyDescent="0.3">
      <c r="AV807" s="44"/>
      <c r="AW807" s="123"/>
      <c r="AX807" s="188"/>
      <c r="AY807" s="188"/>
      <c r="AZ807" s="188"/>
      <c r="BA807" s="236"/>
      <c r="BB807" s="188"/>
      <c r="BC807" s="188"/>
      <c r="BD807" s="188"/>
      <c r="BE807" s="236"/>
      <c r="BG807" s="188"/>
      <c r="BH807" s="188"/>
      <c r="BI807" s="188"/>
      <c r="BJ807" s="188"/>
      <c r="BK807" s="188"/>
      <c r="BL807" s="246"/>
      <c r="BM807" s="188"/>
      <c r="BN807" s="188"/>
      <c r="BO807" s="188"/>
      <c r="BP807" s="188"/>
      <c r="BQ807" s="188"/>
      <c r="BR807" s="188"/>
      <c r="BS807" s="188"/>
      <c r="BT807" s="188"/>
      <c r="BU807" s="246"/>
      <c r="BV807" s="188"/>
      <c r="BW807" s="188"/>
    </row>
    <row r="808" spans="45:75" x14ac:dyDescent="0.3">
      <c r="AV808" s="44"/>
      <c r="AW808" s="123"/>
      <c r="AX808" s="188"/>
      <c r="AY808" s="188"/>
      <c r="AZ808" s="188"/>
      <c r="BA808" s="236"/>
      <c r="BB808" s="188"/>
      <c r="BC808" s="188"/>
      <c r="BD808" s="188"/>
      <c r="BE808" s="236"/>
      <c r="BG808" s="188"/>
      <c r="BH808" s="188"/>
      <c r="BI808" s="188"/>
      <c r="BJ808" s="188"/>
      <c r="BK808" s="188"/>
      <c r="BL808" s="246"/>
      <c r="BM808" s="188"/>
      <c r="BN808" s="188"/>
      <c r="BO808" s="188"/>
      <c r="BP808" s="188"/>
      <c r="BQ808" s="188"/>
      <c r="BR808" s="188"/>
      <c r="BS808" s="188"/>
      <c r="BT808" s="188"/>
      <c r="BU808" s="246"/>
      <c r="BV808" s="188"/>
      <c r="BW808" s="188"/>
    </row>
    <row r="809" spans="45:75" x14ac:dyDescent="0.3">
      <c r="AX809" s="188"/>
      <c r="AY809" s="188"/>
      <c r="AZ809" s="188"/>
      <c r="BA809" s="236"/>
      <c r="BB809" s="188"/>
      <c r="BC809" s="188"/>
      <c r="BD809" s="188"/>
      <c r="BE809" s="236"/>
      <c r="BG809" s="188"/>
      <c r="BH809" s="188"/>
      <c r="BI809" s="188"/>
      <c r="BJ809" s="188"/>
      <c r="BK809" s="188"/>
      <c r="BL809" s="188"/>
      <c r="BM809" s="188"/>
      <c r="BN809" s="188"/>
      <c r="BO809" s="188"/>
      <c r="BP809" s="188"/>
      <c r="BQ809" s="188"/>
      <c r="BR809" s="188"/>
      <c r="BS809" s="188"/>
      <c r="BT809" s="188"/>
      <c r="BU809" s="188"/>
      <c r="BV809" s="188"/>
    </row>
    <row r="810" spans="45:75" x14ac:dyDescent="0.3">
      <c r="AU810" s="42"/>
    </row>
    <row r="811" spans="45:75" x14ac:dyDescent="0.3">
      <c r="AU811" s="42"/>
      <c r="AZ811" s="188"/>
      <c r="BA811" s="236"/>
      <c r="BB811" s="188"/>
      <c r="BC811" s="188"/>
      <c r="BD811" s="188"/>
      <c r="BE811" s="236"/>
      <c r="BG811" s="188"/>
      <c r="BH811" s="188"/>
      <c r="BI811" s="188"/>
      <c r="BJ811" s="188"/>
      <c r="BK811" s="188"/>
      <c r="BL811" s="188"/>
      <c r="BM811" s="188"/>
      <c r="BN811" s="188"/>
      <c r="BO811" s="188"/>
      <c r="BP811" s="188"/>
      <c r="BQ811" s="188"/>
      <c r="BR811" s="188"/>
      <c r="BS811" s="188"/>
      <c r="BT811" s="188"/>
      <c r="BU811" s="188"/>
      <c r="BV811" s="188"/>
    </row>
    <row r="812" spans="45:75" x14ac:dyDescent="0.3">
      <c r="AS812" s="42"/>
      <c r="AZ812" s="188"/>
      <c r="BB812" s="188"/>
    </row>
    <row r="813" spans="45:75" x14ac:dyDescent="0.3">
      <c r="AZ813" s="188"/>
      <c r="BB813" s="188"/>
      <c r="BO813" s="188"/>
      <c r="BP813" s="188"/>
      <c r="BQ813" s="188"/>
      <c r="BR813" s="188"/>
      <c r="BS813" s="188"/>
      <c r="BT813" s="188"/>
      <c r="BU813" s="188"/>
      <c r="BV813" s="188"/>
    </row>
    <row r="814" spans="45:75" x14ac:dyDescent="0.3">
      <c r="AY814" s="188"/>
      <c r="AZ814" s="188"/>
      <c r="BB814" s="188"/>
      <c r="BO814" s="188"/>
      <c r="BP814" s="188"/>
      <c r="BQ814" s="188"/>
      <c r="BR814" s="188"/>
      <c r="BS814" s="188"/>
      <c r="BT814" s="188"/>
      <c r="BU814" s="188"/>
      <c r="BV814" s="188"/>
    </row>
    <row r="815" spans="45:75" x14ac:dyDescent="0.3">
      <c r="AY815" s="42"/>
      <c r="AZ815" s="188"/>
      <c r="BB815" s="188"/>
      <c r="BO815" s="188"/>
      <c r="BP815" s="188"/>
      <c r="BQ815" s="188"/>
      <c r="BR815" s="188"/>
      <c r="BS815" s="188"/>
      <c r="BT815" s="188"/>
      <c r="BU815" s="188"/>
      <c r="BV815" s="188"/>
    </row>
    <row r="816" spans="45:75" x14ac:dyDescent="0.3">
      <c r="AY816" s="42"/>
      <c r="AZ816" s="188"/>
      <c r="BB816" s="188"/>
      <c r="BO816" s="188"/>
      <c r="BP816" s="188"/>
      <c r="BQ816" s="188"/>
      <c r="BR816" s="188"/>
      <c r="BS816" s="188"/>
      <c r="BT816" s="188"/>
      <c r="BU816" s="188"/>
      <c r="BV816" s="188"/>
    </row>
    <row r="817" spans="45:74" x14ac:dyDescent="0.3">
      <c r="AZ817" s="188"/>
      <c r="BB817" s="188"/>
      <c r="BD817" s="42"/>
      <c r="BO817" s="188"/>
      <c r="BP817" s="188"/>
      <c r="BQ817" s="188"/>
      <c r="BR817" s="188"/>
      <c r="BS817" s="188"/>
      <c r="BT817" s="188"/>
      <c r="BU817" s="188"/>
      <c r="BV817" s="188"/>
    </row>
    <row r="818" spans="45:74" x14ac:dyDescent="0.3">
      <c r="AZ818" s="188"/>
      <c r="BB818" s="188"/>
      <c r="BD818" s="42"/>
      <c r="BO818" s="188"/>
      <c r="BP818" s="188"/>
      <c r="BQ818" s="188"/>
      <c r="BR818" s="188"/>
      <c r="BS818" s="188"/>
      <c r="BT818" s="188"/>
      <c r="BU818" s="188"/>
      <c r="BV818" s="188"/>
    </row>
    <row r="819" spans="45:74" x14ac:dyDescent="0.3">
      <c r="AS819" s="42"/>
      <c r="AZ819" s="188"/>
      <c r="BB819" s="188"/>
      <c r="BD819" s="42"/>
      <c r="BO819" s="188"/>
      <c r="BP819" s="188"/>
      <c r="BQ819" s="188"/>
      <c r="BR819" s="188"/>
      <c r="BS819" s="188"/>
      <c r="BT819" s="188"/>
      <c r="BU819" s="188"/>
      <c r="BV819" s="188"/>
    </row>
    <row r="820" spans="45:74" x14ac:dyDescent="0.3">
      <c r="AZ820" s="188"/>
      <c r="BB820" s="188"/>
      <c r="BO820" s="188"/>
      <c r="BP820" s="188"/>
      <c r="BQ820" s="188"/>
      <c r="BR820" s="188"/>
      <c r="BS820" s="188"/>
      <c r="BT820" s="188"/>
      <c r="BU820" s="188"/>
      <c r="BV820" s="188"/>
    </row>
    <row r="821" spans="45:74" x14ac:dyDescent="0.3">
      <c r="AS821" s="135"/>
      <c r="AT821" s="135"/>
      <c r="AU821" s="135"/>
      <c r="AV821" s="135"/>
      <c r="AW821" s="135"/>
      <c r="AX821" s="135"/>
      <c r="AY821" s="135"/>
      <c r="AZ821" s="244"/>
      <c r="BA821" s="135"/>
      <c r="BB821" s="244"/>
      <c r="BC821" s="135"/>
      <c r="BD821" s="135"/>
      <c r="BE821" s="135"/>
      <c r="BO821" s="188"/>
      <c r="BP821" s="188"/>
      <c r="BQ821" s="188"/>
      <c r="BR821" s="188"/>
      <c r="BS821" s="188"/>
      <c r="BT821" s="188"/>
      <c r="BU821" s="188"/>
      <c r="BV821" s="188"/>
    </row>
    <row r="822" spans="45:74" x14ac:dyDescent="0.3">
      <c r="AX822" s="42"/>
      <c r="AZ822" s="188"/>
      <c r="BB822" s="188"/>
      <c r="BO822" s="188"/>
      <c r="BP822" s="188"/>
      <c r="BQ822" s="188"/>
      <c r="BR822" s="188"/>
      <c r="BS822" s="188"/>
      <c r="BT822" s="188"/>
      <c r="BU822" s="188"/>
      <c r="BV822" s="188"/>
    </row>
    <row r="823" spans="45:74" x14ac:dyDescent="0.3">
      <c r="AX823" s="135"/>
      <c r="AY823" s="135"/>
      <c r="AZ823" s="244"/>
      <c r="BA823" s="135"/>
      <c r="BB823" s="188"/>
      <c r="BC823" s="44"/>
      <c r="BD823" s="44"/>
      <c r="BO823" s="188"/>
      <c r="BP823" s="188"/>
      <c r="BQ823" s="188"/>
      <c r="BR823" s="188"/>
      <c r="BS823" s="188"/>
      <c r="BT823" s="188"/>
      <c r="BU823" s="188"/>
      <c r="BV823" s="188"/>
    </row>
    <row r="824" spans="45:74" x14ac:dyDescent="0.3">
      <c r="AV824" s="44"/>
      <c r="AW824" s="44"/>
      <c r="AZ824" s="245"/>
      <c r="BA824" s="44"/>
      <c r="BB824" s="188"/>
      <c r="BC824" s="44"/>
      <c r="BD824" s="44"/>
      <c r="BE824" s="44"/>
      <c r="BG824" s="135"/>
      <c r="BH824" s="42"/>
      <c r="BK824" s="135"/>
      <c r="BM824" s="135"/>
      <c r="BN824" s="42"/>
      <c r="BQ824" s="135"/>
    </row>
    <row r="825" spans="45:74" x14ac:dyDescent="0.3">
      <c r="AV825" s="44"/>
      <c r="AW825" s="44"/>
      <c r="AX825" s="44"/>
      <c r="AY825" s="44"/>
      <c r="AZ825" s="245"/>
      <c r="BA825" s="44"/>
      <c r="BB825" s="245"/>
      <c r="BC825" s="44"/>
      <c r="BD825" s="44"/>
      <c r="BE825" s="44"/>
      <c r="BH825" s="44"/>
      <c r="BI825" s="44"/>
      <c r="BN825" s="44"/>
      <c r="BO825" s="44"/>
    </row>
    <row r="826" spans="45:74" x14ac:dyDescent="0.3">
      <c r="AS826" s="44"/>
      <c r="AU826" s="42"/>
      <c r="AV826" s="44"/>
      <c r="AW826" s="44"/>
      <c r="AX826" s="44"/>
      <c r="AY826" s="44"/>
      <c r="AZ826" s="245"/>
      <c r="BA826" s="44"/>
      <c r="BB826" s="245"/>
      <c r="BC826" s="44"/>
      <c r="BD826" s="44"/>
      <c r="BE826" s="44"/>
      <c r="BG826" s="44"/>
      <c r="BH826" s="44"/>
      <c r="BI826" s="44"/>
      <c r="BJ826" s="44"/>
      <c r="BK826" s="44"/>
      <c r="BM826" s="44"/>
      <c r="BN826" s="44"/>
      <c r="BO826" s="44"/>
      <c r="BP826" s="44"/>
      <c r="BQ826" s="44"/>
    </row>
    <row r="827" spans="45:74" x14ac:dyDescent="0.3">
      <c r="AS827" s="44"/>
      <c r="AU827" s="42"/>
      <c r="AV827" s="44"/>
      <c r="AW827" s="44"/>
      <c r="AX827" s="44"/>
      <c r="AY827" s="44"/>
      <c r="AZ827" s="245"/>
      <c r="BA827" s="44"/>
      <c r="BB827" s="245"/>
      <c r="BC827" s="44"/>
      <c r="BD827" s="44"/>
      <c r="BE827" s="44"/>
      <c r="BG827" s="44"/>
      <c r="BH827" s="44"/>
      <c r="BI827" s="44"/>
      <c r="BJ827" s="44"/>
      <c r="BK827" s="44"/>
      <c r="BM827" s="44"/>
      <c r="BN827" s="44"/>
      <c r="BO827" s="44"/>
      <c r="BP827" s="44"/>
      <c r="BQ827" s="44"/>
    </row>
    <row r="828" spans="45:74" x14ac:dyDescent="0.3">
      <c r="AS828" s="135"/>
      <c r="AT828" s="135"/>
      <c r="AU828" s="135"/>
      <c r="AV828" s="135"/>
      <c r="AW828" s="135"/>
      <c r="AX828" s="135"/>
      <c r="AY828" s="135"/>
      <c r="AZ828" s="244"/>
      <c r="BA828" s="135"/>
      <c r="BB828" s="244"/>
      <c r="BC828" s="135"/>
      <c r="BD828" s="135"/>
      <c r="BE828" s="135"/>
      <c r="BG828" s="135"/>
      <c r="BH828" s="135"/>
      <c r="BI828" s="135"/>
      <c r="BJ828" s="135"/>
      <c r="BK828" s="135"/>
      <c r="BM828" s="135"/>
      <c r="BN828" s="135"/>
      <c r="BO828" s="135"/>
      <c r="BP828" s="135"/>
      <c r="BQ828" s="135"/>
    </row>
    <row r="829" spans="45:74" x14ac:dyDescent="0.3">
      <c r="AV829" s="44"/>
      <c r="AW829" s="44"/>
      <c r="AX829" s="44"/>
      <c r="AY829" s="44"/>
      <c r="AZ829" s="245"/>
      <c r="BA829" s="44"/>
      <c r="BB829" s="245"/>
      <c r="BC829" s="44"/>
      <c r="BD829" s="44"/>
      <c r="BE829" s="44"/>
      <c r="BG829" s="188"/>
      <c r="BH829" s="188"/>
      <c r="BI829" s="188"/>
      <c r="BJ829" s="188"/>
      <c r="BK829" s="188"/>
      <c r="BL829" s="188"/>
      <c r="BM829" s="188"/>
      <c r="BN829" s="188"/>
      <c r="BO829" s="188"/>
      <c r="BP829" s="188"/>
      <c r="BQ829" s="188"/>
    </row>
    <row r="830" spans="45:74" x14ac:dyDescent="0.3">
      <c r="AT830" s="42"/>
      <c r="AV830" s="123"/>
      <c r="AW830" s="123"/>
      <c r="AX830" s="188"/>
      <c r="AY830" s="188"/>
      <c r="AZ830" s="188"/>
      <c r="BA830" s="236"/>
      <c r="BB830" s="188"/>
      <c r="BC830" s="188"/>
      <c r="BD830" s="188"/>
      <c r="BE830" s="236"/>
      <c r="BG830" s="188"/>
      <c r="BH830" s="188"/>
      <c r="BI830" s="188"/>
      <c r="BJ830" s="188"/>
      <c r="BK830" s="188"/>
      <c r="BL830" s="188"/>
      <c r="BM830" s="188"/>
      <c r="BN830" s="188"/>
      <c r="BO830" s="188"/>
      <c r="BP830" s="188"/>
      <c r="BQ830" s="188"/>
      <c r="BR830" s="188"/>
      <c r="BS830" s="188"/>
    </row>
    <row r="831" spans="45:74" x14ac:dyDescent="0.3">
      <c r="AV831" s="123"/>
      <c r="AW831" s="123"/>
      <c r="AX831" s="188"/>
      <c r="AY831" s="188"/>
      <c r="AZ831" s="188"/>
      <c r="BA831" s="236"/>
      <c r="BB831" s="188"/>
      <c r="BC831" s="188"/>
      <c r="BD831" s="188"/>
      <c r="BE831" s="236"/>
      <c r="BG831" s="188"/>
      <c r="BH831" s="188"/>
      <c r="BI831" s="188"/>
      <c r="BJ831" s="188"/>
      <c r="BK831" s="188"/>
      <c r="BL831" s="188"/>
      <c r="BM831" s="188"/>
      <c r="BN831" s="188"/>
      <c r="BO831" s="188"/>
      <c r="BP831" s="188"/>
      <c r="BQ831" s="188"/>
      <c r="BR831" s="188"/>
      <c r="BS831" s="188"/>
    </row>
    <row r="832" spans="45:74" x14ac:dyDescent="0.3">
      <c r="AV832" s="123"/>
      <c r="AW832" s="123"/>
      <c r="AX832" s="188"/>
      <c r="AY832" s="188"/>
      <c r="AZ832" s="188"/>
      <c r="BA832" s="236"/>
      <c r="BB832" s="188"/>
      <c r="BC832" s="188"/>
      <c r="BD832" s="188"/>
      <c r="BE832" s="236"/>
      <c r="BG832" s="188"/>
      <c r="BH832" s="188"/>
      <c r="BI832" s="188"/>
      <c r="BJ832" s="188"/>
      <c r="BK832" s="188"/>
      <c r="BL832" s="188"/>
      <c r="BM832" s="188"/>
      <c r="BN832" s="188"/>
      <c r="BO832" s="188"/>
      <c r="BP832" s="188"/>
      <c r="BQ832" s="188"/>
      <c r="BR832" s="188"/>
      <c r="BS832" s="188"/>
    </row>
    <row r="833" spans="48:71" x14ac:dyDescent="0.3">
      <c r="AV833" s="123"/>
      <c r="AW833" s="123"/>
      <c r="AX833" s="188"/>
      <c r="AY833" s="188"/>
      <c r="AZ833" s="188"/>
      <c r="BA833" s="236"/>
      <c r="BB833" s="188"/>
      <c r="BC833" s="188"/>
      <c r="BD833" s="188"/>
      <c r="BE833" s="236"/>
      <c r="BG833" s="188"/>
      <c r="BH833" s="188"/>
      <c r="BI833" s="188"/>
      <c r="BJ833" s="188"/>
      <c r="BK833" s="188"/>
      <c r="BL833" s="188"/>
      <c r="BM833" s="188"/>
      <c r="BN833" s="188"/>
      <c r="BO833" s="188"/>
      <c r="BP833" s="188"/>
      <c r="BQ833" s="188"/>
      <c r="BR833" s="188"/>
      <c r="BS833" s="188"/>
    </row>
    <row r="834" spans="48:71" x14ac:dyDescent="0.3">
      <c r="AV834" s="123"/>
      <c r="AW834" s="123"/>
      <c r="AX834" s="188"/>
      <c r="AY834" s="188"/>
      <c r="AZ834" s="188"/>
      <c r="BA834" s="236"/>
      <c r="BB834" s="188"/>
      <c r="BC834" s="188"/>
      <c r="BD834" s="188"/>
      <c r="BE834" s="236"/>
      <c r="BG834" s="188"/>
      <c r="BH834" s="188"/>
      <c r="BI834" s="188"/>
      <c r="BJ834" s="188"/>
      <c r="BK834" s="188"/>
      <c r="BL834" s="188"/>
      <c r="BM834" s="188"/>
      <c r="BN834" s="188"/>
      <c r="BO834" s="188"/>
      <c r="BP834" s="188"/>
      <c r="BQ834" s="188"/>
      <c r="BR834" s="188"/>
      <c r="BS834" s="188"/>
    </row>
    <row r="835" spans="48:71" x14ac:dyDescent="0.3">
      <c r="AV835" s="123"/>
      <c r="AW835" s="123"/>
      <c r="AX835" s="188"/>
      <c r="AY835" s="188"/>
      <c r="AZ835" s="188"/>
      <c r="BA835" s="236"/>
      <c r="BB835" s="188"/>
      <c r="BC835" s="188"/>
      <c r="BD835" s="188"/>
      <c r="BE835" s="236"/>
      <c r="BG835" s="188"/>
      <c r="BH835" s="188"/>
      <c r="BI835" s="188"/>
      <c r="BJ835" s="188"/>
      <c r="BK835" s="188"/>
      <c r="BL835" s="188"/>
      <c r="BM835" s="188"/>
      <c r="BN835" s="188"/>
      <c r="BO835" s="188"/>
      <c r="BP835" s="188"/>
      <c r="BQ835" s="188"/>
      <c r="BR835" s="188"/>
      <c r="BS835" s="188"/>
    </row>
    <row r="836" spans="48:71" x14ac:dyDescent="0.3">
      <c r="AV836" s="123"/>
      <c r="AW836" s="123"/>
      <c r="AX836" s="188"/>
      <c r="AY836" s="188"/>
      <c r="AZ836" s="188"/>
      <c r="BA836" s="236"/>
      <c r="BB836" s="188"/>
      <c r="BC836" s="188"/>
      <c r="BD836" s="188"/>
      <c r="BE836" s="236"/>
      <c r="BG836" s="188"/>
      <c r="BH836" s="188"/>
      <c r="BI836" s="188"/>
      <c r="BJ836" s="188"/>
      <c r="BK836" s="188"/>
      <c r="BL836" s="188"/>
      <c r="BM836" s="188"/>
      <c r="BN836" s="188"/>
      <c r="BO836" s="188"/>
      <c r="BP836" s="188"/>
      <c r="BQ836" s="188"/>
      <c r="BR836" s="188"/>
      <c r="BS836" s="188"/>
    </row>
    <row r="837" spans="48:71" x14ac:dyDescent="0.3">
      <c r="AV837" s="123"/>
      <c r="AW837" s="123"/>
      <c r="AX837" s="188"/>
      <c r="AY837" s="188"/>
      <c r="AZ837" s="188"/>
      <c r="BA837" s="236"/>
      <c r="BB837" s="188"/>
      <c r="BC837" s="188"/>
      <c r="BD837" s="188"/>
      <c r="BE837" s="236"/>
      <c r="BG837" s="188"/>
      <c r="BH837" s="188"/>
      <c r="BI837" s="188"/>
      <c r="BJ837" s="188"/>
      <c r="BK837" s="188"/>
      <c r="BL837" s="188"/>
      <c r="BM837" s="188"/>
      <c r="BN837" s="188"/>
      <c r="BO837" s="188"/>
      <c r="BP837" s="188"/>
      <c r="BQ837" s="188"/>
      <c r="BR837" s="188"/>
      <c r="BS837" s="188"/>
    </row>
    <row r="838" spans="48:71" x14ac:dyDescent="0.3">
      <c r="AV838" s="123"/>
      <c r="AW838" s="123"/>
      <c r="AX838" s="188"/>
      <c r="AY838" s="188"/>
      <c r="AZ838" s="188"/>
      <c r="BA838" s="236"/>
      <c r="BB838" s="188"/>
      <c r="BC838" s="188"/>
      <c r="BD838" s="188"/>
      <c r="BE838" s="236"/>
      <c r="BG838" s="188"/>
      <c r="BH838" s="188"/>
      <c r="BI838" s="188"/>
      <c r="BJ838" s="188"/>
      <c r="BK838" s="188"/>
      <c r="BL838" s="188"/>
      <c r="BM838" s="188"/>
      <c r="BN838" s="188"/>
      <c r="BO838" s="188"/>
      <c r="BP838" s="188"/>
      <c r="BQ838" s="188"/>
      <c r="BR838" s="188"/>
      <c r="BS838" s="188"/>
    </row>
    <row r="839" spans="48:71" x14ac:dyDescent="0.3">
      <c r="AV839" s="123"/>
      <c r="AW839" s="123"/>
      <c r="AX839" s="188"/>
      <c r="AY839" s="188"/>
      <c r="AZ839" s="188"/>
      <c r="BA839" s="236"/>
      <c r="BB839" s="188"/>
      <c r="BC839" s="188"/>
      <c r="BD839" s="188"/>
      <c r="BE839" s="236"/>
      <c r="BG839" s="188"/>
      <c r="BH839" s="188"/>
      <c r="BI839" s="188"/>
      <c r="BJ839" s="188"/>
      <c r="BK839" s="188"/>
      <c r="BL839" s="188"/>
      <c r="BM839" s="188"/>
      <c r="BN839" s="188"/>
      <c r="BO839" s="188"/>
      <c r="BP839" s="188"/>
      <c r="BQ839" s="188"/>
      <c r="BR839" s="188"/>
      <c r="BS839" s="188"/>
    </row>
    <row r="840" spans="48:71" x14ac:dyDescent="0.3">
      <c r="AV840" s="123"/>
      <c r="AW840" s="123"/>
      <c r="AX840" s="188"/>
      <c r="AY840" s="188"/>
      <c r="AZ840" s="188"/>
      <c r="BA840" s="236"/>
      <c r="BB840" s="188"/>
      <c r="BC840" s="188"/>
      <c r="BD840" s="188"/>
      <c r="BE840" s="236"/>
      <c r="BG840" s="188"/>
      <c r="BH840" s="188"/>
      <c r="BI840" s="188"/>
      <c r="BJ840" s="188"/>
      <c r="BK840" s="188"/>
      <c r="BL840" s="188"/>
      <c r="BM840" s="188"/>
      <c r="BN840" s="188"/>
      <c r="BO840" s="188"/>
      <c r="BP840" s="188"/>
      <c r="BQ840" s="188"/>
      <c r="BR840" s="188"/>
      <c r="BS840" s="188"/>
    </row>
    <row r="841" spans="48:71" x14ac:dyDescent="0.3">
      <c r="AV841" s="123"/>
      <c r="AW841" s="123"/>
      <c r="AX841" s="188"/>
      <c r="AY841" s="188"/>
      <c r="AZ841" s="188"/>
      <c r="BA841" s="236"/>
      <c r="BB841" s="188"/>
      <c r="BC841" s="188"/>
      <c r="BD841" s="188"/>
      <c r="BE841" s="236"/>
      <c r="BG841" s="188"/>
      <c r="BH841" s="188"/>
      <c r="BI841" s="188"/>
      <c r="BJ841" s="188"/>
      <c r="BK841" s="188"/>
      <c r="BL841" s="188"/>
      <c r="BM841" s="188"/>
      <c r="BN841" s="188"/>
      <c r="BO841" s="188"/>
      <c r="BP841" s="188"/>
      <c r="BQ841" s="188"/>
      <c r="BR841" s="188"/>
      <c r="BS841" s="188"/>
    </row>
    <row r="842" spans="48:71" x14ac:dyDescent="0.3">
      <c r="AV842" s="123"/>
      <c r="AW842" s="123"/>
      <c r="AX842" s="188"/>
      <c r="AY842" s="188"/>
      <c r="AZ842" s="188"/>
      <c r="BA842" s="236"/>
      <c r="BB842" s="188"/>
      <c r="BC842" s="188"/>
      <c r="BD842" s="188"/>
      <c r="BE842" s="236"/>
      <c r="BG842" s="188"/>
      <c r="BH842" s="188"/>
      <c r="BI842" s="188"/>
      <c r="BJ842" s="188"/>
      <c r="BK842" s="188"/>
      <c r="BL842" s="188"/>
      <c r="BM842" s="188"/>
      <c r="BN842" s="188"/>
      <c r="BO842" s="188"/>
      <c r="BP842" s="188"/>
      <c r="BQ842" s="188"/>
      <c r="BR842" s="188"/>
      <c r="BS842" s="188"/>
    </row>
    <row r="843" spans="48:71" x14ac:dyDescent="0.3">
      <c r="AV843" s="123"/>
      <c r="AW843" s="123"/>
      <c r="AX843" s="188"/>
      <c r="AY843" s="188"/>
      <c r="AZ843" s="188"/>
      <c r="BA843" s="236"/>
      <c r="BB843" s="188"/>
      <c r="BC843" s="188"/>
      <c r="BD843" s="188"/>
      <c r="BE843" s="236"/>
      <c r="BG843" s="188"/>
      <c r="BH843" s="188"/>
      <c r="BI843" s="188"/>
      <c r="BJ843" s="188"/>
      <c r="BK843" s="188"/>
      <c r="BL843" s="188"/>
      <c r="BM843" s="188"/>
      <c r="BN843" s="188"/>
      <c r="BO843" s="188"/>
      <c r="BP843" s="188"/>
      <c r="BQ843" s="188"/>
      <c r="BR843" s="188"/>
      <c r="BS843" s="188"/>
    </row>
    <row r="844" spans="48:71" x14ac:dyDescent="0.3">
      <c r="AV844" s="123"/>
      <c r="AW844" s="123"/>
      <c r="AX844" s="188"/>
      <c r="AY844" s="188"/>
      <c r="AZ844" s="188"/>
      <c r="BA844" s="236"/>
      <c r="BB844" s="188"/>
      <c r="BC844" s="188"/>
      <c r="BD844" s="188"/>
      <c r="BE844" s="236"/>
      <c r="BG844" s="188"/>
      <c r="BH844" s="188"/>
      <c r="BI844" s="188"/>
      <c r="BJ844" s="188"/>
      <c r="BK844" s="188"/>
      <c r="BL844" s="188"/>
      <c r="BM844" s="188"/>
      <c r="BN844" s="188"/>
      <c r="BO844" s="188"/>
      <c r="BP844" s="188"/>
      <c r="BQ844" s="188"/>
      <c r="BR844" s="188"/>
      <c r="BS844" s="188"/>
    </row>
    <row r="845" spans="48:71" x14ac:dyDescent="0.3">
      <c r="AV845" s="123"/>
      <c r="AW845" s="123"/>
      <c r="AX845" s="188"/>
      <c r="AY845" s="188"/>
      <c r="AZ845" s="188"/>
      <c r="BA845" s="236"/>
      <c r="BB845" s="188"/>
      <c r="BC845" s="188"/>
      <c r="BD845" s="188"/>
      <c r="BE845" s="236"/>
      <c r="BG845" s="188"/>
      <c r="BH845" s="188"/>
      <c r="BI845" s="188"/>
      <c r="BJ845" s="188"/>
      <c r="BK845" s="188"/>
      <c r="BL845" s="188"/>
      <c r="BM845" s="188"/>
      <c r="BN845" s="188"/>
      <c r="BO845" s="188"/>
      <c r="BP845" s="188"/>
      <c r="BQ845" s="188"/>
      <c r="BR845" s="188"/>
      <c r="BS845" s="188"/>
    </row>
    <row r="846" spans="48:71" x14ac:dyDescent="0.3">
      <c r="AV846" s="123"/>
      <c r="AW846" s="123"/>
      <c r="AX846" s="188"/>
      <c r="AY846" s="188"/>
      <c r="AZ846" s="188"/>
      <c r="BA846" s="236"/>
      <c r="BB846" s="188"/>
      <c r="BC846" s="188"/>
      <c r="BD846" s="188"/>
      <c r="BE846" s="236"/>
      <c r="BG846" s="188"/>
      <c r="BH846" s="188"/>
      <c r="BI846" s="188"/>
      <c r="BJ846" s="188"/>
      <c r="BK846" s="188"/>
      <c r="BL846" s="188"/>
      <c r="BM846" s="188"/>
      <c r="BN846" s="188"/>
      <c r="BO846" s="188"/>
      <c r="BP846" s="188"/>
      <c r="BQ846" s="188"/>
      <c r="BR846" s="188"/>
      <c r="BS846" s="188"/>
    </row>
    <row r="847" spans="48:71" x14ac:dyDescent="0.3">
      <c r="AV847" s="123"/>
      <c r="AW847" s="123"/>
      <c r="AX847" s="188"/>
      <c r="AY847" s="188"/>
      <c r="AZ847" s="188"/>
      <c r="BA847" s="236"/>
      <c r="BB847" s="188"/>
      <c r="BC847" s="188"/>
      <c r="BD847" s="188"/>
      <c r="BE847" s="236"/>
      <c r="BG847" s="188"/>
      <c r="BH847" s="188"/>
      <c r="BI847" s="188"/>
      <c r="BJ847" s="188"/>
      <c r="BK847" s="188"/>
      <c r="BL847" s="188"/>
      <c r="BM847" s="188"/>
      <c r="BN847" s="188"/>
      <c r="BO847" s="188"/>
      <c r="BP847" s="188"/>
      <c r="BQ847" s="188"/>
      <c r="BR847" s="188"/>
      <c r="BS847" s="188"/>
    </row>
    <row r="848" spans="48:71" x14ac:dyDescent="0.3">
      <c r="AZ848" s="188"/>
      <c r="BB848" s="188"/>
      <c r="BC848" s="188"/>
      <c r="BD848" s="188"/>
      <c r="BG848" s="188"/>
      <c r="BH848" s="188"/>
      <c r="BI848" s="188"/>
      <c r="BJ848" s="188"/>
      <c r="BK848" s="188"/>
      <c r="BL848" s="188"/>
      <c r="BM848" s="188"/>
      <c r="BN848" s="188"/>
      <c r="BO848" s="188"/>
      <c r="BP848" s="188"/>
      <c r="BQ848" s="188"/>
      <c r="BR848" s="188"/>
      <c r="BS848" s="188"/>
    </row>
    <row r="849" spans="46:57" x14ac:dyDescent="0.3">
      <c r="AT849" s="42"/>
      <c r="AV849" s="123"/>
      <c r="AW849" s="123"/>
      <c r="AX849" s="188"/>
      <c r="AY849" s="188"/>
      <c r="AZ849" s="188"/>
      <c r="BA849" s="236"/>
      <c r="BB849" s="188"/>
      <c r="BC849" s="188"/>
      <c r="BD849" s="188"/>
      <c r="BE849" s="236"/>
    </row>
    <row r="850" spans="46:57" x14ac:dyDescent="0.3">
      <c r="AV850" s="123"/>
      <c r="AW850" s="123"/>
      <c r="AX850" s="188"/>
      <c r="AY850" s="188"/>
      <c r="AZ850" s="188"/>
      <c r="BA850" s="236"/>
      <c r="BB850" s="188"/>
      <c r="BC850" s="188"/>
      <c r="BD850" s="188"/>
      <c r="BE850" s="236"/>
    </row>
    <row r="851" spans="46:57" x14ac:dyDescent="0.3">
      <c r="AV851" s="123"/>
      <c r="AW851" s="123"/>
      <c r="AX851" s="188"/>
      <c r="AY851" s="188"/>
      <c r="AZ851" s="188"/>
      <c r="BA851" s="236"/>
      <c r="BB851" s="188"/>
      <c r="BC851" s="188"/>
      <c r="BD851" s="188"/>
      <c r="BE851" s="236"/>
    </row>
    <row r="852" spans="46:57" x14ac:dyDescent="0.3">
      <c r="AV852" s="123"/>
      <c r="AW852" s="123"/>
      <c r="AX852" s="188"/>
      <c r="AY852" s="188"/>
      <c r="AZ852" s="188"/>
      <c r="BA852" s="236"/>
      <c r="BB852" s="188"/>
      <c r="BC852" s="188"/>
      <c r="BD852" s="188"/>
      <c r="BE852" s="236"/>
    </row>
    <row r="853" spans="46:57" x14ac:dyDescent="0.3">
      <c r="AV853" s="123"/>
      <c r="AW853" s="123"/>
      <c r="AX853" s="188"/>
      <c r="AY853" s="188"/>
      <c r="AZ853" s="188"/>
      <c r="BA853" s="236"/>
      <c r="BB853" s="188"/>
      <c r="BC853" s="188"/>
      <c r="BD853" s="188"/>
      <c r="BE853" s="236"/>
    </row>
    <row r="854" spans="46:57" x14ac:dyDescent="0.3">
      <c r="AV854" s="123"/>
      <c r="AW854" s="123"/>
      <c r="AX854" s="188"/>
      <c r="AY854" s="188"/>
      <c r="AZ854" s="188"/>
      <c r="BA854" s="236"/>
      <c r="BB854" s="188"/>
      <c r="BC854" s="188"/>
      <c r="BD854" s="188"/>
      <c r="BE854" s="236"/>
    </row>
    <row r="855" spans="46:57" x14ac:dyDescent="0.3">
      <c r="AV855" s="123"/>
      <c r="AW855" s="123"/>
      <c r="AX855" s="188"/>
      <c r="AY855" s="188"/>
      <c r="AZ855" s="188"/>
      <c r="BA855" s="236"/>
      <c r="BB855" s="188"/>
      <c r="BC855" s="188"/>
      <c r="BD855" s="188"/>
      <c r="BE855" s="236"/>
    </row>
    <row r="856" spans="46:57" x14ac:dyDescent="0.3">
      <c r="AV856" s="123"/>
      <c r="AW856" s="123"/>
      <c r="AX856" s="188"/>
      <c r="AY856" s="188"/>
      <c r="AZ856" s="188"/>
      <c r="BA856" s="236"/>
      <c r="BB856" s="188"/>
      <c r="BC856" s="188"/>
      <c r="BD856" s="188"/>
      <c r="BE856" s="236"/>
    </row>
    <row r="857" spans="46:57" x14ac:dyDescent="0.3">
      <c r="AV857" s="123"/>
      <c r="AW857" s="123"/>
      <c r="AX857" s="188"/>
      <c r="AY857" s="188"/>
      <c r="AZ857" s="188"/>
      <c r="BA857" s="236"/>
      <c r="BB857" s="188"/>
      <c r="BC857" s="188"/>
      <c r="BD857" s="188"/>
      <c r="BE857" s="236"/>
    </row>
    <row r="858" spans="46:57" x14ac:dyDescent="0.3">
      <c r="AV858" s="123"/>
      <c r="AW858" s="123"/>
      <c r="AX858" s="188"/>
      <c r="AY858" s="188"/>
      <c r="AZ858" s="188"/>
      <c r="BA858" s="236"/>
      <c r="BB858" s="188"/>
      <c r="BC858" s="188"/>
      <c r="BD858" s="188"/>
      <c r="BE858" s="236"/>
    </row>
    <row r="859" spans="46:57" x14ac:dyDescent="0.3">
      <c r="AV859" s="123"/>
      <c r="AW859" s="123"/>
      <c r="AX859" s="188"/>
      <c r="AY859" s="188"/>
      <c r="AZ859" s="188"/>
      <c r="BA859" s="236"/>
      <c r="BB859" s="188"/>
      <c r="BC859" s="188"/>
      <c r="BD859" s="188"/>
      <c r="BE859" s="236"/>
    </row>
    <row r="860" spans="46:57" x14ac:dyDescent="0.3">
      <c r="AV860" s="123"/>
      <c r="AW860" s="123"/>
      <c r="AX860" s="188"/>
      <c r="AY860" s="188"/>
      <c r="AZ860" s="188"/>
      <c r="BA860" s="236"/>
      <c r="BB860" s="188"/>
      <c r="BC860" s="188"/>
      <c r="BD860" s="188"/>
      <c r="BE860" s="236"/>
    </row>
    <row r="861" spans="46:57" x14ac:dyDescent="0.3">
      <c r="AV861" s="123"/>
      <c r="AW861" s="123"/>
      <c r="AX861" s="188"/>
      <c r="AY861" s="188"/>
      <c r="AZ861" s="188"/>
      <c r="BA861" s="236"/>
      <c r="BB861" s="188"/>
      <c r="BC861" s="188"/>
      <c r="BD861" s="188"/>
      <c r="BE861" s="236"/>
    </row>
    <row r="862" spans="46:57" x14ac:dyDescent="0.3">
      <c r="AV862" s="123"/>
      <c r="AW862" s="123"/>
      <c r="AX862" s="188"/>
      <c r="AY862" s="188"/>
      <c r="AZ862" s="188"/>
      <c r="BA862" s="236"/>
      <c r="BB862" s="188"/>
      <c r="BC862" s="188"/>
      <c r="BD862" s="188"/>
      <c r="BE862" s="236"/>
    </row>
    <row r="863" spans="46:57" x14ac:dyDescent="0.3">
      <c r="AV863" s="123"/>
      <c r="AW863" s="123"/>
      <c r="AX863" s="188"/>
      <c r="AY863" s="188"/>
      <c r="AZ863" s="188"/>
      <c r="BA863" s="236"/>
      <c r="BB863" s="188"/>
      <c r="BC863" s="188"/>
      <c r="BD863" s="188"/>
      <c r="BE863" s="236"/>
    </row>
    <row r="864" spans="46:57" x14ac:dyDescent="0.3">
      <c r="AV864" s="123"/>
      <c r="AW864" s="123"/>
      <c r="AX864" s="188"/>
      <c r="AY864" s="188"/>
      <c r="AZ864" s="188"/>
      <c r="BA864" s="236"/>
      <c r="BB864" s="188"/>
      <c r="BC864" s="188"/>
      <c r="BD864" s="188"/>
      <c r="BE864" s="236"/>
    </row>
    <row r="865" spans="45:57" x14ac:dyDescent="0.3">
      <c r="AV865" s="123"/>
      <c r="AW865" s="123"/>
      <c r="AX865" s="188"/>
      <c r="AY865" s="188"/>
      <c r="AZ865" s="188"/>
      <c r="BA865" s="236"/>
      <c r="BB865" s="188"/>
      <c r="BC865" s="188"/>
      <c r="BD865" s="188"/>
      <c r="BE865" s="236"/>
    </row>
    <row r="866" spans="45:57" x14ac:dyDescent="0.3">
      <c r="AV866" s="123"/>
      <c r="AW866" s="123"/>
      <c r="AX866" s="188"/>
      <c r="AY866" s="188"/>
      <c r="AZ866" s="188"/>
      <c r="BA866" s="236"/>
      <c r="BB866" s="188"/>
      <c r="BC866" s="188"/>
      <c r="BD866" s="188"/>
      <c r="BE866" s="236"/>
    </row>
    <row r="867" spans="45:57" x14ac:dyDescent="0.3">
      <c r="BB867" s="188"/>
    </row>
    <row r="868" spans="45:57" x14ac:dyDescent="0.3">
      <c r="AU868" s="42"/>
      <c r="BB868" s="188"/>
    </row>
    <row r="869" spans="45:57" x14ac:dyDescent="0.3">
      <c r="AU869" s="42"/>
    </row>
    <row r="870" spans="45:57" x14ac:dyDescent="0.3">
      <c r="AU870" s="42"/>
      <c r="BB870" s="188"/>
    </row>
    <row r="871" spans="45:57" x14ac:dyDescent="0.3">
      <c r="AS871" s="42"/>
      <c r="AZ871" s="188"/>
      <c r="BB871" s="188"/>
    </row>
    <row r="872" spans="45:57" x14ac:dyDescent="0.3">
      <c r="AZ872" s="188"/>
      <c r="BB872" s="188"/>
    </row>
    <row r="873" spans="45:57" x14ac:dyDescent="0.3">
      <c r="AY873" s="188"/>
      <c r="AZ873" s="188"/>
      <c r="BB873" s="188"/>
    </row>
    <row r="874" spans="45:57" x14ac:dyDescent="0.3">
      <c r="AY874" s="42"/>
      <c r="AZ874" s="188"/>
      <c r="BB874" s="188"/>
    </row>
    <row r="875" spans="45:57" x14ac:dyDescent="0.3">
      <c r="AY875" s="42"/>
      <c r="AZ875" s="188"/>
      <c r="BB875" s="188"/>
    </row>
    <row r="876" spans="45:57" x14ac:dyDescent="0.3">
      <c r="AZ876" s="188"/>
      <c r="BB876" s="188"/>
      <c r="BD876" s="42"/>
    </row>
    <row r="877" spans="45:57" x14ac:dyDescent="0.3">
      <c r="AZ877" s="188"/>
      <c r="BB877" s="188"/>
      <c r="BD877" s="42"/>
    </row>
    <row r="878" spans="45:57" x14ac:dyDescent="0.3">
      <c r="AS878" s="42"/>
      <c r="AZ878" s="188"/>
      <c r="BB878" s="188"/>
      <c r="BD878" s="42"/>
    </row>
    <row r="879" spans="45:57" x14ac:dyDescent="0.3">
      <c r="AZ879" s="188"/>
      <c r="BB879" s="188"/>
    </row>
    <row r="880" spans="45:57" x14ac:dyDescent="0.3">
      <c r="AS880" s="135"/>
      <c r="AT880" s="135"/>
      <c r="AU880" s="135"/>
      <c r="AV880" s="135"/>
      <c r="AW880" s="135"/>
      <c r="AX880" s="135"/>
      <c r="AY880" s="135"/>
      <c r="AZ880" s="244"/>
      <c r="BA880" s="135"/>
      <c r="BB880" s="244"/>
      <c r="BC880" s="135"/>
      <c r="BD880" s="135"/>
      <c r="BE880" s="135"/>
    </row>
    <row r="881" spans="45:57" x14ac:dyDescent="0.3">
      <c r="AX881" s="42"/>
      <c r="AZ881" s="188"/>
      <c r="BB881" s="188"/>
    </row>
    <row r="882" spans="45:57" x14ac:dyDescent="0.3">
      <c r="AX882" s="135"/>
      <c r="AY882" s="135"/>
      <c r="AZ882" s="244"/>
      <c r="BA882" s="135"/>
      <c r="BB882" s="188"/>
      <c r="BC882" s="44"/>
      <c r="BD882" s="44"/>
    </row>
    <row r="883" spans="45:57" x14ac:dyDescent="0.3">
      <c r="AV883" s="44"/>
      <c r="AW883" s="44"/>
      <c r="AZ883" s="245"/>
      <c r="BA883" s="44"/>
      <c r="BB883" s="188"/>
      <c r="BC883" s="44"/>
      <c r="BD883" s="44"/>
      <c r="BE883" s="44"/>
    </row>
    <row r="884" spans="45:57" x14ac:dyDescent="0.3">
      <c r="AV884" s="44"/>
      <c r="AW884" s="44"/>
      <c r="AX884" s="44"/>
      <c r="AY884" s="44"/>
      <c r="AZ884" s="245"/>
      <c r="BA884" s="44"/>
      <c r="BB884" s="245"/>
      <c r="BC884" s="44"/>
      <c r="BD884" s="44"/>
      <c r="BE884" s="44"/>
    </row>
    <row r="885" spans="45:57" x14ac:dyDescent="0.3">
      <c r="AS885" s="44"/>
      <c r="AU885" s="42"/>
      <c r="AV885" s="44"/>
      <c r="AW885" s="44"/>
      <c r="AX885" s="44"/>
      <c r="AY885" s="44"/>
      <c r="AZ885" s="245"/>
      <c r="BA885" s="44"/>
      <c r="BB885" s="245"/>
      <c r="BC885" s="44"/>
      <c r="BD885" s="44"/>
      <c r="BE885" s="44"/>
    </row>
    <row r="886" spans="45:57" x14ac:dyDescent="0.3">
      <c r="AS886" s="44"/>
      <c r="AU886" s="42"/>
      <c r="AV886" s="44"/>
      <c r="AW886" s="44"/>
      <c r="AX886" s="44"/>
      <c r="AY886" s="44"/>
      <c r="AZ886" s="245"/>
      <c r="BA886" s="44"/>
      <c r="BB886" s="245"/>
      <c r="BC886" s="44"/>
      <c r="BD886" s="44"/>
      <c r="BE886" s="44"/>
    </row>
    <row r="887" spans="45:57" x14ac:dyDescent="0.3">
      <c r="AS887" s="135"/>
      <c r="AT887" s="135"/>
      <c r="AU887" s="135"/>
      <c r="AV887" s="135"/>
      <c r="AW887" s="135"/>
      <c r="AX887" s="135"/>
      <c r="AY887" s="135"/>
      <c r="AZ887" s="244"/>
      <c r="BA887" s="135"/>
      <c r="BB887" s="244"/>
      <c r="BC887" s="135"/>
      <c r="BD887" s="135"/>
      <c r="BE887" s="135"/>
    </row>
    <row r="888" spans="45:57" x14ac:dyDescent="0.3">
      <c r="AV888" s="44"/>
      <c r="AW888" s="44"/>
      <c r="AX888" s="44"/>
      <c r="AY888" s="44"/>
      <c r="AZ888" s="245"/>
      <c r="BA888" s="44"/>
      <c r="BB888" s="245"/>
      <c r="BC888" s="44"/>
      <c r="BD888" s="44"/>
      <c r="BE888" s="44"/>
    </row>
    <row r="889" spans="45:57" x14ac:dyDescent="0.3">
      <c r="AT889" s="42"/>
      <c r="AV889" s="123"/>
      <c r="AW889" s="123"/>
      <c r="AX889" s="188"/>
      <c r="AY889" s="188"/>
      <c r="AZ889" s="188"/>
      <c r="BA889" s="236"/>
      <c r="BB889" s="188"/>
      <c r="BC889" s="188"/>
      <c r="BD889" s="188"/>
      <c r="BE889" s="236"/>
    </row>
    <row r="890" spans="45:57" x14ac:dyDescent="0.3">
      <c r="AV890" s="123"/>
      <c r="AW890" s="123"/>
      <c r="AX890" s="188"/>
      <c r="AY890" s="188"/>
      <c r="AZ890" s="188"/>
      <c r="BA890" s="236"/>
      <c r="BB890" s="188"/>
      <c r="BC890" s="188"/>
      <c r="BD890" s="188"/>
      <c r="BE890" s="236"/>
    </row>
    <row r="891" spans="45:57" x14ac:dyDescent="0.3">
      <c r="AV891" s="123"/>
      <c r="AW891" s="123"/>
      <c r="AX891" s="188"/>
      <c r="AY891" s="188"/>
      <c r="AZ891" s="188"/>
      <c r="BA891" s="236"/>
      <c r="BB891" s="188"/>
      <c r="BC891" s="188"/>
      <c r="BD891" s="188"/>
      <c r="BE891" s="236"/>
    </row>
    <row r="892" spans="45:57" x14ac:dyDescent="0.3">
      <c r="AV892" s="123"/>
      <c r="AW892" s="123"/>
      <c r="AX892" s="188"/>
      <c r="AY892" s="188"/>
      <c r="AZ892" s="188"/>
      <c r="BA892" s="236"/>
      <c r="BB892" s="188"/>
      <c r="BC892" s="188"/>
      <c r="BD892" s="188"/>
      <c r="BE892" s="236"/>
    </row>
    <row r="893" spans="45:57" x14ac:dyDescent="0.3">
      <c r="AV893" s="123"/>
      <c r="AW893" s="123"/>
      <c r="AX893" s="188"/>
      <c r="AY893" s="188"/>
      <c r="AZ893" s="188"/>
      <c r="BA893" s="236"/>
      <c r="BB893" s="188"/>
      <c r="BC893" s="188"/>
      <c r="BD893" s="188"/>
      <c r="BE893" s="236"/>
    </row>
    <row r="894" spans="45:57" x14ac:dyDescent="0.3">
      <c r="AV894" s="123"/>
      <c r="AW894" s="123"/>
      <c r="AX894" s="188"/>
      <c r="AY894" s="188"/>
      <c r="AZ894" s="188"/>
      <c r="BA894" s="236"/>
      <c r="BB894" s="188"/>
      <c r="BC894" s="188"/>
      <c r="BD894" s="188"/>
      <c r="BE894" s="236"/>
    </row>
    <row r="895" spans="45:57" x14ac:dyDescent="0.3">
      <c r="AV895" s="123"/>
      <c r="AW895" s="123"/>
      <c r="AX895" s="188"/>
      <c r="AY895" s="188"/>
      <c r="AZ895" s="188"/>
      <c r="BA895" s="236"/>
      <c r="BB895" s="188"/>
      <c r="BC895" s="188"/>
      <c r="BD895" s="188"/>
      <c r="BE895" s="236"/>
    </row>
    <row r="896" spans="45:57" x14ac:dyDescent="0.3">
      <c r="AV896" s="123"/>
      <c r="AW896" s="123"/>
      <c r="AX896" s="188"/>
      <c r="AY896" s="188"/>
      <c r="AZ896" s="188"/>
      <c r="BA896" s="236"/>
      <c r="BB896" s="188"/>
      <c r="BC896" s="188"/>
      <c r="BD896" s="188"/>
      <c r="BE896" s="236"/>
    </row>
    <row r="897" spans="46:57" x14ac:dyDescent="0.3">
      <c r="AV897" s="123"/>
      <c r="AW897" s="123"/>
      <c r="AX897" s="188"/>
      <c r="AY897" s="188"/>
      <c r="AZ897" s="188"/>
      <c r="BA897" s="236"/>
      <c r="BB897" s="188"/>
      <c r="BC897" s="188"/>
      <c r="BD897" s="188"/>
      <c r="BE897" s="236"/>
    </row>
    <row r="898" spans="46:57" x14ac:dyDescent="0.3">
      <c r="AV898" s="123"/>
      <c r="AW898" s="123"/>
      <c r="AX898" s="188"/>
      <c r="AY898" s="188"/>
      <c r="AZ898" s="188"/>
      <c r="BA898" s="236"/>
      <c r="BB898" s="188"/>
      <c r="BC898" s="188"/>
      <c r="BD898" s="188"/>
      <c r="BE898" s="236"/>
    </row>
    <row r="899" spans="46:57" x14ac:dyDescent="0.3">
      <c r="AV899" s="123"/>
      <c r="AW899" s="123"/>
      <c r="BB899" s="188"/>
    </row>
    <row r="900" spans="46:57" x14ac:dyDescent="0.3">
      <c r="AT900" s="42"/>
      <c r="AV900" s="123"/>
      <c r="AW900" s="123"/>
      <c r="AX900" s="188"/>
      <c r="AY900" s="188"/>
      <c r="AZ900" s="188"/>
      <c r="BA900" s="236"/>
      <c r="BB900" s="188"/>
      <c r="BC900" s="188"/>
      <c r="BD900" s="188"/>
      <c r="BE900" s="236"/>
    </row>
    <row r="901" spans="46:57" x14ac:dyDescent="0.3">
      <c r="AV901" s="123"/>
      <c r="AW901" s="123"/>
      <c r="AX901" s="188"/>
      <c r="AY901" s="188"/>
      <c r="AZ901" s="188"/>
      <c r="BA901" s="236"/>
      <c r="BB901" s="188"/>
      <c r="BC901" s="188"/>
      <c r="BD901" s="188"/>
      <c r="BE901" s="236"/>
    </row>
    <row r="902" spans="46:57" x14ac:dyDescent="0.3">
      <c r="AV902" s="123"/>
      <c r="AW902" s="123"/>
      <c r="AX902" s="188"/>
      <c r="AY902" s="188"/>
      <c r="AZ902" s="188"/>
      <c r="BA902" s="236"/>
      <c r="BB902" s="188"/>
      <c r="BC902" s="188"/>
      <c r="BD902" s="188"/>
      <c r="BE902" s="236"/>
    </row>
    <row r="903" spans="46:57" x14ac:dyDescent="0.3">
      <c r="AV903" s="123"/>
      <c r="AW903" s="123"/>
      <c r="AX903" s="188"/>
      <c r="AY903" s="188"/>
      <c r="AZ903" s="188"/>
      <c r="BA903" s="236"/>
      <c r="BB903" s="188"/>
      <c r="BC903" s="188"/>
      <c r="BD903" s="188"/>
      <c r="BE903" s="236"/>
    </row>
    <row r="904" spans="46:57" x14ac:dyDescent="0.3">
      <c r="AV904" s="123"/>
      <c r="AW904" s="123"/>
      <c r="AX904" s="188"/>
      <c r="AY904" s="188"/>
      <c r="AZ904" s="188"/>
      <c r="BA904" s="236"/>
      <c r="BB904" s="188"/>
      <c r="BC904" s="188"/>
      <c r="BD904" s="188"/>
      <c r="BE904" s="236"/>
    </row>
    <row r="905" spans="46:57" x14ac:dyDescent="0.3">
      <c r="AV905" s="123"/>
      <c r="AW905" s="123"/>
      <c r="AX905" s="188"/>
      <c r="AY905" s="188"/>
      <c r="AZ905" s="188"/>
      <c r="BA905" s="236"/>
      <c r="BB905" s="188"/>
      <c r="BC905" s="188"/>
      <c r="BD905" s="188"/>
      <c r="BE905" s="236"/>
    </row>
    <row r="906" spans="46:57" x14ac:dyDescent="0.3">
      <c r="AV906" s="123"/>
      <c r="AW906" s="123"/>
      <c r="AX906" s="188"/>
      <c r="AY906" s="188"/>
      <c r="AZ906" s="188"/>
      <c r="BA906" s="236"/>
      <c r="BB906" s="188"/>
      <c r="BC906" s="188"/>
      <c r="BD906" s="188"/>
      <c r="BE906" s="236"/>
    </row>
    <row r="907" spans="46:57" x14ac:dyDescent="0.3">
      <c r="AV907" s="123"/>
      <c r="AW907" s="123"/>
      <c r="AX907" s="188"/>
      <c r="AY907" s="188"/>
      <c r="AZ907" s="188"/>
      <c r="BA907" s="236"/>
      <c r="BB907" s="188"/>
      <c r="BC907" s="188"/>
      <c r="BD907" s="188"/>
      <c r="BE907" s="236"/>
    </row>
    <row r="908" spans="46:57" x14ac:dyDescent="0.3">
      <c r="AV908" s="123"/>
      <c r="AW908" s="123"/>
      <c r="AX908" s="188"/>
      <c r="AY908" s="188"/>
      <c r="AZ908" s="188"/>
      <c r="BA908" s="236"/>
      <c r="BB908" s="188"/>
      <c r="BC908" s="188"/>
      <c r="BD908" s="188"/>
      <c r="BE908" s="236"/>
    </row>
    <row r="909" spans="46:57" x14ac:dyDescent="0.3">
      <c r="AV909" s="123"/>
      <c r="AW909" s="123"/>
      <c r="AX909" s="188"/>
      <c r="AY909" s="188"/>
      <c r="AZ909" s="188"/>
      <c r="BA909" s="236"/>
      <c r="BB909" s="188"/>
      <c r="BC909" s="188"/>
      <c r="BD909" s="188"/>
      <c r="BE909" s="236"/>
    </row>
    <row r="911" spans="46:57" x14ac:dyDescent="0.3">
      <c r="AU911" s="42"/>
    </row>
    <row r="912" spans="46:57" x14ac:dyDescent="0.3">
      <c r="AU912" s="42"/>
    </row>
    <row r="913" spans="45:47" x14ac:dyDescent="0.3">
      <c r="AU913" s="42"/>
    </row>
    <row r="914" spans="45:47" x14ac:dyDescent="0.3">
      <c r="AS914" s="42"/>
    </row>
    <row r="935" spans="52:71" x14ac:dyDescent="0.3">
      <c r="AZ935" s="188"/>
      <c r="BB935" s="188"/>
      <c r="BC935" s="188"/>
      <c r="BD935" s="188"/>
      <c r="BG935" s="188"/>
      <c r="BH935" s="188"/>
      <c r="BI935" s="188"/>
      <c r="BJ935" s="188"/>
      <c r="BK935" s="188"/>
      <c r="BL935" s="188"/>
      <c r="BM935" s="188"/>
      <c r="BN935" s="188"/>
      <c r="BO935" s="188"/>
      <c r="BP935" s="188"/>
      <c r="BQ935" s="188"/>
      <c r="BR935" s="188"/>
      <c r="BS935" s="188"/>
    </row>
    <row r="936" spans="52:71" x14ac:dyDescent="0.3">
      <c r="AZ936" s="188"/>
      <c r="BB936" s="188"/>
      <c r="BC936" s="188"/>
      <c r="BD936" s="188"/>
      <c r="BG936" s="188"/>
      <c r="BH936" s="188"/>
      <c r="BI936" s="188"/>
      <c r="BJ936" s="188"/>
      <c r="BK936" s="188"/>
      <c r="BL936" s="188"/>
      <c r="BM936" s="188"/>
      <c r="BN936" s="188"/>
      <c r="BO936" s="188"/>
      <c r="BP936" s="188"/>
      <c r="BQ936" s="188"/>
      <c r="BR936" s="188"/>
      <c r="BS936" s="188"/>
    </row>
    <row r="937" spans="52:71" x14ac:dyDescent="0.3">
      <c r="AZ937" s="188"/>
      <c r="BB937" s="188"/>
      <c r="BC937" s="188"/>
      <c r="BD937" s="188"/>
      <c r="BG937" s="188"/>
      <c r="BH937" s="188"/>
      <c r="BI937" s="188"/>
      <c r="BJ937" s="188"/>
      <c r="BK937" s="188"/>
      <c r="BL937" s="188"/>
      <c r="BM937" s="188"/>
      <c r="BN937" s="188"/>
      <c r="BO937" s="188"/>
      <c r="BP937" s="188"/>
      <c r="BQ937" s="188"/>
      <c r="BR937" s="188"/>
      <c r="BS937" s="188"/>
    </row>
    <row r="938" spans="52:71" x14ac:dyDescent="0.3">
      <c r="AZ938" s="188"/>
      <c r="BB938" s="188"/>
      <c r="BC938" s="188"/>
      <c r="BD938" s="188"/>
      <c r="BG938" s="188"/>
      <c r="BH938" s="188"/>
      <c r="BI938" s="188"/>
      <c r="BJ938" s="188"/>
      <c r="BK938" s="188"/>
      <c r="BL938" s="188"/>
      <c r="BM938" s="188"/>
      <c r="BN938" s="188"/>
      <c r="BO938" s="188"/>
      <c r="BP938" s="188"/>
      <c r="BQ938" s="188"/>
      <c r="BR938" s="188"/>
      <c r="BS938" s="188"/>
    </row>
    <row r="939" spans="52:71" x14ac:dyDescent="0.3">
      <c r="AZ939" s="188"/>
      <c r="BB939" s="188"/>
      <c r="BC939" s="188"/>
      <c r="BD939" s="188"/>
      <c r="BG939" s="188"/>
      <c r="BH939" s="188"/>
      <c r="BI939" s="188"/>
      <c r="BJ939" s="188"/>
      <c r="BK939" s="188"/>
      <c r="BL939" s="188"/>
      <c r="BM939" s="188"/>
      <c r="BN939" s="188"/>
      <c r="BO939" s="188"/>
      <c r="BP939" s="188"/>
      <c r="BQ939" s="188"/>
      <c r="BR939" s="188"/>
      <c r="BS939" s="188"/>
    </row>
    <row r="940" spans="52:71" x14ac:dyDescent="0.3">
      <c r="AZ940" s="188"/>
      <c r="BB940" s="188"/>
      <c r="BC940" s="188"/>
      <c r="BD940" s="188"/>
      <c r="BG940" s="188"/>
      <c r="BH940" s="188"/>
      <c r="BI940" s="188"/>
      <c r="BJ940" s="188"/>
      <c r="BK940" s="188"/>
      <c r="BL940" s="188"/>
      <c r="BM940" s="188"/>
      <c r="BN940" s="188"/>
      <c r="BO940" s="188"/>
      <c r="BP940" s="188"/>
      <c r="BQ940" s="188"/>
      <c r="BR940" s="188"/>
      <c r="BS940" s="188"/>
    </row>
    <row r="941" spans="52:71" x14ac:dyDescent="0.3">
      <c r="AZ941" s="188"/>
      <c r="BB941" s="188"/>
      <c r="BC941" s="188"/>
      <c r="BD941" s="188"/>
      <c r="BG941" s="188"/>
      <c r="BH941" s="188"/>
      <c r="BI941" s="188"/>
      <c r="BJ941" s="188"/>
      <c r="BK941" s="188"/>
      <c r="BL941" s="188"/>
      <c r="BM941" s="188"/>
      <c r="BN941" s="188"/>
      <c r="BO941" s="188"/>
      <c r="BP941" s="188"/>
      <c r="BQ941" s="188"/>
      <c r="BR941" s="188"/>
      <c r="BS941" s="188"/>
    </row>
    <row r="942" spans="52:71" x14ac:dyDescent="0.3">
      <c r="AZ942" s="188"/>
      <c r="BB942" s="188"/>
      <c r="BC942" s="188"/>
      <c r="BD942" s="188"/>
      <c r="BG942" s="188"/>
      <c r="BH942" s="188"/>
      <c r="BI942" s="188"/>
      <c r="BJ942" s="188"/>
      <c r="BK942" s="188"/>
      <c r="BL942" s="188"/>
      <c r="BM942" s="188"/>
      <c r="BN942" s="188"/>
      <c r="BO942" s="188"/>
      <c r="BP942" s="188"/>
      <c r="BQ942" s="188"/>
      <c r="BR942" s="188"/>
      <c r="BS942" s="188"/>
    </row>
    <row r="943" spans="52:71" x14ac:dyDescent="0.3">
      <c r="AZ943" s="188"/>
      <c r="BB943" s="188"/>
      <c r="BC943" s="188"/>
      <c r="BD943" s="188"/>
      <c r="BG943" s="188"/>
      <c r="BH943" s="188"/>
      <c r="BI943" s="188"/>
      <c r="BJ943" s="188"/>
      <c r="BK943" s="188"/>
      <c r="BL943" s="188"/>
      <c r="BM943" s="188"/>
      <c r="BN943" s="188"/>
      <c r="BO943" s="188"/>
      <c r="BP943" s="188"/>
      <c r="BQ943" s="188"/>
      <c r="BR943" s="188"/>
      <c r="BS943" s="188"/>
    </row>
    <row r="944" spans="52:71" x14ac:dyDescent="0.3">
      <c r="AZ944" s="188"/>
      <c r="BB944" s="188"/>
      <c r="BC944" s="188"/>
      <c r="BD944" s="188"/>
      <c r="BG944" s="188"/>
      <c r="BH944" s="188"/>
      <c r="BI944" s="188"/>
      <c r="BJ944" s="188"/>
      <c r="BK944" s="188"/>
      <c r="BL944" s="188"/>
      <c r="BM944" s="188"/>
      <c r="BN944" s="188"/>
      <c r="BO944" s="188"/>
      <c r="BP944" s="188"/>
      <c r="BQ944" s="188"/>
      <c r="BR944" s="188"/>
      <c r="BS944" s="188"/>
    </row>
    <row r="945" spans="52:71" x14ac:dyDescent="0.3">
      <c r="AZ945" s="188"/>
      <c r="BB945" s="188"/>
      <c r="BC945" s="188"/>
      <c r="BD945" s="188"/>
      <c r="BG945" s="188"/>
      <c r="BH945" s="188"/>
      <c r="BI945" s="188"/>
      <c r="BJ945" s="188"/>
      <c r="BK945" s="188"/>
      <c r="BL945" s="188"/>
      <c r="BM945" s="188"/>
      <c r="BN945" s="188"/>
      <c r="BO945" s="188"/>
      <c r="BP945" s="188"/>
      <c r="BQ945" s="188"/>
      <c r="BR945" s="188"/>
      <c r="BS945" s="188"/>
    </row>
    <row r="946" spans="52:71" x14ac:dyDescent="0.3">
      <c r="AZ946" s="188"/>
      <c r="BB946" s="188"/>
      <c r="BC946" s="188"/>
      <c r="BD946" s="188"/>
      <c r="BG946" s="188"/>
      <c r="BH946" s="188"/>
      <c r="BI946" s="188"/>
      <c r="BJ946" s="188"/>
      <c r="BK946" s="188"/>
      <c r="BL946" s="188"/>
      <c r="BM946" s="188"/>
      <c r="BN946" s="188"/>
      <c r="BO946" s="188"/>
      <c r="BP946" s="188"/>
      <c r="BQ946" s="188"/>
      <c r="BR946" s="188"/>
      <c r="BS946" s="188"/>
    </row>
    <row r="947" spans="52:71" x14ac:dyDescent="0.3">
      <c r="AZ947" s="188"/>
      <c r="BG947" s="188"/>
      <c r="BH947" s="188"/>
      <c r="BI947" s="188"/>
      <c r="BJ947" s="188"/>
      <c r="BK947" s="188"/>
      <c r="BL947" s="188"/>
      <c r="BM947" s="188"/>
      <c r="BN947" s="188"/>
      <c r="BO947" s="188"/>
      <c r="BP947" s="188"/>
      <c r="BQ947" s="188"/>
      <c r="BR947" s="188"/>
      <c r="BS947" s="188"/>
    </row>
    <row r="948" spans="52:71" x14ac:dyDescent="0.3">
      <c r="AZ948" s="188"/>
      <c r="BG948" s="188"/>
      <c r="BH948" s="188"/>
      <c r="BI948" s="188"/>
      <c r="BJ948" s="188"/>
      <c r="BK948" s="188"/>
      <c r="BL948" s="188"/>
      <c r="BM948" s="188"/>
      <c r="BN948" s="188"/>
      <c r="BO948" s="188"/>
      <c r="BP948" s="188"/>
      <c r="BQ948" s="188"/>
      <c r="BR948" s="188"/>
      <c r="BS948" s="188"/>
    </row>
    <row r="949" spans="52:71" x14ac:dyDescent="0.3">
      <c r="AZ949" s="188"/>
      <c r="BG949" s="188"/>
      <c r="BH949" s="188"/>
      <c r="BI949" s="188"/>
      <c r="BJ949" s="188"/>
      <c r="BK949" s="188"/>
      <c r="BL949" s="188"/>
      <c r="BM949" s="188"/>
      <c r="BN949" s="188"/>
      <c r="BO949" s="188"/>
      <c r="BP949" s="188"/>
      <c r="BQ949" s="188"/>
      <c r="BR949" s="188"/>
      <c r="BS949" s="188"/>
    </row>
    <row r="950" spans="52:71" x14ac:dyDescent="0.3">
      <c r="AZ950" s="188"/>
      <c r="BG950" s="188"/>
      <c r="BH950" s="188"/>
      <c r="BI950" s="188"/>
      <c r="BJ950" s="188"/>
      <c r="BK950" s="188"/>
      <c r="BL950" s="188"/>
      <c r="BM950" s="188"/>
      <c r="BN950" s="188"/>
      <c r="BO950" s="188"/>
      <c r="BP950" s="188"/>
      <c r="BQ950" s="188"/>
      <c r="BR950" s="188"/>
      <c r="BS950" s="188"/>
    </row>
    <row r="951" spans="52:71" x14ac:dyDescent="0.3">
      <c r="AZ951" s="188"/>
      <c r="BG951" s="188"/>
      <c r="BH951" s="188"/>
      <c r="BI951" s="188"/>
      <c r="BJ951" s="188"/>
      <c r="BK951" s="188"/>
      <c r="BL951" s="188"/>
      <c r="BM951" s="188"/>
      <c r="BN951" s="188"/>
      <c r="BO951" s="188"/>
      <c r="BP951" s="188"/>
      <c r="BQ951" s="188"/>
      <c r="BR951" s="188"/>
      <c r="BS951" s="188"/>
    </row>
    <row r="952" spans="52:71" x14ac:dyDescent="0.3">
      <c r="AZ952" s="188"/>
      <c r="BG952" s="188"/>
      <c r="BH952" s="188"/>
      <c r="BI952" s="188"/>
      <c r="BJ952" s="188"/>
      <c r="BK952" s="188"/>
      <c r="BL952" s="188"/>
      <c r="BM952" s="188"/>
      <c r="BN952" s="188"/>
      <c r="BO952" s="188"/>
      <c r="BP952" s="188"/>
      <c r="BQ952" s="188"/>
      <c r="BR952" s="188"/>
      <c r="BS952" s="188"/>
    </row>
    <row r="953" spans="52:71" x14ac:dyDescent="0.3">
      <c r="AZ953" s="188"/>
      <c r="BG953" s="188"/>
      <c r="BH953" s="188"/>
      <c r="BI953" s="188"/>
      <c r="BJ953" s="188"/>
      <c r="BK953" s="188"/>
      <c r="BL953" s="188"/>
      <c r="BM953" s="188"/>
      <c r="BN953" s="188"/>
      <c r="BO953" s="188"/>
      <c r="BP953" s="188"/>
      <c r="BQ953" s="188"/>
      <c r="BR953" s="188"/>
      <c r="BS953" s="188"/>
    </row>
    <row r="954" spans="52:71" x14ac:dyDescent="0.3">
      <c r="AZ954" s="188"/>
    </row>
    <row r="955" spans="52:71" x14ac:dyDescent="0.3">
      <c r="AZ955" s="188"/>
    </row>
    <row r="969" spans="1:28" x14ac:dyDescent="0.3">
      <c r="A969" s="42"/>
    </row>
    <row r="972" spans="1:28" x14ac:dyDescent="0.3">
      <c r="Y972" s="42"/>
    </row>
    <row r="973" spans="1:28" x14ac:dyDescent="0.3">
      <c r="A973" s="42"/>
      <c r="H973" s="42"/>
      <c r="I973" s="42"/>
    </row>
    <row r="974" spans="1:28" x14ac:dyDescent="0.3">
      <c r="A974" s="42"/>
      <c r="V974" s="44"/>
      <c r="AA974" s="44"/>
      <c r="AB974" s="44"/>
    </row>
    <row r="975" spans="1:28" x14ac:dyDescent="0.3">
      <c r="A975" s="42"/>
      <c r="V975" s="135"/>
      <c r="AA975" s="135"/>
      <c r="AB975" s="135"/>
    </row>
    <row r="976" spans="1:28" x14ac:dyDescent="0.3">
      <c r="A976" s="42"/>
      <c r="U976" s="42"/>
      <c r="AA976" s="44"/>
      <c r="AB976" s="44"/>
    </row>
    <row r="977" spans="1:28" x14ac:dyDescent="0.3">
      <c r="A977" s="42"/>
    </row>
    <row r="978" spans="1:28" x14ac:dyDescent="0.3">
      <c r="A978" s="42"/>
      <c r="U978" s="42"/>
      <c r="AA978" s="44"/>
      <c r="AB978" s="44"/>
    </row>
    <row r="979" spans="1:28" x14ac:dyDescent="0.3">
      <c r="A979" s="42"/>
    </row>
    <row r="980" spans="1:28" x14ac:dyDescent="0.3">
      <c r="A980" s="42"/>
      <c r="U980" s="42"/>
      <c r="V980" s="247"/>
      <c r="AA980" s="44"/>
      <c r="AB980" s="44"/>
    </row>
    <row r="981" spans="1:28" x14ac:dyDescent="0.3">
      <c r="A981" s="42"/>
    </row>
    <row r="982" spans="1:28" x14ac:dyDescent="0.3">
      <c r="A982" s="42"/>
      <c r="U982" s="42"/>
      <c r="AA982" s="44"/>
      <c r="AB982" s="44"/>
    </row>
    <row r="983" spans="1:28" x14ac:dyDescent="0.3">
      <c r="A983" s="42"/>
    </row>
    <row r="984" spans="1:28" x14ac:dyDescent="0.3">
      <c r="A984" s="42"/>
      <c r="U984" s="42"/>
      <c r="AA984" s="44"/>
      <c r="AB984" s="44"/>
    </row>
    <row r="985" spans="1:28" x14ac:dyDescent="0.3">
      <c r="A985" s="42"/>
    </row>
    <row r="986" spans="1:28" x14ac:dyDescent="0.3">
      <c r="A986" s="42"/>
    </row>
    <row r="987" spans="1:28" x14ac:dyDescent="0.3">
      <c r="A987" s="42"/>
    </row>
    <row r="988" spans="1:28" x14ac:dyDescent="0.3">
      <c r="A988" s="42"/>
    </row>
    <row r="989" spans="1:28" x14ac:dyDescent="0.3">
      <c r="A989" s="42"/>
    </row>
    <row r="990" spans="1:28" x14ac:dyDescent="0.3">
      <c r="A990" s="42"/>
    </row>
    <row r="991" spans="1:28" x14ac:dyDescent="0.3">
      <c r="A991" s="42"/>
    </row>
    <row r="992" spans="1:28" x14ac:dyDescent="0.3">
      <c r="A992" s="42"/>
    </row>
    <row r="993" spans="1:9" x14ac:dyDescent="0.3">
      <c r="A993" s="42"/>
    </row>
    <row r="994" spans="1:9" x14ac:dyDescent="0.3">
      <c r="A994" s="42"/>
    </row>
    <row r="995" spans="1:9" x14ac:dyDescent="0.3">
      <c r="A995" s="42"/>
      <c r="H995" s="42"/>
      <c r="I995" s="42"/>
    </row>
    <row r="998" spans="1:9" x14ac:dyDescent="0.3">
      <c r="A998" s="42"/>
    </row>
    <row r="1001" spans="1:9" x14ac:dyDescent="0.3">
      <c r="A1001" s="42"/>
    </row>
    <row r="1004" spans="1:9" x14ac:dyDescent="0.3">
      <c r="A1004" s="42"/>
    </row>
    <row r="1005" spans="1:9" x14ac:dyDescent="0.3">
      <c r="A1005" s="42"/>
    </row>
    <row r="1006" spans="1:9" x14ac:dyDescent="0.3">
      <c r="A1006" s="42"/>
    </row>
    <row r="1007" spans="1:9" x14ac:dyDescent="0.3">
      <c r="A1007" s="42"/>
    </row>
    <row r="1008" spans="1:9" x14ac:dyDescent="0.3">
      <c r="A1008" s="42"/>
    </row>
    <row r="1009" spans="1:1" x14ac:dyDescent="0.3">
      <c r="A1009" s="42"/>
    </row>
    <row r="1010" spans="1:1" x14ac:dyDescent="0.3">
      <c r="A1010" s="42"/>
    </row>
    <row r="1011" spans="1:1" x14ac:dyDescent="0.3">
      <c r="A1011" s="42"/>
    </row>
    <row r="1012" spans="1:1" x14ac:dyDescent="0.3">
      <c r="A1012" s="42"/>
    </row>
    <row r="1013" spans="1:1" x14ac:dyDescent="0.3">
      <c r="A1013" s="42"/>
    </row>
    <row r="1014" spans="1:1" x14ac:dyDescent="0.3">
      <c r="A1014" s="42"/>
    </row>
    <row r="1015" spans="1:1" x14ac:dyDescent="0.3">
      <c r="A1015" s="42"/>
    </row>
    <row r="1016" spans="1:1" x14ac:dyDescent="0.3">
      <c r="A1016" s="42"/>
    </row>
    <row r="1017" spans="1:1" x14ac:dyDescent="0.3">
      <c r="A1017" s="42"/>
    </row>
    <row r="1018" spans="1:1" x14ac:dyDescent="0.3">
      <c r="A1018" s="42"/>
    </row>
    <row r="1019" spans="1:1" x14ac:dyDescent="0.3">
      <c r="A1019" s="42"/>
    </row>
    <row r="1020" spans="1:1" x14ac:dyDescent="0.3">
      <c r="A1020" s="42"/>
    </row>
    <row r="1021" spans="1:1" x14ac:dyDescent="0.3">
      <c r="A1021" s="42"/>
    </row>
    <row r="1022" spans="1:1" x14ac:dyDescent="0.3">
      <c r="A1022" s="42"/>
    </row>
    <row r="1023" spans="1:1" x14ac:dyDescent="0.3">
      <c r="A1023" s="42"/>
    </row>
    <row r="1024" spans="1:1" x14ac:dyDescent="0.3">
      <c r="A1024" s="42"/>
    </row>
    <row r="1025" spans="1:1" x14ac:dyDescent="0.3">
      <c r="A1025" s="42"/>
    </row>
    <row r="1026" spans="1:1" x14ac:dyDescent="0.3">
      <c r="A1026" s="42"/>
    </row>
    <row r="1027" spans="1:1" x14ac:dyDescent="0.3">
      <c r="A1027" s="42"/>
    </row>
    <row r="1028" spans="1:1" x14ac:dyDescent="0.3">
      <c r="A1028" s="42"/>
    </row>
    <row r="1029" spans="1:1" x14ac:dyDescent="0.3">
      <c r="A1029" s="42"/>
    </row>
    <row r="1030" spans="1:1" x14ac:dyDescent="0.3">
      <c r="A1030" s="42"/>
    </row>
    <row r="1031" spans="1:1" x14ac:dyDescent="0.3">
      <c r="A1031" s="42"/>
    </row>
    <row r="1032" spans="1:1" x14ac:dyDescent="0.3">
      <c r="A1032" s="42"/>
    </row>
    <row r="1033" spans="1:1" x14ac:dyDescent="0.3">
      <c r="A1033" s="42"/>
    </row>
    <row r="1034" spans="1:1" x14ac:dyDescent="0.3">
      <c r="A1034" s="42"/>
    </row>
    <row r="1035" spans="1:1" x14ac:dyDescent="0.3">
      <c r="A1035" s="42"/>
    </row>
    <row r="1036" spans="1:1" x14ac:dyDescent="0.3">
      <c r="A1036" s="42"/>
    </row>
    <row r="1037" spans="1:1" x14ac:dyDescent="0.3">
      <c r="A1037" s="42"/>
    </row>
    <row r="1038" spans="1:1" x14ac:dyDescent="0.3">
      <c r="A1038" s="42"/>
    </row>
    <row r="1043" spans="1:1" x14ac:dyDescent="0.3">
      <c r="A1043" s="42"/>
    </row>
    <row r="1044" spans="1:1" x14ac:dyDescent="0.3">
      <c r="A1044" s="42"/>
    </row>
    <row r="1047" spans="1:1" x14ac:dyDescent="0.3">
      <c r="A1047" s="42"/>
    </row>
    <row r="1049" spans="1:1" x14ac:dyDescent="0.3">
      <c r="A1049" s="42"/>
    </row>
    <row r="1051" spans="1:1" x14ac:dyDescent="0.3">
      <c r="A1051" s="42"/>
    </row>
    <row r="1053" spans="1:1" x14ac:dyDescent="0.3">
      <c r="A1053" s="42"/>
    </row>
    <row r="1056" spans="1:1" x14ac:dyDescent="0.3">
      <c r="A1056" s="42"/>
    </row>
    <row r="1057" spans="1:1" x14ac:dyDescent="0.3">
      <c r="A1057" s="42"/>
    </row>
    <row r="1058" spans="1:1" x14ac:dyDescent="0.3">
      <c r="A1058" s="42"/>
    </row>
    <row r="1059" spans="1:1" x14ac:dyDescent="0.3">
      <c r="A1059" s="42"/>
    </row>
    <row r="1060" spans="1:1" x14ac:dyDescent="0.3">
      <c r="A1060" s="42"/>
    </row>
    <row r="1061" spans="1:1" x14ac:dyDescent="0.3">
      <c r="A1061" s="42"/>
    </row>
    <row r="1062" spans="1:1" x14ac:dyDescent="0.3">
      <c r="A1062" s="42"/>
    </row>
    <row r="1063" spans="1:1" x14ac:dyDescent="0.3">
      <c r="A1063" s="42"/>
    </row>
  </sheetData>
  <customSheetViews>
    <customSheetView guid="{195DF303-1BBD-4236-94B5-47432850B006}" scale="75" fitToPage="1" showRuler="0">
      <pane xSplit="11.212121212121213" topLeftCell="V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"/>
      <headerFooter alignWithMargins="0"/>
    </customSheetView>
    <customSheetView guid="{0C49E549-011E-46F4-A82E-2CC8951A9C1E}" scale="75" fitToPage="1" showRuler="0">
      <pane xSplit="11.484848484848484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2"/>
      <headerFooter alignWithMargins="0"/>
    </customSheetView>
    <customSheetView guid="{4BC93440-BA85-4935-A8C9-66DC6AE5DE5E}" scale="75" fitToPage="1" showRuler="0" topLeftCell="AC77">
      <pane xSplit="15.38" topLeftCell="V1"/>
      <selection activeCell="R8" sqref="R8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3"/>
      <headerFooter alignWithMargins="0"/>
    </customSheetView>
    <customSheetView guid="{2431C9E5-7CC2-4B8D-99C3-962247B1DBF5}" scale="75" fitToPage="1" showRuler="0" topLeftCell="AC77">
      <pane xSplit="15.38" topLeftCell="V1"/>
      <selection activeCell="R8" sqref="R8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4"/>
      <headerFooter alignWithMargins="0"/>
    </customSheetView>
    <customSheetView guid="{2EA35095-1ADC-4CC7-8C3C-B487D65FA247}" scale="75" fitToPage="1" showRuler="0">
      <pane xSplit="18.295081967213115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5"/>
      <headerFooter alignWithMargins="0"/>
    </customSheetView>
    <customSheetView guid="{8FC77C99-DBF7-40B8-99B8-01B75826CDCB}" scale="75" fitToPage="1" showRuler="0">
      <pane xSplit="19.567567567567568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6"/>
      <headerFooter alignWithMargins="0"/>
    </customSheetView>
    <customSheetView guid="{8FB94551-8874-4095-B8FB-5316E0D2FD2C}" scale="75" fitToPage="1" showRuler="0">
      <pane xSplit="19.567567567567568" topLeftCell="V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7"/>
      <headerFooter alignWithMargins="0"/>
    </customSheetView>
    <customSheetView guid="{6B3D5C27-2FDE-4561-9575-1E98BFB869D0}" scale="75" fitToPage="1" showRuler="0">
      <pane xSplit="19.567567567567568" topLeftCell="V1"/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8"/>
      <headerFooter alignWithMargins="0"/>
    </customSheetView>
    <customSheetView guid="{0BC1F393-8A13-47D5-BC6C-0C99615B5AB9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9"/>
      <headerFooter alignWithMargins="0"/>
    </customSheetView>
    <customSheetView guid="{18BDED73-BFA0-442E-87EC-CED86EE4CF94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0"/>
      <headerFooter alignWithMargins="0"/>
    </customSheetView>
    <customSheetView guid="{35F19056-2E6F-4935-B863-78836FE990BF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1"/>
      <headerFooter alignWithMargins="0"/>
    </customSheetView>
    <customSheetView guid="{F562D92E-120C-4AE9-9663-89E64D41DC53}" scale="75" fitToPage="1" topLeftCell="T49">
      <selection activeCell="P40" sqref="P40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2"/>
      <headerFooter alignWithMargins="0"/>
    </customSheetView>
  </customSheetViews>
  <mergeCells count="1">
    <mergeCell ref="T48:AQ48"/>
  </mergeCells>
  <phoneticPr fontId="11" type="noConversion"/>
  <pageMargins left="0.5" right="0.5" top="1" bottom="0" header="0" footer="0"/>
  <pageSetup scale="65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syncVertical="1" syncRef="A1" transitionEvaluation="1" transitionEntry="1" codeName="Sheet23">
    <pageSetUpPr fitToPage="1"/>
  </sheetPr>
  <dimension ref="A1:BX1052"/>
  <sheetViews>
    <sheetView zoomScale="75" workbookViewId="0"/>
  </sheetViews>
  <sheetFormatPr defaultColWidth="9.75" defaultRowHeight="15.6" x14ac:dyDescent="0.3"/>
  <cols>
    <col min="1" max="1" width="5.25" style="41" customWidth="1"/>
    <col min="2" max="2" width="0.4140625" style="41" customWidth="1"/>
    <col min="3" max="3" width="6.75" style="41" customWidth="1"/>
    <col min="4" max="4" width="39.58203125" style="41" customWidth="1"/>
    <col min="5" max="5" width="0.332031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1.582031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7.75" style="41" customWidth="1"/>
    <col min="19" max="19" width="6.75" style="41" customWidth="1"/>
    <col min="20" max="20" width="5.4140625" style="41" customWidth="1"/>
    <col min="21" max="21" width="0.58203125" style="41" customWidth="1"/>
    <col min="22" max="22" width="5.58203125" style="41" customWidth="1"/>
    <col min="23" max="23" width="39.75" style="41" customWidth="1"/>
    <col min="24" max="24" width="1.5820312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2.33203125" style="41" customWidth="1"/>
    <col min="30" max="30" width="0.9140625" style="41" customWidth="1"/>
    <col min="31" max="31" width="12.9140625" style="41" customWidth="1"/>
    <col min="32" max="32" width="0.75" style="41" customWidth="1"/>
    <col min="33" max="33" width="13.6640625" style="165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165" customWidth="1"/>
    <col min="38" max="38" width="0.582031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165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REHEARING ORDER CALCULATED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157</v>
      </c>
      <c r="AK6" s="206"/>
      <c r="AL6" s="42"/>
    </row>
    <row r="7" spans="1:40" x14ac:dyDescent="0.3">
      <c r="A7" s="41" t="str">
        <f>TYPE</f>
        <v>TYPE OF FILING: _X_ ORIGINAL   ___UPDATED  ___ REVISED</v>
      </c>
      <c r="R7" s="45" t="str">
        <f>"PAGE 16 OF "&amp;TEXT(Page_Num_2.3,"00")</f>
        <v>PAGE 16 OF 24</v>
      </c>
      <c r="AK7" s="206"/>
      <c r="AL7" s="42"/>
    </row>
    <row r="8" spans="1:40" x14ac:dyDescent="0.3">
      <c r="A8" s="42" t="s">
        <v>171</v>
      </c>
      <c r="R8" s="42" t="s">
        <v>3</v>
      </c>
      <c r="AK8" s="206"/>
      <c r="AL8" s="42"/>
    </row>
    <row r="9" spans="1:40" x14ac:dyDescent="0.3">
      <c r="A9" s="153" t="str">
        <f>TIME</f>
        <v>12 Months Projected with Riders</v>
      </c>
      <c r="N9" s="42"/>
      <c r="R9" s="41" t="str">
        <f>WIT</f>
        <v>B. L. Sailers</v>
      </c>
      <c r="AK9" s="206"/>
      <c r="AL9" s="42"/>
    </row>
    <row r="10" spans="1:40" x14ac:dyDescent="0.3">
      <c r="A10" s="40" t="s">
        <v>130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T10" s="326"/>
      <c r="AA10" s="42"/>
      <c r="AB10" s="42"/>
    </row>
    <row r="11" spans="1:40" x14ac:dyDescent="0.3">
      <c r="A11" s="135"/>
      <c r="B11" s="135"/>
      <c r="C11" s="135"/>
      <c r="D11" s="135"/>
      <c r="E11" s="135"/>
      <c r="F11" s="135"/>
      <c r="H11" s="135"/>
      <c r="I11" s="135"/>
      <c r="J11" s="135"/>
      <c r="K11" s="135"/>
      <c r="L11" s="43"/>
      <c r="M11" s="43"/>
      <c r="N11" s="43"/>
      <c r="O11" s="43"/>
      <c r="P11" s="43"/>
      <c r="Q11" s="43"/>
      <c r="R11" s="43"/>
      <c r="T11" s="210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207"/>
      <c r="AH11" s="135"/>
      <c r="AI11" s="135"/>
      <c r="AJ11" s="135"/>
      <c r="AK11" s="207"/>
      <c r="AL11" s="135"/>
      <c r="AM11" s="135"/>
      <c r="AN11" s="135"/>
    </row>
    <row r="12" spans="1:40" ht="18" customHeight="1" x14ac:dyDescent="0.3">
      <c r="A12" s="191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44" t="s">
        <v>6</v>
      </c>
      <c r="M12" s="44"/>
      <c r="N12" s="44" t="s">
        <v>7</v>
      </c>
      <c r="O12" s="44"/>
      <c r="R12" s="44" t="s">
        <v>6</v>
      </c>
      <c r="T12" s="238"/>
      <c r="Y12" s="44" t="s">
        <v>405</v>
      </c>
      <c r="AA12" s="44"/>
      <c r="AB12" s="44"/>
      <c r="AC12" s="44"/>
      <c r="AD12" s="44"/>
      <c r="AE12" s="44"/>
      <c r="AF12" s="44"/>
      <c r="AG12" s="168"/>
      <c r="AH12" s="44"/>
      <c r="AK12" s="168"/>
      <c r="AL12" s="44"/>
      <c r="AM12" s="44"/>
      <c r="AN12" s="44"/>
    </row>
    <row r="13" spans="1:40" x14ac:dyDescent="0.3">
      <c r="L13" s="44" t="s">
        <v>12</v>
      </c>
      <c r="M13" s="44"/>
      <c r="N13" s="44" t="s">
        <v>13</v>
      </c>
      <c r="O13" s="44"/>
      <c r="R13" s="44" t="s">
        <v>11</v>
      </c>
      <c r="T13" s="238"/>
      <c r="Y13" s="44" t="s">
        <v>406</v>
      </c>
      <c r="Z13" s="44"/>
      <c r="AA13" s="44"/>
      <c r="AB13" s="44"/>
      <c r="AC13" s="44"/>
      <c r="AD13" s="44"/>
      <c r="AE13" s="44"/>
      <c r="AF13" s="44"/>
      <c r="AG13" s="168"/>
      <c r="AH13" s="44"/>
      <c r="AK13" s="168"/>
      <c r="AL13" s="44"/>
      <c r="AM13" s="44"/>
      <c r="AN13" s="44"/>
    </row>
    <row r="14" spans="1:40" x14ac:dyDescent="0.3">
      <c r="A14" s="44" t="s">
        <v>17</v>
      </c>
      <c r="C14" s="44" t="s">
        <v>18</v>
      </c>
      <c r="D14" s="44" t="s">
        <v>19</v>
      </c>
      <c r="E14" s="44"/>
      <c r="F14" s="44" t="s">
        <v>20</v>
      </c>
      <c r="J14" s="44" t="s">
        <v>6</v>
      </c>
      <c r="K14" s="44"/>
      <c r="L14" s="44" t="s">
        <v>842</v>
      </c>
      <c r="M14" s="44"/>
      <c r="N14" s="44" t="s">
        <v>842</v>
      </c>
      <c r="O14" s="44"/>
      <c r="P14" s="44" t="s">
        <v>842</v>
      </c>
      <c r="Q14" s="44"/>
      <c r="R14" s="44" t="s">
        <v>9</v>
      </c>
      <c r="T14" s="238"/>
      <c r="V14" s="44"/>
      <c r="Y14" s="44" t="s">
        <v>407</v>
      </c>
      <c r="Z14" s="44"/>
      <c r="AA14" s="44"/>
      <c r="AB14" s="44"/>
      <c r="AC14" s="44"/>
      <c r="AD14" s="44"/>
      <c r="AE14" s="44"/>
      <c r="AF14" s="44"/>
      <c r="AG14" s="168"/>
      <c r="AH14" s="44"/>
      <c r="AI14" s="44"/>
      <c r="AJ14" s="44"/>
      <c r="AK14" s="168"/>
      <c r="AL14" s="44"/>
      <c r="AM14" s="44"/>
      <c r="AN14" s="44"/>
    </row>
    <row r="15" spans="1:40" x14ac:dyDescent="0.3">
      <c r="A15" s="44" t="s">
        <v>22</v>
      </c>
      <c r="C15" s="44" t="s">
        <v>23</v>
      </c>
      <c r="D15" s="44" t="s">
        <v>24</v>
      </c>
      <c r="E15" s="44"/>
      <c r="F15" s="44" t="s">
        <v>55</v>
      </c>
      <c r="H15" s="44" t="s">
        <v>26</v>
      </c>
      <c r="I15" s="44"/>
      <c r="J15" s="46" t="s">
        <v>1134</v>
      </c>
      <c r="K15" s="44"/>
      <c r="L15" s="44" t="s">
        <v>9</v>
      </c>
      <c r="M15" s="44"/>
      <c r="N15" s="44" t="s">
        <v>9</v>
      </c>
      <c r="O15" s="44"/>
      <c r="P15" s="44" t="s">
        <v>1133</v>
      </c>
      <c r="Q15" s="44"/>
      <c r="R15" s="141" t="s">
        <v>28</v>
      </c>
      <c r="T15" s="238"/>
      <c r="U15" s="40"/>
      <c r="V15" s="44"/>
      <c r="Z15" s="44"/>
      <c r="AA15" s="44"/>
      <c r="AB15" s="44"/>
      <c r="AC15" s="44"/>
      <c r="AD15" s="44"/>
      <c r="AE15" s="44"/>
      <c r="AF15" s="44"/>
      <c r="AG15" s="168"/>
      <c r="AH15" s="44"/>
      <c r="AI15" s="44"/>
      <c r="AJ15" s="44"/>
      <c r="AK15" s="168"/>
      <c r="AL15" s="44"/>
      <c r="AM15" s="44"/>
      <c r="AN15" s="44"/>
    </row>
    <row r="16" spans="1:40" x14ac:dyDescent="0.3">
      <c r="C16" s="141" t="s">
        <v>33</v>
      </c>
      <c r="D16" s="141" t="s">
        <v>34</v>
      </c>
      <c r="E16" s="141"/>
      <c r="F16" s="141" t="s">
        <v>35</v>
      </c>
      <c r="G16" s="153"/>
      <c r="H16" s="141" t="s">
        <v>36</v>
      </c>
      <c r="I16" s="141"/>
      <c r="J16" s="141" t="s">
        <v>37</v>
      </c>
      <c r="K16" s="141"/>
      <c r="L16" s="141" t="s">
        <v>38</v>
      </c>
      <c r="M16" s="141"/>
      <c r="N16" s="141" t="s">
        <v>39</v>
      </c>
      <c r="O16" s="141"/>
      <c r="P16" s="141" t="s">
        <v>40</v>
      </c>
      <c r="Q16" s="141"/>
      <c r="R16" s="141" t="s">
        <v>41</v>
      </c>
      <c r="T16" s="238"/>
      <c r="U16" s="42"/>
      <c r="V16" s="135"/>
      <c r="W16" s="135"/>
      <c r="X16" s="135"/>
      <c r="Z16" s="135"/>
      <c r="AA16" s="135"/>
      <c r="AB16" s="135"/>
      <c r="AC16" s="135"/>
      <c r="AD16" s="135"/>
      <c r="AE16" s="135"/>
      <c r="AF16" s="135"/>
      <c r="AG16" s="207"/>
      <c r="AH16" s="135"/>
      <c r="AI16" s="135"/>
      <c r="AJ16" s="135"/>
      <c r="AK16" s="207"/>
      <c r="AL16" s="135"/>
      <c r="AM16" s="135"/>
      <c r="AN16" s="135"/>
    </row>
    <row r="17" spans="1:43" ht="17.100000000000001" customHeight="1" x14ac:dyDescent="0.3">
      <c r="A17" s="191"/>
      <c r="B17" s="191"/>
      <c r="C17" s="191"/>
      <c r="D17" s="191"/>
      <c r="E17" s="191"/>
      <c r="F17" s="191"/>
      <c r="G17" s="191"/>
      <c r="H17" s="271" t="s">
        <v>49</v>
      </c>
      <c r="I17" s="271"/>
      <c r="J17" s="270" t="s">
        <v>313</v>
      </c>
      <c r="K17" s="271"/>
      <c r="L17" s="271" t="s">
        <v>50</v>
      </c>
      <c r="M17" s="271"/>
      <c r="N17" s="271" t="s">
        <v>51</v>
      </c>
      <c r="O17" s="271"/>
      <c r="P17" s="271" t="s">
        <v>50</v>
      </c>
      <c r="Q17" s="271"/>
      <c r="R17" s="271" t="s">
        <v>50</v>
      </c>
      <c r="T17" s="238"/>
      <c r="U17" s="40"/>
      <c r="Z17" s="44"/>
      <c r="AA17" s="44"/>
      <c r="AB17" s="44"/>
      <c r="AC17" s="44"/>
      <c r="AD17" s="44"/>
      <c r="AE17" s="44"/>
      <c r="AF17" s="44"/>
      <c r="AG17" s="168"/>
      <c r="AH17" s="44"/>
      <c r="AI17" s="44"/>
      <c r="AJ17" s="44"/>
      <c r="AK17" s="168"/>
      <c r="AL17" s="44"/>
      <c r="AM17" s="44"/>
      <c r="AN17" s="44"/>
    </row>
    <row r="18" spans="1:43" x14ac:dyDescent="0.3">
      <c r="H18" s="44"/>
      <c r="I18" s="44"/>
      <c r="J18" s="46"/>
      <c r="K18" s="44"/>
      <c r="L18" s="44"/>
      <c r="M18" s="44"/>
      <c r="N18" s="44"/>
      <c r="O18" s="44"/>
      <c r="P18" s="44"/>
      <c r="Q18" s="44"/>
      <c r="R18" s="44"/>
      <c r="T18" s="238"/>
      <c r="U18" s="42"/>
      <c r="Z18" s="44"/>
      <c r="AA18" s="44"/>
      <c r="AB18" s="44"/>
      <c r="AC18" s="44"/>
      <c r="AD18" s="44"/>
      <c r="AE18" s="44"/>
      <c r="AF18" s="44"/>
      <c r="AG18" s="168"/>
      <c r="AH18" s="44"/>
      <c r="AI18" s="44"/>
      <c r="AJ18" s="44"/>
      <c r="AK18" s="168"/>
      <c r="AL18" s="44"/>
      <c r="AM18" s="44"/>
      <c r="AN18" s="44"/>
    </row>
    <row r="19" spans="1:43" ht="27.75" customHeight="1" x14ac:dyDescent="0.3">
      <c r="A19" s="41">
        <v>1</v>
      </c>
      <c r="C19" s="132" t="s">
        <v>240</v>
      </c>
      <c r="D19" s="178" t="s">
        <v>241</v>
      </c>
      <c r="F19" s="3"/>
      <c r="G19" s="1"/>
      <c r="H19" s="3"/>
      <c r="I19" s="3"/>
      <c r="J19" s="1"/>
      <c r="K19" s="1"/>
      <c r="L19" s="3"/>
      <c r="M19" s="3"/>
      <c r="N19" s="4"/>
      <c r="O19" s="4"/>
      <c r="P19" s="159"/>
      <c r="Q19" s="159"/>
      <c r="R19" s="3"/>
      <c r="T19" s="40"/>
      <c r="U19" s="40"/>
      <c r="V19" s="40"/>
      <c r="W19" s="40"/>
      <c r="X19" s="40"/>
      <c r="Y19" s="275"/>
      <c r="Z19" s="40"/>
      <c r="AA19" s="40"/>
      <c r="AB19" s="40"/>
      <c r="AC19" s="40"/>
      <c r="AD19" s="40"/>
      <c r="AE19" s="40"/>
      <c r="AF19" s="40"/>
      <c r="AG19" s="166"/>
      <c r="AH19" s="40"/>
      <c r="AI19" s="40"/>
      <c r="AJ19" s="40"/>
      <c r="AK19" s="166"/>
      <c r="AL19" s="40"/>
      <c r="AM19" s="40"/>
      <c r="AN19" s="40"/>
      <c r="AO19" s="40"/>
      <c r="AP19" s="40"/>
      <c r="AQ19" s="166"/>
    </row>
    <row r="20" spans="1:43" x14ac:dyDescent="0.3">
      <c r="C20" s="132"/>
      <c r="D20" s="178"/>
      <c r="F20" s="3"/>
      <c r="G20" s="1"/>
      <c r="H20" s="3"/>
      <c r="I20" s="3"/>
      <c r="J20" s="1"/>
      <c r="K20" s="1"/>
      <c r="L20" s="3"/>
      <c r="M20" s="3"/>
      <c r="N20" s="4"/>
      <c r="O20" s="4"/>
      <c r="P20" s="159"/>
      <c r="Q20" s="159"/>
      <c r="R20" s="3"/>
      <c r="T20" s="40"/>
      <c r="U20" s="40"/>
      <c r="V20" s="40"/>
      <c r="W20" s="40"/>
      <c r="X20" s="40"/>
      <c r="Y20" s="275"/>
      <c r="Z20" s="40"/>
      <c r="AA20" s="40"/>
      <c r="AB20" s="40"/>
      <c r="AC20" s="40"/>
      <c r="AD20" s="40"/>
      <c r="AE20" s="40"/>
      <c r="AF20" s="40"/>
      <c r="AG20" s="166"/>
      <c r="AH20" s="40"/>
      <c r="AI20" s="40"/>
      <c r="AJ20" s="40"/>
      <c r="AK20" s="166"/>
      <c r="AL20" s="40"/>
      <c r="AM20" s="40"/>
      <c r="AN20" s="40"/>
      <c r="AO20" s="40"/>
      <c r="AP20" s="40"/>
      <c r="AQ20" s="166"/>
    </row>
    <row r="21" spans="1:43" ht="30" customHeight="1" x14ac:dyDescent="0.3">
      <c r="A21" s="41">
        <v>2</v>
      </c>
      <c r="C21" s="42" t="s">
        <v>242</v>
      </c>
      <c r="F21" s="197">
        <v>30661</v>
      </c>
      <c r="G21" s="1"/>
      <c r="H21" s="197">
        <v>8542179</v>
      </c>
      <c r="I21" s="1"/>
      <c r="J21" s="198">
        <v>7.5946E-2</v>
      </c>
      <c r="K21" s="1"/>
      <c r="L21" s="49">
        <f>ROUND((H21*J21),0)</f>
        <v>648744</v>
      </c>
      <c r="M21" s="1"/>
      <c r="N21" s="253">
        <f>ROUND((L21/L$28)*100,1)</f>
        <v>96.5</v>
      </c>
      <c r="O21" s="1"/>
      <c r="P21" s="49">
        <f>P28</f>
        <v>29788</v>
      </c>
      <c r="Q21" s="1"/>
      <c r="R21" s="49">
        <f>P21+L21</f>
        <v>678532</v>
      </c>
      <c r="Y21" s="275">
        <f>J21-PRO_BASE_FUEL</f>
        <v>4.2166000000000002E-2</v>
      </c>
      <c r="AE21" s="44"/>
      <c r="AF21" s="44"/>
      <c r="AG21" s="168"/>
      <c r="AH21" s="44"/>
      <c r="AI21" s="44"/>
      <c r="AJ21" s="44"/>
      <c r="AK21" s="168"/>
      <c r="AL21" s="44"/>
      <c r="AO21" s="44"/>
      <c r="AP21" s="44"/>
      <c r="AQ21" s="168"/>
    </row>
    <row r="22" spans="1:43" ht="15.75" customHeight="1" x14ac:dyDescent="0.3">
      <c r="C22" s="178"/>
      <c r="F22" s="184"/>
      <c r="G22" s="1"/>
      <c r="H22" s="184"/>
      <c r="I22" s="1"/>
      <c r="J22" s="198"/>
      <c r="K22" s="1"/>
      <c r="L22" s="3"/>
      <c r="M22" s="1"/>
      <c r="N22" s="4"/>
      <c r="O22" s="1"/>
      <c r="P22" s="3"/>
      <c r="Q22" s="1"/>
      <c r="R22" s="3"/>
      <c r="Y22" s="275"/>
      <c r="AE22" s="44"/>
      <c r="AF22" s="44"/>
      <c r="AG22" s="168"/>
      <c r="AH22" s="44"/>
      <c r="AI22" s="44"/>
      <c r="AJ22" s="44"/>
      <c r="AK22" s="168"/>
      <c r="AL22" s="44"/>
      <c r="AO22" s="44"/>
      <c r="AP22" s="44"/>
      <c r="AQ22" s="168"/>
    </row>
    <row r="23" spans="1:43" ht="17.100000000000001" customHeight="1" x14ac:dyDescent="0.3">
      <c r="A23" s="41">
        <v>3</v>
      </c>
      <c r="C23" s="132" t="s">
        <v>478</v>
      </c>
      <c r="F23" s="184"/>
      <c r="G23" s="1"/>
      <c r="H23" s="184"/>
      <c r="I23" s="1"/>
      <c r="J23" s="198"/>
      <c r="K23" s="1"/>
      <c r="L23" s="3"/>
      <c r="M23" s="1"/>
      <c r="N23" s="4"/>
      <c r="O23" s="1"/>
      <c r="P23" s="3"/>
      <c r="Q23" s="1"/>
      <c r="R23" s="3"/>
      <c r="Y23" s="275"/>
      <c r="AE23" s="44"/>
      <c r="AF23" s="44"/>
      <c r="AG23" s="168"/>
      <c r="AH23" s="44"/>
      <c r="AI23" s="44"/>
      <c r="AJ23" s="44"/>
      <c r="AK23" s="168"/>
      <c r="AL23" s="44"/>
      <c r="AO23" s="44"/>
      <c r="AP23" s="44"/>
      <c r="AQ23" s="168"/>
    </row>
    <row r="24" spans="1:43" ht="17.100000000000001" customHeight="1" x14ac:dyDescent="0.3">
      <c r="A24" s="41">
        <v>4</v>
      </c>
      <c r="C24" s="192" t="str">
        <f>ESM_Name</f>
        <v>ENVIRONMENTAL SURCHARGE MECHANISM RIDER (ESM)</v>
      </c>
      <c r="F24" s="184"/>
      <c r="G24" s="1"/>
      <c r="H24" s="184"/>
      <c r="I24" s="1"/>
      <c r="J24" s="318">
        <f>PRO_ESM_NONRES</f>
        <v>5.7995821086186533E-3</v>
      </c>
      <c r="K24" s="1"/>
      <c r="L24" s="3">
        <f>ROUND((R21-(PRO_BASE_FUEL*H21)+R25)*J24,0)</f>
        <v>2384</v>
      </c>
      <c r="M24" s="1"/>
      <c r="N24" s="4">
        <f>ROUND((L24/L$28)*100,1)</f>
        <v>0.4</v>
      </c>
      <c r="O24" s="1"/>
      <c r="P24" s="3"/>
      <c r="Q24" s="1"/>
      <c r="R24" s="3">
        <f>P24+L24</f>
        <v>2384</v>
      </c>
      <c r="Y24" s="275"/>
      <c r="AE24" s="44"/>
      <c r="AF24" s="44"/>
      <c r="AG24" s="168"/>
      <c r="AH24" s="44"/>
      <c r="AI24" s="44"/>
      <c r="AJ24" s="44"/>
      <c r="AK24" s="168"/>
      <c r="AL24" s="44"/>
      <c r="AO24" s="44"/>
      <c r="AP24" s="44"/>
      <c r="AQ24" s="168"/>
    </row>
    <row r="25" spans="1:43" ht="15.75" customHeight="1" x14ac:dyDescent="0.3">
      <c r="A25" s="41">
        <v>5</v>
      </c>
      <c r="C25" s="192" t="str">
        <f>PSM_Name</f>
        <v>PROFIT SHARING MECHANISM (PSM)</v>
      </c>
      <c r="F25" s="184"/>
      <c r="G25" s="1"/>
      <c r="H25" s="184"/>
      <c r="I25" s="1"/>
      <c r="J25" s="217">
        <f>PRO_PSM</f>
        <v>2.4750000000000002E-3</v>
      </c>
      <c r="K25" s="1"/>
      <c r="L25" s="49">
        <f>ROUND($H$21*J25,0)</f>
        <v>21142</v>
      </c>
      <c r="M25" s="1"/>
      <c r="N25" s="177">
        <f>ROUND((L25/L$28)*100,1)</f>
        <v>3.1</v>
      </c>
      <c r="O25" s="1"/>
      <c r="P25" s="49"/>
      <c r="Q25" s="1"/>
      <c r="R25" s="49">
        <f>P25+L25</f>
        <v>21142</v>
      </c>
      <c r="Y25" s="275"/>
      <c r="AE25" s="44"/>
      <c r="AF25" s="44"/>
      <c r="AG25" s="168"/>
      <c r="AH25" s="44"/>
      <c r="AI25" s="44"/>
      <c r="AJ25" s="44"/>
      <c r="AK25" s="168"/>
      <c r="AL25" s="44"/>
      <c r="AO25" s="44"/>
      <c r="AP25" s="44"/>
      <c r="AQ25" s="168"/>
    </row>
    <row r="26" spans="1:43" ht="20.100000000000001" customHeight="1" x14ac:dyDescent="0.3">
      <c r="A26" s="41">
        <v>6</v>
      </c>
      <c r="C26" s="132" t="s">
        <v>465</v>
      </c>
      <c r="F26" s="197"/>
      <c r="G26" s="1"/>
      <c r="H26" s="197"/>
      <c r="I26" s="1"/>
      <c r="J26" s="200"/>
      <c r="K26" s="1"/>
      <c r="L26" s="145">
        <f>SUM(L24:L25)</f>
        <v>23526</v>
      </c>
      <c r="M26" s="1"/>
      <c r="N26" s="180">
        <f>ROUND((L26/L$28)*100,1)</f>
        <v>3.5</v>
      </c>
      <c r="O26" s="1"/>
      <c r="P26" s="145"/>
      <c r="Q26" s="1"/>
      <c r="R26" s="145">
        <f>SUM(R24:R25)</f>
        <v>23526</v>
      </c>
      <c r="Y26" s="275"/>
      <c r="AE26" s="44"/>
      <c r="AF26" s="44"/>
      <c r="AG26" s="168"/>
      <c r="AH26" s="44"/>
      <c r="AI26" s="44"/>
      <c r="AJ26" s="44"/>
      <c r="AK26" s="168"/>
      <c r="AL26" s="44"/>
      <c r="AO26" s="44"/>
      <c r="AP26" s="44"/>
      <c r="AQ26" s="168"/>
    </row>
    <row r="27" spans="1:43" ht="15.75" customHeight="1" x14ac:dyDescent="0.3">
      <c r="C27" s="132"/>
      <c r="F27" s="184"/>
      <c r="G27" s="1"/>
      <c r="H27" s="184"/>
      <c r="I27" s="1"/>
      <c r="J27" s="200"/>
      <c r="K27" s="1"/>
      <c r="L27" s="3"/>
      <c r="M27" s="1"/>
      <c r="N27" s="4"/>
      <c r="O27" s="1"/>
      <c r="P27" s="3"/>
      <c r="Q27" s="1"/>
      <c r="R27" s="3"/>
      <c r="Y27" s="275"/>
      <c r="AE27" s="44"/>
      <c r="AF27" s="44"/>
      <c r="AG27" s="168"/>
      <c r="AH27" s="44"/>
      <c r="AI27" s="44"/>
      <c r="AJ27" s="44"/>
      <c r="AK27" s="168"/>
      <c r="AL27" s="44"/>
      <c r="AO27" s="44"/>
      <c r="AP27" s="44"/>
      <c r="AQ27" s="168"/>
    </row>
    <row r="28" spans="1:43" ht="20.100000000000001" customHeight="1" thickBot="1" x14ac:dyDescent="0.35">
      <c r="A28" s="41">
        <v>7</v>
      </c>
      <c r="C28" s="132" t="s">
        <v>468</v>
      </c>
      <c r="F28" s="151">
        <f>F21</f>
        <v>30661</v>
      </c>
      <c r="G28" s="1"/>
      <c r="H28" s="151">
        <f>H21</f>
        <v>8542179</v>
      </c>
      <c r="I28" s="3"/>
      <c r="J28" s="1"/>
      <c r="K28" s="1"/>
      <c r="L28" s="151">
        <f>L21+L26</f>
        <v>672270</v>
      </c>
      <c r="M28" s="3"/>
      <c r="N28" s="327">
        <f>SUM(N21,N26)</f>
        <v>100</v>
      </c>
      <c r="O28" s="4"/>
      <c r="P28" s="151">
        <f>ROUND(H28*CUR_FAC,0)</f>
        <v>29788</v>
      </c>
      <c r="Q28" s="159"/>
      <c r="R28" s="151">
        <f>R21+R26</f>
        <v>702058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166"/>
      <c r="AH28" s="40"/>
      <c r="AI28" s="40"/>
      <c r="AJ28" s="40"/>
      <c r="AK28" s="166"/>
      <c r="AL28" s="40"/>
      <c r="AM28" s="40"/>
      <c r="AN28" s="40"/>
      <c r="AO28" s="40"/>
      <c r="AP28" s="40"/>
      <c r="AQ28" s="166"/>
    </row>
    <row r="29" spans="1:43" ht="16.2" thickTop="1" x14ac:dyDescent="0.3">
      <c r="C29" s="42"/>
      <c r="F29" s="3"/>
      <c r="G29" s="1"/>
      <c r="H29" s="3"/>
      <c r="I29" s="3"/>
      <c r="J29" s="1"/>
      <c r="K29" s="1"/>
      <c r="L29" s="3"/>
      <c r="M29" s="3"/>
      <c r="N29" s="6"/>
      <c r="O29" s="4"/>
      <c r="P29" s="3"/>
      <c r="Q29" s="159"/>
      <c r="R29" s="3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166"/>
      <c r="AH29" s="40"/>
      <c r="AI29" s="40"/>
      <c r="AJ29" s="40"/>
      <c r="AK29" s="166"/>
      <c r="AL29" s="40"/>
      <c r="AM29" s="40"/>
      <c r="AN29" s="40"/>
      <c r="AO29" s="40"/>
      <c r="AP29" s="40"/>
      <c r="AQ29" s="166"/>
    </row>
    <row r="30" spans="1:43" ht="21.9" customHeight="1" x14ac:dyDescent="0.3">
      <c r="C30" s="202"/>
      <c r="T30" s="42"/>
    </row>
    <row r="31" spans="1:43" x14ac:dyDescent="0.3">
      <c r="C31" s="202" t="str">
        <f>"(1) REFLECTS FUEL COMPONENT OF "&amp;TEXT(PRO_FAC,"$0.000000;($0.000000)")&amp;" PER KWH."</f>
        <v>(1) REFLECTS FUEL COMPONENT OF $0.003487 PER KWH.</v>
      </c>
      <c r="T31" s="42"/>
    </row>
    <row r="32" spans="1:43" x14ac:dyDescent="0.3">
      <c r="C32" s="202" t="str">
        <f>"(2) REFLECTS FUEL COST RECOVERY INCLUDED IN BASE RATES OF "&amp;TEXT(PRO_BASE_FUEL,"$0.000000;($0.000000)")&amp;"  PER KWH."</f>
        <v>(2) REFLECTS FUEL COST RECOVERY INCLUDED IN BASE RATES OF $0.033780  PER KWH.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166"/>
      <c r="AH32" s="40"/>
      <c r="AI32" s="40"/>
      <c r="AJ32" s="40"/>
      <c r="AK32" s="166"/>
      <c r="AL32" s="40"/>
      <c r="AM32" s="40"/>
      <c r="AN32" s="40"/>
      <c r="AO32" s="40"/>
      <c r="AP32" s="40"/>
      <c r="AQ32" s="166"/>
    </row>
    <row r="33" spans="1:76" x14ac:dyDescent="0.3">
      <c r="A33" s="42"/>
      <c r="AE33" s="44"/>
      <c r="AF33" s="44"/>
      <c r="AG33" s="168"/>
      <c r="AH33" s="44"/>
      <c r="AI33" s="44"/>
      <c r="AJ33" s="44"/>
      <c r="AK33" s="168"/>
      <c r="AL33" s="44"/>
      <c r="AO33" s="44"/>
      <c r="AP33" s="44"/>
      <c r="AQ33" s="168"/>
    </row>
    <row r="34" spans="1:76" x14ac:dyDescent="0.3">
      <c r="C34" s="42"/>
      <c r="F34" s="123"/>
      <c r="H34" s="123"/>
      <c r="I34" s="123"/>
      <c r="J34" s="213"/>
      <c r="K34" s="213"/>
      <c r="L34" s="123"/>
      <c r="M34" s="123"/>
      <c r="N34" s="160"/>
      <c r="O34" s="160"/>
      <c r="P34" s="123"/>
      <c r="Q34" s="123"/>
      <c r="R34" s="123"/>
      <c r="AC34" s="44"/>
      <c r="AD34" s="44"/>
      <c r="AE34" s="44"/>
      <c r="AF34" s="44"/>
      <c r="AG34" s="168"/>
      <c r="AH34" s="44"/>
      <c r="AI34" s="44"/>
      <c r="AJ34" s="44"/>
      <c r="AK34" s="168"/>
      <c r="AL34" s="44"/>
      <c r="AO34" s="44"/>
      <c r="AP34" s="44"/>
      <c r="AQ34" s="168"/>
    </row>
    <row r="35" spans="1:76" x14ac:dyDescent="0.3">
      <c r="C35" s="42"/>
      <c r="F35" s="123"/>
      <c r="H35" s="123"/>
      <c r="I35" s="123"/>
      <c r="L35" s="123"/>
      <c r="M35" s="123"/>
      <c r="N35" s="160"/>
      <c r="O35" s="160"/>
      <c r="P35" s="123"/>
      <c r="Q35" s="123"/>
      <c r="R35" s="123"/>
      <c r="T35" s="44"/>
      <c r="V35" s="44"/>
      <c r="W35" s="44"/>
      <c r="X35" s="44"/>
      <c r="Y35" s="44"/>
      <c r="AA35" s="44"/>
      <c r="AB35" s="44"/>
      <c r="AC35" s="44"/>
      <c r="AD35" s="44"/>
      <c r="AE35" s="44"/>
      <c r="AF35" s="44"/>
      <c r="AG35" s="168"/>
      <c r="AH35" s="44"/>
      <c r="AI35" s="44"/>
      <c r="AJ35" s="44"/>
      <c r="AK35" s="168"/>
      <c r="AL35" s="44"/>
      <c r="AM35" s="44"/>
      <c r="AN35" s="44"/>
      <c r="AO35" s="44"/>
      <c r="AP35" s="44"/>
      <c r="AQ35" s="168"/>
      <c r="AS35" s="123"/>
      <c r="AT35" s="123"/>
      <c r="AU35" s="160"/>
      <c r="BX35" s="222"/>
    </row>
    <row r="36" spans="1:76" x14ac:dyDescent="0.3">
      <c r="C36" s="42"/>
      <c r="F36" s="123"/>
      <c r="H36" s="123"/>
      <c r="I36" s="123"/>
      <c r="L36" s="123"/>
      <c r="M36" s="123"/>
      <c r="N36" s="160"/>
      <c r="O36" s="160"/>
      <c r="P36" s="184"/>
      <c r="Q36" s="184"/>
      <c r="R36" s="123"/>
      <c r="T36" s="40" t="str">
        <f>NAME</f>
        <v>DUKE ENERGY KENTUCKY, INC.</v>
      </c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166"/>
      <c r="AH36" s="40"/>
      <c r="AI36" s="40"/>
      <c r="AJ36" s="40"/>
      <c r="AK36" s="166"/>
      <c r="AL36" s="40"/>
      <c r="AM36" s="40"/>
      <c r="AN36" s="40"/>
      <c r="AO36" s="40"/>
      <c r="AP36" s="40"/>
      <c r="AQ36" s="166"/>
      <c r="AS36" s="123"/>
      <c r="AT36" s="123"/>
      <c r="AU36" s="160"/>
    </row>
    <row r="37" spans="1:76" x14ac:dyDescent="0.3">
      <c r="C37" s="42"/>
      <c r="F37" s="123"/>
      <c r="H37" s="123"/>
      <c r="I37" s="123"/>
      <c r="L37" s="123"/>
      <c r="M37" s="123"/>
      <c r="N37" s="160"/>
      <c r="O37" s="160"/>
      <c r="P37" s="123"/>
      <c r="Q37" s="184"/>
      <c r="R37" s="123"/>
      <c r="T37" s="40" t="str">
        <f>CASE_NO</f>
        <v>CASE NO.   2024-00354</v>
      </c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66"/>
      <c r="AH37" s="40"/>
      <c r="AI37" s="40"/>
      <c r="AJ37" s="40"/>
      <c r="AK37" s="166"/>
      <c r="AL37" s="40"/>
      <c r="AM37" s="40"/>
      <c r="AN37" s="40"/>
      <c r="AO37" s="40"/>
      <c r="AP37" s="40"/>
      <c r="AQ37" s="166"/>
      <c r="AS37" s="123"/>
      <c r="AT37" s="123"/>
      <c r="AU37" s="160"/>
    </row>
    <row r="38" spans="1:76" x14ac:dyDescent="0.3">
      <c r="T38" s="40" t="str">
        <f>TITLE</f>
        <v>ANNUALIZED TEST YEAR REVENUES AT REHEARING ORDER CALCULATED VS. MOST CURRENT RATES</v>
      </c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166"/>
      <c r="AH38" s="40"/>
      <c r="AI38" s="40"/>
      <c r="AJ38" s="40"/>
      <c r="AK38" s="166"/>
      <c r="AL38" s="40"/>
      <c r="AM38" s="40"/>
      <c r="AN38" s="40"/>
      <c r="AO38" s="40"/>
      <c r="AP38" s="40"/>
      <c r="AQ38" s="166"/>
      <c r="AS38" s="123"/>
      <c r="AT38" s="123"/>
      <c r="AU38" s="235"/>
    </row>
    <row r="39" spans="1:76" x14ac:dyDescent="0.3">
      <c r="C39" s="42"/>
      <c r="L39" s="123"/>
      <c r="M39" s="123"/>
      <c r="N39" s="123"/>
      <c r="O39" s="123"/>
      <c r="P39" s="123"/>
      <c r="Q39" s="123"/>
      <c r="R39" s="123"/>
      <c r="T39" s="40" t="str">
        <f>DATE</f>
        <v>FOR THE TWELVE MONTHS ENDED June 30, 2026</v>
      </c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66"/>
      <c r="AH39" s="40"/>
      <c r="AI39" s="40"/>
      <c r="AJ39" s="40"/>
      <c r="AK39" s="166"/>
      <c r="AL39" s="40"/>
      <c r="AM39" s="40"/>
      <c r="AN39" s="40"/>
      <c r="AO39" s="40"/>
      <c r="AP39" s="40"/>
      <c r="AQ39" s="166"/>
      <c r="AS39" s="123"/>
      <c r="AT39" s="123"/>
      <c r="AU39" s="160"/>
    </row>
    <row r="40" spans="1:76" x14ac:dyDescent="0.3">
      <c r="A40" s="42"/>
      <c r="T40" s="40" t="str">
        <f>SERVICE</f>
        <v>(ELECTRIC SERVICE)</v>
      </c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166"/>
      <c r="AH40" s="40"/>
      <c r="AI40" s="40"/>
      <c r="AJ40" s="40"/>
      <c r="AK40" s="166"/>
      <c r="AL40" s="40"/>
      <c r="AM40" s="40"/>
      <c r="AN40" s="40"/>
      <c r="AO40" s="40"/>
      <c r="AP40" s="40"/>
      <c r="AQ40" s="166"/>
      <c r="AS40" s="123"/>
      <c r="AT40" s="123"/>
      <c r="AU40" s="160"/>
    </row>
    <row r="41" spans="1:76" x14ac:dyDescent="0.3">
      <c r="C41" s="42"/>
      <c r="F41" s="123"/>
      <c r="H41" s="123"/>
      <c r="I41" s="123"/>
      <c r="J41" s="219"/>
      <c r="K41" s="219"/>
      <c r="L41" s="123"/>
      <c r="M41" s="123"/>
      <c r="N41" s="160"/>
      <c r="O41" s="160"/>
      <c r="P41" s="123"/>
      <c r="Q41" s="123"/>
      <c r="R41" s="123"/>
      <c r="T41" s="41" t="str">
        <f>DATA_PERIOD</f>
        <v>DATA: ____ BASE PERIOD   __X__FORECASTED PERIOD</v>
      </c>
      <c r="AO41" s="42" t="s">
        <v>158</v>
      </c>
      <c r="AQ41" s="206"/>
      <c r="AS41" s="123"/>
      <c r="AT41" s="123"/>
      <c r="AU41" s="160"/>
    </row>
    <row r="42" spans="1:76" x14ac:dyDescent="0.3">
      <c r="F42" s="210"/>
      <c r="H42" s="210"/>
      <c r="I42" s="210"/>
      <c r="J42" s="213"/>
      <c r="K42" s="213"/>
      <c r="L42" s="210"/>
      <c r="M42" s="210"/>
      <c r="N42" s="210"/>
      <c r="O42" s="210"/>
      <c r="P42" s="210"/>
      <c r="Q42" s="210"/>
      <c r="R42" s="210"/>
      <c r="T42" s="41" t="str">
        <f>TYPE</f>
        <v>TYPE OF FILING: _X_ ORIGINAL   ___UPDATED  ___ REVISED</v>
      </c>
      <c r="AO42" s="45" t="str">
        <f>"PAGE 16 OF "&amp;TEXT(Page_Num_2.2,"00")</f>
        <v>PAGE 16 OF 24</v>
      </c>
      <c r="AQ42" s="206"/>
      <c r="AS42" s="123"/>
      <c r="AT42" s="123"/>
      <c r="AU42" s="160"/>
    </row>
    <row r="43" spans="1:76" x14ac:dyDescent="0.3">
      <c r="C43" s="42"/>
      <c r="F43" s="123"/>
      <c r="H43" s="123"/>
      <c r="I43" s="123"/>
      <c r="J43" s="219"/>
      <c r="K43" s="219"/>
      <c r="L43" s="123"/>
      <c r="M43" s="123"/>
      <c r="N43" s="160"/>
      <c r="O43" s="160"/>
      <c r="P43" s="123"/>
      <c r="Q43" s="123"/>
      <c r="R43" s="123"/>
      <c r="T43" s="42" t="s">
        <v>171</v>
      </c>
      <c r="AO43" s="42" t="s">
        <v>3</v>
      </c>
      <c r="AQ43" s="206"/>
      <c r="AS43" s="123"/>
      <c r="AT43" s="123"/>
      <c r="AU43" s="160"/>
    </row>
    <row r="44" spans="1:76" x14ac:dyDescent="0.3">
      <c r="A44" s="42"/>
      <c r="F44" s="123"/>
      <c r="H44" s="123"/>
      <c r="I44" s="123"/>
      <c r="J44" s="219"/>
      <c r="K44" s="219"/>
      <c r="L44" s="123"/>
      <c r="M44" s="123"/>
      <c r="N44" s="123"/>
      <c r="O44" s="123"/>
      <c r="P44" s="123"/>
      <c r="Q44" s="123"/>
      <c r="R44" s="123"/>
      <c r="T44" s="153" t="str">
        <f>TIME</f>
        <v>12 Months Projected with Riders</v>
      </c>
      <c r="AG44" s="206"/>
      <c r="AO44" s="41" t="str">
        <f>WIT</f>
        <v>B. L. Sailers</v>
      </c>
      <c r="AR44" s="123"/>
      <c r="AS44" s="123"/>
      <c r="AT44" s="123"/>
      <c r="AU44" s="160"/>
    </row>
    <row r="45" spans="1:76" x14ac:dyDescent="0.3">
      <c r="L45" s="123"/>
      <c r="M45" s="123"/>
      <c r="N45" s="123"/>
      <c r="O45" s="123"/>
      <c r="P45" s="123"/>
      <c r="Q45" s="123"/>
      <c r="R45" s="123"/>
      <c r="T45" s="40" t="s">
        <v>131</v>
      </c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166"/>
      <c r="AH45" s="40"/>
      <c r="AI45" s="40"/>
      <c r="AJ45" s="40"/>
      <c r="AK45" s="166"/>
      <c r="AL45" s="40"/>
      <c r="AM45" s="40"/>
      <c r="AN45" s="40"/>
      <c r="AO45" s="40"/>
      <c r="AP45" s="40"/>
      <c r="AQ45" s="166"/>
      <c r="AR45" s="123"/>
      <c r="AS45" s="123"/>
      <c r="AT45" s="123"/>
      <c r="AU45" s="160"/>
    </row>
    <row r="46" spans="1:76" x14ac:dyDescent="0.3">
      <c r="H46" s="42"/>
      <c r="I46" s="42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43"/>
      <c r="AF46" s="43"/>
      <c r="AG46" s="167"/>
      <c r="AH46" s="43"/>
      <c r="AI46" s="43"/>
      <c r="AJ46" s="43"/>
      <c r="AK46" s="167"/>
      <c r="AL46" s="43"/>
      <c r="AM46" s="43"/>
      <c r="AN46" s="135"/>
      <c r="AO46" s="135"/>
      <c r="AP46" s="135"/>
      <c r="AQ46" s="207"/>
      <c r="AR46" s="123"/>
    </row>
    <row r="47" spans="1:76" ht="18" customHeight="1" x14ac:dyDescent="0.3">
      <c r="L47" s="42"/>
      <c r="M47" s="42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44" t="s">
        <v>8</v>
      </c>
      <c r="AF47" s="44"/>
      <c r="AG47" s="168" t="s">
        <v>7</v>
      </c>
      <c r="AH47" s="44"/>
      <c r="AI47" s="44" t="s">
        <v>9</v>
      </c>
      <c r="AJ47" s="44"/>
      <c r="AK47" s="168" t="s">
        <v>10</v>
      </c>
      <c r="AL47" s="44"/>
      <c r="AN47" s="191"/>
      <c r="AO47" s="272" t="s">
        <v>8</v>
      </c>
      <c r="AP47" s="272"/>
      <c r="AQ47" s="273" t="s">
        <v>11</v>
      </c>
      <c r="AR47" s="184"/>
    </row>
    <row r="48" spans="1:76" x14ac:dyDescent="0.3">
      <c r="R48" s="42"/>
      <c r="AC48" s="44" t="s">
        <v>14</v>
      </c>
      <c r="AD48" s="44"/>
      <c r="AE48" s="44" t="s">
        <v>12</v>
      </c>
      <c r="AF48" s="44"/>
      <c r="AG48" s="168" t="s">
        <v>13</v>
      </c>
      <c r="AH48" s="44"/>
      <c r="AI48" s="44" t="s">
        <v>15</v>
      </c>
      <c r="AJ48" s="44"/>
      <c r="AK48" s="168" t="s">
        <v>16</v>
      </c>
      <c r="AL48" s="44"/>
      <c r="AO48" s="44" t="s">
        <v>11</v>
      </c>
      <c r="AP48" s="44"/>
      <c r="AQ48" s="168" t="s">
        <v>9</v>
      </c>
      <c r="AR48" s="184"/>
      <c r="AU48" s="44" t="s">
        <v>405</v>
      </c>
    </row>
    <row r="49" spans="1:51" x14ac:dyDescent="0.3">
      <c r="R49" s="42"/>
      <c r="T49" s="44" t="s">
        <v>17</v>
      </c>
      <c r="V49" s="44" t="s">
        <v>18</v>
      </c>
      <c r="W49" s="44" t="s">
        <v>19</v>
      </c>
      <c r="X49" s="44"/>
      <c r="Y49" s="44" t="s">
        <v>20</v>
      </c>
      <c r="AC49" s="44" t="s">
        <v>8</v>
      </c>
      <c r="AD49" s="44"/>
      <c r="AE49" s="44" t="s">
        <v>842</v>
      </c>
      <c r="AF49" s="44"/>
      <c r="AG49" s="168" t="s">
        <v>842</v>
      </c>
      <c r="AH49" s="44"/>
      <c r="AI49" s="46" t="s">
        <v>965</v>
      </c>
      <c r="AJ49" s="44"/>
      <c r="AK49" s="169" t="s">
        <v>965</v>
      </c>
      <c r="AL49" s="44"/>
      <c r="AM49" s="44" t="s">
        <v>842</v>
      </c>
      <c r="AN49" s="44"/>
      <c r="AO49" s="44" t="s">
        <v>9</v>
      </c>
      <c r="AP49" s="44"/>
      <c r="AQ49" s="168" t="s">
        <v>21</v>
      </c>
      <c r="AR49" s="123"/>
      <c r="AU49" s="44" t="s">
        <v>406</v>
      </c>
    </row>
    <row r="50" spans="1:51" x14ac:dyDescent="0.3">
      <c r="A50" s="42"/>
      <c r="R50" s="42"/>
      <c r="T50" s="44" t="s">
        <v>22</v>
      </c>
      <c r="V50" s="44" t="s">
        <v>23</v>
      </c>
      <c r="W50" s="44" t="s">
        <v>24</v>
      </c>
      <c r="X50" s="44"/>
      <c r="Y50" s="44" t="s">
        <v>55</v>
      </c>
      <c r="AA50" s="44" t="s">
        <v>26</v>
      </c>
      <c r="AB50" s="44"/>
      <c r="AC50" s="46" t="s">
        <v>1134</v>
      </c>
      <c r="AD50" s="44"/>
      <c r="AE50" s="44" t="s">
        <v>9</v>
      </c>
      <c r="AF50" s="44"/>
      <c r="AG50" s="168" t="s">
        <v>9</v>
      </c>
      <c r="AH50" s="44"/>
      <c r="AI50" s="141" t="s">
        <v>29</v>
      </c>
      <c r="AJ50" s="141"/>
      <c r="AK50" s="170" t="s">
        <v>30</v>
      </c>
      <c r="AL50" s="44"/>
      <c r="AM50" s="44" t="s">
        <v>1133</v>
      </c>
      <c r="AN50" s="44"/>
      <c r="AO50" s="141" t="s">
        <v>31</v>
      </c>
      <c r="AP50" s="141"/>
      <c r="AQ50" s="170" t="s">
        <v>32</v>
      </c>
      <c r="AR50" s="123"/>
      <c r="AU50" s="44" t="s">
        <v>407</v>
      </c>
      <c r="AX50" s="41" t="s">
        <v>301</v>
      </c>
      <c r="AY50" s="41" t="s">
        <v>302</v>
      </c>
    </row>
    <row r="51" spans="1:51" x14ac:dyDescent="0.3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V51" s="141" t="s">
        <v>33</v>
      </c>
      <c r="W51" s="141" t="s">
        <v>34</v>
      </c>
      <c r="X51" s="141"/>
      <c r="Y51" s="141" t="s">
        <v>35</v>
      </c>
      <c r="Z51" s="153"/>
      <c r="AA51" s="141" t="s">
        <v>36</v>
      </c>
      <c r="AB51" s="141"/>
      <c r="AC51" s="141" t="s">
        <v>42</v>
      </c>
      <c r="AD51" s="141"/>
      <c r="AE51" s="141" t="s">
        <v>43</v>
      </c>
      <c r="AF51" s="141"/>
      <c r="AG51" s="170" t="s">
        <v>44</v>
      </c>
      <c r="AH51" s="141"/>
      <c r="AI51" s="141" t="s">
        <v>45</v>
      </c>
      <c r="AJ51" s="141"/>
      <c r="AK51" s="170" t="s">
        <v>46</v>
      </c>
      <c r="AL51" s="141"/>
      <c r="AM51" s="141" t="s">
        <v>40</v>
      </c>
      <c r="AN51" s="141"/>
      <c r="AO51" s="141" t="s">
        <v>47</v>
      </c>
      <c r="AP51" s="141"/>
      <c r="AQ51" s="170" t="s">
        <v>48</v>
      </c>
      <c r="AW51" s="41" t="s">
        <v>300</v>
      </c>
      <c r="AX51" s="41" t="s">
        <v>299</v>
      </c>
      <c r="AY51" s="41" t="s">
        <v>299</v>
      </c>
    </row>
    <row r="52" spans="1:51" ht="17.100000000000001" customHeight="1" x14ac:dyDescent="0.3">
      <c r="L52" s="44"/>
      <c r="M52" s="44"/>
      <c r="N52" s="44"/>
      <c r="O52" s="44"/>
      <c r="R52" s="44"/>
      <c r="T52" s="191"/>
      <c r="U52" s="191"/>
      <c r="V52" s="191"/>
      <c r="W52" s="191"/>
      <c r="X52" s="191"/>
      <c r="Y52" s="191"/>
      <c r="Z52" s="191"/>
      <c r="AA52" s="328" t="s">
        <v>49</v>
      </c>
      <c r="AB52" s="328"/>
      <c r="AC52" s="329" t="s">
        <v>313</v>
      </c>
      <c r="AD52" s="328"/>
      <c r="AE52" s="328" t="s">
        <v>50</v>
      </c>
      <c r="AF52" s="328"/>
      <c r="AG52" s="330" t="s">
        <v>51</v>
      </c>
      <c r="AH52" s="328"/>
      <c r="AI52" s="328" t="s">
        <v>50</v>
      </c>
      <c r="AJ52" s="328"/>
      <c r="AK52" s="330" t="s">
        <v>51</v>
      </c>
      <c r="AL52" s="328"/>
      <c r="AM52" s="328" t="s">
        <v>50</v>
      </c>
      <c r="AN52" s="328"/>
      <c r="AO52" s="328" t="s">
        <v>50</v>
      </c>
      <c r="AP52" s="328"/>
      <c r="AQ52" s="330" t="s">
        <v>51</v>
      </c>
    </row>
    <row r="53" spans="1:51" x14ac:dyDescent="0.3">
      <c r="L53" s="44"/>
      <c r="M53" s="44"/>
      <c r="N53" s="44"/>
      <c r="O53" s="44"/>
      <c r="R53" s="44"/>
      <c r="Y53" s="1"/>
      <c r="Z53" s="1"/>
      <c r="AA53" s="2"/>
      <c r="AB53" s="2"/>
      <c r="AC53" s="46"/>
      <c r="AD53" s="2"/>
      <c r="AE53" s="2"/>
      <c r="AF53" s="2"/>
      <c r="AG53" s="267"/>
      <c r="AH53" s="2"/>
      <c r="AI53" s="2"/>
      <c r="AJ53" s="2"/>
      <c r="AK53" s="267"/>
      <c r="AL53" s="2"/>
      <c r="AM53" s="2"/>
      <c r="AN53" s="2"/>
      <c r="AO53" s="2"/>
      <c r="AP53" s="2"/>
      <c r="AQ53" s="267"/>
      <c r="AX53" s="41">
        <f>CUR_BASE_FUEL</f>
        <v>3.3779999999999998E-2</v>
      </c>
      <c r="AY53" s="41">
        <f>PRO_BASE_FUEL</f>
        <v>3.3779999999999998E-2</v>
      </c>
    </row>
    <row r="54" spans="1:51" ht="30" customHeight="1" x14ac:dyDescent="0.3">
      <c r="L54" s="44"/>
      <c r="M54" s="44"/>
      <c r="N54" s="44"/>
      <c r="O54" s="44"/>
      <c r="R54" s="44"/>
      <c r="T54" s="41">
        <v>1</v>
      </c>
      <c r="V54" s="132" t="s">
        <v>240</v>
      </c>
      <c r="W54" s="178" t="s">
        <v>241</v>
      </c>
      <c r="X54" s="153"/>
      <c r="Y54" s="331"/>
      <c r="Z54" s="1"/>
      <c r="AA54" s="3"/>
      <c r="AB54" s="3"/>
      <c r="AC54" s="1"/>
      <c r="AD54" s="248"/>
      <c r="AE54" s="3"/>
      <c r="AF54" s="3"/>
      <c r="AG54" s="175"/>
      <c r="AH54" s="4"/>
      <c r="AI54" s="3"/>
      <c r="AJ54" s="3"/>
      <c r="AK54" s="175"/>
      <c r="AL54" s="6"/>
      <c r="AM54" s="159"/>
      <c r="AN54" s="159"/>
      <c r="AO54" s="3"/>
      <c r="AP54" s="3"/>
      <c r="AQ54" s="175"/>
      <c r="AW54" s="159"/>
      <c r="AX54" s="1"/>
      <c r="AY54" s="1"/>
    </row>
    <row r="55" spans="1:51" ht="15.75" customHeight="1" x14ac:dyDescent="0.3">
      <c r="L55" s="44"/>
      <c r="M55" s="44"/>
      <c r="N55" s="44"/>
      <c r="O55" s="44"/>
      <c r="R55" s="44"/>
      <c r="V55" s="132"/>
      <c r="W55" s="178"/>
      <c r="X55" s="153"/>
      <c r="Y55" s="331"/>
      <c r="Z55" s="1"/>
      <c r="AA55" s="3"/>
      <c r="AB55" s="3"/>
      <c r="AC55" s="1"/>
      <c r="AD55" s="248"/>
      <c r="AE55" s="3"/>
      <c r="AF55" s="3"/>
      <c r="AG55" s="175"/>
      <c r="AH55" s="4"/>
      <c r="AI55" s="3"/>
      <c r="AJ55" s="3"/>
      <c r="AK55" s="175"/>
      <c r="AL55" s="6"/>
      <c r="AM55" s="159"/>
      <c r="AN55" s="159"/>
      <c r="AO55" s="3"/>
      <c r="AP55" s="3"/>
      <c r="AQ55" s="175"/>
      <c r="AW55" s="159"/>
      <c r="AX55" s="1"/>
      <c r="AY55" s="1"/>
    </row>
    <row r="56" spans="1:51" ht="30" customHeight="1" x14ac:dyDescent="0.3">
      <c r="L56" s="44"/>
      <c r="M56" s="44"/>
      <c r="N56" s="44"/>
      <c r="O56" s="44"/>
      <c r="R56" s="44"/>
      <c r="T56" s="41">
        <v>2</v>
      </c>
      <c r="V56" s="42" t="s">
        <v>242</v>
      </c>
      <c r="Y56" s="196">
        <f>F21</f>
        <v>30661</v>
      </c>
      <c r="Z56" s="1"/>
      <c r="AA56" s="196">
        <f>H21</f>
        <v>8542179</v>
      </c>
      <c r="AB56" s="1"/>
      <c r="AC56" s="321">
        <v>6.6466999999999998E-2</v>
      </c>
      <c r="AD56" s="248"/>
      <c r="AE56" s="49">
        <f>ROUND((AA56*AC56),0)</f>
        <v>567773</v>
      </c>
      <c r="AF56" s="3"/>
      <c r="AG56" s="177">
        <f>ROUND((AE56/AE$63)*100,1)</f>
        <v>96.1</v>
      </c>
      <c r="AH56" s="4"/>
      <c r="AI56" s="49">
        <f>L21-AE56</f>
        <v>80971</v>
      </c>
      <c r="AJ56" s="3"/>
      <c r="AK56" s="177">
        <f>ROUND((AI56/AE56)*100,1)</f>
        <v>14.3</v>
      </c>
      <c r="AL56" s="6"/>
      <c r="AM56" s="49">
        <f>ROUND($AM$63/$AA$63*AA56,0)</f>
        <v>29788</v>
      </c>
      <c r="AN56" s="159"/>
      <c r="AO56" s="49">
        <f>AE56+AM56</f>
        <v>597561</v>
      </c>
      <c r="AP56" s="3"/>
      <c r="AQ56" s="177">
        <f>ROUND((AI56/AO56)*100,1)</f>
        <v>13.6</v>
      </c>
      <c r="AU56" s="275">
        <f>AC56-CUR_BASE_FUEL</f>
        <v>3.2687000000000001E-2</v>
      </c>
      <c r="AW56" s="159"/>
      <c r="AX56" s="1"/>
      <c r="AY56" s="1"/>
    </row>
    <row r="57" spans="1:51" ht="15.75" customHeight="1" x14ac:dyDescent="0.3">
      <c r="L57" s="44"/>
      <c r="M57" s="44"/>
      <c r="N57" s="44"/>
      <c r="O57" s="44"/>
      <c r="R57" s="44"/>
      <c r="V57" s="42"/>
      <c r="Y57" s="159"/>
      <c r="Z57" s="1"/>
      <c r="AA57" s="159"/>
      <c r="AB57" s="1"/>
      <c r="AC57" s="321"/>
      <c r="AD57" s="248"/>
      <c r="AE57" s="3"/>
      <c r="AF57" s="3"/>
      <c r="AG57" s="175"/>
      <c r="AH57" s="4"/>
      <c r="AI57" s="3"/>
      <c r="AJ57" s="3"/>
      <c r="AK57" s="175"/>
      <c r="AL57" s="6"/>
      <c r="AM57" s="3"/>
      <c r="AN57" s="159"/>
      <c r="AO57" s="3"/>
      <c r="AP57" s="3"/>
      <c r="AQ57" s="175"/>
      <c r="AU57" s="275"/>
      <c r="AW57" s="159"/>
      <c r="AX57" s="1"/>
      <c r="AY57" s="1"/>
    </row>
    <row r="58" spans="1:51" ht="19.5" customHeight="1" x14ac:dyDescent="0.3">
      <c r="L58" s="44"/>
      <c r="M58" s="44"/>
      <c r="N58" s="44"/>
      <c r="O58" s="44"/>
      <c r="R58" s="44"/>
      <c r="T58" s="41">
        <f>A23</f>
        <v>3</v>
      </c>
      <c r="V58" s="132" t="s">
        <v>478</v>
      </c>
      <c r="Y58" s="159"/>
      <c r="Z58" s="1"/>
      <c r="AA58" s="159"/>
      <c r="AB58" s="1"/>
      <c r="AC58" s="321"/>
      <c r="AD58" s="248"/>
      <c r="AE58" s="3"/>
      <c r="AF58" s="3"/>
      <c r="AG58" s="175"/>
      <c r="AH58" s="4"/>
      <c r="AI58" s="3"/>
      <c r="AJ58" s="3"/>
      <c r="AK58" s="175"/>
      <c r="AL58" s="6"/>
      <c r="AM58" s="3"/>
      <c r="AN58" s="159"/>
      <c r="AO58" s="3"/>
      <c r="AP58" s="3"/>
      <c r="AQ58" s="175"/>
      <c r="AU58" s="275"/>
      <c r="AW58" s="159"/>
      <c r="AX58" s="1"/>
      <c r="AY58" s="1"/>
    </row>
    <row r="59" spans="1:51" ht="19.5" customHeight="1" x14ac:dyDescent="0.3">
      <c r="L59" s="44"/>
      <c r="M59" s="44"/>
      <c r="N59" s="44"/>
      <c r="O59" s="44"/>
      <c r="R59" s="44"/>
      <c r="T59" s="41">
        <f>A24</f>
        <v>4</v>
      </c>
      <c r="V59" s="192" t="str">
        <f>C24</f>
        <v>ENVIRONMENTAL SURCHARGE MECHANISM RIDER (ESM)</v>
      </c>
      <c r="Y59" s="159"/>
      <c r="Z59" s="1"/>
      <c r="AA59" s="159"/>
      <c r="AB59" s="1"/>
      <c r="AC59" s="318">
        <f>CUR_ESM_NonRes</f>
        <v>6.4941608437496566E-3</v>
      </c>
      <c r="AD59" s="248"/>
      <c r="AE59" s="3">
        <f>ROUND((AO56-(CUR_BASE_FUEL*AA56)+AO60)*AC59,0)</f>
        <v>2144</v>
      </c>
      <c r="AF59" s="3"/>
      <c r="AG59" s="175">
        <f>ROUND((AE59/AE$63)*100,1)</f>
        <v>0.4</v>
      </c>
      <c r="AH59" s="4"/>
      <c r="AI59" s="3">
        <f>L24-AE59</f>
        <v>240</v>
      </c>
      <c r="AJ59" s="3"/>
      <c r="AK59" s="175">
        <f>IF(AE59=0,0,ROUND((AI59/AE59)*100,1))</f>
        <v>11.2</v>
      </c>
      <c r="AL59" s="6"/>
      <c r="AM59" s="3"/>
      <c r="AN59" s="159"/>
      <c r="AO59" s="3">
        <f>AE59+AM59</f>
        <v>2144</v>
      </c>
      <c r="AP59" s="3"/>
      <c r="AQ59" s="175">
        <f>IF(AO59=0,0,ROUND((AI59/AO59)*100,1))</f>
        <v>11.2</v>
      </c>
      <c r="AU59" s="275"/>
      <c r="AW59" s="159"/>
      <c r="AX59" s="1"/>
      <c r="AY59" s="1"/>
    </row>
    <row r="60" spans="1:51" ht="15.75" customHeight="1" x14ac:dyDescent="0.3">
      <c r="L60" s="44"/>
      <c r="M60" s="44"/>
      <c r="N60" s="44"/>
      <c r="O60" s="44"/>
      <c r="R60" s="44"/>
      <c r="T60" s="41">
        <f>A25</f>
        <v>5</v>
      </c>
      <c r="V60" s="192" t="str">
        <f>C25</f>
        <v>PROFIT SHARING MECHANISM (PSM)</v>
      </c>
      <c r="Y60" s="159"/>
      <c r="Z60" s="1"/>
      <c r="AA60" s="159"/>
      <c r="AB60" s="1"/>
      <c r="AC60" s="198">
        <f>RS_PSM</f>
        <v>2.4750000000000002E-3</v>
      </c>
      <c r="AD60" s="248"/>
      <c r="AE60" s="49">
        <f>ROUND($AA$56*AC60,0)</f>
        <v>21142</v>
      </c>
      <c r="AF60" s="3"/>
      <c r="AG60" s="177">
        <f>ROUND((AE60/AE$63)*100,1)</f>
        <v>3.6</v>
      </c>
      <c r="AH60" s="4"/>
      <c r="AI60" s="49">
        <f>L25-AE60</f>
        <v>0</v>
      </c>
      <c r="AJ60" s="3"/>
      <c r="AK60" s="177">
        <f>ROUND((AI60/AE60)*100,1)</f>
        <v>0</v>
      </c>
      <c r="AL60" s="6"/>
      <c r="AM60" s="49"/>
      <c r="AN60" s="159"/>
      <c r="AO60" s="49">
        <f>AE60+AM60</f>
        <v>21142</v>
      </c>
      <c r="AP60" s="3"/>
      <c r="AQ60" s="177">
        <f>ROUND((AI60/AO60)*100,1)</f>
        <v>0</v>
      </c>
      <c r="AU60" s="275"/>
      <c r="AW60" s="159"/>
      <c r="AX60" s="1"/>
      <c r="AY60" s="1"/>
    </row>
    <row r="61" spans="1:51" ht="20.100000000000001" customHeight="1" x14ac:dyDescent="0.3">
      <c r="L61" s="44"/>
      <c r="M61" s="44"/>
      <c r="N61" s="44"/>
      <c r="O61" s="44"/>
      <c r="R61" s="44"/>
      <c r="T61" s="41">
        <f>A26</f>
        <v>6</v>
      </c>
      <c r="V61" s="132" t="s">
        <v>465</v>
      </c>
      <c r="Y61" s="196"/>
      <c r="Z61" s="1"/>
      <c r="AA61" s="196"/>
      <c r="AB61" s="1"/>
      <c r="AC61" s="332"/>
      <c r="AD61" s="248"/>
      <c r="AE61" s="145">
        <f>SUM(AE59:AE60)</f>
        <v>23286</v>
      </c>
      <c r="AF61" s="3"/>
      <c r="AG61" s="177">
        <f>ROUND((AE61/AE$63)*100,1)</f>
        <v>3.9</v>
      </c>
      <c r="AH61" s="4"/>
      <c r="AI61" s="145">
        <f>SUM(AI59:AI60)</f>
        <v>240</v>
      </c>
      <c r="AJ61" s="3"/>
      <c r="AK61" s="177">
        <f>ROUND((AI61/AE61)*100,1)</f>
        <v>1</v>
      </c>
      <c r="AL61" s="6"/>
      <c r="AM61" s="145"/>
      <c r="AN61" s="159"/>
      <c r="AO61" s="145">
        <f>SUM(AO59:AO60)</f>
        <v>23286</v>
      </c>
      <c r="AP61" s="3"/>
      <c r="AQ61" s="180">
        <f>ROUND((AI61/AO61)*100,1)</f>
        <v>1</v>
      </c>
      <c r="AU61" s="275"/>
      <c r="AW61" s="159"/>
      <c r="AX61" s="1"/>
      <c r="AY61" s="1"/>
    </row>
    <row r="62" spans="1:51" ht="15.75" customHeight="1" x14ac:dyDescent="0.3">
      <c r="L62" s="44"/>
      <c r="M62" s="44"/>
      <c r="N62" s="44"/>
      <c r="O62" s="44"/>
      <c r="R62" s="44"/>
      <c r="V62" s="42"/>
      <c r="Y62" s="159"/>
      <c r="Z62" s="1"/>
      <c r="AA62" s="159"/>
      <c r="AB62" s="1"/>
      <c r="AC62" s="332"/>
      <c r="AD62" s="248"/>
      <c r="AE62" s="3"/>
      <c r="AF62" s="3"/>
      <c r="AG62" s="175"/>
      <c r="AH62" s="4"/>
      <c r="AI62" s="3"/>
      <c r="AJ62" s="3"/>
      <c r="AK62" s="175"/>
      <c r="AL62" s="6"/>
      <c r="AM62" s="3"/>
      <c r="AN62" s="159"/>
      <c r="AO62" s="3"/>
      <c r="AP62" s="3"/>
      <c r="AQ62" s="175"/>
      <c r="AU62" s="275"/>
      <c r="AW62" s="159"/>
      <c r="AX62" s="1"/>
      <c r="AY62" s="1"/>
    </row>
    <row r="63" spans="1:51" ht="20.100000000000001" customHeight="1" thickBot="1" x14ac:dyDescent="0.35">
      <c r="L63" s="44"/>
      <c r="M63" s="44"/>
      <c r="N63" s="44"/>
      <c r="O63" s="44"/>
      <c r="R63" s="44"/>
      <c r="T63" s="41">
        <f>A28</f>
        <v>7</v>
      </c>
      <c r="V63" s="132" t="s">
        <v>468</v>
      </c>
      <c r="Y63" s="151">
        <f>Y56</f>
        <v>30661</v>
      </c>
      <c r="Z63" s="1"/>
      <c r="AA63" s="151">
        <f>AA56</f>
        <v>8542179</v>
      </c>
      <c r="AB63" s="3"/>
      <c r="AC63" s="1"/>
      <c r="AD63" s="248"/>
      <c r="AE63" s="151">
        <f>AE61+AE56</f>
        <v>591059</v>
      </c>
      <c r="AF63" s="3"/>
      <c r="AG63" s="187">
        <v>100</v>
      </c>
      <c r="AH63" s="4"/>
      <c r="AI63" s="151">
        <f>AI56+AI61</f>
        <v>81211</v>
      </c>
      <c r="AJ63" s="3"/>
      <c r="AK63" s="187">
        <f>ROUND((AI63/AE63)*100,1)</f>
        <v>13.7</v>
      </c>
      <c r="AL63" s="6"/>
      <c r="AM63" s="333">
        <f>ROUND(AA63*CUR_FAC,0)</f>
        <v>29788</v>
      </c>
      <c r="AN63" s="159"/>
      <c r="AO63" s="151">
        <f>AO61+AO56</f>
        <v>620847</v>
      </c>
      <c r="AP63" s="3"/>
      <c r="AQ63" s="187">
        <f>ROUND((AI63/AO63)*100,1)</f>
        <v>13.1</v>
      </c>
      <c r="AW63" s="3"/>
    </row>
    <row r="64" spans="1:51" ht="16.2" thickTop="1" x14ac:dyDescent="0.3">
      <c r="L64" s="44"/>
      <c r="M64" s="44"/>
      <c r="N64" s="44"/>
      <c r="O64" s="44"/>
      <c r="R64" s="44"/>
      <c r="V64" s="42"/>
      <c r="Y64" s="3"/>
      <c r="Z64" s="1"/>
      <c r="AA64" s="3"/>
      <c r="AB64" s="3"/>
      <c r="AC64" s="1"/>
      <c r="AD64" s="248"/>
      <c r="AE64" s="3"/>
      <c r="AF64" s="3"/>
      <c r="AG64" s="175"/>
      <c r="AH64" s="4"/>
      <c r="AI64" s="3"/>
      <c r="AJ64" s="3"/>
      <c r="AK64" s="175"/>
      <c r="AL64" s="6"/>
      <c r="AM64" s="3"/>
      <c r="AN64" s="159"/>
      <c r="AO64" s="3"/>
      <c r="AP64" s="3"/>
      <c r="AQ64" s="175"/>
      <c r="AW64" s="3"/>
    </row>
    <row r="65" spans="3:42" ht="21.9" customHeight="1" x14ac:dyDescent="0.3">
      <c r="C65" s="42"/>
      <c r="F65" s="123"/>
      <c r="H65" s="123"/>
      <c r="I65" s="123"/>
      <c r="J65" s="219"/>
      <c r="K65" s="219"/>
      <c r="L65" s="123"/>
      <c r="M65" s="123"/>
      <c r="N65" s="160"/>
      <c r="O65" s="160"/>
      <c r="P65" s="123"/>
      <c r="Q65" s="123"/>
      <c r="R65" s="123"/>
      <c r="V65" s="202"/>
    </row>
    <row r="66" spans="3:42" x14ac:dyDescent="0.3">
      <c r="C66" s="42"/>
      <c r="F66" s="123"/>
      <c r="H66" s="123"/>
      <c r="I66" s="123"/>
      <c r="J66" s="219"/>
      <c r="K66" s="219"/>
      <c r="L66" s="123"/>
      <c r="M66" s="123"/>
      <c r="N66" s="160"/>
      <c r="O66" s="160"/>
      <c r="P66" s="123"/>
      <c r="Q66" s="123"/>
      <c r="R66" s="123"/>
      <c r="V66" s="202" t="str">
        <f>"(1) REFLECTS FUEL COMPONENT OF "&amp;TEXT(CUR_FAC,"$0.000000;($0.000000)")&amp;" PER KWH."</f>
        <v>(1) REFLECTS FUEL COMPONENT OF $0.003487 PER KWH.</v>
      </c>
    </row>
    <row r="67" spans="3:42" x14ac:dyDescent="0.3">
      <c r="C67" s="42"/>
      <c r="F67" s="123"/>
      <c r="H67" s="184"/>
      <c r="I67" s="184"/>
      <c r="J67" s="227"/>
      <c r="K67" s="227"/>
      <c r="L67" s="123"/>
      <c r="M67" s="123"/>
      <c r="N67" s="160"/>
      <c r="O67" s="160"/>
      <c r="P67" s="123"/>
      <c r="Q67" s="123"/>
      <c r="R67" s="123"/>
      <c r="T67" s="42"/>
      <c r="V67" s="202" t="str">
        <f>"(2) REFLECTS FUEL COST RECOVERY INCLUDED IN BASE RATES OF "&amp;TEXT(CUR_BASE_FUEL,"$0.000000;($0.000000)")&amp;"  PER KWH."</f>
        <v>(2) REFLECTS FUEL COST RECOVERY INCLUDED IN BASE RATES OF $0.033780  PER KWH.</v>
      </c>
    </row>
    <row r="68" spans="3:42" x14ac:dyDescent="0.3">
      <c r="F68" s="210"/>
      <c r="H68" s="210"/>
      <c r="I68" s="210"/>
      <c r="J68" s="213"/>
      <c r="K68" s="213"/>
      <c r="L68" s="210"/>
      <c r="M68" s="210"/>
      <c r="N68" s="210"/>
      <c r="O68" s="210"/>
      <c r="P68" s="210"/>
      <c r="Q68" s="210"/>
      <c r="R68" s="210"/>
      <c r="V68" s="42"/>
      <c r="Y68" s="123"/>
      <c r="AA68" s="184"/>
      <c r="AB68" s="184"/>
      <c r="AC68" s="193"/>
      <c r="AD68" s="193"/>
      <c r="AE68" s="123"/>
      <c r="AF68" s="123"/>
      <c r="AH68" s="160"/>
      <c r="AI68" s="123"/>
      <c r="AJ68" s="123"/>
      <c r="AL68" s="236"/>
      <c r="AO68" s="123"/>
      <c r="AP68" s="123"/>
    </row>
    <row r="69" spans="3:42" x14ac:dyDescent="0.3">
      <c r="F69" s="210"/>
      <c r="H69" s="210"/>
      <c r="I69" s="210"/>
      <c r="J69" s="213"/>
      <c r="K69" s="213"/>
      <c r="L69" s="210"/>
      <c r="M69" s="210"/>
      <c r="N69" s="210"/>
      <c r="O69" s="210"/>
      <c r="P69" s="210"/>
      <c r="Q69" s="210"/>
      <c r="R69" s="210"/>
      <c r="S69" s="123"/>
      <c r="V69" s="42"/>
      <c r="Y69" s="184"/>
      <c r="AA69" s="184"/>
      <c r="AB69" s="184"/>
      <c r="AC69" s="237"/>
      <c r="AD69" s="237"/>
      <c r="AE69" s="123"/>
      <c r="AF69" s="123"/>
      <c r="AH69" s="160"/>
      <c r="AI69" s="123"/>
      <c r="AJ69" s="123"/>
      <c r="AL69" s="160"/>
      <c r="AM69" s="123"/>
      <c r="AN69" s="123"/>
      <c r="AO69" s="123"/>
      <c r="AP69" s="123"/>
    </row>
    <row r="70" spans="3:42" x14ac:dyDescent="0.3">
      <c r="C70" s="42"/>
      <c r="F70" s="184"/>
      <c r="H70" s="239"/>
      <c r="I70" s="239"/>
      <c r="J70" s="213"/>
      <c r="K70" s="213"/>
      <c r="L70" s="123"/>
      <c r="M70" s="123"/>
      <c r="N70" s="160"/>
      <c r="O70" s="160"/>
      <c r="P70" s="123"/>
      <c r="Q70" s="123"/>
      <c r="R70" s="123"/>
      <c r="S70" s="123"/>
      <c r="V70" s="42"/>
      <c r="Y70" s="184"/>
      <c r="AA70" s="123"/>
      <c r="AB70" s="123"/>
      <c r="AC70" s="193"/>
      <c r="AD70" s="193"/>
      <c r="AE70" s="123"/>
      <c r="AF70" s="123"/>
      <c r="AH70" s="160"/>
      <c r="AI70" s="123"/>
      <c r="AJ70" s="123"/>
      <c r="AL70" s="236"/>
      <c r="AM70" s="123"/>
      <c r="AN70" s="123"/>
      <c r="AO70" s="123"/>
      <c r="AP70" s="123"/>
    </row>
    <row r="71" spans="3:42" x14ac:dyDescent="0.3">
      <c r="V71" s="42"/>
      <c r="Y71" s="184"/>
      <c r="AA71" s="123"/>
      <c r="AB71" s="123"/>
      <c r="AC71" s="193"/>
      <c r="AD71" s="193"/>
      <c r="AE71" s="123"/>
      <c r="AF71" s="123"/>
      <c r="AH71" s="160"/>
      <c r="AI71" s="123"/>
      <c r="AJ71" s="123"/>
      <c r="AL71" s="236"/>
      <c r="AM71" s="123"/>
      <c r="AN71" s="123"/>
      <c r="AO71" s="123"/>
      <c r="AP71" s="123"/>
    </row>
    <row r="72" spans="3:42" x14ac:dyDescent="0.3">
      <c r="C72" s="42"/>
      <c r="F72" s="184"/>
      <c r="H72" s="184"/>
      <c r="I72" s="184"/>
      <c r="J72" s="193"/>
      <c r="K72" s="193"/>
      <c r="L72" s="123"/>
      <c r="M72" s="123"/>
      <c r="N72" s="160"/>
      <c r="O72" s="160"/>
      <c r="R72" s="123"/>
      <c r="V72" s="42"/>
      <c r="Y72" s="123"/>
      <c r="AA72" s="123"/>
      <c r="AB72" s="123"/>
      <c r="AC72" s="219"/>
      <c r="AD72" s="219"/>
      <c r="AE72" s="123"/>
      <c r="AF72" s="123"/>
      <c r="AH72" s="160"/>
      <c r="AI72" s="123"/>
      <c r="AJ72" s="123"/>
      <c r="AL72" s="236"/>
      <c r="AM72" s="123"/>
      <c r="AN72" s="123"/>
      <c r="AO72" s="123"/>
      <c r="AP72" s="123"/>
    </row>
    <row r="73" spans="3:42" x14ac:dyDescent="0.3">
      <c r="C73" s="42"/>
      <c r="F73" s="184"/>
      <c r="H73" s="184"/>
      <c r="I73" s="184"/>
      <c r="J73" s="193"/>
      <c r="K73" s="193"/>
      <c r="L73" s="123"/>
      <c r="M73" s="123"/>
      <c r="N73" s="160"/>
      <c r="O73" s="160"/>
      <c r="R73" s="123"/>
      <c r="V73" s="42"/>
      <c r="Y73" s="123"/>
      <c r="AA73" s="123"/>
      <c r="AB73" s="123"/>
      <c r="AC73" s="219"/>
      <c r="AD73" s="219"/>
      <c r="AE73" s="123"/>
      <c r="AF73" s="123"/>
      <c r="AH73" s="160"/>
      <c r="AI73" s="123"/>
      <c r="AJ73" s="123"/>
      <c r="AL73" s="236"/>
      <c r="AM73" s="123"/>
      <c r="AN73" s="123"/>
      <c r="AO73" s="123"/>
      <c r="AP73" s="123"/>
    </row>
    <row r="74" spans="3:42" x14ac:dyDescent="0.3">
      <c r="F74" s="210"/>
      <c r="H74" s="123"/>
      <c r="I74" s="123"/>
      <c r="J74" s="213"/>
      <c r="K74" s="213"/>
      <c r="L74" s="210"/>
      <c r="M74" s="210"/>
      <c r="N74" s="210"/>
      <c r="O74" s="210"/>
      <c r="P74" s="210"/>
      <c r="Q74" s="210"/>
      <c r="R74" s="210"/>
      <c r="V74" s="42"/>
      <c r="Y74" s="123"/>
      <c r="AA74" s="123"/>
      <c r="AB74" s="123"/>
      <c r="AC74" s="212"/>
      <c r="AD74" s="212"/>
      <c r="AE74" s="123"/>
      <c r="AF74" s="123"/>
      <c r="AH74" s="160"/>
      <c r="AI74" s="123"/>
      <c r="AJ74" s="123"/>
      <c r="AL74" s="236"/>
      <c r="AM74" s="123"/>
      <c r="AN74" s="123"/>
      <c r="AO74" s="123"/>
      <c r="AP74" s="123"/>
    </row>
    <row r="75" spans="3:42" x14ac:dyDescent="0.3">
      <c r="F75" s="210"/>
      <c r="H75" s="123"/>
      <c r="I75" s="123"/>
      <c r="J75" s="213"/>
      <c r="K75" s="213"/>
      <c r="L75" s="210"/>
      <c r="M75" s="210"/>
      <c r="N75" s="210"/>
      <c r="O75" s="210"/>
      <c r="P75" s="210"/>
      <c r="Q75" s="210"/>
      <c r="R75" s="210"/>
    </row>
    <row r="76" spans="3:42" x14ac:dyDescent="0.3">
      <c r="C76" s="42"/>
      <c r="F76" s="184"/>
      <c r="H76" s="184"/>
      <c r="I76" s="184"/>
      <c r="J76" s="237"/>
      <c r="K76" s="237"/>
      <c r="L76" s="123"/>
      <c r="M76" s="123"/>
      <c r="N76" s="160"/>
      <c r="O76" s="160"/>
      <c r="P76" s="123"/>
      <c r="Q76" s="123"/>
      <c r="R76" s="123"/>
      <c r="S76" s="123"/>
      <c r="V76" s="42"/>
      <c r="Y76" s="123"/>
      <c r="AA76" s="123"/>
      <c r="AB76" s="123"/>
      <c r="AC76" s="213"/>
      <c r="AD76" s="213"/>
      <c r="AE76" s="123"/>
      <c r="AF76" s="123"/>
      <c r="AH76" s="160"/>
      <c r="AI76" s="123"/>
      <c r="AJ76" s="123"/>
      <c r="AL76" s="160"/>
      <c r="AM76" s="123"/>
      <c r="AN76" s="123"/>
      <c r="AO76" s="123"/>
      <c r="AP76" s="123"/>
    </row>
    <row r="77" spans="3:42" x14ac:dyDescent="0.3">
      <c r="C77" s="42"/>
      <c r="F77" s="184"/>
      <c r="H77" s="184"/>
      <c r="I77" s="184"/>
      <c r="J77" s="193"/>
      <c r="K77" s="193"/>
      <c r="L77" s="123"/>
      <c r="M77" s="123"/>
      <c r="N77" s="160"/>
      <c r="O77" s="160"/>
      <c r="P77" s="123"/>
      <c r="Q77" s="123"/>
      <c r="R77" s="123"/>
      <c r="V77" s="42"/>
    </row>
    <row r="78" spans="3:42" x14ac:dyDescent="0.3">
      <c r="F78" s="123"/>
      <c r="H78" s="210"/>
      <c r="I78" s="210"/>
      <c r="J78" s="213"/>
      <c r="K78" s="213"/>
      <c r="L78" s="210"/>
      <c r="M78" s="210"/>
      <c r="N78" s="210"/>
      <c r="O78" s="210"/>
      <c r="P78" s="210"/>
      <c r="Q78" s="210"/>
      <c r="R78" s="210"/>
      <c r="V78" s="42"/>
      <c r="Y78" s="123"/>
      <c r="AA78" s="123"/>
      <c r="AB78" s="123"/>
      <c r="AE78" s="123"/>
      <c r="AF78" s="123"/>
      <c r="AH78" s="160"/>
      <c r="AI78" s="123"/>
      <c r="AJ78" s="123"/>
      <c r="AL78" s="160"/>
      <c r="AM78" s="184"/>
      <c r="AN78" s="184"/>
      <c r="AO78" s="123"/>
      <c r="AP78" s="123"/>
    </row>
    <row r="79" spans="3:42" x14ac:dyDescent="0.3">
      <c r="F79" s="123"/>
      <c r="H79" s="210"/>
      <c r="I79" s="210"/>
      <c r="J79" s="213"/>
      <c r="K79" s="213"/>
      <c r="L79" s="210"/>
      <c r="M79" s="210"/>
      <c r="N79" s="210"/>
      <c r="O79" s="210"/>
      <c r="P79" s="210"/>
      <c r="Q79" s="210"/>
      <c r="R79" s="210"/>
    </row>
    <row r="80" spans="3:42" x14ac:dyDescent="0.3">
      <c r="C80" s="42"/>
      <c r="F80" s="123"/>
      <c r="H80" s="123"/>
      <c r="I80" s="123"/>
      <c r="J80" s="213"/>
      <c r="K80" s="213"/>
      <c r="L80" s="123"/>
      <c r="M80" s="123"/>
      <c r="N80" s="123"/>
      <c r="O80" s="123"/>
      <c r="P80" s="123"/>
      <c r="Q80" s="123"/>
      <c r="R80" s="123"/>
      <c r="V80" s="42"/>
      <c r="AE80" s="123"/>
      <c r="AF80" s="123"/>
      <c r="AH80" s="123"/>
      <c r="AM80" s="123"/>
      <c r="AN80" s="123"/>
      <c r="AO80" s="123"/>
      <c r="AP80" s="123"/>
    </row>
    <row r="81" spans="1:40" x14ac:dyDescent="0.3">
      <c r="C81" s="42"/>
      <c r="F81" s="123"/>
      <c r="H81" s="184"/>
      <c r="I81" s="184"/>
      <c r="J81" s="238"/>
      <c r="K81" s="238"/>
      <c r="L81" s="123"/>
      <c r="M81" s="123"/>
      <c r="N81" s="160"/>
      <c r="O81" s="160"/>
      <c r="P81" s="123"/>
      <c r="Q81" s="123"/>
      <c r="R81" s="123"/>
      <c r="T81" s="42"/>
    </row>
    <row r="82" spans="1:40" x14ac:dyDescent="0.3">
      <c r="C82" s="42"/>
      <c r="H82" s="184"/>
      <c r="I82" s="184"/>
      <c r="J82" s="238"/>
      <c r="K82" s="238"/>
      <c r="L82" s="123"/>
      <c r="M82" s="123"/>
      <c r="N82" s="160"/>
      <c r="O82" s="160"/>
      <c r="P82" s="123"/>
      <c r="Q82" s="123"/>
      <c r="R82" s="123"/>
      <c r="T82" s="42"/>
      <c r="V82" s="184"/>
      <c r="Y82" s="184"/>
      <c r="Z82" s="237"/>
      <c r="AA82" s="123"/>
      <c r="AB82" s="123"/>
      <c r="AC82" s="160"/>
      <c r="AD82" s="160"/>
      <c r="AE82" s="123"/>
      <c r="AF82" s="123"/>
      <c r="AH82" s="160"/>
      <c r="AI82" s="123"/>
      <c r="AJ82" s="123"/>
      <c r="AL82" s="123"/>
      <c r="AM82" s="160"/>
      <c r="AN82" s="160"/>
    </row>
    <row r="83" spans="1:40" x14ac:dyDescent="0.3">
      <c r="F83" s="123"/>
      <c r="H83" s="123"/>
      <c r="I83" s="123"/>
      <c r="J83" s="213"/>
      <c r="K83" s="213"/>
      <c r="L83" s="210"/>
      <c r="M83" s="210"/>
      <c r="N83" s="210"/>
      <c r="O83" s="210"/>
      <c r="P83" s="210"/>
      <c r="Q83" s="210"/>
      <c r="R83" s="210"/>
      <c r="T83" s="42"/>
      <c r="V83" s="184"/>
      <c r="Y83" s="123"/>
      <c r="Z83" s="193"/>
      <c r="AA83" s="123"/>
      <c r="AB83" s="123"/>
      <c r="AC83" s="160"/>
      <c r="AD83" s="160"/>
      <c r="AE83" s="123"/>
      <c r="AF83" s="123"/>
      <c r="AH83" s="236"/>
      <c r="AI83" s="123"/>
      <c r="AJ83" s="123"/>
      <c r="AL83" s="123"/>
      <c r="AM83" s="160"/>
      <c r="AN83" s="160"/>
    </row>
    <row r="84" spans="1:40" x14ac:dyDescent="0.3">
      <c r="C84" s="42"/>
      <c r="F84" s="123"/>
      <c r="H84" s="123"/>
      <c r="I84" s="123"/>
      <c r="J84" s="219"/>
      <c r="K84" s="219"/>
      <c r="L84" s="123"/>
      <c r="M84" s="123"/>
      <c r="N84" s="160"/>
      <c r="O84" s="160"/>
      <c r="P84" s="123"/>
      <c r="Q84" s="123"/>
      <c r="R84" s="123"/>
      <c r="T84" s="42"/>
      <c r="V84" s="184"/>
      <c r="Y84" s="123"/>
      <c r="Z84" s="193"/>
      <c r="AA84" s="123"/>
      <c r="AB84" s="123"/>
      <c r="AC84" s="160"/>
      <c r="AD84" s="160"/>
      <c r="AE84" s="123"/>
      <c r="AF84" s="123"/>
      <c r="AH84" s="236"/>
      <c r="AI84" s="123"/>
      <c r="AJ84" s="123"/>
      <c r="AL84" s="123"/>
      <c r="AM84" s="160"/>
      <c r="AN84" s="160"/>
    </row>
    <row r="85" spans="1:40" x14ac:dyDescent="0.3">
      <c r="F85" s="123"/>
      <c r="H85" s="123"/>
      <c r="I85" s="123"/>
      <c r="J85" s="213"/>
      <c r="K85" s="213"/>
      <c r="L85" s="210"/>
      <c r="M85" s="210"/>
      <c r="N85" s="210"/>
      <c r="O85" s="210"/>
      <c r="P85" s="210"/>
      <c r="Q85" s="210"/>
      <c r="R85" s="210"/>
      <c r="V85" s="123"/>
      <c r="Y85" s="210"/>
      <c r="Z85" s="213"/>
      <c r="AA85" s="210"/>
      <c r="AB85" s="210"/>
      <c r="AC85" s="210"/>
      <c r="AD85" s="210"/>
      <c r="AE85" s="210"/>
      <c r="AF85" s="210"/>
      <c r="AI85" s="210"/>
      <c r="AJ85" s="210"/>
      <c r="AK85" s="214"/>
      <c r="AL85" s="210"/>
      <c r="AM85" s="160"/>
      <c r="AN85" s="160"/>
    </row>
    <row r="86" spans="1:40" x14ac:dyDescent="0.3">
      <c r="C86" s="42"/>
      <c r="F86" s="123"/>
      <c r="H86" s="123"/>
      <c r="I86" s="123"/>
      <c r="J86" s="219"/>
      <c r="K86" s="219"/>
      <c r="L86" s="123"/>
      <c r="M86" s="123"/>
      <c r="N86" s="160"/>
      <c r="O86" s="160"/>
      <c r="P86" s="123"/>
      <c r="Q86" s="123"/>
      <c r="R86" s="123"/>
      <c r="T86" s="42"/>
      <c r="V86" s="123"/>
      <c r="Y86" s="123"/>
      <c r="Z86" s="213"/>
      <c r="AA86" s="123"/>
      <c r="AB86" s="123"/>
      <c r="AC86" s="160"/>
      <c r="AD86" s="160"/>
      <c r="AE86" s="123"/>
      <c r="AF86" s="123"/>
      <c r="AH86" s="236"/>
      <c r="AI86" s="123"/>
      <c r="AJ86" s="123"/>
      <c r="AL86" s="123"/>
      <c r="AM86" s="160"/>
      <c r="AN86" s="160"/>
    </row>
    <row r="87" spans="1:40" x14ac:dyDescent="0.3">
      <c r="C87" s="42"/>
      <c r="F87" s="184"/>
      <c r="H87" s="184"/>
      <c r="I87" s="184"/>
      <c r="J87" s="227"/>
      <c r="K87" s="227"/>
      <c r="L87" s="123"/>
      <c r="M87" s="123"/>
      <c r="N87" s="160"/>
      <c r="O87" s="160"/>
      <c r="P87" s="123"/>
      <c r="Q87" s="123"/>
      <c r="R87" s="123"/>
      <c r="V87" s="123"/>
      <c r="Y87" s="210"/>
      <c r="Z87" s="213"/>
      <c r="AA87" s="210"/>
      <c r="AB87" s="210"/>
      <c r="AC87" s="210"/>
      <c r="AD87" s="210"/>
      <c r="AE87" s="210"/>
      <c r="AF87" s="210"/>
      <c r="AI87" s="210"/>
      <c r="AJ87" s="210"/>
      <c r="AK87" s="214"/>
      <c r="AL87" s="210"/>
      <c r="AM87" s="160"/>
      <c r="AN87" s="160"/>
    </row>
    <row r="88" spans="1:40" x14ac:dyDescent="0.3">
      <c r="F88" s="210"/>
      <c r="H88" s="210"/>
      <c r="I88" s="210"/>
      <c r="J88" s="213"/>
      <c r="K88" s="213"/>
      <c r="L88" s="210"/>
      <c r="M88" s="210"/>
      <c r="N88" s="210"/>
      <c r="O88" s="210"/>
      <c r="P88" s="210"/>
      <c r="Q88" s="210"/>
      <c r="R88" s="210"/>
      <c r="T88" s="42"/>
      <c r="V88" s="123"/>
      <c r="Y88" s="123"/>
      <c r="Z88" s="213"/>
      <c r="AA88" s="123"/>
      <c r="AB88" s="123"/>
      <c r="AC88" s="123"/>
      <c r="AD88" s="123"/>
      <c r="AE88" s="123"/>
      <c r="AF88" s="123"/>
      <c r="AH88" s="236"/>
      <c r="AI88" s="123"/>
      <c r="AJ88" s="123"/>
      <c r="AL88" s="123"/>
      <c r="AM88" s="160"/>
      <c r="AN88" s="160"/>
    </row>
    <row r="89" spans="1:40" x14ac:dyDescent="0.3">
      <c r="C89" s="42"/>
      <c r="F89" s="123"/>
      <c r="H89" s="123"/>
      <c r="I89" s="123"/>
      <c r="J89" s="213"/>
      <c r="K89" s="213"/>
      <c r="L89" s="123"/>
      <c r="M89" s="123"/>
      <c r="N89" s="160"/>
      <c r="O89" s="160"/>
      <c r="P89" s="123"/>
      <c r="Q89" s="123"/>
      <c r="R89" s="123"/>
      <c r="S89" s="123"/>
      <c r="T89" s="42"/>
      <c r="V89" s="123"/>
      <c r="Y89" s="123"/>
      <c r="Z89" s="238"/>
      <c r="AA89" s="123"/>
      <c r="AB89" s="123"/>
      <c r="AC89" s="160"/>
      <c r="AD89" s="160"/>
      <c r="AE89" s="123"/>
      <c r="AF89" s="123"/>
      <c r="AH89" s="236"/>
      <c r="AI89" s="123"/>
      <c r="AJ89" s="123"/>
      <c r="AL89" s="123"/>
      <c r="AM89" s="160"/>
      <c r="AN89" s="160"/>
    </row>
    <row r="90" spans="1:40" x14ac:dyDescent="0.3">
      <c r="F90" s="210"/>
      <c r="H90" s="210"/>
      <c r="I90" s="210"/>
      <c r="J90" s="213"/>
      <c r="K90" s="213"/>
      <c r="L90" s="210"/>
      <c r="M90" s="210"/>
      <c r="N90" s="210"/>
      <c r="O90" s="210"/>
      <c r="P90" s="210"/>
      <c r="Q90" s="210"/>
      <c r="R90" s="210"/>
      <c r="S90" s="123"/>
      <c r="T90" s="42"/>
      <c r="Y90" s="123"/>
      <c r="Z90" s="238"/>
      <c r="AA90" s="123"/>
      <c r="AB90" s="123"/>
      <c r="AC90" s="160"/>
      <c r="AD90" s="160"/>
      <c r="AE90" s="123"/>
      <c r="AF90" s="123"/>
      <c r="AH90" s="236"/>
      <c r="AI90" s="123"/>
      <c r="AJ90" s="123"/>
      <c r="AL90" s="123"/>
      <c r="AM90" s="160"/>
      <c r="AN90" s="160"/>
    </row>
    <row r="91" spans="1:40" x14ac:dyDescent="0.3">
      <c r="C91" s="42"/>
      <c r="V91" s="123"/>
      <c r="Y91" s="123"/>
      <c r="Z91" s="213"/>
      <c r="AA91" s="210"/>
      <c r="AB91" s="210"/>
      <c r="AC91" s="210"/>
      <c r="AD91" s="210"/>
      <c r="AE91" s="210"/>
      <c r="AF91" s="210"/>
      <c r="AI91" s="210"/>
      <c r="AJ91" s="210"/>
      <c r="AK91" s="214"/>
      <c r="AL91" s="210"/>
      <c r="AM91" s="160"/>
      <c r="AN91" s="160"/>
    </row>
    <row r="92" spans="1:40" x14ac:dyDescent="0.3">
      <c r="C92" s="42"/>
      <c r="F92" s="123"/>
      <c r="H92" s="123"/>
      <c r="I92" s="123"/>
      <c r="L92" s="123"/>
      <c r="M92" s="123"/>
      <c r="N92" s="160"/>
      <c r="O92" s="160"/>
      <c r="P92" s="184"/>
      <c r="Q92" s="184"/>
      <c r="R92" s="123"/>
      <c r="T92" s="42"/>
      <c r="V92" s="123"/>
      <c r="Y92" s="123"/>
      <c r="Z92" s="219"/>
      <c r="AA92" s="123"/>
      <c r="AB92" s="123"/>
      <c r="AC92" s="160"/>
      <c r="AD92" s="160"/>
      <c r="AE92" s="123"/>
      <c r="AF92" s="123"/>
      <c r="AH92" s="236"/>
      <c r="AI92" s="123"/>
      <c r="AJ92" s="123"/>
      <c r="AL92" s="123"/>
      <c r="AM92" s="160"/>
      <c r="AN92" s="160"/>
    </row>
    <row r="93" spans="1:40" x14ac:dyDescent="0.3">
      <c r="F93" s="210"/>
      <c r="H93" s="210"/>
      <c r="I93" s="210"/>
      <c r="J93" s="213"/>
      <c r="K93" s="213"/>
      <c r="L93" s="210"/>
      <c r="M93" s="210"/>
      <c r="N93" s="210"/>
      <c r="O93" s="210"/>
      <c r="P93" s="210"/>
      <c r="Q93" s="210"/>
      <c r="R93" s="210"/>
      <c r="V93" s="123"/>
      <c r="Y93" s="123"/>
      <c r="Z93" s="213"/>
      <c r="AA93" s="210"/>
      <c r="AB93" s="210"/>
      <c r="AC93" s="210"/>
      <c r="AD93" s="210"/>
      <c r="AE93" s="210"/>
      <c r="AF93" s="210"/>
      <c r="AI93" s="210"/>
      <c r="AJ93" s="210"/>
      <c r="AK93" s="214"/>
      <c r="AL93" s="210"/>
      <c r="AM93" s="160"/>
      <c r="AN93" s="160"/>
    </row>
    <row r="94" spans="1:40" x14ac:dyDescent="0.3">
      <c r="T94" s="42"/>
      <c r="V94" s="123"/>
      <c r="Y94" s="123"/>
      <c r="Z94" s="219"/>
      <c r="AA94" s="123"/>
      <c r="AB94" s="123"/>
      <c r="AC94" s="160"/>
      <c r="AD94" s="160"/>
      <c r="AE94" s="123"/>
      <c r="AF94" s="123"/>
      <c r="AH94" s="236"/>
      <c r="AI94" s="123"/>
      <c r="AJ94" s="123"/>
      <c r="AL94" s="123"/>
      <c r="AM94" s="160"/>
      <c r="AN94" s="160"/>
    </row>
    <row r="95" spans="1:40" x14ac:dyDescent="0.3">
      <c r="C95" s="42"/>
      <c r="L95" s="123"/>
      <c r="M95" s="123"/>
      <c r="N95" s="123"/>
      <c r="O95" s="123"/>
      <c r="P95" s="123"/>
      <c r="Q95" s="123"/>
      <c r="R95" s="123"/>
      <c r="S95" s="123"/>
      <c r="T95" s="42"/>
      <c r="V95" s="184"/>
      <c r="Y95" s="123"/>
      <c r="Z95" s="227"/>
      <c r="AA95" s="123"/>
      <c r="AB95" s="123"/>
      <c r="AC95" s="160"/>
      <c r="AD95" s="160"/>
      <c r="AE95" s="123"/>
      <c r="AF95" s="123"/>
      <c r="AH95" s="236"/>
      <c r="AI95" s="123"/>
      <c r="AJ95" s="123"/>
      <c r="AL95" s="123"/>
      <c r="AM95" s="160"/>
      <c r="AN95" s="160"/>
    </row>
    <row r="96" spans="1:40" x14ac:dyDescent="0.3">
      <c r="A96" s="42"/>
      <c r="V96" s="210"/>
      <c r="Y96" s="210"/>
      <c r="Z96" s="213"/>
      <c r="AA96" s="210"/>
      <c r="AB96" s="210"/>
      <c r="AC96" s="210"/>
      <c r="AD96" s="210"/>
      <c r="AE96" s="210"/>
      <c r="AF96" s="210"/>
      <c r="AI96" s="210"/>
      <c r="AJ96" s="210"/>
      <c r="AK96" s="214"/>
      <c r="AL96" s="210"/>
      <c r="AM96" s="160"/>
      <c r="AN96" s="160"/>
    </row>
    <row r="97" spans="1:40" x14ac:dyDescent="0.3">
      <c r="T97" s="42"/>
      <c r="V97" s="123"/>
      <c r="Y97" s="123"/>
      <c r="Z97" s="213"/>
      <c r="AA97" s="123"/>
      <c r="AB97" s="123"/>
      <c r="AC97" s="160"/>
      <c r="AD97" s="160"/>
      <c r="AE97" s="123"/>
      <c r="AF97" s="123"/>
      <c r="AH97" s="160"/>
      <c r="AI97" s="123"/>
      <c r="AJ97" s="123"/>
      <c r="AL97" s="123"/>
      <c r="AM97" s="160"/>
      <c r="AN97" s="160"/>
    </row>
    <row r="98" spans="1:40" x14ac:dyDescent="0.3">
      <c r="H98" s="42"/>
      <c r="I98" s="42"/>
      <c r="V98" s="210"/>
      <c r="Y98" s="210"/>
      <c r="Z98" s="213"/>
      <c r="AA98" s="210"/>
      <c r="AB98" s="210"/>
      <c r="AC98" s="210"/>
      <c r="AD98" s="210"/>
      <c r="AE98" s="210"/>
      <c r="AF98" s="210"/>
      <c r="AI98" s="210"/>
      <c r="AJ98" s="210"/>
      <c r="AK98" s="214"/>
      <c r="AL98" s="210"/>
      <c r="AM98" s="160"/>
      <c r="AN98" s="160"/>
    </row>
    <row r="99" spans="1:40" x14ac:dyDescent="0.3">
      <c r="T99" s="42"/>
    </row>
    <row r="100" spans="1:40" x14ac:dyDescent="0.3">
      <c r="L100" s="42"/>
      <c r="M100" s="42"/>
      <c r="AA100" s="42"/>
      <c r="AB100" s="42"/>
    </row>
    <row r="101" spans="1:40" x14ac:dyDescent="0.3">
      <c r="R101" s="42"/>
      <c r="AK101" s="206"/>
      <c r="AL101" s="42"/>
    </row>
    <row r="102" spans="1:40" x14ac:dyDescent="0.3">
      <c r="R102" s="42"/>
      <c r="AK102" s="206"/>
      <c r="AL102" s="42"/>
    </row>
    <row r="103" spans="1:40" x14ac:dyDescent="0.3">
      <c r="A103" s="42"/>
      <c r="R103" s="42"/>
      <c r="AK103" s="206"/>
      <c r="AL103" s="42"/>
    </row>
    <row r="104" spans="1:40" x14ac:dyDescent="0.3">
      <c r="L104" s="42"/>
      <c r="M104" s="42"/>
      <c r="AA104" s="42"/>
      <c r="AB104" s="42"/>
    </row>
    <row r="105" spans="1:40" x14ac:dyDescent="0.3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207"/>
      <c r="AH105" s="135"/>
      <c r="AI105" s="135"/>
      <c r="AJ105" s="135"/>
      <c r="AK105" s="207"/>
      <c r="AL105" s="135"/>
      <c r="AM105" s="135"/>
      <c r="AN105" s="135"/>
    </row>
    <row r="106" spans="1:40" x14ac:dyDescent="0.3">
      <c r="L106" s="44"/>
      <c r="M106" s="44"/>
      <c r="N106" s="44"/>
      <c r="O106" s="44"/>
      <c r="R106" s="44"/>
      <c r="AA106" s="44"/>
      <c r="AB106" s="44"/>
      <c r="AC106" s="44"/>
      <c r="AD106" s="44"/>
      <c r="AE106" s="44"/>
      <c r="AF106" s="44"/>
      <c r="AG106" s="168"/>
      <c r="AH106" s="44"/>
      <c r="AK106" s="168"/>
      <c r="AL106" s="44"/>
      <c r="AM106" s="44"/>
      <c r="AN106" s="44"/>
    </row>
    <row r="107" spans="1:40" x14ac:dyDescent="0.3">
      <c r="L107" s="44"/>
      <c r="M107" s="44"/>
      <c r="N107" s="44"/>
      <c r="O107" s="44"/>
      <c r="R107" s="44"/>
      <c r="Z107" s="44"/>
      <c r="AA107" s="44"/>
      <c r="AB107" s="44"/>
      <c r="AC107" s="44"/>
      <c r="AD107" s="44"/>
      <c r="AE107" s="44"/>
      <c r="AF107" s="44"/>
      <c r="AG107" s="168"/>
      <c r="AH107" s="44"/>
      <c r="AK107" s="168"/>
      <c r="AL107" s="44"/>
      <c r="AM107" s="44"/>
      <c r="AN107" s="44"/>
    </row>
    <row r="108" spans="1:40" x14ac:dyDescent="0.3">
      <c r="A108" s="44"/>
      <c r="C108" s="44"/>
      <c r="D108" s="44"/>
      <c r="E108" s="44"/>
      <c r="F108" s="44"/>
      <c r="J108" s="44"/>
      <c r="K108" s="44"/>
      <c r="L108" s="44"/>
      <c r="M108" s="44"/>
      <c r="N108" s="44"/>
      <c r="O108" s="44"/>
      <c r="P108" s="44"/>
      <c r="Q108" s="44"/>
      <c r="R108" s="44"/>
      <c r="T108" s="44"/>
      <c r="U108" s="44"/>
      <c r="V108" s="44"/>
      <c r="Z108" s="44"/>
      <c r="AA108" s="44"/>
      <c r="AB108" s="44"/>
      <c r="AC108" s="44"/>
      <c r="AD108" s="44"/>
      <c r="AE108" s="44"/>
      <c r="AF108" s="44"/>
      <c r="AG108" s="168"/>
      <c r="AH108" s="44"/>
      <c r="AI108" s="44"/>
      <c r="AJ108" s="44"/>
      <c r="AK108" s="168"/>
      <c r="AL108" s="44"/>
      <c r="AM108" s="44"/>
      <c r="AN108" s="44"/>
    </row>
    <row r="109" spans="1:40" x14ac:dyDescent="0.3">
      <c r="A109" s="44"/>
      <c r="C109" s="44"/>
      <c r="D109" s="44"/>
      <c r="E109" s="44"/>
      <c r="F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T109" s="44"/>
      <c r="U109" s="44"/>
      <c r="V109" s="44"/>
      <c r="Y109" s="44"/>
      <c r="Z109" s="44"/>
      <c r="AA109" s="44"/>
      <c r="AB109" s="44"/>
      <c r="AC109" s="44"/>
      <c r="AD109" s="44"/>
      <c r="AE109" s="44"/>
      <c r="AF109" s="44"/>
      <c r="AG109" s="168"/>
      <c r="AH109" s="44"/>
      <c r="AI109" s="44"/>
      <c r="AJ109" s="44"/>
      <c r="AK109" s="168"/>
      <c r="AL109" s="44"/>
      <c r="AM109" s="44"/>
      <c r="AN109" s="44"/>
    </row>
    <row r="110" spans="1:40" x14ac:dyDescent="0.3">
      <c r="C110" s="44"/>
      <c r="D110" s="44"/>
      <c r="E110" s="44"/>
      <c r="F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T110" s="44"/>
      <c r="U110" s="44"/>
      <c r="V110" s="44"/>
      <c r="Y110" s="44"/>
      <c r="Z110" s="44"/>
      <c r="AA110" s="44"/>
      <c r="AB110" s="44"/>
      <c r="AC110" s="44"/>
      <c r="AD110" s="44"/>
      <c r="AE110" s="44"/>
      <c r="AF110" s="44"/>
      <c r="AG110" s="168"/>
      <c r="AH110" s="44"/>
      <c r="AI110" s="44"/>
      <c r="AJ110" s="44"/>
      <c r="AK110" s="168"/>
      <c r="AL110" s="44"/>
      <c r="AM110" s="44"/>
      <c r="AN110" s="44"/>
    </row>
    <row r="111" spans="1:40" x14ac:dyDescent="0.3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207"/>
      <c r="AH111" s="135"/>
      <c r="AI111" s="135"/>
      <c r="AJ111" s="135"/>
      <c r="AK111" s="207"/>
      <c r="AL111" s="135"/>
      <c r="AM111" s="135"/>
      <c r="AN111" s="135"/>
    </row>
    <row r="112" spans="1:40" x14ac:dyDescent="0.3"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Y112" s="44"/>
      <c r="Z112" s="44"/>
      <c r="AA112" s="44"/>
      <c r="AB112" s="44"/>
      <c r="AC112" s="44"/>
      <c r="AD112" s="44"/>
      <c r="AE112" s="44"/>
      <c r="AF112" s="44"/>
      <c r="AG112" s="168"/>
      <c r="AH112" s="44"/>
      <c r="AI112" s="44"/>
      <c r="AJ112" s="44"/>
      <c r="AK112" s="168"/>
      <c r="AL112" s="44"/>
      <c r="AM112" s="44"/>
      <c r="AN112" s="44"/>
    </row>
    <row r="113" spans="3:40" x14ac:dyDescent="0.3">
      <c r="C113" s="42"/>
      <c r="D113" s="42"/>
      <c r="E113" s="42"/>
      <c r="T113" s="42"/>
      <c r="U113" s="42"/>
    </row>
    <row r="114" spans="3:40" x14ac:dyDescent="0.3">
      <c r="D114" s="42"/>
      <c r="E114" s="42"/>
      <c r="U114" s="42"/>
    </row>
    <row r="116" spans="3:40" x14ac:dyDescent="0.3">
      <c r="C116" s="42"/>
      <c r="F116" s="184"/>
      <c r="H116" s="184"/>
      <c r="I116" s="184"/>
      <c r="J116" s="193"/>
      <c r="K116" s="193"/>
      <c r="L116" s="123"/>
      <c r="M116" s="123"/>
      <c r="N116" s="160"/>
      <c r="O116" s="160"/>
      <c r="R116" s="123"/>
      <c r="T116" s="42"/>
      <c r="V116" s="123"/>
      <c r="Y116" s="184"/>
      <c r="Z116" s="193"/>
      <c r="AA116" s="123"/>
      <c r="AB116" s="123"/>
      <c r="AC116" s="160"/>
      <c r="AD116" s="160"/>
      <c r="AE116" s="123"/>
      <c r="AF116" s="123"/>
      <c r="AG116" s="233"/>
      <c r="AH116" s="234"/>
      <c r="AL116" s="123"/>
      <c r="AM116" s="235"/>
      <c r="AN116" s="235"/>
    </row>
    <row r="117" spans="3:40" x14ac:dyDescent="0.3">
      <c r="C117" s="42"/>
      <c r="F117" s="184"/>
      <c r="H117" s="184"/>
      <c r="I117" s="184"/>
      <c r="J117" s="193"/>
      <c r="K117" s="193"/>
      <c r="L117" s="123"/>
      <c r="M117" s="123"/>
      <c r="N117" s="160"/>
      <c r="O117" s="160"/>
      <c r="R117" s="123"/>
      <c r="T117" s="42"/>
      <c r="V117" s="123"/>
      <c r="Y117" s="184"/>
      <c r="Z117" s="193"/>
      <c r="AA117" s="123"/>
      <c r="AB117" s="123"/>
      <c r="AC117" s="160"/>
      <c r="AD117" s="160"/>
      <c r="AE117" s="123"/>
      <c r="AF117" s="123"/>
      <c r="AH117" s="236"/>
      <c r="AL117" s="123"/>
      <c r="AM117" s="160"/>
      <c r="AN117" s="160"/>
    </row>
    <row r="118" spans="3:40" x14ac:dyDescent="0.3">
      <c r="F118" s="210"/>
      <c r="H118" s="123"/>
      <c r="I118" s="123"/>
      <c r="J118" s="213"/>
      <c r="K118" s="213"/>
      <c r="L118" s="210"/>
      <c r="M118" s="210"/>
      <c r="N118" s="210"/>
      <c r="O118" s="210"/>
      <c r="P118" s="210"/>
      <c r="Q118" s="210"/>
      <c r="R118" s="210"/>
      <c r="V118" s="210"/>
      <c r="Y118" s="123"/>
      <c r="Z118" s="213"/>
      <c r="AA118" s="210"/>
      <c r="AB118" s="210"/>
      <c r="AC118" s="210"/>
      <c r="AD118" s="210"/>
      <c r="AE118" s="210"/>
      <c r="AF118" s="210"/>
      <c r="AI118" s="210"/>
      <c r="AJ118" s="210"/>
      <c r="AK118" s="214"/>
      <c r="AL118" s="210"/>
      <c r="AM118" s="160"/>
      <c r="AN118" s="160"/>
    </row>
    <row r="119" spans="3:40" x14ac:dyDescent="0.3">
      <c r="C119" s="42"/>
      <c r="F119" s="123"/>
      <c r="H119" s="123"/>
      <c r="I119" s="123"/>
      <c r="J119" s="213"/>
      <c r="K119" s="213"/>
      <c r="L119" s="123"/>
      <c r="M119" s="123"/>
      <c r="N119" s="160"/>
      <c r="O119" s="160"/>
      <c r="P119" s="123"/>
      <c r="Q119" s="123"/>
      <c r="R119" s="123"/>
      <c r="T119" s="42"/>
      <c r="V119" s="123"/>
      <c r="Y119" s="123"/>
      <c r="Z119" s="219"/>
      <c r="AA119" s="123"/>
      <c r="AB119" s="123"/>
      <c r="AC119" s="160"/>
      <c r="AD119" s="160"/>
      <c r="AE119" s="123"/>
      <c r="AF119" s="123"/>
      <c r="AH119" s="236"/>
      <c r="AI119" s="123"/>
      <c r="AJ119" s="123"/>
      <c r="AL119" s="123"/>
      <c r="AM119" s="160"/>
      <c r="AN119" s="160"/>
    </row>
    <row r="120" spans="3:40" x14ac:dyDescent="0.3">
      <c r="F120" s="210"/>
      <c r="H120" s="123"/>
      <c r="I120" s="123"/>
      <c r="J120" s="213"/>
      <c r="K120" s="213"/>
      <c r="L120" s="210"/>
      <c r="M120" s="210"/>
      <c r="N120" s="210"/>
      <c r="O120" s="210"/>
      <c r="P120" s="210"/>
      <c r="Q120" s="210"/>
      <c r="R120" s="210"/>
      <c r="V120" s="210"/>
      <c r="Y120" s="123"/>
      <c r="Z120" s="213"/>
      <c r="AA120" s="210"/>
      <c r="AB120" s="210"/>
      <c r="AC120" s="210"/>
      <c r="AD120" s="210"/>
      <c r="AE120" s="210"/>
      <c r="AF120" s="210"/>
      <c r="AI120" s="210"/>
      <c r="AJ120" s="210"/>
      <c r="AK120" s="214"/>
      <c r="AL120" s="210"/>
      <c r="AM120" s="160"/>
      <c r="AN120" s="160"/>
    </row>
    <row r="121" spans="3:40" x14ac:dyDescent="0.3">
      <c r="F121" s="123"/>
      <c r="H121" s="123"/>
      <c r="I121" s="123"/>
      <c r="J121" s="213"/>
      <c r="K121" s="213"/>
      <c r="L121" s="123"/>
      <c r="M121" s="123"/>
      <c r="N121" s="160"/>
      <c r="O121" s="160"/>
      <c r="P121" s="123"/>
      <c r="Q121" s="123"/>
      <c r="R121" s="123"/>
      <c r="V121" s="123"/>
      <c r="Y121" s="123"/>
      <c r="Z121" s="219"/>
      <c r="AA121" s="123"/>
      <c r="AB121" s="123"/>
      <c r="AC121" s="160"/>
      <c r="AD121" s="160"/>
      <c r="AE121" s="123"/>
      <c r="AF121" s="123"/>
      <c r="AH121" s="236"/>
      <c r="AI121" s="123"/>
      <c r="AJ121" s="123"/>
      <c r="AL121" s="123"/>
      <c r="AM121" s="160"/>
      <c r="AN121" s="160"/>
    </row>
    <row r="122" spans="3:40" x14ac:dyDescent="0.3">
      <c r="C122" s="42"/>
      <c r="F122" s="184"/>
      <c r="H122" s="184"/>
      <c r="I122" s="184"/>
      <c r="J122" s="193"/>
      <c r="K122" s="193"/>
      <c r="L122" s="123"/>
      <c r="M122" s="123"/>
      <c r="N122" s="160"/>
      <c r="O122" s="160"/>
      <c r="P122" s="123"/>
      <c r="Q122" s="123"/>
      <c r="R122" s="123"/>
      <c r="T122" s="42"/>
      <c r="V122" s="184"/>
      <c r="Y122" s="123"/>
      <c r="Z122" s="193"/>
      <c r="AA122" s="123"/>
      <c r="AB122" s="123"/>
      <c r="AC122" s="160"/>
      <c r="AD122" s="160"/>
      <c r="AE122" s="123"/>
      <c r="AF122" s="123"/>
      <c r="AG122" s="233"/>
      <c r="AH122" s="234"/>
      <c r="AI122" s="123"/>
      <c r="AJ122" s="123"/>
      <c r="AL122" s="123"/>
      <c r="AM122" s="235"/>
      <c r="AN122" s="235"/>
    </row>
    <row r="123" spans="3:40" x14ac:dyDescent="0.3">
      <c r="C123" s="42"/>
      <c r="F123" s="184"/>
      <c r="H123" s="184"/>
      <c r="I123" s="184"/>
      <c r="J123" s="193"/>
      <c r="K123" s="193"/>
      <c r="L123" s="123"/>
      <c r="M123" s="123"/>
      <c r="N123" s="160"/>
      <c r="O123" s="160"/>
      <c r="P123" s="123"/>
      <c r="Q123" s="123"/>
      <c r="R123" s="123"/>
      <c r="T123" s="42"/>
      <c r="V123" s="184"/>
      <c r="Y123" s="123"/>
      <c r="Z123" s="193"/>
      <c r="AA123" s="123"/>
      <c r="AB123" s="123"/>
      <c r="AC123" s="160"/>
      <c r="AD123" s="160"/>
      <c r="AE123" s="123"/>
      <c r="AF123" s="123"/>
      <c r="AH123" s="236"/>
      <c r="AI123" s="123"/>
      <c r="AJ123" s="123"/>
      <c r="AL123" s="123"/>
      <c r="AM123" s="160"/>
      <c r="AN123" s="160"/>
    </row>
    <row r="124" spans="3:40" x14ac:dyDescent="0.3">
      <c r="F124" s="123"/>
      <c r="H124" s="210"/>
      <c r="I124" s="210"/>
      <c r="J124" s="213"/>
      <c r="K124" s="213"/>
      <c r="L124" s="210"/>
      <c r="M124" s="210"/>
      <c r="N124" s="210"/>
      <c r="O124" s="210"/>
      <c r="P124" s="210"/>
      <c r="Q124" s="210"/>
      <c r="R124" s="210"/>
      <c r="V124" s="123"/>
      <c r="Y124" s="210"/>
      <c r="Z124" s="213"/>
      <c r="AA124" s="210"/>
      <c r="AB124" s="210"/>
      <c r="AC124" s="210"/>
      <c r="AD124" s="210"/>
      <c r="AE124" s="210"/>
      <c r="AF124" s="210"/>
      <c r="AI124" s="210"/>
      <c r="AJ124" s="210"/>
      <c r="AK124" s="214"/>
      <c r="AL124" s="210"/>
      <c r="AM124" s="160"/>
      <c r="AN124" s="160"/>
    </row>
    <row r="125" spans="3:40" x14ac:dyDescent="0.3">
      <c r="C125" s="42"/>
      <c r="F125" s="123"/>
      <c r="H125" s="123"/>
      <c r="I125" s="123"/>
      <c r="J125" s="213"/>
      <c r="K125" s="213"/>
      <c r="L125" s="123"/>
      <c r="M125" s="123"/>
      <c r="N125" s="160"/>
      <c r="O125" s="160"/>
      <c r="P125" s="123"/>
      <c r="Q125" s="123"/>
      <c r="R125" s="123"/>
      <c r="T125" s="42"/>
      <c r="V125" s="123"/>
      <c r="Y125" s="123"/>
      <c r="Z125" s="213"/>
      <c r="AA125" s="123"/>
      <c r="AB125" s="123"/>
      <c r="AC125" s="160"/>
      <c r="AD125" s="160"/>
      <c r="AE125" s="123"/>
      <c r="AF125" s="123"/>
      <c r="AH125" s="236"/>
      <c r="AI125" s="123"/>
      <c r="AJ125" s="123"/>
      <c r="AL125" s="123"/>
      <c r="AM125" s="160"/>
      <c r="AN125" s="160"/>
    </row>
    <row r="126" spans="3:40" x14ac:dyDescent="0.3">
      <c r="F126" s="123"/>
      <c r="H126" s="210"/>
      <c r="I126" s="210"/>
      <c r="J126" s="213"/>
      <c r="K126" s="213"/>
      <c r="L126" s="210"/>
      <c r="M126" s="210"/>
      <c r="N126" s="210"/>
      <c r="O126" s="210"/>
      <c r="P126" s="210"/>
      <c r="Q126" s="210"/>
      <c r="R126" s="210"/>
      <c r="V126" s="123"/>
      <c r="Y126" s="210"/>
      <c r="Z126" s="213"/>
      <c r="AA126" s="210"/>
      <c r="AB126" s="210"/>
      <c r="AC126" s="210"/>
      <c r="AD126" s="210"/>
      <c r="AE126" s="210"/>
      <c r="AF126" s="210"/>
      <c r="AI126" s="210"/>
      <c r="AJ126" s="210"/>
      <c r="AK126" s="214"/>
      <c r="AL126" s="210"/>
      <c r="AM126" s="160"/>
      <c r="AN126" s="160"/>
    </row>
    <row r="127" spans="3:40" x14ac:dyDescent="0.3">
      <c r="F127" s="123"/>
      <c r="H127" s="123"/>
      <c r="I127" s="123"/>
      <c r="J127" s="213"/>
      <c r="K127" s="213"/>
      <c r="L127" s="123"/>
      <c r="M127" s="123"/>
      <c r="N127" s="123"/>
      <c r="O127" s="123"/>
      <c r="P127" s="123"/>
      <c r="Q127" s="123"/>
      <c r="R127" s="123"/>
      <c r="V127" s="123"/>
      <c r="Y127" s="123"/>
      <c r="Z127" s="213"/>
      <c r="AA127" s="123"/>
      <c r="AB127" s="123"/>
      <c r="AC127" s="123"/>
      <c r="AD127" s="123"/>
      <c r="AE127" s="123"/>
      <c r="AF127" s="123"/>
      <c r="AH127" s="236"/>
      <c r="AI127" s="123"/>
      <c r="AJ127" s="123"/>
      <c r="AL127" s="123"/>
      <c r="AM127" s="160"/>
      <c r="AN127" s="160"/>
    </row>
    <row r="128" spans="3:40" x14ac:dyDescent="0.3">
      <c r="C128" s="42"/>
      <c r="F128" s="184"/>
      <c r="H128" s="184"/>
      <c r="I128" s="184"/>
      <c r="J128" s="227"/>
      <c r="K128" s="227"/>
      <c r="L128" s="123"/>
      <c r="M128" s="123"/>
      <c r="N128" s="160"/>
      <c r="O128" s="160"/>
      <c r="P128" s="184"/>
      <c r="Q128" s="184"/>
      <c r="R128" s="123"/>
      <c r="T128" s="42"/>
      <c r="V128" s="184"/>
      <c r="Y128" s="184"/>
      <c r="Z128" s="237"/>
      <c r="AA128" s="123"/>
      <c r="AB128" s="123"/>
      <c r="AC128" s="160"/>
      <c r="AD128" s="160"/>
      <c r="AE128" s="123"/>
      <c r="AF128" s="123"/>
      <c r="AH128" s="236"/>
      <c r="AI128" s="184"/>
      <c r="AJ128" s="184"/>
      <c r="AL128" s="123"/>
      <c r="AM128" s="160"/>
      <c r="AN128" s="160"/>
    </row>
    <row r="129" spans="1:40" x14ac:dyDescent="0.3">
      <c r="C129" s="42"/>
      <c r="F129" s="184"/>
      <c r="H129" s="184"/>
      <c r="I129" s="184"/>
      <c r="J129" s="227"/>
      <c r="K129" s="227"/>
      <c r="L129" s="123"/>
      <c r="M129" s="123"/>
      <c r="N129" s="160"/>
      <c r="O129" s="160"/>
      <c r="P129" s="184"/>
      <c r="Q129" s="184"/>
      <c r="R129" s="123"/>
      <c r="T129" s="42"/>
      <c r="V129" s="184"/>
      <c r="Y129" s="123"/>
      <c r="Z129" s="212"/>
      <c r="AA129" s="123"/>
      <c r="AB129" s="123"/>
      <c r="AC129" s="160"/>
      <c r="AD129" s="160"/>
      <c r="AE129" s="123"/>
      <c r="AF129" s="123"/>
      <c r="AH129" s="236"/>
      <c r="AI129" s="184"/>
      <c r="AJ129" s="184"/>
      <c r="AL129" s="123"/>
      <c r="AM129" s="160"/>
      <c r="AN129" s="160"/>
    </row>
    <row r="130" spans="1:40" x14ac:dyDescent="0.3">
      <c r="C130" s="42"/>
      <c r="F130" s="184"/>
      <c r="H130" s="184"/>
      <c r="I130" s="184"/>
      <c r="J130" s="227"/>
      <c r="K130" s="227"/>
      <c r="L130" s="123"/>
      <c r="M130" s="123"/>
      <c r="N130" s="160"/>
      <c r="O130" s="160"/>
      <c r="P130" s="184"/>
      <c r="Q130" s="184"/>
      <c r="R130" s="123"/>
      <c r="T130" s="42"/>
      <c r="V130" s="184"/>
      <c r="Y130" s="123"/>
      <c r="Z130" s="212"/>
      <c r="AA130" s="123"/>
      <c r="AB130" s="123"/>
      <c r="AC130" s="160"/>
      <c r="AD130" s="160"/>
      <c r="AE130" s="123"/>
      <c r="AF130" s="123"/>
      <c r="AH130" s="236"/>
      <c r="AI130" s="184"/>
      <c r="AJ130" s="184"/>
      <c r="AL130" s="123"/>
      <c r="AM130" s="160"/>
      <c r="AN130" s="160"/>
    </row>
    <row r="131" spans="1:40" x14ac:dyDescent="0.3">
      <c r="F131" s="210"/>
      <c r="H131" s="210"/>
      <c r="I131" s="210"/>
      <c r="J131" s="213"/>
      <c r="K131" s="213"/>
      <c r="L131" s="210"/>
      <c r="M131" s="210"/>
      <c r="N131" s="210"/>
      <c r="O131" s="210"/>
      <c r="P131" s="210"/>
      <c r="Q131" s="210"/>
      <c r="R131" s="210"/>
      <c r="V131" s="210"/>
      <c r="Y131" s="210"/>
      <c r="Z131" s="213"/>
      <c r="AA131" s="210"/>
      <c r="AB131" s="210"/>
      <c r="AC131" s="210"/>
      <c r="AD131" s="210"/>
      <c r="AE131" s="210"/>
      <c r="AF131" s="210"/>
      <c r="AI131" s="210"/>
      <c r="AJ131" s="210"/>
      <c r="AK131" s="214"/>
      <c r="AL131" s="210"/>
      <c r="AM131" s="160"/>
      <c r="AN131" s="160"/>
    </row>
    <row r="132" spans="1:40" x14ac:dyDescent="0.3">
      <c r="C132" s="42"/>
      <c r="F132" s="123"/>
      <c r="H132" s="123"/>
      <c r="I132" s="123"/>
      <c r="J132" s="219"/>
      <c r="K132" s="219"/>
      <c r="L132" s="123"/>
      <c r="M132" s="123"/>
      <c r="N132" s="160"/>
      <c r="O132" s="160"/>
      <c r="P132" s="123"/>
      <c r="Q132" s="123"/>
      <c r="R132" s="123"/>
      <c r="T132" s="42"/>
      <c r="V132" s="123"/>
      <c r="Y132" s="123"/>
      <c r="Z132" s="219"/>
      <c r="AA132" s="123"/>
      <c r="AB132" s="123"/>
      <c r="AC132" s="160"/>
      <c r="AD132" s="160"/>
      <c r="AE132" s="123"/>
      <c r="AF132" s="123"/>
      <c r="AH132" s="236"/>
      <c r="AI132" s="123"/>
      <c r="AJ132" s="123"/>
      <c r="AL132" s="123"/>
      <c r="AM132" s="160"/>
      <c r="AN132" s="160"/>
    </row>
    <row r="133" spans="1:40" x14ac:dyDescent="0.3">
      <c r="F133" s="210"/>
      <c r="H133" s="210"/>
      <c r="I133" s="210"/>
      <c r="J133" s="213"/>
      <c r="K133" s="213"/>
      <c r="L133" s="210"/>
      <c r="M133" s="210"/>
      <c r="N133" s="210"/>
      <c r="O133" s="210"/>
      <c r="P133" s="210"/>
      <c r="Q133" s="210"/>
      <c r="R133" s="210"/>
      <c r="V133" s="210"/>
      <c r="Y133" s="210"/>
      <c r="Z133" s="213"/>
      <c r="AA133" s="210"/>
      <c r="AB133" s="210"/>
      <c r="AC133" s="210"/>
      <c r="AD133" s="210"/>
      <c r="AE133" s="210"/>
      <c r="AF133" s="210"/>
      <c r="AI133" s="210"/>
      <c r="AJ133" s="210"/>
      <c r="AK133" s="214"/>
      <c r="AL133" s="210"/>
      <c r="AM133" s="160"/>
      <c r="AN133" s="160"/>
    </row>
    <row r="134" spans="1:40" x14ac:dyDescent="0.3">
      <c r="C134" s="42"/>
      <c r="F134" s="123"/>
      <c r="H134" s="123"/>
      <c r="I134" s="123"/>
      <c r="J134" s="219"/>
      <c r="K134" s="219"/>
      <c r="L134" s="123"/>
      <c r="M134" s="123"/>
      <c r="N134" s="160"/>
      <c r="O134" s="160"/>
      <c r="P134" s="123"/>
      <c r="Q134" s="123"/>
      <c r="R134" s="123"/>
      <c r="T134" s="42"/>
      <c r="V134" s="123"/>
      <c r="Y134" s="123"/>
      <c r="Z134" s="219"/>
      <c r="AA134" s="123"/>
      <c r="AB134" s="123"/>
      <c r="AC134" s="160"/>
      <c r="AD134" s="160"/>
      <c r="AE134" s="123"/>
      <c r="AF134" s="123"/>
      <c r="AH134" s="236"/>
      <c r="AI134" s="123"/>
      <c r="AJ134" s="123"/>
      <c r="AL134" s="123"/>
      <c r="AM134" s="160"/>
      <c r="AN134" s="160"/>
    </row>
    <row r="135" spans="1:40" x14ac:dyDescent="0.3">
      <c r="C135" s="42"/>
      <c r="F135" s="123"/>
      <c r="H135" s="123"/>
      <c r="I135" s="123"/>
      <c r="J135" s="219"/>
      <c r="K135" s="219"/>
      <c r="L135" s="123"/>
      <c r="M135" s="123"/>
      <c r="N135" s="160"/>
      <c r="O135" s="160"/>
      <c r="P135" s="123"/>
      <c r="Q135" s="123"/>
      <c r="R135" s="123"/>
      <c r="T135" s="42"/>
      <c r="V135" s="123"/>
      <c r="Y135" s="123"/>
      <c r="Z135" s="219"/>
      <c r="AA135" s="123"/>
      <c r="AB135" s="123"/>
      <c r="AC135" s="160"/>
      <c r="AD135" s="160"/>
      <c r="AE135" s="123"/>
      <c r="AF135" s="123"/>
      <c r="AH135" s="236"/>
      <c r="AI135" s="123"/>
      <c r="AJ135" s="123"/>
      <c r="AL135" s="123"/>
      <c r="AM135" s="160"/>
      <c r="AN135" s="160"/>
    </row>
    <row r="136" spans="1:40" x14ac:dyDescent="0.3">
      <c r="F136" s="210"/>
      <c r="H136" s="210"/>
      <c r="I136" s="210"/>
      <c r="J136" s="213"/>
      <c r="K136" s="213"/>
      <c r="L136" s="210"/>
      <c r="M136" s="210"/>
      <c r="N136" s="210"/>
      <c r="O136" s="210"/>
      <c r="P136" s="210"/>
      <c r="Q136" s="210"/>
      <c r="R136" s="210"/>
      <c r="V136" s="210"/>
      <c r="Y136" s="210"/>
      <c r="Z136" s="213"/>
      <c r="AA136" s="210"/>
      <c r="AB136" s="210"/>
      <c r="AC136" s="210"/>
      <c r="AD136" s="210"/>
      <c r="AE136" s="210"/>
      <c r="AF136" s="210"/>
      <c r="AI136" s="210"/>
      <c r="AJ136" s="210"/>
      <c r="AK136" s="214"/>
      <c r="AL136" s="210"/>
      <c r="AM136" s="123"/>
      <c r="AN136" s="123"/>
    </row>
    <row r="137" spans="1:40" x14ac:dyDescent="0.3">
      <c r="F137" s="123"/>
      <c r="H137" s="123"/>
      <c r="I137" s="123"/>
      <c r="J137" s="219"/>
      <c r="K137" s="219"/>
      <c r="L137" s="123"/>
      <c r="M137" s="123"/>
      <c r="N137" s="123"/>
      <c r="O137" s="123"/>
      <c r="P137" s="123"/>
      <c r="Q137" s="123"/>
      <c r="R137" s="123"/>
      <c r="V137" s="123"/>
      <c r="Y137" s="123"/>
      <c r="Z137" s="219"/>
      <c r="AA137" s="123"/>
      <c r="AB137" s="123"/>
      <c r="AC137" s="123"/>
      <c r="AD137" s="123"/>
    </row>
    <row r="138" spans="1:40" x14ac:dyDescent="0.3">
      <c r="C138" s="42"/>
      <c r="F138" s="123"/>
      <c r="H138" s="123"/>
      <c r="I138" s="123"/>
      <c r="J138" s="219"/>
      <c r="K138" s="219"/>
      <c r="L138" s="123"/>
      <c r="M138" s="123"/>
      <c r="N138" s="123"/>
      <c r="O138" s="123"/>
      <c r="P138" s="123"/>
      <c r="Q138" s="123"/>
      <c r="R138" s="123"/>
      <c r="T138" s="42"/>
      <c r="V138" s="123"/>
      <c r="Y138" s="123"/>
      <c r="Z138" s="219"/>
      <c r="AA138" s="123"/>
      <c r="AB138" s="123"/>
      <c r="AC138" s="123"/>
      <c r="AD138" s="123"/>
    </row>
    <row r="139" spans="1:40" x14ac:dyDescent="0.3">
      <c r="A139" s="42"/>
    </row>
    <row r="141" spans="1:40" x14ac:dyDescent="0.3">
      <c r="H141" s="42"/>
      <c r="I141" s="42"/>
      <c r="Y141" s="42"/>
    </row>
    <row r="143" spans="1:40" x14ac:dyDescent="0.3">
      <c r="L143" s="42"/>
      <c r="M143" s="42"/>
      <c r="AA143" s="42"/>
      <c r="AB143" s="42"/>
    </row>
    <row r="144" spans="1:40" x14ac:dyDescent="0.3">
      <c r="R144" s="42"/>
      <c r="AK144" s="206"/>
      <c r="AL144" s="42"/>
    </row>
    <row r="145" spans="1:40" x14ac:dyDescent="0.3">
      <c r="R145" s="42"/>
      <c r="AK145" s="206"/>
      <c r="AL145" s="42"/>
    </row>
    <row r="146" spans="1:40" x14ac:dyDescent="0.3">
      <c r="A146" s="42"/>
      <c r="R146" s="42"/>
      <c r="AK146" s="206"/>
      <c r="AL146" s="42"/>
    </row>
    <row r="147" spans="1:40" x14ac:dyDescent="0.3">
      <c r="L147" s="42"/>
      <c r="M147" s="42"/>
      <c r="AA147" s="42"/>
      <c r="AB147" s="42"/>
    </row>
    <row r="148" spans="1:40" x14ac:dyDescent="0.3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207"/>
      <c r="AH148" s="135"/>
      <c r="AI148" s="135"/>
      <c r="AJ148" s="135"/>
      <c r="AK148" s="207"/>
      <c r="AL148" s="135"/>
      <c r="AM148" s="135"/>
      <c r="AN148" s="135"/>
    </row>
    <row r="149" spans="1:40" x14ac:dyDescent="0.3">
      <c r="L149" s="44"/>
      <c r="M149" s="44"/>
      <c r="N149" s="44"/>
      <c r="O149" s="44"/>
      <c r="R149" s="44"/>
      <c r="AA149" s="44"/>
      <c r="AB149" s="44"/>
      <c r="AC149" s="44"/>
      <c r="AD149" s="44"/>
      <c r="AE149" s="44"/>
      <c r="AF149" s="44"/>
      <c r="AG149" s="168"/>
      <c r="AH149" s="44"/>
      <c r="AK149" s="168"/>
      <c r="AL149" s="44"/>
      <c r="AM149" s="44"/>
      <c r="AN149" s="44"/>
    </row>
    <row r="150" spans="1:40" x14ac:dyDescent="0.3">
      <c r="L150" s="44"/>
      <c r="M150" s="44"/>
      <c r="N150" s="44"/>
      <c r="O150" s="44"/>
      <c r="R150" s="44"/>
      <c r="Z150" s="44"/>
      <c r="AA150" s="44"/>
      <c r="AB150" s="44"/>
      <c r="AC150" s="44"/>
      <c r="AD150" s="44"/>
      <c r="AE150" s="44"/>
      <c r="AF150" s="44"/>
      <c r="AG150" s="168"/>
      <c r="AH150" s="44"/>
      <c r="AK150" s="168"/>
      <c r="AL150" s="44"/>
      <c r="AM150" s="44"/>
      <c r="AN150" s="44"/>
    </row>
    <row r="151" spans="1:40" x14ac:dyDescent="0.3">
      <c r="A151" s="44"/>
      <c r="C151" s="44"/>
      <c r="D151" s="44"/>
      <c r="E151" s="44"/>
      <c r="F151" s="44"/>
      <c r="J151" s="44"/>
      <c r="K151" s="44"/>
      <c r="L151" s="44"/>
      <c r="M151" s="44"/>
      <c r="N151" s="44"/>
      <c r="O151" s="44"/>
      <c r="P151" s="44"/>
      <c r="Q151" s="44"/>
      <c r="R151" s="44"/>
      <c r="T151" s="44"/>
      <c r="U151" s="44"/>
      <c r="V151" s="44"/>
      <c r="Z151" s="44"/>
      <c r="AA151" s="44"/>
      <c r="AB151" s="44"/>
      <c r="AC151" s="44"/>
      <c r="AD151" s="44"/>
      <c r="AE151" s="44"/>
      <c r="AF151" s="44"/>
      <c r="AG151" s="168"/>
      <c r="AH151" s="44"/>
      <c r="AI151" s="44"/>
      <c r="AJ151" s="44"/>
      <c r="AK151" s="168"/>
      <c r="AL151" s="44"/>
      <c r="AM151" s="44"/>
      <c r="AN151" s="44"/>
    </row>
    <row r="152" spans="1:40" x14ac:dyDescent="0.3">
      <c r="A152" s="44"/>
      <c r="C152" s="44"/>
      <c r="D152" s="44"/>
      <c r="E152" s="44"/>
      <c r="F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T152" s="44"/>
      <c r="U152" s="44"/>
      <c r="V152" s="44"/>
      <c r="Y152" s="44"/>
      <c r="Z152" s="44"/>
      <c r="AA152" s="44"/>
      <c r="AB152" s="44"/>
      <c r="AC152" s="44"/>
      <c r="AD152" s="44"/>
      <c r="AE152" s="44"/>
      <c r="AF152" s="44"/>
      <c r="AG152" s="168"/>
      <c r="AH152" s="44"/>
      <c r="AI152" s="44"/>
      <c r="AJ152" s="44"/>
      <c r="AK152" s="168"/>
      <c r="AL152" s="44"/>
      <c r="AM152" s="44"/>
      <c r="AN152" s="44"/>
    </row>
    <row r="153" spans="1:40" x14ac:dyDescent="0.3">
      <c r="C153" s="44"/>
      <c r="D153" s="44"/>
      <c r="E153" s="44"/>
      <c r="F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T153" s="44"/>
      <c r="U153" s="44"/>
      <c r="V153" s="44"/>
      <c r="Y153" s="44"/>
      <c r="Z153" s="44"/>
      <c r="AA153" s="44"/>
      <c r="AB153" s="44"/>
      <c r="AC153" s="44"/>
      <c r="AD153" s="44"/>
      <c r="AE153" s="44"/>
      <c r="AF153" s="44"/>
      <c r="AG153" s="168"/>
      <c r="AH153" s="44"/>
      <c r="AI153" s="44"/>
      <c r="AJ153" s="44"/>
      <c r="AK153" s="168"/>
      <c r="AL153" s="44"/>
      <c r="AM153" s="44"/>
      <c r="AN153" s="44"/>
    </row>
    <row r="154" spans="1:40" x14ac:dyDescent="0.3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207"/>
      <c r="AH154" s="135"/>
      <c r="AI154" s="135"/>
      <c r="AJ154" s="135"/>
      <c r="AK154" s="207"/>
      <c r="AL154" s="135"/>
      <c r="AM154" s="135"/>
      <c r="AN154" s="135"/>
    </row>
    <row r="155" spans="1:40" x14ac:dyDescent="0.3"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Y155" s="44"/>
      <c r="Z155" s="44"/>
      <c r="AA155" s="44"/>
      <c r="AB155" s="44"/>
      <c r="AC155" s="44"/>
      <c r="AD155" s="44"/>
      <c r="AE155" s="44"/>
      <c r="AF155" s="44"/>
      <c r="AG155" s="168"/>
      <c r="AH155" s="44"/>
      <c r="AI155" s="44"/>
      <c r="AJ155" s="44"/>
      <c r="AK155" s="168"/>
      <c r="AL155" s="44"/>
      <c r="AM155" s="44"/>
      <c r="AN155" s="44"/>
    </row>
    <row r="156" spans="1:40" x14ac:dyDescent="0.3">
      <c r="C156" s="42"/>
      <c r="D156" s="42"/>
      <c r="E156" s="42"/>
      <c r="T156" s="42"/>
      <c r="U156" s="42"/>
    </row>
    <row r="158" spans="1:40" x14ac:dyDescent="0.3">
      <c r="C158" s="42"/>
      <c r="F158" s="184"/>
      <c r="H158" s="222"/>
      <c r="I158" s="222"/>
      <c r="J158" s="193"/>
      <c r="K158" s="193"/>
      <c r="L158" s="123"/>
      <c r="M158" s="123"/>
      <c r="R158" s="123"/>
      <c r="T158" s="42"/>
      <c r="V158" s="123"/>
      <c r="Z158" s="193"/>
      <c r="AA158" s="123"/>
      <c r="AB158" s="123"/>
      <c r="AE158" s="123"/>
      <c r="AF158" s="123"/>
      <c r="AG158" s="233"/>
      <c r="AH158" s="234"/>
      <c r="AI158" s="123"/>
      <c r="AJ158" s="123"/>
      <c r="AL158" s="123"/>
      <c r="AM158" s="235"/>
      <c r="AN158" s="235"/>
    </row>
    <row r="159" spans="1:40" x14ac:dyDescent="0.3">
      <c r="F159" s="184"/>
      <c r="H159" s="222"/>
      <c r="I159" s="222"/>
      <c r="J159" s="222"/>
      <c r="K159" s="222"/>
      <c r="R159" s="123"/>
      <c r="V159" s="123"/>
      <c r="Z159" s="222"/>
    </row>
    <row r="160" spans="1:40" x14ac:dyDescent="0.3">
      <c r="C160" s="42"/>
      <c r="F160" s="184"/>
      <c r="H160" s="184"/>
      <c r="I160" s="184"/>
      <c r="J160" s="227"/>
      <c r="K160" s="227"/>
      <c r="L160" s="123"/>
      <c r="M160" s="123"/>
      <c r="N160" s="160"/>
      <c r="O160" s="160"/>
      <c r="P160" s="184"/>
      <c r="Q160" s="184"/>
      <c r="R160" s="123"/>
      <c r="T160" s="42"/>
      <c r="V160" s="123"/>
      <c r="Y160" s="123"/>
      <c r="Z160" s="212"/>
      <c r="AA160" s="123"/>
      <c r="AB160" s="123"/>
      <c r="AC160" s="160"/>
      <c r="AD160" s="160"/>
      <c r="AE160" s="123"/>
      <c r="AF160" s="123"/>
      <c r="AH160" s="236"/>
      <c r="AI160" s="184"/>
      <c r="AJ160" s="184"/>
      <c r="AL160" s="123"/>
      <c r="AM160" s="160"/>
      <c r="AN160" s="160"/>
    </row>
    <row r="161" spans="3:40" x14ac:dyDescent="0.3">
      <c r="F161" s="210"/>
      <c r="H161" s="210"/>
      <c r="I161" s="210"/>
      <c r="J161" s="213"/>
      <c r="K161" s="213"/>
      <c r="L161" s="210"/>
      <c r="M161" s="210"/>
      <c r="N161" s="210"/>
      <c r="O161" s="210"/>
      <c r="P161" s="210"/>
      <c r="Q161" s="210"/>
      <c r="R161" s="210"/>
      <c r="V161" s="210"/>
      <c r="Y161" s="210"/>
      <c r="Z161" s="213"/>
      <c r="AA161" s="210"/>
      <c r="AB161" s="210"/>
      <c r="AC161" s="210"/>
      <c r="AD161" s="210"/>
      <c r="AE161" s="210"/>
      <c r="AF161" s="210"/>
      <c r="AI161" s="210"/>
      <c r="AJ161" s="210"/>
      <c r="AK161" s="214"/>
      <c r="AL161" s="210"/>
    </row>
    <row r="162" spans="3:40" x14ac:dyDescent="0.3">
      <c r="D162" s="42"/>
      <c r="E162" s="42"/>
      <c r="F162" s="123"/>
      <c r="H162" s="123"/>
      <c r="I162" s="123"/>
      <c r="J162" s="219"/>
      <c r="K162" s="219"/>
      <c r="L162" s="123"/>
      <c r="M162" s="123"/>
      <c r="N162" s="160"/>
      <c r="O162" s="160"/>
      <c r="P162" s="123"/>
      <c r="Q162" s="123"/>
      <c r="R162" s="123"/>
      <c r="U162" s="42"/>
      <c r="V162" s="123"/>
      <c r="Y162" s="123"/>
      <c r="Z162" s="219"/>
      <c r="AA162" s="123"/>
      <c r="AB162" s="123"/>
      <c r="AC162" s="160"/>
      <c r="AD162" s="160"/>
      <c r="AE162" s="123"/>
      <c r="AF162" s="123"/>
      <c r="AH162" s="236"/>
      <c r="AI162" s="123"/>
      <c r="AJ162" s="123"/>
      <c r="AL162" s="123"/>
      <c r="AM162" s="160"/>
      <c r="AN162" s="160"/>
    </row>
    <row r="163" spans="3:40" x14ac:dyDescent="0.3">
      <c r="F163" s="210"/>
      <c r="H163" s="210"/>
      <c r="I163" s="210"/>
      <c r="J163" s="213"/>
      <c r="K163" s="213"/>
      <c r="L163" s="210"/>
      <c r="M163" s="210"/>
      <c r="N163" s="210"/>
      <c r="O163" s="210"/>
      <c r="P163" s="210"/>
      <c r="Q163" s="210"/>
      <c r="R163" s="210"/>
      <c r="V163" s="210"/>
      <c r="Y163" s="210"/>
      <c r="Z163" s="213"/>
      <c r="AA163" s="210"/>
      <c r="AB163" s="210"/>
      <c r="AC163" s="210"/>
      <c r="AD163" s="210"/>
      <c r="AE163" s="210"/>
      <c r="AF163" s="210"/>
      <c r="AI163" s="210"/>
      <c r="AJ163" s="210"/>
      <c r="AK163" s="214"/>
      <c r="AL163" s="210"/>
    </row>
    <row r="164" spans="3:40" x14ac:dyDescent="0.3">
      <c r="R164" s="123"/>
    </row>
    <row r="165" spans="3:40" x14ac:dyDescent="0.3">
      <c r="R165" s="123"/>
    </row>
    <row r="166" spans="3:40" x14ac:dyDescent="0.3">
      <c r="R166" s="123"/>
    </row>
    <row r="167" spans="3:40" x14ac:dyDescent="0.3">
      <c r="C167" s="42"/>
      <c r="D167" s="42"/>
      <c r="E167" s="42"/>
      <c r="H167" s="123"/>
      <c r="I167" s="123"/>
      <c r="J167" s="219"/>
      <c r="K167" s="219"/>
      <c r="L167" s="123"/>
      <c r="M167" s="123"/>
      <c r="N167" s="160"/>
      <c r="O167" s="160"/>
      <c r="P167" s="123"/>
      <c r="Q167" s="123"/>
      <c r="R167" s="123"/>
      <c r="T167" s="42"/>
      <c r="U167" s="42"/>
      <c r="Y167" s="123"/>
      <c r="Z167" s="219"/>
      <c r="AA167" s="123"/>
      <c r="AB167" s="123"/>
      <c r="AC167" s="160"/>
      <c r="AD167" s="160"/>
    </row>
    <row r="168" spans="3:40" x14ac:dyDescent="0.3">
      <c r="H168" s="123"/>
      <c r="I168" s="123"/>
      <c r="J168" s="219"/>
      <c r="K168" s="219"/>
      <c r="L168" s="123"/>
      <c r="M168" s="123"/>
      <c r="N168" s="160"/>
      <c r="O168" s="160"/>
      <c r="P168" s="123"/>
      <c r="Q168" s="123"/>
      <c r="R168" s="123"/>
      <c r="Y168" s="123"/>
      <c r="Z168" s="219"/>
      <c r="AA168" s="123"/>
      <c r="AB168" s="123"/>
      <c r="AC168" s="160"/>
      <c r="AD168" s="160"/>
    </row>
    <row r="169" spans="3:40" x14ac:dyDescent="0.3">
      <c r="C169" s="42"/>
      <c r="F169" s="184"/>
      <c r="H169" s="184"/>
      <c r="I169" s="184"/>
      <c r="J169" s="240"/>
      <c r="K169" s="240"/>
      <c r="L169" s="184"/>
      <c r="M169" s="184"/>
      <c r="N169" s="160"/>
      <c r="O169" s="160"/>
      <c r="P169" s="123"/>
      <c r="Q169" s="123"/>
      <c r="R169" s="123"/>
      <c r="T169" s="42"/>
      <c r="V169" s="123"/>
      <c r="Y169" s="123"/>
      <c r="Z169" s="240"/>
      <c r="AA169" s="123"/>
      <c r="AB169" s="123"/>
      <c r="AC169" s="160"/>
      <c r="AD169" s="160"/>
      <c r="AE169" s="123"/>
      <c r="AF169" s="123"/>
      <c r="AH169" s="236"/>
      <c r="AI169" s="123"/>
      <c r="AJ169" s="123"/>
      <c r="AL169" s="123"/>
      <c r="AM169" s="160"/>
      <c r="AN169" s="160"/>
    </row>
    <row r="170" spans="3:40" x14ac:dyDescent="0.3">
      <c r="F170" s="184"/>
      <c r="H170" s="222"/>
      <c r="I170" s="222"/>
      <c r="J170" s="222"/>
      <c r="K170" s="222"/>
      <c r="R170" s="123"/>
      <c r="V170" s="123"/>
      <c r="Z170" s="222"/>
    </row>
    <row r="171" spans="3:40" x14ac:dyDescent="0.3">
      <c r="C171" s="42"/>
      <c r="F171" s="184"/>
      <c r="H171" s="184"/>
      <c r="I171" s="184"/>
      <c r="J171" s="193"/>
      <c r="K171" s="193"/>
      <c r="L171" s="123"/>
      <c r="M171" s="123"/>
      <c r="N171" s="160"/>
      <c r="O171" s="160"/>
      <c r="P171" s="123"/>
      <c r="Q171" s="123"/>
      <c r="R171" s="123"/>
      <c r="T171" s="42"/>
      <c r="V171" s="123"/>
      <c r="Y171" s="123"/>
      <c r="Z171" s="193"/>
      <c r="AA171" s="123"/>
      <c r="AB171" s="123"/>
      <c r="AC171" s="160"/>
      <c r="AD171" s="160"/>
      <c r="AE171" s="123"/>
      <c r="AF171" s="123"/>
      <c r="AH171" s="236"/>
      <c r="AI171" s="123"/>
      <c r="AJ171" s="123"/>
      <c r="AL171" s="123"/>
      <c r="AM171" s="160"/>
      <c r="AN171" s="160"/>
    </row>
    <row r="172" spans="3:40" x14ac:dyDescent="0.3">
      <c r="F172" s="184"/>
      <c r="H172" s="222"/>
      <c r="I172" s="222"/>
      <c r="J172" s="222"/>
      <c r="K172" s="222"/>
      <c r="R172" s="123"/>
      <c r="V172" s="123"/>
      <c r="Z172" s="222"/>
    </row>
    <row r="173" spans="3:40" x14ac:dyDescent="0.3">
      <c r="C173" s="42"/>
      <c r="F173" s="184"/>
      <c r="H173" s="184"/>
      <c r="I173" s="184"/>
      <c r="J173" s="227"/>
      <c r="K173" s="227"/>
      <c r="L173" s="123"/>
      <c r="M173" s="123"/>
      <c r="N173" s="160"/>
      <c r="O173" s="160"/>
      <c r="P173" s="123"/>
      <c r="Q173" s="123"/>
      <c r="R173" s="123"/>
      <c r="T173" s="42"/>
      <c r="V173" s="123"/>
      <c r="Y173" s="123"/>
      <c r="Z173" s="212"/>
      <c r="AA173" s="123"/>
      <c r="AB173" s="123"/>
      <c r="AC173" s="160"/>
      <c r="AD173" s="160"/>
      <c r="AE173" s="123"/>
      <c r="AF173" s="123"/>
      <c r="AH173" s="236"/>
      <c r="AI173" s="123"/>
      <c r="AJ173" s="123"/>
      <c r="AL173" s="123"/>
      <c r="AM173" s="160"/>
      <c r="AN173" s="160"/>
    </row>
    <row r="174" spans="3:40" x14ac:dyDescent="0.3">
      <c r="F174" s="210"/>
      <c r="H174" s="210"/>
      <c r="I174" s="210"/>
      <c r="J174" s="213"/>
      <c r="K174" s="213"/>
      <c r="L174" s="210"/>
      <c r="M174" s="210"/>
      <c r="N174" s="210"/>
      <c r="O174" s="210"/>
      <c r="P174" s="210"/>
      <c r="Q174" s="210"/>
      <c r="R174" s="210"/>
      <c r="S174" s="123"/>
      <c r="V174" s="210"/>
      <c r="Y174" s="210"/>
      <c r="Z174" s="213"/>
      <c r="AA174" s="210"/>
      <c r="AB174" s="210"/>
      <c r="AC174" s="210"/>
      <c r="AD174" s="210"/>
      <c r="AE174" s="210"/>
      <c r="AF174" s="210"/>
      <c r="AI174" s="210"/>
      <c r="AJ174" s="210"/>
      <c r="AK174" s="214"/>
      <c r="AL174" s="210"/>
    </row>
    <row r="175" spans="3:40" x14ac:dyDescent="0.3">
      <c r="D175" s="42"/>
      <c r="E175" s="42"/>
      <c r="F175" s="123"/>
      <c r="H175" s="123"/>
      <c r="I175" s="123"/>
      <c r="J175" s="219"/>
      <c r="K175" s="219"/>
      <c r="L175" s="123"/>
      <c r="M175" s="123"/>
      <c r="N175" s="160"/>
      <c r="O175" s="160"/>
      <c r="P175" s="184"/>
      <c r="Q175" s="184"/>
      <c r="R175" s="123"/>
      <c r="S175" s="123"/>
      <c r="U175" s="42"/>
      <c r="V175" s="123"/>
      <c r="Y175" s="123"/>
      <c r="Z175" s="219"/>
      <c r="AA175" s="123"/>
      <c r="AB175" s="123"/>
      <c r="AC175" s="160"/>
      <c r="AD175" s="160"/>
      <c r="AE175" s="123"/>
      <c r="AF175" s="123"/>
      <c r="AH175" s="236"/>
      <c r="AI175" s="184"/>
      <c r="AJ175" s="184"/>
      <c r="AL175" s="123"/>
      <c r="AM175" s="160"/>
      <c r="AN175" s="160"/>
    </row>
    <row r="176" spans="3:40" x14ac:dyDescent="0.3">
      <c r="F176" s="210"/>
      <c r="H176" s="210"/>
      <c r="I176" s="210"/>
      <c r="J176" s="213"/>
      <c r="K176" s="213"/>
      <c r="L176" s="210"/>
      <c r="M176" s="210"/>
      <c r="N176" s="210"/>
      <c r="O176" s="210"/>
      <c r="P176" s="210"/>
      <c r="Q176" s="210"/>
      <c r="R176" s="210"/>
      <c r="S176" s="123"/>
      <c r="V176" s="210"/>
      <c r="Y176" s="210"/>
      <c r="Z176" s="213"/>
      <c r="AA176" s="210"/>
      <c r="AB176" s="210"/>
      <c r="AC176" s="210"/>
      <c r="AD176" s="210"/>
      <c r="AE176" s="210"/>
      <c r="AF176" s="210"/>
      <c r="AI176" s="210"/>
      <c r="AJ176" s="210"/>
      <c r="AK176" s="214"/>
      <c r="AL176" s="210"/>
    </row>
    <row r="177" spans="1:40" x14ac:dyDescent="0.3">
      <c r="R177" s="123"/>
    </row>
    <row r="178" spans="1:40" x14ac:dyDescent="0.3">
      <c r="F178" s="123"/>
      <c r="H178" s="123"/>
      <c r="I178" s="123"/>
      <c r="J178" s="219"/>
      <c r="K178" s="219"/>
      <c r="L178" s="123"/>
      <c r="M178" s="123"/>
      <c r="N178" s="123"/>
      <c r="O178" s="123"/>
      <c r="P178" s="123"/>
      <c r="Q178" s="123"/>
      <c r="R178" s="123"/>
      <c r="V178" s="123"/>
      <c r="Y178" s="123"/>
      <c r="Z178" s="219"/>
      <c r="AA178" s="123"/>
      <c r="AB178" s="123"/>
      <c r="AC178" s="123"/>
      <c r="AD178" s="123"/>
    </row>
    <row r="179" spans="1:40" x14ac:dyDescent="0.3">
      <c r="C179" s="42"/>
      <c r="F179" s="123"/>
      <c r="H179" s="123"/>
      <c r="I179" s="123"/>
      <c r="J179" s="219"/>
      <c r="K179" s="219"/>
      <c r="L179" s="123"/>
      <c r="M179" s="123"/>
      <c r="N179" s="123"/>
      <c r="O179" s="123"/>
      <c r="P179" s="123"/>
      <c r="Q179" s="123"/>
      <c r="R179" s="123"/>
      <c r="T179" s="42"/>
      <c r="V179" s="123"/>
      <c r="Y179" s="123"/>
      <c r="Z179" s="219"/>
      <c r="AA179" s="123"/>
      <c r="AB179" s="123"/>
      <c r="AC179" s="123"/>
      <c r="AD179" s="123"/>
    </row>
    <row r="180" spans="1:40" x14ac:dyDescent="0.3">
      <c r="C180" s="42"/>
      <c r="T180" s="42"/>
    </row>
    <row r="181" spans="1:40" x14ac:dyDescent="0.3">
      <c r="A181" s="42"/>
    </row>
    <row r="184" spans="1:40" x14ac:dyDescent="0.3">
      <c r="H184" s="42"/>
      <c r="I184" s="42"/>
      <c r="Y184" s="42"/>
    </row>
    <row r="186" spans="1:40" x14ac:dyDescent="0.3">
      <c r="L186" s="42"/>
      <c r="M186" s="42"/>
      <c r="AA186" s="42"/>
      <c r="AB186" s="42"/>
    </row>
    <row r="187" spans="1:40" x14ac:dyDescent="0.3">
      <c r="R187" s="42"/>
      <c r="AK187" s="206"/>
      <c r="AL187" s="42"/>
    </row>
    <row r="188" spans="1:40" x14ac:dyDescent="0.3">
      <c r="R188" s="42"/>
      <c r="AK188" s="206"/>
      <c r="AL188" s="42"/>
    </row>
    <row r="189" spans="1:40" x14ac:dyDescent="0.3">
      <c r="A189" s="42"/>
      <c r="R189" s="42"/>
      <c r="AK189" s="206"/>
      <c r="AL189" s="42"/>
    </row>
    <row r="190" spans="1:40" x14ac:dyDescent="0.3">
      <c r="L190" s="42"/>
      <c r="M190" s="42"/>
      <c r="AA190" s="42"/>
      <c r="AB190" s="42"/>
    </row>
    <row r="191" spans="1:40" x14ac:dyDescent="0.3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207"/>
      <c r="AH191" s="135"/>
      <c r="AI191" s="135"/>
      <c r="AJ191" s="135"/>
      <c r="AK191" s="207"/>
      <c r="AL191" s="135"/>
      <c r="AM191" s="135"/>
      <c r="AN191" s="135"/>
    </row>
    <row r="192" spans="1:40" x14ac:dyDescent="0.3">
      <c r="L192" s="44"/>
      <c r="M192" s="44"/>
      <c r="N192" s="44"/>
      <c r="O192" s="44"/>
      <c r="R192" s="44"/>
      <c r="AA192" s="44"/>
      <c r="AB192" s="44"/>
      <c r="AC192" s="44"/>
      <c r="AD192" s="44"/>
      <c r="AE192" s="44"/>
      <c r="AF192" s="44"/>
      <c r="AG192" s="168"/>
      <c r="AH192" s="44"/>
      <c r="AK192" s="168"/>
      <c r="AL192" s="44"/>
      <c r="AM192" s="44"/>
      <c r="AN192" s="44"/>
    </row>
    <row r="193" spans="1:40" x14ac:dyDescent="0.3">
      <c r="L193" s="44"/>
      <c r="M193" s="44"/>
      <c r="N193" s="44"/>
      <c r="O193" s="44"/>
      <c r="R193" s="44"/>
      <c r="Z193" s="44"/>
      <c r="AA193" s="44"/>
      <c r="AB193" s="44"/>
      <c r="AC193" s="44"/>
      <c r="AD193" s="44"/>
      <c r="AE193" s="44"/>
      <c r="AF193" s="44"/>
      <c r="AG193" s="168"/>
      <c r="AH193" s="44"/>
      <c r="AK193" s="168"/>
      <c r="AL193" s="44"/>
      <c r="AM193" s="44"/>
      <c r="AN193" s="44"/>
    </row>
    <row r="194" spans="1:40" x14ac:dyDescent="0.3">
      <c r="A194" s="44"/>
      <c r="C194" s="44"/>
      <c r="D194" s="44"/>
      <c r="E194" s="44"/>
      <c r="F194" s="44"/>
      <c r="J194" s="44"/>
      <c r="K194" s="44"/>
      <c r="L194" s="44"/>
      <c r="M194" s="44"/>
      <c r="N194" s="44"/>
      <c r="O194" s="44"/>
      <c r="P194" s="44"/>
      <c r="Q194" s="44"/>
      <c r="R194" s="44"/>
      <c r="T194" s="44"/>
      <c r="U194" s="44"/>
      <c r="V194" s="44"/>
      <c r="Z194" s="44"/>
      <c r="AA194" s="44"/>
      <c r="AB194" s="44"/>
      <c r="AC194" s="44"/>
      <c r="AD194" s="44"/>
      <c r="AE194" s="44"/>
      <c r="AF194" s="44"/>
      <c r="AG194" s="168"/>
      <c r="AH194" s="44"/>
      <c r="AI194" s="44"/>
      <c r="AJ194" s="44"/>
      <c r="AK194" s="168"/>
      <c r="AL194" s="44"/>
      <c r="AM194" s="44"/>
      <c r="AN194" s="44"/>
    </row>
    <row r="195" spans="1:40" x14ac:dyDescent="0.3">
      <c r="A195" s="44"/>
      <c r="C195" s="44"/>
      <c r="D195" s="44"/>
      <c r="E195" s="44"/>
      <c r="F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T195" s="44"/>
      <c r="U195" s="44"/>
      <c r="V195" s="44"/>
      <c r="Y195" s="44"/>
      <c r="Z195" s="44"/>
      <c r="AA195" s="44"/>
      <c r="AB195" s="44"/>
      <c r="AC195" s="44"/>
      <c r="AD195" s="44"/>
      <c r="AE195" s="44"/>
      <c r="AF195" s="44"/>
      <c r="AG195" s="168"/>
      <c r="AH195" s="44"/>
      <c r="AI195" s="44"/>
      <c r="AJ195" s="44"/>
      <c r="AK195" s="168"/>
      <c r="AL195" s="44"/>
      <c r="AM195" s="44"/>
      <c r="AN195" s="44"/>
    </row>
    <row r="196" spans="1:40" x14ac:dyDescent="0.3">
      <c r="C196" s="44"/>
      <c r="D196" s="44"/>
      <c r="E196" s="44"/>
      <c r="F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T196" s="44"/>
      <c r="U196" s="44"/>
      <c r="V196" s="44"/>
      <c r="Y196" s="44"/>
      <c r="Z196" s="44"/>
      <c r="AA196" s="44"/>
      <c r="AB196" s="44"/>
      <c r="AC196" s="44"/>
      <c r="AD196" s="44"/>
      <c r="AE196" s="44"/>
      <c r="AF196" s="44"/>
      <c r="AG196" s="168"/>
      <c r="AH196" s="44"/>
      <c r="AI196" s="44"/>
      <c r="AJ196" s="44"/>
      <c r="AK196" s="168"/>
      <c r="AL196" s="44"/>
      <c r="AM196" s="44"/>
      <c r="AN196" s="44"/>
    </row>
    <row r="197" spans="1:40" x14ac:dyDescent="0.3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207"/>
      <c r="AH197" s="135"/>
      <c r="AI197" s="135"/>
      <c r="AJ197" s="135"/>
      <c r="AK197" s="207"/>
      <c r="AL197" s="135"/>
      <c r="AM197" s="135"/>
      <c r="AN197" s="135"/>
    </row>
    <row r="198" spans="1:40" x14ac:dyDescent="0.3"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Y198" s="44"/>
      <c r="Z198" s="44"/>
      <c r="AA198" s="44"/>
      <c r="AB198" s="44"/>
      <c r="AC198" s="44"/>
      <c r="AD198" s="44"/>
      <c r="AE198" s="44"/>
      <c r="AF198" s="44"/>
      <c r="AG198" s="168"/>
      <c r="AH198" s="44"/>
      <c r="AI198" s="44"/>
      <c r="AJ198" s="44"/>
      <c r="AK198" s="168"/>
      <c r="AL198" s="44"/>
      <c r="AM198" s="44"/>
      <c r="AN198" s="44"/>
    </row>
    <row r="199" spans="1:40" x14ac:dyDescent="0.3">
      <c r="C199" s="42"/>
      <c r="D199" s="42"/>
      <c r="E199" s="42"/>
      <c r="T199" s="42"/>
      <c r="U199" s="42"/>
    </row>
    <row r="200" spans="1:40" x14ac:dyDescent="0.3">
      <c r="D200" s="42"/>
      <c r="E200" s="42"/>
      <c r="U200" s="42"/>
    </row>
    <row r="202" spans="1:40" x14ac:dyDescent="0.3">
      <c r="C202" s="42"/>
      <c r="F202" s="123"/>
      <c r="J202" s="209"/>
      <c r="K202" s="209"/>
      <c r="L202" s="123"/>
      <c r="M202" s="123"/>
      <c r="R202" s="123"/>
      <c r="T202" s="42"/>
      <c r="V202" s="123"/>
      <c r="Z202" s="209"/>
      <c r="AA202" s="123"/>
      <c r="AB202" s="123"/>
      <c r="AL202" s="123"/>
    </row>
    <row r="203" spans="1:40" x14ac:dyDescent="0.3">
      <c r="F203" s="123"/>
      <c r="R203" s="123"/>
      <c r="V203" s="123"/>
      <c r="AL203" s="123"/>
    </row>
    <row r="204" spans="1:40" x14ac:dyDescent="0.3">
      <c r="C204" s="42"/>
      <c r="F204" s="184"/>
      <c r="H204" s="184"/>
      <c r="I204" s="184"/>
      <c r="J204" s="193"/>
      <c r="K204" s="193"/>
      <c r="L204" s="123"/>
      <c r="M204" s="123"/>
      <c r="N204" s="160"/>
      <c r="O204" s="160"/>
      <c r="P204" s="123"/>
      <c r="Q204" s="123"/>
      <c r="R204" s="123"/>
      <c r="T204" s="42"/>
      <c r="V204" s="123"/>
      <c r="Y204" s="123"/>
      <c r="Z204" s="193"/>
      <c r="AA204" s="123"/>
      <c r="AB204" s="123"/>
      <c r="AC204" s="160"/>
      <c r="AD204" s="160"/>
      <c r="AE204" s="123"/>
      <c r="AF204" s="123"/>
      <c r="AH204" s="236"/>
      <c r="AI204" s="123"/>
      <c r="AJ204" s="123"/>
      <c r="AL204" s="123"/>
      <c r="AM204" s="160"/>
      <c r="AN204" s="160"/>
    </row>
    <row r="205" spans="1:40" x14ac:dyDescent="0.3">
      <c r="C205" s="42"/>
      <c r="F205" s="184"/>
      <c r="H205" s="222"/>
      <c r="I205" s="222"/>
      <c r="J205" s="193"/>
      <c r="K205" s="193"/>
      <c r="L205" s="123"/>
      <c r="M205" s="123"/>
      <c r="N205" s="160"/>
      <c r="O205" s="160"/>
      <c r="P205" s="123"/>
      <c r="Q205" s="123"/>
      <c r="R205" s="123"/>
      <c r="T205" s="42"/>
      <c r="V205" s="123"/>
      <c r="Y205" s="123"/>
      <c r="Z205" s="193"/>
      <c r="AA205" s="123"/>
      <c r="AB205" s="123"/>
      <c r="AC205" s="160"/>
      <c r="AD205" s="160"/>
      <c r="AE205" s="123"/>
      <c r="AF205" s="123"/>
      <c r="AH205" s="236"/>
      <c r="AI205" s="123"/>
      <c r="AJ205" s="123"/>
      <c r="AL205" s="123"/>
      <c r="AM205" s="160"/>
      <c r="AN205" s="160"/>
    </row>
    <row r="206" spans="1:40" x14ac:dyDescent="0.3">
      <c r="F206" s="210"/>
      <c r="H206" s="123"/>
      <c r="I206" s="123"/>
      <c r="J206" s="213"/>
      <c r="K206" s="213"/>
      <c r="L206" s="210"/>
      <c r="M206" s="210"/>
      <c r="N206" s="210"/>
      <c r="O206" s="210"/>
      <c r="P206" s="210"/>
      <c r="Q206" s="210"/>
      <c r="R206" s="210"/>
      <c r="V206" s="210"/>
      <c r="Y206" s="123"/>
      <c r="Z206" s="213"/>
      <c r="AA206" s="210"/>
      <c r="AB206" s="210"/>
      <c r="AC206" s="210"/>
      <c r="AD206" s="210"/>
      <c r="AE206" s="210"/>
      <c r="AF206" s="210"/>
      <c r="AI206" s="210"/>
      <c r="AJ206" s="210"/>
      <c r="AK206" s="214"/>
      <c r="AL206" s="210"/>
    </row>
    <row r="207" spans="1:40" x14ac:dyDescent="0.3">
      <c r="C207" s="42"/>
      <c r="F207" s="123"/>
      <c r="H207" s="123"/>
      <c r="I207" s="123"/>
      <c r="J207" s="219"/>
      <c r="K207" s="219"/>
      <c r="L207" s="123"/>
      <c r="M207" s="123"/>
      <c r="N207" s="160"/>
      <c r="O207" s="160"/>
      <c r="P207" s="123"/>
      <c r="Q207" s="123"/>
      <c r="R207" s="123"/>
      <c r="T207" s="42"/>
      <c r="V207" s="123"/>
      <c r="Y207" s="123"/>
      <c r="Z207" s="219"/>
      <c r="AA207" s="123"/>
      <c r="AB207" s="123"/>
      <c r="AC207" s="160"/>
      <c r="AD207" s="160"/>
      <c r="AE207" s="123"/>
      <c r="AF207" s="123"/>
      <c r="AH207" s="236"/>
      <c r="AI207" s="123"/>
      <c r="AJ207" s="123"/>
      <c r="AL207" s="123"/>
      <c r="AM207" s="160"/>
      <c r="AN207" s="160"/>
    </row>
    <row r="208" spans="1:40" x14ac:dyDescent="0.3">
      <c r="F208" s="210"/>
      <c r="H208" s="123"/>
      <c r="I208" s="123"/>
      <c r="J208" s="213"/>
      <c r="K208" s="213"/>
      <c r="L208" s="210"/>
      <c r="M208" s="210"/>
      <c r="N208" s="210"/>
      <c r="O208" s="210"/>
      <c r="P208" s="210"/>
      <c r="Q208" s="210"/>
      <c r="R208" s="210"/>
      <c r="V208" s="210"/>
      <c r="Y208" s="123"/>
      <c r="Z208" s="213"/>
      <c r="AA208" s="210"/>
      <c r="AB208" s="210"/>
      <c r="AC208" s="210"/>
      <c r="AD208" s="210"/>
      <c r="AE208" s="210"/>
      <c r="AF208" s="210"/>
      <c r="AI208" s="210"/>
      <c r="AJ208" s="210"/>
      <c r="AK208" s="214"/>
      <c r="AL208" s="210"/>
    </row>
    <row r="209" spans="1:40" x14ac:dyDescent="0.3">
      <c r="F209" s="123"/>
      <c r="R209" s="123"/>
      <c r="V209" s="123"/>
      <c r="AL209" s="123"/>
    </row>
    <row r="210" spans="1:40" x14ac:dyDescent="0.3">
      <c r="C210" s="42"/>
      <c r="F210" s="123"/>
      <c r="R210" s="123"/>
      <c r="T210" s="42"/>
      <c r="V210" s="123"/>
      <c r="AL210" s="123"/>
    </row>
    <row r="211" spans="1:40" x14ac:dyDescent="0.3">
      <c r="F211" s="123"/>
      <c r="R211" s="123"/>
      <c r="V211" s="123"/>
      <c r="AL211" s="123"/>
    </row>
    <row r="212" spans="1:40" x14ac:dyDescent="0.3">
      <c r="C212" s="42"/>
      <c r="F212" s="123"/>
      <c r="H212" s="184"/>
      <c r="I212" s="184"/>
      <c r="J212" s="227"/>
      <c r="K212" s="227"/>
      <c r="L212" s="123"/>
      <c r="M212" s="123"/>
      <c r="N212" s="160"/>
      <c r="O212" s="160"/>
      <c r="P212" s="184"/>
      <c r="Q212" s="184"/>
      <c r="R212" s="123"/>
      <c r="T212" s="42"/>
      <c r="V212" s="123"/>
      <c r="Y212" s="123"/>
      <c r="Z212" s="212"/>
      <c r="AA212" s="123"/>
      <c r="AB212" s="123"/>
      <c r="AC212" s="160"/>
      <c r="AD212" s="160"/>
      <c r="AE212" s="123"/>
      <c r="AF212" s="123"/>
      <c r="AH212" s="236"/>
      <c r="AI212" s="184"/>
      <c r="AJ212" s="184"/>
      <c r="AL212" s="123"/>
      <c r="AM212" s="160"/>
      <c r="AN212" s="160"/>
    </row>
    <row r="213" spans="1:40" x14ac:dyDescent="0.3">
      <c r="H213" s="210"/>
      <c r="I213" s="210"/>
      <c r="J213" s="213"/>
      <c r="K213" s="213"/>
      <c r="L213" s="210"/>
      <c r="M213" s="210"/>
      <c r="N213" s="210"/>
      <c r="O213" s="210"/>
      <c r="P213" s="210"/>
      <c r="Q213" s="210"/>
      <c r="R213" s="210"/>
      <c r="V213" s="210"/>
      <c r="Y213" s="210"/>
      <c r="Z213" s="213"/>
      <c r="AA213" s="210"/>
      <c r="AB213" s="210"/>
      <c r="AC213" s="210"/>
      <c r="AD213" s="210"/>
      <c r="AE213" s="210"/>
      <c r="AF213" s="210"/>
      <c r="AI213" s="210"/>
      <c r="AJ213" s="210"/>
      <c r="AK213" s="214"/>
      <c r="AL213" s="210"/>
    </row>
    <row r="214" spans="1:40" x14ac:dyDescent="0.3">
      <c r="F214" s="210"/>
    </row>
    <row r="215" spans="1:40" x14ac:dyDescent="0.3">
      <c r="C215" s="42"/>
      <c r="F215" s="123"/>
      <c r="H215" s="123"/>
      <c r="I215" s="123"/>
      <c r="J215" s="209"/>
      <c r="K215" s="209"/>
      <c r="L215" s="123"/>
      <c r="M215" s="123"/>
      <c r="N215" s="160"/>
      <c r="O215" s="160"/>
      <c r="P215" s="123"/>
      <c r="Q215" s="123"/>
      <c r="R215" s="123"/>
      <c r="T215" s="42"/>
      <c r="V215" s="123"/>
      <c r="Y215" s="123"/>
      <c r="Z215" s="209"/>
      <c r="AA215" s="123"/>
      <c r="AB215" s="123"/>
      <c r="AC215" s="160"/>
      <c r="AD215" s="160"/>
      <c r="AE215" s="123"/>
      <c r="AF215" s="123"/>
      <c r="AH215" s="236"/>
      <c r="AI215" s="123"/>
      <c r="AJ215" s="123"/>
      <c r="AL215" s="123"/>
      <c r="AM215" s="160"/>
      <c r="AN215" s="160"/>
    </row>
    <row r="216" spans="1:40" x14ac:dyDescent="0.3">
      <c r="F216" s="210"/>
      <c r="H216" s="210"/>
      <c r="I216" s="210"/>
      <c r="J216" s="213"/>
      <c r="K216" s="213"/>
      <c r="L216" s="210"/>
      <c r="M216" s="210"/>
      <c r="N216" s="210"/>
      <c r="O216" s="210"/>
      <c r="P216" s="210"/>
      <c r="Q216" s="210"/>
      <c r="R216" s="210"/>
      <c r="V216" s="210"/>
      <c r="Y216" s="210"/>
      <c r="Z216" s="213"/>
      <c r="AA216" s="210"/>
      <c r="AB216" s="210"/>
      <c r="AC216" s="210"/>
      <c r="AD216" s="210"/>
      <c r="AE216" s="210"/>
      <c r="AF216" s="210"/>
      <c r="AI216" s="210"/>
      <c r="AJ216" s="210"/>
      <c r="AK216" s="214"/>
      <c r="AL216" s="210"/>
    </row>
    <row r="217" spans="1:40" x14ac:dyDescent="0.3">
      <c r="R217" s="123"/>
      <c r="AH217" s="123"/>
    </row>
    <row r="218" spans="1:40" x14ac:dyDescent="0.3">
      <c r="F218" s="123"/>
      <c r="H218" s="123"/>
      <c r="I218" s="123"/>
      <c r="J218" s="219"/>
      <c r="K218" s="219"/>
      <c r="L218" s="123"/>
      <c r="M218" s="123"/>
      <c r="N218" s="123"/>
      <c r="O218" s="123"/>
      <c r="P218" s="123"/>
      <c r="Q218" s="123"/>
      <c r="R218" s="123"/>
      <c r="V218" s="123"/>
      <c r="Y218" s="123"/>
      <c r="Z218" s="219"/>
      <c r="AA218" s="123"/>
      <c r="AB218" s="123"/>
      <c r="AC218" s="123"/>
      <c r="AD218" s="123"/>
      <c r="AE218" s="123"/>
      <c r="AF218" s="123"/>
      <c r="AH218" s="123"/>
    </row>
    <row r="219" spans="1:40" x14ac:dyDescent="0.3">
      <c r="C219" s="42"/>
      <c r="F219" s="123"/>
      <c r="H219" s="123"/>
      <c r="I219" s="123"/>
      <c r="J219" s="219"/>
      <c r="K219" s="219"/>
      <c r="L219" s="123"/>
      <c r="M219" s="123"/>
      <c r="N219" s="123"/>
      <c r="O219" s="123"/>
      <c r="P219" s="123"/>
      <c r="Q219" s="123"/>
      <c r="R219" s="123"/>
      <c r="T219" s="42"/>
      <c r="V219" s="123"/>
      <c r="Y219" s="123"/>
      <c r="Z219" s="219"/>
      <c r="AA219" s="123"/>
      <c r="AB219" s="123"/>
      <c r="AC219" s="123"/>
      <c r="AD219" s="123"/>
      <c r="AE219" s="123"/>
      <c r="AF219" s="123"/>
      <c r="AH219" s="123"/>
    </row>
    <row r="220" spans="1:40" x14ac:dyDescent="0.3">
      <c r="A220" s="42"/>
    </row>
    <row r="223" spans="1:40" x14ac:dyDescent="0.3">
      <c r="H223" s="42"/>
      <c r="I223" s="42"/>
      <c r="Y223" s="42"/>
    </row>
    <row r="225" spans="1:40" x14ac:dyDescent="0.3">
      <c r="L225" s="42"/>
      <c r="M225" s="42"/>
      <c r="AA225" s="42"/>
      <c r="AB225" s="42"/>
    </row>
    <row r="226" spans="1:40" x14ac:dyDescent="0.3">
      <c r="R226" s="42"/>
      <c r="AK226" s="206"/>
      <c r="AL226" s="42"/>
    </row>
    <row r="227" spans="1:40" x14ac:dyDescent="0.3">
      <c r="R227" s="42"/>
      <c r="AK227" s="206"/>
      <c r="AL227" s="42"/>
    </row>
    <row r="228" spans="1:40" x14ac:dyDescent="0.3">
      <c r="A228" s="42"/>
      <c r="R228" s="42"/>
      <c r="AK228" s="206"/>
      <c r="AL228" s="42"/>
    </row>
    <row r="229" spans="1:40" x14ac:dyDescent="0.3">
      <c r="L229" s="42"/>
      <c r="M229" s="42"/>
      <c r="AA229" s="42"/>
      <c r="AB229" s="42"/>
    </row>
    <row r="230" spans="1:40" x14ac:dyDescent="0.3">
      <c r="A230" s="135"/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207"/>
      <c r="AH230" s="135"/>
      <c r="AI230" s="135"/>
      <c r="AJ230" s="135"/>
      <c r="AK230" s="207"/>
      <c r="AL230" s="135"/>
      <c r="AM230" s="135"/>
      <c r="AN230" s="135"/>
    </row>
    <row r="231" spans="1:40" x14ac:dyDescent="0.3">
      <c r="L231" s="44"/>
      <c r="M231" s="44"/>
      <c r="N231" s="44"/>
      <c r="O231" s="44"/>
      <c r="R231" s="44"/>
      <c r="AA231" s="44"/>
      <c r="AB231" s="44"/>
      <c r="AC231" s="44"/>
      <c r="AD231" s="44"/>
      <c r="AE231" s="44"/>
      <c r="AF231" s="44"/>
      <c r="AG231" s="168"/>
      <c r="AH231" s="44"/>
      <c r="AK231" s="168"/>
      <c r="AL231" s="44"/>
      <c r="AM231" s="44"/>
      <c r="AN231" s="44"/>
    </row>
    <row r="232" spans="1:40" x14ac:dyDescent="0.3">
      <c r="L232" s="44"/>
      <c r="M232" s="44"/>
      <c r="N232" s="44"/>
      <c r="O232" s="44"/>
      <c r="R232" s="44"/>
      <c r="Z232" s="44"/>
      <c r="AA232" s="44"/>
      <c r="AB232" s="44"/>
      <c r="AC232" s="44"/>
      <c r="AD232" s="44"/>
      <c r="AE232" s="44"/>
      <c r="AF232" s="44"/>
      <c r="AG232" s="168"/>
      <c r="AH232" s="44"/>
      <c r="AK232" s="168"/>
      <c r="AL232" s="44"/>
      <c r="AM232" s="44"/>
      <c r="AN232" s="44"/>
    </row>
    <row r="233" spans="1:40" x14ac:dyDescent="0.3">
      <c r="A233" s="44"/>
      <c r="C233" s="44"/>
      <c r="D233" s="44"/>
      <c r="E233" s="44"/>
      <c r="F233" s="44"/>
      <c r="J233" s="44"/>
      <c r="K233" s="44"/>
      <c r="L233" s="44"/>
      <c r="M233" s="44"/>
      <c r="N233" s="44"/>
      <c r="O233" s="44"/>
      <c r="P233" s="44"/>
      <c r="Q233" s="44"/>
      <c r="R233" s="44"/>
      <c r="T233" s="44"/>
      <c r="U233" s="44"/>
      <c r="V233" s="44"/>
      <c r="Z233" s="44"/>
      <c r="AA233" s="44"/>
      <c r="AB233" s="44"/>
      <c r="AC233" s="44"/>
      <c r="AD233" s="44"/>
      <c r="AE233" s="44"/>
      <c r="AF233" s="44"/>
      <c r="AG233" s="168"/>
      <c r="AH233" s="44"/>
      <c r="AI233" s="44"/>
      <c r="AJ233" s="44"/>
      <c r="AK233" s="168"/>
      <c r="AL233" s="44"/>
      <c r="AM233" s="44"/>
      <c r="AN233" s="44"/>
    </row>
    <row r="234" spans="1:40" x14ac:dyDescent="0.3">
      <c r="A234" s="44"/>
      <c r="C234" s="44"/>
      <c r="D234" s="44"/>
      <c r="E234" s="44"/>
      <c r="F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T234" s="44"/>
      <c r="U234" s="44"/>
      <c r="V234" s="44"/>
      <c r="Y234" s="44"/>
      <c r="Z234" s="44"/>
      <c r="AA234" s="44"/>
      <c r="AB234" s="44"/>
      <c r="AC234" s="44"/>
      <c r="AD234" s="44"/>
      <c r="AE234" s="44"/>
      <c r="AF234" s="44"/>
      <c r="AG234" s="168"/>
      <c r="AH234" s="44"/>
      <c r="AI234" s="44"/>
      <c r="AJ234" s="44"/>
      <c r="AK234" s="168"/>
      <c r="AL234" s="44"/>
      <c r="AM234" s="44"/>
      <c r="AN234" s="44"/>
    </row>
    <row r="235" spans="1:40" x14ac:dyDescent="0.3">
      <c r="C235" s="44"/>
      <c r="D235" s="44"/>
      <c r="E235" s="44"/>
      <c r="F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T235" s="44"/>
      <c r="U235" s="44"/>
      <c r="V235" s="44"/>
      <c r="Y235" s="44"/>
      <c r="Z235" s="44"/>
      <c r="AA235" s="44"/>
      <c r="AB235" s="44"/>
      <c r="AC235" s="44"/>
      <c r="AD235" s="44"/>
      <c r="AE235" s="44"/>
      <c r="AF235" s="44"/>
      <c r="AG235" s="168"/>
      <c r="AH235" s="44"/>
      <c r="AI235" s="44"/>
      <c r="AJ235" s="44"/>
      <c r="AK235" s="168"/>
      <c r="AL235" s="44"/>
      <c r="AM235" s="44"/>
      <c r="AN235" s="44"/>
    </row>
    <row r="236" spans="1:40" x14ac:dyDescent="0.3">
      <c r="A236" s="135"/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207"/>
      <c r="AH236" s="135"/>
      <c r="AI236" s="135"/>
      <c r="AJ236" s="135"/>
      <c r="AK236" s="207"/>
      <c r="AL236" s="135"/>
      <c r="AM236" s="135"/>
      <c r="AN236" s="135"/>
    </row>
    <row r="237" spans="1:40" x14ac:dyDescent="0.3"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Y237" s="44"/>
      <c r="Z237" s="44"/>
      <c r="AA237" s="44"/>
      <c r="AB237" s="44"/>
      <c r="AC237" s="44"/>
      <c r="AD237" s="44"/>
      <c r="AE237" s="44"/>
      <c r="AF237" s="44"/>
      <c r="AG237" s="168"/>
      <c r="AH237" s="44"/>
      <c r="AI237" s="44"/>
      <c r="AJ237" s="44"/>
      <c r="AK237" s="168"/>
      <c r="AL237" s="44"/>
      <c r="AM237" s="44"/>
      <c r="AN237" s="44"/>
    </row>
    <row r="238" spans="1:40" x14ac:dyDescent="0.3">
      <c r="C238" s="42"/>
      <c r="D238" s="42"/>
      <c r="E238" s="42"/>
      <c r="T238" s="42"/>
      <c r="U238" s="42"/>
    </row>
    <row r="239" spans="1:40" x14ac:dyDescent="0.3">
      <c r="C239" s="42"/>
      <c r="T239" s="42"/>
    </row>
    <row r="241" spans="3:40" x14ac:dyDescent="0.3">
      <c r="C241" s="42"/>
      <c r="F241" s="184"/>
      <c r="H241" s="184"/>
      <c r="I241" s="184"/>
      <c r="J241" s="193"/>
      <c r="K241" s="193"/>
      <c r="L241" s="123"/>
      <c r="M241" s="123"/>
      <c r="N241" s="160"/>
      <c r="O241" s="160"/>
      <c r="R241" s="123"/>
      <c r="T241" s="42"/>
      <c r="V241" s="123"/>
      <c r="Y241" s="184"/>
      <c r="Z241" s="193"/>
      <c r="AA241" s="123"/>
      <c r="AB241" s="123"/>
      <c r="AC241" s="160"/>
      <c r="AD241" s="160"/>
      <c r="AE241" s="123"/>
      <c r="AF241" s="123"/>
      <c r="AH241" s="236"/>
      <c r="AL241" s="123"/>
      <c r="AM241" s="160"/>
      <c r="AN241" s="160"/>
    </row>
    <row r="242" spans="3:40" x14ac:dyDescent="0.3">
      <c r="F242" s="210"/>
      <c r="H242" s="123"/>
      <c r="I242" s="123"/>
      <c r="J242" s="213"/>
      <c r="K242" s="213"/>
      <c r="L242" s="210"/>
      <c r="M242" s="210"/>
      <c r="N242" s="210"/>
      <c r="O242" s="210"/>
      <c r="P242" s="210"/>
      <c r="Q242" s="210"/>
      <c r="R242" s="210"/>
      <c r="V242" s="210"/>
      <c r="Y242" s="123"/>
      <c r="Z242" s="213"/>
      <c r="AA242" s="210"/>
      <c r="AB242" s="210"/>
      <c r="AC242" s="210"/>
      <c r="AD242" s="210"/>
      <c r="AE242" s="210"/>
      <c r="AF242" s="210"/>
      <c r="AI242" s="210"/>
      <c r="AJ242" s="210"/>
      <c r="AK242" s="214"/>
      <c r="AL242" s="210"/>
      <c r="AM242" s="160"/>
      <c r="AN242" s="160"/>
    </row>
    <row r="243" spans="3:40" x14ac:dyDescent="0.3">
      <c r="C243" s="42"/>
      <c r="F243" s="184"/>
      <c r="H243" s="184"/>
      <c r="I243" s="184"/>
      <c r="J243" s="237"/>
      <c r="K243" s="237"/>
      <c r="L243" s="123"/>
      <c r="M243" s="123"/>
      <c r="N243" s="160"/>
      <c r="O243" s="160"/>
      <c r="P243" s="123"/>
      <c r="Q243" s="123"/>
      <c r="R243" s="123"/>
      <c r="S243" s="123"/>
      <c r="T243" s="42"/>
      <c r="V243" s="184"/>
      <c r="Y243" s="184"/>
      <c r="Z243" s="237"/>
      <c r="AA243" s="123"/>
      <c r="AB243" s="123"/>
      <c r="AC243" s="160"/>
      <c r="AD243" s="160"/>
      <c r="AE243" s="123"/>
      <c r="AF243" s="123"/>
      <c r="AH243" s="160"/>
      <c r="AI243" s="123"/>
      <c r="AJ243" s="123"/>
      <c r="AL243" s="123"/>
      <c r="AM243" s="160"/>
      <c r="AN243" s="160"/>
    </row>
    <row r="244" spans="3:40" x14ac:dyDescent="0.3">
      <c r="C244" s="42"/>
      <c r="F244" s="184"/>
      <c r="H244" s="184"/>
      <c r="I244" s="184"/>
      <c r="J244" s="193"/>
      <c r="K244" s="193"/>
      <c r="L244" s="123"/>
      <c r="M244" s="123"/>
      <c r="N244" s="160"/>
      <c r="O244" s="160"/>
      <c r="P244" s="123"/>
      <c r="Q244" s="123"/>
      <c r="R244" s="123"/>
      <c r="T244" s="42"/>
      <c r="V244" s="184"/>
      <c r="Y244" s="123"/>
      <c r="Z244" s="193"/>
      <c r="AA244" s="123"/>
      <c r="AB244" s="123"/>
      <c r="AC244" s="160"/>
      <c r="AD244" s="160"/>
      <c r="AE244" s="123"/>
      <c r="AF244" s="123"/>
      <c r="AH244" s="236"/>
      <c r="AI244" s="123"/>
      <c r="AJ244" s="123"/>
      <c r="AL244" s="123"/>
      <c r="AM244" s="160"/>
      <c r="AN244" s="160"/>
    </row>
    <row r="245" spans="3:40" x14ac:dyDescent="0.3">
      <c r="C245" s="42"/>
      <c r="F245" s="184"/>
      <c r="H245" s="184"/>
      <c r="I245" s="184"/>
      <c r="J245" s="193"/>
      <c r="K245" s="193"/>
      <c r="L245" s="123"/>
      <c r="M245" s="123"/>
      <c r="N245" s="160"/>
      <c r="O245" s="160"/>
      <c r="P245" s="123"/>
      <c r="Q245" s="123"/>
      <c r="R245" s="123"/>
      <c r="T245" s="42"/>
      <c r="V245" s="184"/>
      <c r="Y245" s="123"/>
      <c r="Z245" s="193"/>
      <c r="AA245" s="123"/>
      <c r="AB245" s="123"/>
      <c r="AC245" s="160"/>
      <c r="AD245" s="160"/>
      <c r="AE245" s="123"/>
      <c r="AF245" s="123"/>
      <c r="AH245" s="236"/>
      <c r="AI245" s="123"/>
      <c r="AJ245" s="123"/>
      <c r="AL245" s="123"/>
      <c r="AM245" s="160"/>
      <c r="AN245" s="160"/>
    </row>
    <row r="246" spans="3:40" x14ac:dyDescent="0.3">
      <c r="F246" s="210"/>
      <c r="H246" s="210"/>
      <c r="I246" s="210"/>
      <c r="J246" s="213"/>
      <c r="K246" s="213"/>
      <c r="L246" s="210"/>
      <c r="M246" s="210"/>
      <c r="N246" s="210"/>
      <c r="O246" s="210"/>
      <c r="P246" s="210"/>
      <c r="Q246" s="210"/>
      <c r="R246" s="210"/>
      <c r="V246" s="210"/>
      <c r="Y246" s="210"/>
      <c r="Z246" s="213"/>
      <c r="AA246" s="210"/>
      <c r="AB246" s="210"/>
      <c r="AC246" s="210"/>
      <c r="AD246" s="210"/>
      <c r="AE246" s="210"/>
      <c r="AF246" s="210"/>
      <c r="AI246" s="210"/>
      <c r="AJ246" s="210"/>
      <c r="AK246" s="214"/>
      <c r="AL246" s="210"/>
      <c r="AM246" s="160"/>
      <c r="AN246" s="160"/>
    </row>
    <row r="247" spans="3:40" x14ac:dyDescent="0.3">
      <c r="C247" s="42"/>
      <c r="F247" s="123"/>
      <c r="H247" s="123"/>
      <c r="I247" s="123"/>
      <c r="J247" s="219"/>
      <c r="K247" s="219"/>
      <c r="L247" s="123"/>
      <c r="M247" s="123"/>
      <c r="N247" s="160"/>
      <c r="O247" s="160"/>
      <c r="P247" s="123"/>
      <c r="Q247" s="123"/>
      <c r="R247" s="123"/>
      <c r="T247" s="42"/>
      <c r="V247" s="123"/>
      <c r="Y247" s="123"/>
      <c r="Z247" s="219"/>
      <c r="AA247" s="123"/>
      <c r="AB247" s="123"/>
      <c r="AC247" s="160"/>
      <c r="AD247" s="160"/>
      <c r="AE247" s="123"/>
      <c r="AF247" s="123"/>
      <c r="AH247" s="236"/>
      <c r="AI247" s="123"/>
      <c r="AJ247" s="123"/>
      <c r="AL247" s="123"/>
      <c r="AM247" s="160"/>
      <c r="AN247" s="160"/>
    </row>
    <row r="248" spans="3:40" x14ac:dyDescent="0.3">
      <c r="F248" s="210"/>
      <c r="H248" s="210"/>
      <c r="I248" s="210"/>
      <c r="J248" s="213"/>
      <c r="K248" s="213"/>
      <c r="L248" s="210"/>
      <c r="M248" s="210"/>
      <c r="N248" s="210"/>
      <c r="O248" s="210"/>
      <c r="P248" s="210"/>
      <c r="Q248" s="210"/>
      <c r="R248" s="210"/>
      <c r="V248" s="210"/>
      <c r="Y248" s="210"/>
      <c r="Z248" s="213"/>
      <c r="AA248" s="210"/>
      <c r="AB248" s="210"/>
      <c r="AC248" s="210"/>
      <c r="AD248" s="210"/>
      <c r="AE248" s="210"/>
      <c r="AF248" s="210"/>
      <c r="AI248" s="210"/>
      <c r="AJ248" s="210"/>
      <c r="AK248" s="214"/>
      <c r="AL248" s="210"/>
      <c r="AM248" s="160"/>
      <c r="AN248" s="160"/>
    </row>
    <row r="249" spans="3:40" x14ac:dyDescent="0.3">
      <c r="C249" s="42"/>
      <c r="F249" s="123"/>
      <c r="H249" s="123"/>
      <c r="I249" s="123"/>
      <c r="J249" s="219"/>
      <c r="K249" s="219"/>
      <c r="L249" s="123"/>
      <c r="M249" s="123"/>
      <c r="N249" s="160"/>
      <c r="O249" s="160"/>
      <c r="P249" s="123"/>
      <c r="Q249" s="123"/>
      <c r="R249" s="123"/>
      <c r="T249" s="42"/>
      <c r="V249" s="123"/>
      <c r="Y249" s="123"/>
      <c r="Z249" s="219"/>
      <c r="AA249" s="123"/>
      <c r="AB249" s="123"/>
      <c r="AC249" s="160"/>
      <c r="AD249" s="160"/>
      <c r="AE249" s="123"/>
      <c r="AF249" s="123"/>
      <c r="AH249" s="236"/>
      <c r="AI249" s="123"/>
      <c r="AJ249" s="123"/>
      <c r="AL249" s="123"/>
      <c r="AM249" s="160"/>
      <c r="AN249" s="160"/>
    </row>
    <row r="250" spans="3:40" x14ac:dyDescent="0.3">
      <c r="C250" s="42"/>
      <c r="F250" s="123"/>
      <c r="H250" s="184"/>
      <c r="I250" s="184"/>
      <c r="J250" s="227"/>
      <c r="K250" s="227"/>
      <c r="L250" s="123"/>
      <c r="M250" s="123"/>
      <c r="N250" s="160"/>
      <c r="O250" s="160"/>
      <c r="P250" s="123"/>
      <c r="Q250" s="123"/>
      <c r="R250" s="123"/>
      <c r="T250" s="42"/>
      <c r="V250" s="123"/>
      <c r="Y250" s="123"/>
      <c r="Z250" s="212"/>
      <c r="AA250" s="123"/>
      <c r="AB250" s="123"/>
      <c r="AC250" s="160"/>
      <c r="AD250" s="160"/>
      <c r="AE250" s="123"/>
      <c r="AF250" s="123"/>
      <c r="AH250" s="236"/>
      <c r="AI250" s="123"/>
      <c r="AJ250" s="123"/>
      <c r="AL250" s="123"/>
      <c r="AM250" s="160"/>
      <c r="AN250" s="160"/>
    </row>
    <row r="251" spans="3:40" x14ac:dyDescent="0.3">
      <c r="H251" s="210"/>
      <c r="I251" s="210"/>
      <c r="J251" s="213"/>
      <c r="K251" s="213"/>
      <c r="L251" s="210"/>
      <c r="M251" s="210"/>
      <c r="N251" s="210"/>
      <c r="O251" s="210"/>
      <c r="P251" s="210"/>
      <c r="Q251" s="210"/>
      <c r="R251" s="210"/>
      <c r="V251" s="210"/>
      <c r="Y251" s="210"/>
      <c r="Z251" s="213"/>
      <c r="AA251" s="210"/>
      <c r="AB251" s="210"/>
      <c r="AC251" s="210"/>
      <c r="AD251" s="210"/>
      <c r="AE251" s="210"/>
      <c r="AF251" s="210"/>
      <c r="AI251" s="210"/>
      <c r="AJ251" s="210"/>
      <c r="AK251" s="214"/>
      <c r="AL251" s="210"/>
      <c r="AM251" s="160"/>
      <c r="AN251" s="160"/>
    </row>
    <row r="252" spans="3:40" x14ac:dyDescent="0.3">
      <c r="F252" s="210"/>
    </row>
    <row r="253" spans="3:40" x14ac:dyDescent="0.3">
      <c r="C253" s="42"/>
      <c r="F253" s="123"/>
      <c r="H253" s="123"/>
      <c r="I253" s="123"/>
      <c r="J253" s="213"/>
      <c r="K253" s="213"/>
      <c r="L253" s="123"/>
      <c r="M253" s="123"/>
      <c r="N253" s="160"/>
      <c r="O253" s="160"/>
      <c r="P253" s="123"/>
      <c r="Q253" s="123"/>
      <c r="R253" s="123"/>
      <c r="S253" s="123"/>
      <c r="T253" s="42"/>
      <c r="V253" s="123"/>
      <c r="Y253" s="123"/>
      <c r="Z253" s="213"/>
      <c r="AA253" s="123"/>
      <c r="AB253" s="123"/>
      <c r="AC253" s="160"/>
      <c r="AD253" s="160"/>
      <c r="AE253" s="123"/>
      <c r="AF253" s="123"/>
      <c r="AH253" s="160"/>
      <c r="AI253" s="123"/>
      <c r="AJ253" s="123"/>
      <c r="AL253" s="123"/>
      <c r="AM253" s="160"/>
      <c r="AN253" s="160"/>
    </row>
    <row r="254" spans="3:40" x14ac:dyDescent="0.3">
      <c r="F254" s="210"/>
      <c r="H254" s="210"/>
      <c r="I254" s="210"/>
      <c r="J254" s="213"/>
      <c r="K254" s="213"/>
      <c r="L254" s="210"/>
      <c r="M254" s="210"/>
      <c r="N254" s="210"/>
      <c r="O254" s="210"/>
      <c r="P254" s="210"/>
      <c r="Q254" s="210"/>
      <c r="R254" s="210"/>
      <c r="S254" s="123"/>
      <c r="V254" s="210"/>
      <c r="Y254" s="210"/>
      <c r="Z254" s="213"/>
      <c r="AA254" s="210"/>
      <c r="AB254" s="210"/>
      <c r="AC254" s="210"/>
      <c r="AD254" s="210"/>
      <c r="AE254" s="210"/>
      <c r="AF254" s="210"/>
      <c r="AI254" s="210"/>
      <c r="AJ254" s="210"/>
      <c r="AK254" s="214"/>
      <c r="AL254" s="210"/>
      <c r="AM254" s="160"/>
      <c r="AN254" s="160"/>
    </row>
    <row r="255" spans="3:40" x14ac:dyDescent="0.3">
      <c r="C255" s="42"/>
      <c r="H255" s="184"/>
      <c r="I255" s="184"/>
      <c r="J255" s="213"/>
      <c r="K255" s="213"/>
      <c r="L255" s="123"/>
      <c r="M255" s="123"/>
      <c r="N255" s="160"/>
      <c r="O255" s="160"/>
      <c r="P255" s="123"/>
      <c r="Q255" s="123"/>
      <c r="R255" s="123"/>
      <c r="S255" s="123"/>
      <c r="T255" s="42"/>
      <c r="V255" s="184"/>
      <c r="Y255" s="184"/>
      <c r="Z255" s="213"/>
      <c r="AA255" s="123"/>
      <c r="AB255" s="123"/>
      <c r="AC255" s="160"/>
      <c r="AD255" s="160"/>
      <c r="AE255" s="123"/>
      <c r="AF255" s="123"/>
      <c r="AI255" s="123"/>
      <c r="AJ255" s="123"/>
      <c r="AL255" s="123"/>
      <c r="AM255" s="160"/>
      <c r="AN255" s="160"/>
    </row>
    <row r="256" spans="3:40" x14ac:dyDescent="0.3">
      <c r="F256" s="184"/>
    </row>
    <row r="257" spans="3:40" x14ac:dyDescent="0.3">
      <c r="C257" s="42"/>
      <c r="F257" s="184"/>
      <c r="H257" s="184"/>
      <c r="I257" s="184"/>
      <c r="J257" s="193"/>
      <c r="K257" s="193"/>
      <c r="L257" s="123"/>
      <c r="M257" s="123"/>
      <c r="N257" s="160"/>
      <c r="O257" s="160"/>
      <c r="R257" s="123"/>
      <c r="T257" s="42"/>
      <c r="V257" s="123"/>
      <c r="Y257" s="184"/>
      <c r="Z257" s="193"/>
      <c r="AA257" s="123"/>
      <c r="AB257" s="123"/>
      <c r="AC257" s="160"/>
      <c r="AD257" s="160"/>
      <c r="AE257" s="123"/>
      <c r="AF257" s="123"/>
      <c r="AH257" s="236"/>
      <c r="AL257" s="123"/>
      <c r="AM257" s="160"/>
      <c r="AN257" s="160"/>
    </row>
    <row r="258" spans="3:40" x14ac:dyDescent="0.3">
      <c r="F258" s="210"/>
      <c r="H258" s="123"/>
      <c r="I258" s="123"/>
      <c r="J258" s="213"/>
      <c r="K258" s="213"/>
      <c r="L258" s="210"/>
      <c r="M258" s="210"/>
      <c r="N258" s="210"/>
      <c r="O258" s="210"/>
      <c r="P258" s="210"/>
      <c r="Q258" s="210"/>
      <c r="R258" s="210"/>
      <c r="V258" s="210"/>
      <c r="Y258" s="123"/>
      <c r="Z258" s="213"/>
      <c r="AA258" s="210"/>
      <c r="AB258" s="210"/>
      <c r="AC258" s="210"/>
      <c r="AD258" s="210"/>
      <c r="AE258" s="210"/>
      <c r="AF258" s="210"/>
      <c r="AI258" s="210"/>
      <c r="AJ258" s="210"/>
      <c r="AK258" s="214"/>
      <c r="AL258" s="210"/>
      <c r="AM258" s="160"/>
      <c r="AN258" s="160"/>
    </row>
    <row r="259" spans="3:40" x14ac:dyDescent="0.3">
      <c r="C259" s="42"/>
      <c r="F259" s="184"/>
      <c r="H259" s="184"/>
      <c r="I259" s="184"/>
      <c r="J259" s="237"/>
      <c r="K259" s="237"/>
      <c r="L259" s="123"/>
      <c r="M259" s="123"/>
      <c r="N259" s="160"/>
      <c r="O259" s="160"/>
      <c r="P259" s="123"/>
      <c r="Q259" s="123"/>
      <c r="R259" s="123"/>
      <c r="S259" s="123"/>
      <c r="T259" s="42"/>
      <c r="V259" s="184"/>
      <c r="Y259" s="184"/>
      <c r="Z259" s="237"/>
      <c r="AA259" s="123"/>
      <c r="AB259" s="123"/>
      <c r="AC259" s="160"/>
      <c r="AD259" s="160"/>
      <c r="AE259" s="123"/>
      <c r="AF259" s="123"/>
      <c r="AH259" s="160"/>
      <c r="AI259" s="123"/>
      <c r="AJ259" s="123"/>
      <c r="AL259" s="123"/>
      <c r="AM259" s="160"/>
      <c r="AN259" s="160"/>
    </row>
    <row r="260" spans="3:40" x14ac:dyDescent="0.3">
      <c r="C260" s="42"/>
      <c r="F260" s="184"/>
      <c r="H260" s="184"/>
      <c r="I260" s="184"/>
      <c r="J260" s="193"/>
      <c r="K260" s="193"/>
      <c r="L260" s="123"/>
      <c r="M260" s="123"/>
      <c r="N260" s="160"/>
      <c r="O260" s="160"/>
      <c r="P260" s="123"/>
      <c r="Q260" s="123"/>
      <c r="R260" s="123"/>
      <c r="T260" s="42"/>
      <c r="V260" s="184"/>
      <c r="Y260" s="123"/>
      <c r="Z260" s="193"/>
      <c r="AA260" s="123"/>
      <c r="AB260" s="123"/>
      <c r="AC260" s="160"/>
      <c r="AD260" s="160"/>
      <c r="AE260" s="123"/>
      <c r="AF260" s="123"/>
      <c r="AH260" s="236"/>
      <c r="AI260" s="123"/>
      <c r="AJ260" s="123"/>
      <c r="AL260" s="123"/>
      <c r="AM260" s="160"/>
      <c r="AN260" s="160"/>
    </row>
    <row r="261" spans="3:40" x14ac:dyDescent="0.3">
      <c r="C261" s="42"/>
      <c r="F261" s="184"/>
      <c r="H261" s="184"/>
      <c r="I261" s="184"/>
      <c r="J261" s="193"/>
      <c r="K261" s="193"/>
      <c r="L261" s="123"/>
      <c r="M261" s="123"/>
      <c r="N261" s="160"/>
      <c r="O261" s="160"/>
      <c r="P261" s="123"/>
      <c r="Q261" s="123"/>
      <c r="R261" s="123"/>
      <c r="T261" s="42"/>
      <c r="V261" s="184"/>
      <c r="Y261" s="123"/>
      <c r="Z261" s="193"/>
      <c r="AA261" s="123"/>
      <c r="AB261" s="123"/>
      <c r="AC261" s="160"/>
      <c r="AD261" s="160"/>
      <c r="AE261" s="123"/>
      <c r="AF261" s="123"/>
      <c r="AH261" s="236"/>
      <c r="AI261" s="123"/>
      <c r="AJ261" s="123"/>
      <c r="AL261" s="123"/>
      <c r="AM261" s="160"/>
      <c r="AN261" s="160"/>
    </row>
    <row r="262" spans="3:40" x14ac:dyDescent="0.3">
      <c r="F262" s="210"/>
      <c r="H262" s="210"/>
      <c r="I262" s="210"/>
      <c r="J262" s="213"/>
      <c r="K262" s="213"/>
      <c r="L262" s="210"/>
      <c r="M262" s="210"/>
      <c r="N262" s="210"/>
      <c r="O262" s="210"/>
      <c r="P262" s="210"/>
      <c r="Q262" s="210"/>
      <c r="R262" s="210"/>
      <c r="V262" s="210"/>
      <c r="Y262" s="210"/>
      <c r="Z262" s="213"/>
      <c r="AA262" s="210"/>
      <c r="AB262" s="210"/>
      <c r="AC262" s="210"/>
      <c r="AD262" s="210"/>
      <c r="AE262" s="210"/>
      <c r="AF262" s="210"/>
      <c r="AI262" s="210"/>
      <c r="AJ262" s="210"/>
      <c r="AK262" s="214"/>
      <c r="AL262" s="210"/>
      <c r="AM262" s="160"/>
      <c r="AN262" s="160"/>
    </row>
    <row r="263" spans="3:40" x14ac:dyDescent="0.3">
      <c r="C263" s="42"/>
      <c r="F263" s="123"/>
      <c r="H263" s="123"/>
      <c r="I263" s="123"/>
      <c r="J263" s="219"/>
      <c r="K263" s="219"/>
      <c r="L263" s="123"/>
      <c r="M263" s="123"/>
      <c r="N263" s="160"/>
      <c r="O263" s="160"/>
      <c r="P263" s="123"/>
      <c r="Q263" s="123"/>
      <c r="R263" s="123"/>
      <c r="T263" s="42"/>
      <c r="V263" s="123"/>
      <c r="Y263" s="123"/>
      <c r="Z263" s="219"/>
      <c r="AA263" s="123"/>
      <c r="AB263" s="123"/>
      <c r="AC263" s="160"/>
      <c r="AD263" s="160"/>
      <c r="AE263" s="123"/>
      <c r="AF263" s="123"/>
      <c r="AH263" s="236"/>
      <c r="AI263" s="123"/>
      <c r="AJ263" s="123"/>
      <c r="AL263" s="123"/>
      <c r="AM263" s="160"/>
      <c r="AN263" s="160"/>
    </row>
    <row r="264" spans="3:40" x14ac:dyDescent="0.3">
      <c r="F264" s="210"/>
      <c r="H264" s="210"/>
      <c r="I264" s="210"/>
      <c r="J264" s="213"/>
      <c r="K264" s="213"/>
      <c r="L264" s="210"/>
      <c r="M264" s="210"/>
      <c r="N264" s="210"/>
      <c r="O264" s="210"/>
      <c r="P264" s="210"/>
      <c r="Q264" s="210"/>
      <c r="R264" s="210"/>
      <c r="V264" s="210"/>
      <c r="Y264" s="210"/>
      <c r="Z264" s="213"/>
      <c r="AA264" s="210"/>
      <c r="AB264" s="210"/>
      <c r="AC264" s="210"/>
      <c r="AD264" s="210"/>
      <c r="AE264" s="210"/>
      <c r="AF264" s="210"/>
      <c r="AI264" s="210"/>
      <c r="AJ264" s="210"/>
      <c r="AK264" s="214"/>
      <c r="AL264" s="210"/>
      <c r="AM264" s="160"/>
      <c r="AN264" s="160"/>
    </row>
    <row r="265" spans="3:40" x14ac:dyDescent="0.3">
      <c r="C265" s="42"/>
      <c r="F265" s="123"/>
      <c r="H265" s="123"/>
      <c r="I265" s="123"/>
      <c r="J265" s="219"/>
      <c r="K265" s="219"/>
      <c r="L265" s="123"/>
      <c r="M265" s="123"/>
      <c r="N265" s="160"/>
      <c r="O265" s="160"/>
      <c r="P265" s="123"/>
      <c r="Q265" s="123"/>
      <c r="R265" s="123"/>
      <c r="T265" s="42"/>
      <c r="V265" s="123"/>
      <c r="Y265" s="123"/>
      <c r="Z265" s="219"/>
      <c r="AA265" s="123"/>
      <c r="AB265" s="123"/>
      <c r="AC265" s="160"/>
      <c r="AD265" s="160"/>
      <c r="AE265" s="123"/>
      <c r="AF265" s="123"/>
      <c r="AH265" s="236"/>
      <c r="AI265" s="123"/>
      <c r="AJ265" s="123"/>
      <c r="AL265" s="123"/>
      <c r="AM265" s="160"/>
      <c r="AN265" s="160"/>
    </row>
    <row r="266" spans="3:40" x14ac:dyDescent="0.3">
      <c r="C266" s="42"/>
      <c r="F266" s="123"/>
      <c r="H266" s="184"/>
      <c r="I266" s="184"/>
      <c r="J266" s="227"/>
      <c r="K266" s="227"/>
      <c r="L266" s="123"/>
      <c r="M266" s="123"/>
      <c r="N266" s="160"/>
      <c r="O266" s="160"/>
      <c r="P266" s="123"/>
      <c r="Q266" s="123"/>
      <c r="R266" s="123"/>
      <c r="T266" s="42"/>
      <c r="V266" s="123"/>
      <c r="Y266" s="123"/>
      <c r="Z266" s="212"/>
      <c r="AA266" s="123"/>
      <c r="AB266" s="123"/>
      <c r="AC266" s="160"/>
      <c r="AD266" s="160"/>
      <c r="AE266" s="123"/>
      <c r="AF266" s="123"/>
      <c r="AH266" s="236"/>
      <c r="AI266" s="123"/>
      <c r="AJ266" s="123"/>
      <c r="AL266" s="123"/>
      <c r="AM266" s="160"/>
      <c r="AN266" s="160"/>
    </row>
    <row r="267" spans="3:40" x14ac:dyDescent="0.3">
      <c r="H267" s="210"/>
      <c r="I267" s="210"/>
      <c r="J267" s="213"/>
      <c r="K267" s="213"/>
      <c r="L267" s="210"/>
      <c r="M267" s="210"/>
      <c r="N267" s="210"/>
      <c r="O267" s="210"/>
      <c r="P267" s="210"/>
      <c r="Q267" s="210"/>
      <c r="R267" s="210"/>
      <c r="V267" s="210"/>
      <c r="Y267" s="210"/>
      <c r="Z267" s="213"/>
      <c r="AA267" s="210"/>
      <c r="AB267" s="210"/>
      <c r="AC267" s="210"/>
      <c r="AD267" s="210"/>
      <c r="AE267" s="210"/>
      <c r="AF267" s="210"/>
      <c r="AI267" s="210"/>
      <c r="AJ267" s="210"/>
      <c r="AK267" s="214"/>
      <c r="AL267" s="210"/>
      <c r="AM267" s="160"/>
      <c r="AN267" s="160"/>
    </row>
    <row r="268" spans="3:40" x14ac:dyDescent="0.3">
      <c r="F268" s="210"/>
    </row>
    <row r="269" spans="3:40" x14ac:dyDescent="0.3">
      <c r="C269" s="42"/>
      <c r="F269" s="123"/>
      <c r="H269" s="123"/>
      <c r="I269" s="123"/>
      <c r="J269" s="213"/>
      <c r="K269" s="213"/>
      <c r="L269" s="123"/>
      <c r="M269" s="123"/>
      <c r="N269" s="160"/>
      <c r="O269" s="160"/>
      <c r="P269" s="123"/>
      <c r="Q269" s="123"/>
      <c r="R269" s="123"/>
      <c r="S269" s="123"/>
      <c r="T269" s="42"/>
      <c r="V269" s="123"/>
      <c r="Y269" s="123"/>
      <c r="Z269" s="213"/>
      <c r="AA269" s="123"/>
      <c r="AB269" s="123"/>
      <c r="AC269" s="160"/>
      <c r="AD269" s="160"/>
      <c r="AE269" s="123"/>
      <c r="AF269" s="123"/>
      <c r="AH269" s="160"/>
      <c r="AI269" s="123"/>
      <c r="AJ269" s="123"/>
      <c r="AL269" s="123"/>
      <c r="AM269" s="160"/>
      <c r="AN269" s="160"/>
    </row>
    <row r="270" spans="3:40" x14ac:dyDescent="0.3">
      <c r="F270" s="210"/>
      <c r="H270" s="210"/>
      <c r="I270" s="210"/>
      <c r="J270" s="213"/>
      <c r="K270" s="213"/>
      <c r="L270" s="210"/>
      <c r="M270" s="210"/>
      <c r="N270" s="210"/>
      <c r="O270" s="210"/>
      <c r="P270" s="210"/>
      <c r="Q270" s="210"/>
      <c r="R270" s="210"/>
      <c r="S270" s="123"/>
      <c r="V270" s="210"/>
      <c r="Y270" s="210"/>
      <c r="Z270" s="213"/>
      <c r="AA270" s="210"/>
      <c r="AB270" s="210"/>
      <c r="AC270" s="210"/>
      <c r="AD270" s="210"/>
      <c r="AE270" s="210"/>
      <c r="AF270" s="210"/>
      <c r="AI270" s="210"/>
      <c r="AJ270" s="210"/>
      <c r="AK270" s="214"/>
      <c r="AL270" s="210"/>
      <c r="AM270" s="160"/>
      <c r="AN270" s="160"/>
    </row>
    <row r="271" spans="3:40" x14ac:dyDescent="0.3">
      <c r="C271" s="42"/>
      <c r="T271" s="42"/>
    </row>
    <row r="272" spans="3:40" x14ac:dyDescent="0.3">
      <c r="C272" s="42"/>
      <c r="F272" s="123"/>
      <c r="H272" s="123"/>
      <c r="I272" s="123"/>
      <c r="L272" s="123"/>
      <c r="M272" s="123"/>
      <c r="N272" s="160"/>
      <c r="O272" s="160"/>
      <c r="P272" s="184"/>
      <c r="Q272" s="184"/>
      <c r="R272" s="123"/>
      <c r="T272" s="42"/>
      <c r="V272" s="123"/>
      <c r="Y272" s="123"/>
      <c r="AA272" s="123"/>
      <c r="AB272" s="123"/>
      <c r="AC272" s="160"/>
      <c r="AD272" s="160"/>
      <c r="AE272" s="123"/>
      <c r="AF272" s="123"/>
      <c r="AH272" s="160"/>
      <c r="AI272" s="184"/>
      <c r="AJ272" s="184"/>
      <c r="AL272" s="123"/>
      <c r="AM272" s="160"/>
      <c r="AN272" s="160"/>
    </row>
    <row r="273" spans="1:40" x14ac:dyDescent="0.3">
      <c r="H273" s="210"/>
      <c r="I273" s="210"/>
      <c r="J273" s="213"/>
      <c r="K273" s="213"/>
      <c r="L273" s="210"/>
      <c r="M273" s="210"/>
      <c r="N273" s="210"/>
      <c r="O273" s="210"/>
      <c r="P273" s="210"/>
      <c r="Q273" s="210"/>
      <c r="R273" s="210"/>
      <c r="V273" s="210"/>
      <c r="Y273" s="210"/>
      <c r="Z273" s="213"/>
      <c r="AA273" s="210"/>
      <c r="AB273" s="210"/>
      <c r="AC273" s="210"/>
      <c r="AD273" s="210"/>
      <c r="AE273" s="210"/>
      <c r="AF273" s="210"/>
      <c r="AI273" s="210"/>
      <c r="AJ273" s="210"/>
      <c r="AK273" s="214"/>
      <c r="AL273" s="210"/>
    </row>
    <row r="274" spans="1:40" x14ac:dyDescent="0.3">
      <c r="F274" s="210"/>
    </row>
    <row r="275" spans="1:40" x14ac:dyDescent="0.3">
      <c r="C275" s="42"/>
      <c r="L275" s="123"/>
      <c r="M275" s="123"/>
      <c r="N275" s="123"/>
      <c r="O275" s="123"/>
      <c r="P275" s="123"/>
      <c r="Q275" s="123"/>
      <c r="R275" s="123"/>
      <c r="S275" s="123"/>
      <c r="T275" s="42"/>
      <c r="AA275" s="123"/>
      <c r="AB275" s="123"/>
      <c r="AC275" s="123"/>
      <c r="AD275" s="123"/>
      <c r="AI275" s="123"/>
      <c r="AJ275" s="123"/>
      <c r="AL275" s="123"/>
    </row>
    <row r="276" spans="1:40" x14ac:dyDescent="0.3">
      <c r="A276" s="42"/>
    </row>
    <row r="278" spans="1:40" x14ac:dyDescent="0.3">
      <c r="H278" s="42"/>
      <c r="I278" s="42"/>
      <c r="Y278" s="42"/>
    </row>
    <row r="280" spans="1:40" x14ac:dyDescent="0.3">
      <c r="L280" s="42"/>
      <c r="M280" s="42"/>
      <c r="AA280" s="42"/>
      <c r="AB280" s="42"/>
    </row>
    <row r="281" spans="1:40" x14ac:dyDescent="0.3">
      <c r="R281" s="42"/>
      <c r="AK281" s="206"/>
      <c r="AL281" s="42"/>
    </row>
    <row r="282" spans="1:40" x14ac:dyDescent="0.3">
      <c r="R282" s="42"/>
      <c r="AK282" s="206"/>
      <c r="AL282" s="42"/>
    </row>
    <row r="283" spans="1:40" x14ac:dyDescent="0.3">
      <c r="A283" s="42"/>
      <c r="R283" s="42"/>
      <c r="AK283" s="206"/>
      <c r="AL283" s="42"/>
    </row>
    <row r="284" spans="1:40" x14ac:dyDescent="0.3">
      <c r="L284" s="42"/>
      <c r="M284" s="42"/>
      <c r="AA284" s="42"/>
      <c r="AB284" s="42"/>
    </row>
    <row r="285" spans="1:40" x14ac:dyDescent="0.3">
      <c r="A285" s="135"/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207"/>
      <c r="AH285" s="135"/>
      <c r="AI285" s="135"/>
      <c r="AJ285" s="135"/>
      <c r="AK285" s="207"/>
      <c r="AL285" s="135"/>
      <c r="AM285" s="135"/>
      <c r="AN285" s="135"/>
    </row>
    <row r="286" spans="1:40" x14ac:dyDescent="0.3">
      <c r="L286" s="44"/>
      <c r="M286" s="44"/>
      <c r="N286" s="44"/>
      <c r="O286" s="44"/>
      <c r="R286" s="44"/>
      <c r="AA286" s="44"/>
      <c r="AB286" s="44"/>
      <c r="AC286" s="44"/>
      <c r="AD286" s="44"/>
      <c r="AE286" s="44"/>
      <c r="AF286" s="44"/>
      <c r="AG286" s="168"/>
      <c r="AH286" s="44"/>
      <c r="AK286" s="168"/>
      <c r="AL286" s="44"/>
      <c r="AM286" s="44"/>
      <c r="AN286" s="44"/>
    </row>
    <row r="287" spans="1:40" x14ac:dyDescent="0.3">
      <c r="L287" s="44"/>
      <c r="M287" s="44"/>
      <c r="N287" s="44"/>
      <c r="O287" s="44"/>
      <c r="R287" s="44"/>
      <c r="Z287" s="44"/>
      <c r="AA287" s="44"/>
      <c r="AB287" s="44"/>
      <c r="AC287" s="44"/>
      <c r="AD287" s="44"/>
      <c r="AE287" s="44"/>
      <c r="AF287" s="44"/>
      <c r="AG287" s="168"/>
      <c r="AH287" s="44"/>
      <c r="AK287" s="168"/>
      <c r="AL287" s="44"/>
      <c r="AM287" s="44"/>
      <c r="AN287" s="44"/>
    </row>
    <row r="288" spans="1:40" x14ac:dyDescent="0.3">
      <c r="A288" s="44"/>
      <c r="C288" s="44"/>
      <c r="D288" s="44"/>
      <c r="E288" s="44"/>
      <c r="F288" s="44"/>
      <c r="J288" s="44"/>
      <c r="K288" s="44"/>
      <c r="L288" s="44"/>
      <c r="M288" s="44"/>
      <c r="N288" s="44"/>
      <c r="O288" s="44"/>
      <c r="P288" s="44"/>
      <c r="Q288" s="44"/>
      <c r="R288" s="44"/>
      <c r="T288" s="44"/>
      <c r="U288" s="44"/>
      <c r="V288" s="44"/>
      <c r="Z288" s="44"/>
      <c r="AA288" s="44"/>
      <c r="AB288" s="44"/>
      <c r="AC288" s="44"/>
      <c r="AD288" s="44"/>
      <c r="AE288" s="44"/>
      <c r="AF288" s="44"/>
      <c r="AG288" s="168"/>
      <c r="AH288" s="44"/>
      <c r="AI288" s="44"/>
      <c r="AJ288" s="44"/>
      <c r="AK288" s="168"/>
      <c r="AL288" s="44"/>
      <c r="AM288" s="44"/>
      <c r="AN288" s="44"/>
    </row>
    <row r="289" spans="1:40" x14ac:dyDescent="0.3">
      <c r="A289" s="44"/>
      <c r="C289" s="44"/>
      <c r="D289" s="44"/>
      <c r="E289" s="44"/>
      <c r="F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T289" s="44"/>
      <c r="U289" s="44"/>
      <c r="V289" s="44"/>
      <c r="Y289" s="44"/>
      <c r="Z289" s="44"/>
      <c r="AA289" s="44"/>
      <c r="AB289" s="44"/>
      <c r="AC289" s="44"/>
      <c r="AD289" s="44"/>
      <c r="AE289" s="44"/>
      <c r="AF289" s="44"/>
      <c r="AG289" s="168"/>
      <c r="AH289" s="44"/>
      <c r="AI289" s="44"/>
      <c r="AJ289" s="44"/>
      <c r="AK289" s="168"/>
      <c r="AL289" s="44"/>
      <c r="AM289" s="44"/>
      <c r="AN289" s="44"/>
    </row>
    <row r="290" spans="1:40" x14ac:dyDescent="0.3">
      <c r="C290" s="44"/>
      <c r="D290" s="44"/>
      <c r="E290" s="44"/>
      <c r="F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T290" s="44"/>
      <c r="U290" s="44"/>
      <c r="V290" s="44"/>
      <c r="Y290" s="44"/>
      <c r="Z290" s="44"/>
      <c r="AA290" s="44"/>
      <c r="AB290" s="44"/>
      <c r="AC290" s="44"/>
      <c r="AD290" s="44"/>
      <c r="AE290" s="44"/>
      <c r="AF290" s="44"/>
      <c r="AG290" s="168"/>
      <c r="AH290" s="44"/>
      <c r="AI290" s="44"/>
      <c r="AJ290" s="44"/>
      <c r="AK290" s="168"/>
      <c r="AL290" s="44"/>
      <c r="AM290" s="44"/>
      <c r="AN290" s="44"/>
    </row>
    <row r="291" spans="1:40" x14ac:dyDescent="0.3">
      <c r="A291" s="135"/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207"/>
      <c r="AH291" s="135"/>
      <c r="AI291" s="135"/>
      <c r="AJ291" s="135"/>
      <c r="AK291" s="207"/>
      <c r="AL291" s="135"/>
      <c r="AM291" s="135"/>
      <c r="AN291" s="135"/>
    </row>
    <row r="292" spans="1:40" x14ac:dyDescent="0.3"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Y292" s="44"/>
      <c r="Z292" s="44"/>
      <c r="AA292" s="44"/>
      <c r="AB292" s="44"/>
      <c r="AC292" s="44"/>
      <c r="AD292" s="44"/>
      <c r="AE292" s="44"/>
      <c r="AF292" s="44"/>
      <c r="AG292" s="168"/>
      <c r="AH292" s="44"/>
      <c r="AI292" s="44"/>
      <c r="AJ292" s="44"/>
      <c r="AK292" s="168"/>
      <c r="AL292" s="44"/>
      <c r="AM292" s="44"/>
      <c r="AN292" s="44"/>
    </row>
    <row r="293" spans="1:40" x14ac:dyDescent="0.3">
      <c r="C293" s="42"/>
      <c r="D293" s="42"/>
      <c r="E293" s="42"/>
      <c r="T293" s="42"/>
      <c r="U293" s="42"/>
    </row>
    <row r="294" spans="1:40" x14ac:dyDescent="0.3">
      <c r="D294" s="42"/>
      <c r="E294" s="42"/>
      <c r="U294" s="42"/>
    </row>
    <row r="296" spans="1:40" x14ac:dyDescent="0.3">
      <c r="C296" s="42"/>
      <c r="T296" s="42"/>
    </row>
    <row r="297" spans="1:40" x14ac:dyDescent="0.3">
      <c r="C297" s="42"/>
      <c r="F297" s="184"/>
      <c r="H297" s="184"/>
      <c r="I297" s="184"/>
      <c r="J297" s="238"/>
      <c r="K297" s="238"/>
      <c r="L297" s="123"/>
      <c r="M297" s="123"/>
      <c r="N297" s="160"/>
      <c r="O297" s="160"/>
      <c r="P297" s="123"/>
      <c r="Q297" s="123"/>
      <c r="R297" s="123"/>
      <c r="T297" s="42"/>
      <c r="V297" s="184"/>
      <c r="W297" s="123"/>
      <c r="X297" s="123"/>
      <c r="Y297" s="184"/>
      <c r="Z297" s="238"/>
      <c r="AA297" s="123"/>
      <c r="AB297" s="123"/>
      <c r="AC297" s="160"/>
      <c r="AD297" s="160"/>
      <c r="AE297" s="123"/>
      <c r="AF297" s="123"/>
      <c r="AH297" s="236"/>
      <c r="AI297" s="123"/>
      <c r="AJ297" s="123"/>
      <c r="AL297" s="123"/>
      <c r="AM297" s="160"/>
      <c r="AN297" s="160"/>
    </row>
    <row r="298" spans="1:40" x14ac:dyDescent="0.3">
      <c r="C298" s="42"/>
      <c r="F298" s="123"/>
      <c r="H298" s="123"/>
      <c r="I298" s="123"/>
      <c r="J298" s="213"/>
      <c r="K298" s="213"/>
      <c r="L298" s="123"/>
      <c r="M298" s="123"/>
      <c r="N298" s="160"/>
      <c r="O298" s="160"/>
      <c r="P298" s="123"/>
      <c r="Q298" s="123"/>
      <c r="R298" s="123"/>
      <c r="T298" s="42"/>
      <c r="V298" s="184"/>
      <c r="W298" s="123"/>
      <c r="X298" s="123"/>
      <c r="Y298" s="184"/>
      <c r="Z298" s="213"/>
      <c r="AA298" s="123"/>
      <c r="AB298" s="123"/>
      <c r="AC298" s="160"/>
      <c r="AD298" s="160"/>
      <c r="AE298" s="123"/>
      <c r="AF298" s="123"/>
      <c r="AH298" s="236"/>
      <c r="AI298" s="123"/>
      <c r="AJ298" s="123"/>
      <c r="AL298" s="123"/>
      <c r="AM298" s="160"/>
      <c r="AN298" s="160"/>
    </row>
    <row r="299" spans="1:40" x14ac:dyDescent="0.3">
      <c r="C299" s="42"/>
      <c r="F299" s="184"/>
      <c r="H299" s="184"/>
      <c r="I299" s="184"/>
      <c r="J299" s="238"/>
      <c r="K299" s="238"/>
      <c r="L299" s="123"/>
      <c r="M299" s="123"/>
      <c r="N299" s="160"/>
      <c r="O299" s="160"/>
      <c r="P299" s="123"/>
      <c r="Q299" s="123"/>
      <c r="R299" s="123"/>
      <c r="T299" s="42"/>
      <c r="V299" s="184"/>
      <c r="W299" s="123"/>
      <c r="X299" s="123"/>
      <c r="Y299" s="184"/>
      <c r="Z299" s="238"/>
      <c r="AA299" s="123"/>
      <c r="AB299" s="123"/>
      <c r="AC299" s="160"/>
      <c r="AD299" s="160"/>
      <c r="AE299" s="123"/>
      <c r="AF299" s="123"/>
      <c r="AH299" s="236"/>
      <c r="AI299" s="123"/>
      <c r="AJ299" s="123"/>
      <c r="AL299" s="123"/>
      <c r="AM299" s="160"/>
      <c r="AN299" s="160"/>
    </row>
    <row r="300" spans="1:40" x14ac:dyDescent="0.3">
      <c r="C300" s="42"/>
      <c r="F300" s="184"/>
      <c r="H300" s="184"/>
      <c r="I300" s="184"/>
      <c r="J300" s="238"/>
      <c r="K300" s="238"/>
      <c r="L300" s="123"/>
      <c r="M300" s="123"/>
      <c r="N300" s="160"/>
      <c r="O300" s="160"/>
      <c r="P300" s="123"/>
      <c r="Q300" s="123"/>
      <c r="R300" s="123"/>
      <c r="T300" s="42"/>
      <c r="V300" s="184"/>
      <c r="W300" s="123"/>
      <c r="X300" s="123"/>
      <c r="Y300" s="184"/>
      <c r="Z300" s="238"/>
      <c r="AA300" s="123"/>
      <c r="AB300" s="123"/>
      <c r="AC300" s="160"/>
      <c r="AD300" s="160"/>
      <c r="AE300" s="123"/>
      <c r="AF300" s="123"/>
      <c r="AH300" s="236"/>
      <c r="AI300" s="123"/>
      <c r="AJ300" s="123"/>
      <c r="AL300" s="123"/>
      <c r="AM300" s="160"/>
      <c r="AN300" s="160"/>
    </row>
    <row r="301" spans="1:40" x14ac:dyDescent="0.3">
      <c r="C301" s="42"/>
      <c r="F301" s="184"/>
      <c r="H301" s="184"/>
      <c r="I301" s="184"/>
      <c r="J301" s="238"/>
      <c r="K301" s="238"/>
      <c r="L301" s="123"/>
      <c r="M301" s="123"/>
      <c r="N301" s="160"/>
      <c r="O301" s="160"/>
      <c r="P301" s="123"/>
      <c r="Q301" s="123"/>
      <c r="R301" s="123"/>
      <c r="T301" s="42"/>
      <c r="V301" s="184"/>
      <c r="W301" s="123"/>
      <c r="X301" s="123"/>
      <c r="Y301" s="184"/>
      <c r="Z301" s="238"/>
      <c r="AA301" s="123"/>
      <c r="AB301" s="123"/>
      <c r="AC301" s="160"/>
      <c r="AD301" s="160"/>
      <c r="AE301" s="123"/>
      <c r="AF301" s="123"/>
      <c r="AH301" s="236"/>
      <c r="AI301" s="123"/>
      <c r="AJ301" s="123"/>
      <c r="AL301" s="123"/>
      <c r="AM301" s="160"/>
      <c r="AN301" s="160"/>
    </row>
    <row r="302" spans="1:40" x14ac:dyDescent="0.3">
      <c r="C302" s="42"/>
      <c r="F302" s="123"/>
      <c r="H302" s="123"/>
      <c r="I302" s="123"/>
      <c r="J302" s="238"/>
      <c r="K302" s="238"/>
      <c r="L302" s="123"/>
      <c r="M302" s="123"/>
      <c r="N302" s="160"/>
      <c r="O302" s="160"/>
      <c r="P302" s="123"/>
      <c r="Q302" s="123"/>
      <c r="R302" s="123"/>
      <c r="T302" s="42"/>
      <c r="V302" s="184"/>
      <c r="W302" s="123"/>
      <c r="X302" s="123"/>
      <c r="Y302" s="184"/>
      <c r="Z302" s="238"/>
      <c r="AA302" s="123"/>
      <c r="AB302" s="123"/>
      <c r="AC302" s="160"/>
      <c r="AD302" s="160"/>
      <c r="AE302" s="123"/>
      <c r="AF302" s="123"/>
      <c r="AH302" s="236"/>
      <c r="AI302" s="123"/>
      <c r="AJ302" s="123"/>
      <c r="AL302" s="123"/>
      <c r="AM302" s="160"/>
      <c r="AN302" s="160"/>
    </row>
    <row r="303" spans="1:40" x14ac:dyDescent="0.3">
      <c r="C303" s="42"/>
      <c r="F303" s="123"/>
      <c r="H303" s="123"/>
      <c r="I303" s="123"/>
      <c r="J303" s="238"/>
      <c r="K303" s="238"/>
      <c r="L303" s="123"/>
      <c r="M303" s="123"/>
      <c r="N303" s="160"/>
      <c r="O303" s="160"/>
      <c r="P303" s="123"/>
      <c r="Q303" s="123"/>
      <c r="R303" s="123"/>
      <c r="T303" s="42"/>
      <c r="V303" s="184"/>
      <c r="W303" s="123"/>
      <c r="X303" s="123"/>
      <c r="Y303" s="184"/>
      <c r="Z303" s="238"/>
      <c r="AA303" s="123"/>
      <c r="AB303" s="123"/>
      <c r="AC303" s="160"/>
      <c r="AD303" s="160"/>
      <c r="AE303" s="123"/>
      <c r="AF303" s="123"/>
      <c r="AH303" s="236"/>
      <c r="AI303" s="123"/>
      <c r="AJ303" s="123"/>
      <c r="AL303" s="123"/>
      <c r="AM303" s="160"/>
      <c r="AN303" s="160"/>
    </row>
    <row r="304" spans="1:40" x14ac:dyDescent="0.3">
      <c r="F304" s="241"/>
      <c r="H304" s="242"/>
      <c r="I304" s="242"/>
      <c r="J304" s="238"/>
      <c r="K304" s="238"/>
      <c r="L304" s="241"/>
      <c r="M304" s="241"/>
      <c r="N304" s="210"/>
      <c r="O304" s="210"/>
      <c r="P304" s="241"/>
      <c r="Q304" s="241"/>
      <c r="R304" s="241"/>
      <c r="V304" s="241"/>
      <c r="W304" s="123"/>
      <c r="X304" s="123"/>
      <c r="Y304" s="241"/>
      <c r="Z304" s="238"/>
      <c r="AA304" s="241"/>
      <c r="AB304" s="241"/>
      <c r="AC304" s="243"/>
      <c r="AD304" s="243"/>
      <c r="AE304" s="241"/>
      <c r="AF304" s="241"/>
      <c r="AH304" s="236"/>
      <c r="AI304" s="241"/>
      <c r="AJ304" s="241"/>
      <c r="AK304" s="207"/>
      <c r="AL304" s="241"/>
      <c r="AM304" s="160"/>
      <c r="AN304" s="160"/>
    </row>
    <row r="305" spans="1:40" x14ac:dyDescent="0.3">
      <c r="C305" s="42"/>
      <c r="F305" s="123"/>
      <c r="H305" s="123"/>
      <c r="I305" s="123"/>
      <c r="J305" s="238"/>
      <c r="K305" s="238"/>
      <c r="L305" s="123"/>
      <c r="M305" s="123"/>
      <c r="N305" s="236"/>
      <c r="O305" s="236"/>
      <c r="P305" s="123"/>
      <c r="Q305" s="123"/>
      <c r="R305" s="123"/>
      <c r="T305" s="44"/>
      <c r="V305" s="123"/>
      <c r="W305" s="123"/>
      <c r="X305" s="123"/>
      <c r="Y305" s="123"/>
      <c r="Z305" s="238"/>
      <c r="AA305" s="123"/>
      <c r="AB305" s="123"/>
      <c r="AC305" s="236"/>
      <c r="AD305" s="236"/>
      <c r="AE305" s="123"/>
      <c r="AF305" s="123"/>
      <c r="AH305" s="236"/>
      <c r="AI305" s="123"/>
      <c r="AJ305" s="123"/>
      <c r="AL305" s="123"/>
      <c r="AM305" s="160"/>
      <c r="AN305" s="160"/>
    </row>
    <row r="306" spans="1:40" x14ac:dyDescent="0.3">
      <c r="F306" s="135"/>
      <c r="H306" s="135"/>
      <c r="I306" s="135"/>
      <c r="L306" s="135"/>
      <c r="M306" s="135"/>
      <c r="N306" s="243"/>
      <c r="O306" s="243"/>
      <c r="P306" s="241"/>
      <c r="Q306" s="241"/>
      <c r="R306" s="241"/>
      <c r="V306" s="241"/>
      <c r="Y306" s="241"/>
      <c r="Z306" s="213"/>
      <c r="AA306" s="241"/>
      <c r="AB306" s="241"/>
      <c r="AC306" s="241"/>
      <c r="AD306" s="241"/>
      <c r="AE306" s="241"/>
      <c r="AF306" s="241"/>
      <c r="AI306" s="241"/>
      <c r="AJ306" s="241"/>
      <c r="AK306" s="207"/>
      <c r="AL306" s="241"/>
      <c r="AM306" s="243"/>
      <c r="AN306" s="243"/>
    </row>
    <row r="311" spans="1:40" x14ac:dyDescent="0.3">
      <c r="N311" s="123"/>
      <c r="O311" s="123"/>
      <c r="P311" s="123"/>
      <c r="Q311" s="123"/>
      <c r="R311" s="123"/>
      <c r="V311" s="123"/>
      <c r="Y311" s="123"/>
      <c r="Z311" s="219"/>
      <c r="AA311" s="123"/>
      <c r="AB311" s="123"/>
      <c r="AC311" s="160"/>
      <c r="AD311" s="160"/>
      <c r="AE311" s="123"/>
      <c r="AF311" s="123"/>
      <c r="AH311" s="236"/>
      <c r="AI311" s="123"/>
      <c r="AJ311" s="123"/>
      <c r="AL311" s="123"/>
      <c r="AM311" s="160"/>
      <c r="AN311" s="160"/>
    </row>
    <row r="312" spans="1:40" x14ac:dyDescent="0.3">
      <c r="C312" s="42"/>
      <c r="D312" s="42"/>
      <c r="E312" s="42"/>
      <c r="J312" s="188"/>
      <c r="K312" s="188"/>
      <c r="T312" s="42"/>
      <c r="U312" s="42"/>
      <c r="Z312" s="188"/>
      <c r="AE312" s="123"/>
      <c r="AF312" s="123"/>
      <c r="AI312" s="123"/>
      <c r="AJ312" s="123"/>
      <c r="AL312" s="123"/>
      <c r="AM312" s="160"/>
      <c r="AN312" s="160"/>
    </row>
    <row r="313" spans="1:40" x14ac:dyDescent="0.3">
      <c r="D313" s="42"/>
      <c r="E313" s="42"/>
      <c r="F313" s="123"/>
      <c r="H313" s="123"/>
      <c r="I313" s="123"/>
      <c r="J313" s="238"/>
      <c r="K313" s="238"/>
      <c r="L313" s="123"/>
      <c r="M313" s="123"/>
      <c r="N313" s="160"/>
      <c r="O313" s="160"/>
      <c r="P313" s="123"/>
      <c r="Q313" s="123"/>
      <c r="R313" s="123"/>
      <c r="U313" s="42"/>
      <c r="V313" s="123"/>
      <c r="Y313" s="123"/>
      <c r="Z313" s="238"/>
      <c r="AA313" s="123"/>
      <c r="AB313" s="123"/>
      <c r="AC313" s="160"/>
      <c r="AD313" s="160"/>
      <c r="AE313" s="123"/>
      <c r="AF313" s="123"/>
      <c r="AH313" s="236"/>
      <c r="AI313" s="123"/>
      <c r="AJ313" s="123"/>
      <c r="AL313" s="123"/>
      <c r="AM313" s="160"/>
      <c r="AN313" s="160"/>
    </row>
    <row r="314" spans="1:40" x14ac:dyDescent="0.3">
      <c r="F314" s="123"/>
      <c r="H314" s="123"/>
      <c r="I314" s="123"/>
      <c r="J314" s="213"/>
      <c r="K314" s="213"/>
      <c r="L314" s="123"/>
      <c r="M314" s="123"/>
      <c r="N314" s="123"/>
      <c r="O314" s="123"/>
      <c r="P314" s="123"/>
      <c r="Q314" s="123"/>
      <c r="R314" s="123"/>
      <c r="V314" s="123"/>
      <c r="Y314" s="123"/>
      <c r="Z314" s="213"/>
      <c r="AA314" s="123"/>
      <c r="AB314" s="123"/>
      <c r="AC314" s="123"/>
      <c r="AD314" s="123"/>
      <c r="AE314" s="123"/>
      <c r="AF314" s="123"/>
      <c r="AH314" s="236"/>
      <c r="AI314" s="184"/>
      <c r="AJ314" s="184"/>
      <c r="AL314" s="123"/>
      <c r="AM314" s="160"/>
      <c r="AN314" s="160"/>
    </row>
    <row r="315" spans="1:40" x14ac:dyDescent="0.3">
      <c r="C315" s="42"/>
      <c r="F315" s="184"/>
      <c r="H315" s="184"/>
      <c r="I315" s="184"/>
      <c r="J315" s="212"/>
      <c r="K315" s="212"/>
      <c r="L315" s="123"/>
      <c r="M315" s="123"/>
      <c r="N315" s="160"/>
      <c r="O315" s="160"/>
      <c r="P315" s="123"/>
      <c r="Q315" s="123"/>
      <c r="R315" s="123"/>
      <c r="T315" s="42"/>
      <c r="V315" s="184"/>
      <c r="Y315" s="184"/>
      <c r="Z315" s="212"/>
      <c r="AA315" s="123"/>
      <c r="AB315" s="123"/>
      <c r="AC315" s="160"/>
      <c r="AD315" s="160"/>
      <c r="AE315" s="123"/>
      <c r="AF315" s="123"/>
      <c r="AH315" s="236"/>
      <c r="AI315" s="123"/>
      <c r="AJ315" s="123"/>
      <c r="AL315" s="123"/>
      <c r="AM315" s="160"/>
      <c r="AN315" s="160"/>
    </row>
    <row r="316" spans="1:40" x14ac:dyDescent="0.3">
      <c r="F316" s="135"/>
      <c r="H316" s="135"/>
      <c r="I316" s="135"/>
      <c r="L316" s="135"/>
      <c r="M316" s="135"/>
      <c r="N316" s="135"/>
      <c r="O316" s="135"/>
      <c r="P316" s="135"/>
      <c r="Q316" s="135"/>
      <c r="R316" s="135"/>
      <c r="V316" s="135"/>
      <c r="Y316" s="135"/>
      <c r="AA316" s="135"/>
      <c r="AB316" s="135"/>
      <c r="AC316" s="135"/>
      <c r="AD316" s="135"/>
      <c r="AE316" s="135"/>
      <c r="AF316" s="135"/>
      <c r="AG316" s="207"/>
      <c r="AH316" s="135"/>
      <c r="AI316" s="135"/>
      <c r="AJ316" s="135"/>
      <c r="AK316" s="207"/>
      <c r="AL316" s="135"/>
      <c r="AM316" s="135"/>
      <c r="AN316" s="135"/>
    </row>
    <row r="317" spans="1:40" x14ac:dyDescent="0.3">
      <c r="C317" s="44"/>
      <c r="F317" s="184"/>
      <c r="H317" s="184"/>
      <c r="I317" s="184"/>
      <c r="J317" s="193"/>
      <c r="K317" s="193"/>
      <c r="L317" s="184"/>
      <c r="M317" s="184"/>
      <c r="N317" s="160"/>
      <c r="O317" s="160"/>
      <c r="P317" s="184"/>
      <c r="Q317" s="184"/>
      <c r="R317" s="184"/>
      <c r="T317" s="44"/>
      <c r="V317" s="123"/>
      <c r="Y317" s="123"/>
      <c r="Z317" s="219"/>
      <c r="AA317" s="123"/>
      <c r="AB317" s="123"/>
      <c r="AC317" s="160"/>
      <c r="AD317" s="160"/>
      <c r="AH317" s="236"/>
      <c r="AI317" s="123"/>
      <c r="AJ317" s="123"/>
      <c r="AL317" s="123"/>
      <c r="AM317" s="160"/>
      <c r="AN317" s="160"/>
    </row>
    <row r="318" spans="1:40" x14ac:dyDescent="0.3">
      <c r="F318" s="241"/>
      <c r="H318" s="241"/>
      <c r="I318" s="241"/>
      <c r="J318" s="213"/>
      <c r="K318" s="213"/>
      <c r="L318" s="241"/>
      <c r="M318" s="241"/>
      <c r="N318" s="241"/>
      <c r="O318" s="241"/>
      <c r="P318" s="241"/>
      <c r="Q318" s="241"/>
      <c r="R318" s="241"/>
      <c r="V318" s="135"/>
      <c r="Y318" s="135"/>
      <c r="AA318" s="135"/>
      <c r="AB318" s="135"/>
      <c r="AC318" s="135"/>
      <c r="AD318" s="135"/>
      <c r="AE318" s="135"/>
      <c r="AF318" s="135"/>
      <c r="AG318" s="207"/>
      <c r="AH318" s="135"/>
      <c r="AI318" s="135"/>
      <c r="AJ318" s="135"/>
      <c r="AK318" s="207"/>
      <c r="AL318" s="135"/>
      <c r="AM318" s="135"/>
      <c r="AN318" s="135"/>
    </row>
    <row r="319" spans="1:40" x14ac:dyDescent="0.3">
      <c r="F319" s="184"/>
      <c r="H319" s="184"/>
      <c r="I319" s="184"/>
      <c r="J319" s="237"/>
      <c r="K319" s="237"/>
      <c r="L319" s="123"/>
      <c r="M319" s="123"/>
      <c r="N319" s="160"/>
      <c r="O319" s="160"/>
      <c r="P319" s="123"/>
      <c r="Q319" s="123"/>
      <c r="R319" s="123"/>
    </row>
    <row r="320" spans="1:40" x14ac:dyDescent="0.3">
      <c r="A320" s="42"/>
      <c r="F320" s="184"/>
      <c r="H320" s="184"/>
      <c r="I320" s="184"/>
      <c r="J320" s="193"/>
      <c r="K320" s="193"/>
      <c r="L320" s="123"/>
      <c r="M320" s="123"/>
      <c r="N320" s="160"/>
      <c r="O320" s="160"/>
      <c r="P320" s="123"/>
      <c r="Q320" s="123"/>
      <c r="R320" s="123"/>
    </row>
    <row r="321" spans="1:40" x14ac:dyDescent="0.3">
      <c r="F321" s="184"/>
      <c r="H321" s="184"/>
      <c r="I321" s="184"/>
      <c r="J321" s="193"/>
      <c r="K321" s="193"/>
      <c r="L321" s="123"/>
      <c r="M321" s="123"/>
      <c r="N321" s="160"/>
      <c r="O321" s="160"/>
      <c r="P321" s="123"/>
      <c r="Q321" s="123"/>
      <c r="R321" s="123"/>
    </row>
    <row r="322" spans="1:40" x14ac:dyDescent="0.3">
      <c r="A322" s="42"/>
    </row>
    <row r="325" spans="1:40" x14ac:dyDescent="0.3">
      <c r="H325" s="42"/>
      <c r="I325" s="42"/>
      <c r="Y325" s="42"/>
    </row>
    <row r="327" spans="1:40" x14ac:dyDescent="0.3">
      <c r="L327" s="42"/>
      <c r="M327" s="42"/>
      <c r="AA327" s="42"/>
      <c r="AB327" s="42"/>
    </row>
    <row r="328" spans="1:40" x14ac:dyDescent="0.3">
      <c r="R328" s="42"/>
      <c r="AK328" s="206"/>
      <c r="AL328" s="42"/>
    </row>
    <row r="329" spans="1:40" x14ac:dyDescent="0.3">
      <c r="R329" s="42"/>
      <c r="AK329" s="206"/>
      <c r="AL329" s="42"/>
    </row>
    <row r="330" spans="1:40" x14ac:dyDescent="0.3">
      <c r="A330" s="42"/>
      <c r="R330" s="42"/>
      <c r="AK330" s="206"/>
      <c r="AL330" s="42"/>
    </row>
    <row r="331" spans="1:40" x14ac:dyDescent="0.3">
      <c r="L331" s="42"/>
      <c r="M331" s="42"/>
      <c r="AA331" s="42"/>
      <c r="AB331" s="42"/>
    </row>
    <row r="332" spans="1:40" x14ac:dyDescent="0.3">
      <c r="A332" s="135"/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207"/>
      <c r="AH332" s="135"/>
      <c r="AI332" s="135"/>
      <c r="AJ332" s="135"/>
      <c r="AK332" s="207"/>
      <c r="AL332" s="135"/>
      <c r="AM332" s="135"/>
      <c r="AN332" s="135"/>
    </row>
    <row r="333" spans="1:40" x14ac:dyDescent="0.3">
      <c r="L333" s="44"/>
      <c r="M333" s="44"/>
      <c r="N333" s="44"/>
      <c r="O333" s="44"/>
      <c r="R333" s="44"/>
      <c r="AA333" s="44"/>
      <c r="AB333" s="44"/>
      <c r="AC333" s="44"/>
      <c r="AD333" s="44"/>
      <c r="AE333" s="44"/>
      <c r="AF333" s="44"/>
      <c r="AG333" s="168"/>
      <c r="AH333" s="44"/>
      <c r="AK333" s="168"/>
      <c r="AL333" s="44"/>
      <c r="AM333" s="44"/>
      <c r="AN333" s="44"/>
    </row>
    <row r="334" spans="1:40" x14ac:dyDescent="0.3">
      <c r="L334" s="44"/>
      <c r="M334" s="44"/>
      <c r="N334" s="44"/>
      <c r="O334" s="44"/>
      <c r="R334" s="44"/>
      <c r="Z334" s="44"/>
      <c r="AA334" s="44"/>
      <c r="AB334" s="44"/>
      <c r="AC334" s="44"/>
      <c r="AD334" s="44"/>
      <c r="AE334" s="44"/>
      <c r="AF334" s="44"/>
      <c r="AG334" s="168"/>
      <c r="AH334" s="44"/>
      <c r="AK334" s="168"/>
      <c r="AL334" s="44"/>
      <c r="AM334" s="44"/>
      <c r="AN334" s="44"/>
    </row>
    <row r="335" spans="1:40" x14ac:dyDescent="0.3">
      <c r="A335" s="44"/>
      <c r="C335" s="44"/>
      <c r="D335" s="44"/>
      <c r="E335" s="44"/>
      <c r="F335" s="44"/>
      <c r="J335" s="44"/>
      <c r="K335" s="44"/>
      <c r="L335" s="44"/>
      <c r="M335" s="44"/>
      <c r="N335" s="44"/>
      <c r="O335" s="44"/>
      <c r="P335" s="44"/>
      <c r="Q335" s="44"/>
      <c r="R335" s="44"/>
      <c r="T335" s="44"/>
      <c r="U335" s="44"/>
      <c r="V335" s="44"/>
      <c r="Z335" s="44"/>
      <c r="AA335" s="44"/>
      <c r="AB335" s="44"/>
      <c r="AC335" s="44"/>
      <c r="AD335" s="44"/>
      <c r="AE335" s="44"/>
      <c r="AF335" s="44"/>
      <c r="AG335" s="168"/>
      <c r="AH335" s="44"/>
      <c r="AI335" s="44"/>
      <c r="AJ335" s="44"/>
      <c r="AK335" s="168"/>
      <c r="AL335" s="44"/>
      <c r="AM335" s="44"/>
      <c r="AN335" s="44"/>
    </row>
    <row r="336" spans="1:40" x14ac:dyDescent="0.3">
      <c r="A336" s="44"/>
      <c r="C336" s="44"/>
      <c r="D336" s="44"/>
      <c r="E336" s="44"/>
      <c r="F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T336" s="44"/>
      <c r="U336" s="44"/>
      <c r="V336" s="44"/>
      <c r="Y336" s="44"/>
      <c r="Z336" s="44"/>
      <c r="AA336" s="44"/>
      <c r="AB336" s="44"/>
      <c r="AC336" s="44"/>
      <c r="AD336" s="44"/>
      <c r="AE336" s="44"/>
      <c r="AF336" s="44"/>
      <c r="AG336" s="168"/>
      <c r="AH336" s="44"/>
      <c r="AI336" s="44"/>
      <c r="AJ336" s="44"/>
      <c r="AK336" s="168"/>
      <c r="AL336" s="44"/>
      <c r="AM336" s="44"/>
      <c r="AN336" s="44"/>
    </row>
    <row r="337" spans="1:40" x14ac:dyDescent="0.3">
      <c r="C337" s="44"/>
      <c r="D337" s="44"/>
      <c r="E337" s="44"/>
      <c r="F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T337" s="44"/>
      <c r="U337" s="44"/>
      <c r="V337" s="44"/>
      <c r="Y337" s="44"/>
      <c r="Z337" s="44"/>
      <c r="AA337" s="44"/>
      <c r="AB337" s="44"/>
      <c r="AC337" s="44"/>
      <c r="AD337" s="44"/>
      <c r="AE337" s="44"/>
      <c r="AF337" s="44"/>
      <c r="AG337" s="168"/>
      <c r="AH337" s="44"/>
      <c r="AI337" s="44"/>
      <c r="AJ337" s="44"/>
      <c r="AK337" s="168"/>
      <c r="AL337" s="44"/>
      <c r="AM337" s="44"/>
      <c r="AN337" s="44"/>
    </row>
    <row r="338" spans="1:40" x14ac:dyDescent="0.3">
      <c r="A338" s="135"/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207"/>
      <c r="AH338" s="135"/>
      <c r="AI338" s="135"/>
      <c r="AJ338" s="135"/>
      <c r="AK338" s="207"/>
      <c r="AL338" s="135"/>
      <c r="AM338" s="135"/>
      <c r="AN338" s="135"/>
    </row>
    <row r="339" spans="1:40" x14ac:dyDescent="0.3"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Y339" s="44"/>
      <c r="Z339" s="44"/>
      <c r="AA339" s="44"/>
      <c r="AB339" s="44"/>
      <c r="AC339" s="44"/>
      <c r="AD339" s="44"/>
      <c r="AE339" s="44"/>
      <c r="AF339" s="44"/>
      <c r="AG339" s="168"/>
      <c r="AH339" s="44"/>
      <c r="AI339" s="44"/>
      <c r="AJ339" s="44"/>
      <c r="AK339" s="168"/>
      <c r="AL339" s="44"/>
      <c r="AM339" s="44"/>
      <c r="AN339" s="44"/>
    </row>
    <row r="340" spans="1:40" x14ac:dyDescent="0.3">
      <c r="C340" s="42"/>
      <c r="D340" s="42"/>
      <c r="E340" s="42"/>
      <c r="T340" s="42"/>
      <c r="U340" s="42"/>
    </row>
    <row r="342" spans="1:40" x14ac:dyDescent="0.3">
      <c r="C342" s="42"/>
      <c r="T342" s="42"/>
    </row>
    <row r="343" spans="1:40" x14ac:dyDescent="0.3">
      <c r="C343" s="42"/>
      <c r="F343" s="184"/>
      <c r="H343" s="184"/>
      <c r="I343" s="184"/>
      <c r="J343" s="213"/>
      <c r="K343" s="213"/>
      <c r="L343" s="123"/>
      <c r="M343" s="123"/>
      <c r="N343" s="160"/>
      <c r="O343" s="160"/>
      <c r="P343" s="123"/>
      <c r="Q343" s="123"/>
      <c r="R343" s="123"/>
      <c r="T343" s="42"/>
      <c r="V343" s="184"/>
      <c r="Y343" s="184"/>
      <c r="Z343" s="213"/>
      <c r="AA343" s="123"/>
      <c r="AB343" s="123"/>
      <c r="AC343" s="160"/>
      <c r="AD343" s="160"/>
      <c r="AE343" s="123"/>
      <c r="AF343" s="123"/>
      <c r="AH343" s="236"/>
      <c r="AI343" s="123"/>
      <c r="AJ343" s="123"/>
      <c r="AL343" s="123"/>
      <c r="AM343" s="160"/>
      <c r="AN343" s="160"/>
    </row>
    <row r="344" spans="1:40" x14ac:dyDescent="0.3">
      <c r="C344" s="42"/>
      <c r="T344" s="42"/>
    </row>
    <row r="345" spans="1:40" x14ac:dyDescent="0.3">
      <c r="C345" s="42"/>
      <c r="F345" s="184"/>
      <c r="H345" s="184"/>
      <c r="I345" s="184"/>
      <c r="J345" s="238"/>
      <c r="K345" s="238"/>
      <c r="L345" s="123"/>
      <c r="M345" s="123"/>
      <c r="N345" s="160"/>
      <c r="O345" s="160"/>
      <c r="P345" s="123"/>
      <c r="Q345" s="123"/>
      <c r="R345" s="123"/>
      <c r="T345" s="42"/>
      <c r="V345" s="123"/>
      <c r="Y345" s="123"/>
      <c r="Z345" s="238"/>
      <c r="AA345" s="123"/>
      <c r="AB345" s="123"/>
      <c r="AC345" s="160"/>
      <c r="AD345" s="160"/>
      <c r="AE345" s="123"/>
      <c r="AF345" s="123"/>
      <c r="AH345" s="236"/>
      <c r="AI345" s="123"/>
      <c r="AJ345" s="123"/>
      <c r="AL345" s="123"/>
      <c r="AM345" s="160"/>
      <c r="AN345" s="160"/>
    </row>
    <row r="346" spans="1:40" x14ac:dyDescent="0.3">
      <c r="C346" s="42"/>
      <c r="F346" s="184"/>
      <c r="H346" s="184"/>
      <c r="I346" s="184"/>
      <c r="J346" s="238"/>
      <c r="K346" s="238"/>
      <c r="L346" s="123"/>
      <c r="M346" s="123"/>
      <c r="N346" s="160"/>
      <c r="O346" s="160"/>
      <c r="P346" s="123"/>
      <c r="Q346" s="123"/>
      <c r="R346" s="123"/>
      <c r="T346" s="42"/>
      <c r="V346" s="123"/>
      <c r="Y346" s="123"/>
      <c r="Z346" s="238"/>
      <c r="AA346" s="123"/>
      <c r="AB346" s="123"/>
      <c r="AC346" s="160"/>
      <c r="AD346" s="160"/>
      <c r="AE346" s="123"/>
      <c r="AF346" s="123"/>
      <c r="AH346" s="236"/>
      <c r="AI346" s="123"/>
      <c r="AJ346" s="123"/>
      <c r="AL346" s="123"/>
      <c r="AM346" s="160"/>
      <c r="AN346" s="160"/>
    </row>
    <row r="347" spans="1:40" x14ac:dyDescent="0.3">
      <c r="C347" s="42"/>
      <c r="F347" s="184"/>
      <c r="H347" s="184"/>
      <c r="I347" s="184"/>
      <c r="J347" s="238"/>
      <c r="K347" s="238"/>
      <c r="L347" s="123"/>
      <c r="M347" s="123"/>
      <c r="N347" s="160"/>
      <c r="O347" s="160"/>
      <c r="P347" s="123"/>
      <c r="Q347" s="123"/>
      <c r="R347" s="123"/>
      <c r="T347" s="42"/>
      <c r="V347" s="123"/>
      <c r="Y347" s="123"/>
      <c r="Z347" s="238"/>
      <c r="AA347" s="123"/>
      <c r="AB347" s="123"/>
      <c r="AC347" s="160"/>
      <c r="AD347" s="160"/>
      <c r="AE347" s="123"/>
      <c r="AF347" s="123"/>
      <c r="AH347" s="236"/>
      <c r="AI347" s="123"/>
      <c r="AJ347" s="123"/>
      <c r="AL347" s="123"/>
      <c r="AM347" s="160"/>
      <c r="AN347" s="160"/>
    </row>
    <row r="348" spans="1:40" x14ac:dyDescent="0.3">
      <c r="C348" s="42"/>
      <c r="F348" s="184"/>
      <c r="H348" s="184"/>
      <c r="I348" s="184"/>
      <c r="J348" s="238"/>
      <c r="K348" s="238"/>
      <c r="L348" s="123"/>
      <c r="M348" s="123"/>
      <c r="N348" s="160"/>
      <c r="O348" s="160"/>
      <c r="P348" s="123"/>
      <c r="Q348" s="123"/>
      <c r="R348" s="123"/>
      <c r="T348" s="42"/>
      <c r="V348" s="123"/>
      <c r="Y348" s="123"/>
      <c r="Z348" s="238"/>
      <c r="AA348" s="123"/>
      <c r="AB348" s="123"/>
      <c r="AC348" s="160"/>
      <c r="AD348" s="160"/>
      <c r="AE348" s="123"/>
      <c r="AF348" s="123"/>
      <c r="AH348" s="236"/>
      <c r="AI348" s="123"/>
      <c r="AJ348" s="123"/>
      <c r="AL348" s="123"/>
      <c r="AM348" s="160"/>
      <c r="AN348" s="160"/>
    </row>
    <row r="349" spans="1:40" x14ac:dyDescent="0.3">
      <c r="C349" s="42"/>
      <c r="J349" s="188"/>
      <c r="K349" s="188"/>
      <c r="T349" s="42"/>
      <c r="Z349" s="188"/>
    </row>
    <row r="350" spans="1:40" x14ac:dyDescent="0.3">
      <c r="C350" s="42"/>
      <c r="F350" s="184"/>
      <c r="H350" s="184"/>
      <c r="I350" s="184"/>
      <c r="J350" s="238"/>
      <c r="K350" s="238"/>
      <c r="L350" s="123"/>
      <c r="M350" s="123"/>
      <c r="N350" s="160"/>
      <c r="O350" s="160"/>
      <c r="P350" s="123"/>
      <c r="Q350" s="123"/>
      <c r="R350" s="123"/>
      <c r="T350" s="42"/>
      <c r="V350" s="123"/>
      <c r="Y350" s="123"/>
      <c r="Z350" s="238"/>
      <c r="AA350" s="123"/>
      <c r="AB350" s="123"/>
      <c r="AC350" s="160"/>
      <c r="AD350" s="160"/>
      <c r="AE350" s="123"/>
      <c r="AF350" s="123"/>
      <c r="AH350" s="236"/>
      <c r="AI350" s="123"/>
      <c r="AJ350" s="123"/>
      <c r="AL350" s="123"/>
      <c r="AM350" s="160"/>
      <c r="AN350" s="160"/>
    </row>
    <row r="351" spans="1:40" x14ac:dyDescent="0.3">
      <c r="C351" s="42"/>
      <c r="F351" s="184"/>
      <c r="H351" s="184"/>
      <c r="I351" s="184"/>
      <c r="J351" s="238"/>
      <c r="K351" s="238"/>
      <c r="L351" s="123"/>
      <c r="M351" s="123"/>
      <c r="N351" s="160"/>
      <c r="O351" s="160"/>
      <c r="P351" s="123"/>
      <c r="Q351" s="123"/>
      <c r="R351" s="123"/>
      <c r="T351" s="42"/>
      <c r="V351" s="123"/>
      <c r="Y351" s="123"/>
      <c r="Z351" s="238"/>
      <c r="AA351" s="123"/>
      <c r="AB351" s="123"/>
      <c r="AC351" s="160"/>
      <c r="AD351" s="160"/>
      <c r="AE351" s="123"/>
      <c r="AF351" s="123"/>
      <c r="AH351" s="236"/>
      <c r="AI351" s="123"/>
      <c r="AJ351" s="123"/>
      <c r="AL351" s="123"/>
      <c r="AM351" s="160"/>
      <c r="AN351" s="160"/>
    </row>
    <row r="352" spans="1:40" x14ac:dyDescent="0.3">
      <c r="C352" s="42"/>
      <c r="F352" s="184"/>
      <c r="H352" s="184"/>
      <c r="I352" s="184"/>
      <c r="J352" s="238"/>
      <c r="K352" s="238"/>
      <c r="L352" s="123"/>
      <c r="M352" s="123"/>
      <c r="N352" s="160"/>
      <c r="O352" s="160"/>
      <c r="P352" s="123"/>
      <c r="Q352" s="123"/>
      <c r="R352" s="123"/>
      <c r="T352" s="42"/>
      <c r="V352" s="123"/>
      <c r="Y352" s="123"/>
      <c r="Z352" s="238"/>
      <c r="AA352" s="123"/>
      <c r="AB352" s="123"/>
      <c r="AC352" s="160"/>
      <c r="AD352" s="160"/>
      <c r="AE352" s="123"/>
      <c r="AF352" s="123"/>
      <c r="AH352" s="236"/>
      <c r="AI352" s="123"/>
      <c r="AJ352" s="123"/>
      <c r="AL352" s="123"/>
      <c r="AM352" s="160"/>
      <c r="AN352" s="160"/>
    </row>
    <row r="353" spans="3:40" x14ac:dyDescent="0.3">
      <c r="C353" s="42"/>
      <c r="J353" s="188"/>
      <c r="K353" s="188"/>
      <c r="T353" s="42"/>
      <c r="Z353" s="188"/>
    </row>
    <row r="354" spans="3:40" x14ac:dyDescent="0.3">
      <c r="C354" s="42"/>
      <c r="F354" s="184"/>
      <c r="H354" s="184"/>
      <c r="I354" s="184"/>
      <c r="J354" s="238"/>
      <c r="K354" s="238"/>
      <c r="L354" s="123"/>
      <c r="M354" s="123"/>
      <c r="N354" s="160"/>
      <c r="O354" s="160"/>
      <c r="P354" s="123"/>
      <c r="Q354" s="123"/>
      <c r="R354" s="123"/>
      <c r="T354" s="42"/>
      <c r="V354" s="123"/>
      <c r="Y354" s="123"/>
      <c r="Z354" s="238"/>
      <c r="AA354" s="123"/>
      <c r="AB354" s="123"/>
      <c r="AC354" s="160"/>
      <c r="AD354" s="160"/>
      <c r="AE354" s="123"/>
      <c r="AF354" s="123"/>
      <c r="AH354" s="236"/>
      <c r="AI354" s="123"/>
      <c r="AJ354" s="123"/>
      <c r="AL354" s="123"/>
      <c r="AM354" s="160"/>
      <c r="AN354" s="160"/>
    </row>
    <row r="355" spans="3:40" x14ac:dyDescent="0.3">
      <c r="C355" s="42"/>
      <c r="F355" s="184"/>
      <c r="H355" s="184"/>
      <c r="I355" s="184"/>
      <c r="J355" s="238"/>
      <c r="K355" s="238"/>
      <c r="L355" s="123"/>
      <c r="M355" s="123"/>
      <c r="N355" s="160"/>
      <c r="O355" s="160"/>
      <c r="P355" s="123"/>
      <c r="Q355" s="123"/>
      <c r="R355" s="123"/>
      <c r="T355" s="42"/>
      <c r="V355" s="123"/>
      <c r="Y355" s="123"/>
      <c r="Z355" s="238"/>
      <c r="AA355" s="123"/>
      <c r="AB355" s="123"/>
      <c r="AC355" s="160"/>
      <c r="AD355" s="160"/>
      <c r="AE355" s="123"/>
      <c r="AF355" s="123"/>
      <c r="AH355" s="236"/>
      <c r="AI355" s="123"/>
      <c r="AJ355" s="123"/>
      <c r="AL355" s="123"/>
      <c r="AM355" s="160"/>
      <c r="AN355" s="160"/>
    </row>
    <row r="356" spans="3:40" x14ac:dyDescent="0.3">
      <c r="C356" s="42"/>
      <c r="J356" s="188"/>
      <c r="K356" s="188"/>
      <c r="T356" s="42"/>
      <c r="Z356" s="188"/>
    </row>
    <row r="357" spans="3:40" x14ac:dyDescent="0.3">
      <c r="C357" s="42"/>
      <c r="F357" s="184"/>
      <c r="H357" s="184"/>
      <c r="I357" s="184"/>
      <c r="J357" s="238"/>
      <c r="K357" s="238"/>
      <c r="L357" s="123"/>
      <c r="M357" s="123"/>
      <c r="N357" s="160"/>
      <c r="O357" s="160"/>
      <c r="P357" s="123"/>
      <c r="Q357" s="123"/>
      <c r="R357" s="123"/>
      <c r="T357" s="42"/>
      <c r="V357" s="123"/>
      <c r="Y357" s="123"/>
      <c r="Z357" s="238"/>
      <c r="AA357" s="123"/>
      <c r="AB357" s="123"/>
      <c r="AC357" s="160"/>
      <c r="AD357" s="160"/>
      <c r="AE357" s="123"/>
      <c r="AF357" s="123"/>
      <c r="AH357" s="236"/>
      <c r="AI357" s="123"/>
      <c r="AJ357" s="123"/>
      <c r="AL357" s="123"/>
      <c r="AM357" s="160"/>
      <c r="AN357" s="160"/>
    </row>
    <row r="358" spans="3:40" x14ac:dyDescent="0.3">
      <c r="C358" s="42"/>
      <c r="F358" s="184"/>
      <c r="H358" s="184"/>
      <c r="I358" s="184"/>
      <c r="J358" s="238"/>
      <c r="K358" s="238"/>
      <c r="L358" s="123"/>
      <c r="M358" s="123"/>
      <c r="N358" s="160"/>
      <c r="O358" s="160"/>
      <c r="P358" s="123"/>
      <c r="Q358" s="123"/>
      <c r="R358" s="123"/>
      <c r="T358" s="42"/>
      <c r="V358" s="123"/>
      <c r="Y358" s="123"/>
      <c r="Z358" s="238"/>
      <c r="AA358" s="123"/>
      <c r="AB358" s="123"/>
      <c r="AC358" s="160"/>
      <c r="AD358" s="160"/>
      <c r="AE358" s="123"/>
      <c r="AF358" s="123"/>
      <c r="AH358" s="236"/>
      <c r="AI358" s="123"/>
      <c r="AJ358" s="123"/>
      <c r="AL358" s="123"/>
      <c r="AM358" s="160"/>
      <c r="AN358" s="160"/>
    </row>
    <row r="359" spans="3:40" x14ac:dyDescent="0.3">
      <c r="C359" s="42"/>
      <c r="F359" s="184"/>
      <c r="H359" s="184"/>
      <c r="I359" s="184"/>
      <c r="J359" s="238"/>
      <c r="K359" s="238"/>
      <c r="L359" s="123"/>
      <c r="M359" s="123"/>
      <c r="N359" s="160"/>
      <c r="O359" s="160"/>
      <c r="P359" s="123"/>
      <c r="Q359" s="123"/>
      <c r="R359" s="123"/>
      <c r="T359" s="42"/>
      <c r="V359" s="123"/>
      <c r="Y359" s="123"/>
      <c r="Z359" s="238"/>
      <c r="AA359" s="123"/>
      <c r="AB359" s="123"/>
      <c r="AC359" s="160"/>
      <c r="AD359" s="160"/>
      <c r="AE359" s="123"/>
      <c r="AF359" s="123"/>
      <c r="AH359" s="236"/>
      <c r="AI359" s="123"/>
      <c r="AJ359" s="123"/>
      <c r="AL359" s="123"/>
      <c r="AM359" s="160"/>
      <c r="AN359" s="160"/>
    </row>
    <row r="360" spans="3:40" x14ac:dyDescent="0.3">
      <c r="F360" s="210"/>
      <c r="H360" s="210"/>
      <c r="I360" s="210"/>
      <c r="J360" s="238"/>
      <c r="K360" s="238"/>
      <c r="L360" s="210"/>
      <c r="M360" s="210"/>
      <c r="N360" s="210"/>
      <c r="O360" s="210"/>
      <c r="P360" s="210"/>
      <c r="Q360" s="210"/>
      <c r="R360" s="210"/>
      <c r="V360" s="210"/>
      <c r="Y360" s="210"/>
      <c r="Z360" s="238"/>
      <c r="AA360" s="210"/>
      <c r="AB360" s="210"/>
      <c r="AC360" s="210"/>
      <c r="AD360" s="210"/>
      <c r="AE360" s="210"/>
      <c r="AF360" s="210"/>
      <c r="AI360" s="210"/>
      <c r="AJ360" s="210"/>
      <c r="AK360" s="214"/>
      <c r="AL360" s="210"/>
    </row>
    <row r="361" spans="3:40" x14ac:dyDescent="0.3">
      <c r="C361" s="44"/>
      <c r="F361" s="123"/>
      <c r="H361" s="123"/>
      <c r="I361" s="123"/>
      <c r="J361" s="188"/>
      <c r="K361" s="188"/>
      <c r="L361" s="123"/>
      <c r="M361" s="123"/>
      <c r="N361" s="236"/>
      <c r="O361" s="236"/>
      <c r="P361" s="123"/>
      <c r="Q361" s="123"/>
      <c r="R361" s="123"/>
      <c r="T361" s="44"/>
      <c r="V361" s="123"/>
      <c r="Y361" s="123"/>
      <c r="Z361" s="188"/>
      <c r="AA361" s="123"/>
      <c r="AB361" s="123"/>
      <c r="AC361" s="123"/>
      <c r="AD361" s="123"/>
      <c r="AE361" s="123"/>
      <c r="AF361" s="123"/>
      <c r="AH361" s="236"/>
      <c r="AI361" s="123"/>
      <c r="AJ361" s="123"/>
      <c r="AL361" s="123"/>
      <c r="AM361" s="160"/>
      <c r="AN361" s="160"/>
    </row>
    <row r="362" spans="3:40" x14ac:dyDescent="0.3">
      <c r="F362" s="210"/>
      <c r="H362" s="210"/>
      <c r="I362" s="210"/>
      <c r="J362" s="238"/>
      <c r="K362" s="238"/>
      <c r="L362" s="210"/>
      <c r="M362" s="210"/>
      <c r="N362" s="210"/>
      <c r="O362" s="210"/>
      <c r="P362" s="210"/>
      <c r="Q362" s="210"/>
      <c r="R362" s="210"/>
      <c r="V362" s="210"/>
      <c r="Y362" s="210"/>
      <c r="Z362" s="238"/>
      <c r="AA362" s="210"/>
      <c r="AB362" s="210"/>
      <c r="AC362" s="210"/>
      <c r="AD362" s="210"/>
      <c r="AE362" s="210"/>
      <c r="AF362" s="210"/>
      <c r="AI362" s="210"/>
      <c r="AJ362" s="210"/>
      <c r="AK362" s="214"/>
      <c r="AL362" s="210"/>
    </row>
    <row r="363" spans="3:40" x14ac:dyDescent="0.3">
      <c r="C363" s="42"/>
      <c r="J363" s="188"/>
      <c r="K363" s="188"/>
      <c r="T363" s="42"/>
      <c r="Z363" s="188"/>
    </row>
    <row r="364" spans="3:40" x14ac:dyDescent="0.3">
      <c r="C364" s="42"/>
      <c r="J364" s="188"/>
      <c r="K364" s="188"/>
      <c r="T364" s="42"/>
      <c r="Z364" s="188"/>
    </row>
    <row r="365" spans="3:40" x14ac:dyDescent="0.3">
      <c r="C365" s="42"/>
      <c r="F365" s="184"/>
      <c r="H365" s="184"/>
      <c r="I365" s="184"/>
      <c r="J365" s="238"/>
      <c r="K365" s="238"/>
      <c r="L365" s="123"/>
      <c r="M365" s="123"/>
      <c r="N365" s="160"/>
      <c r="O365" s="160"/>
      <c r="P365" s="123"/>
      <c r="Q365" s="123"/>
      <c r="R365" s="123"/>
      <c r="T365" s="42"/>
      <c r="V365" s="123"/>
      <c r="Y365" s="123"/>
      <c r="Z365" s="238"/>
      <c r="AA365" s="123"/>
      <c r="AB365" s="123"/>
      <c r="AC365" s="160"/>
      <c r="AD365" s="160"/>
      <c r="AE365" s="123"/>
      <c r="AF365" s="123"/>
      <c r="AH365" s="236"/>
      <c r="AI365" s="123"/>
      <c r="AJ365" s="123"/>
      <c r="AL365" s="123"/>
      <c r="AM365" s="160"/>
      <c r="AN365" s="160"/>
    </row>
    <row r="366" spans="3:40" x14ac:dyDescent="0.3">
      <c r="C366" s="42"/>
      <c r="F366" s="184"/>
      <c r="H366" s="184"/>
      <c r="I366" s="184"/>
      <c r="J366" s="238"/>
      <c r="K366" s="238"/>
      <c r="L366" s="123"/>
      <c r="M366" s="123"/>
      <c r="N366" s="160"/>
      <c r="O366" s="160"/>
      <c r="P366" s="123"/>
      <c r="Q366" s="123"/>
      <c r="R366" s="123"/>
      <c r="T366" s="42"/>
      <c r="V366" s="123"/>
      <c r="Y366" s="123"/>
      <c r="Z366" s="238"/>
      <c r="AA366" s="123"/>
      <c r="AB366" s="123"/>
      <c r="AC366" s="160"/>
      <c r="AD366" s="160"/>
      <c r="AE366" s="123"/>
      <c r="AF366" s="123"/>
      <c r="AH366" s="236"/>
      <c r="AI366" s="123"/>
      <c r="AJ366" s="123"/>
      <c r="AL366" s="123"/>
      <c r="AM366" s="160"/>
      <c r="AN366" s="160"/>
    </row>
    <row r="367" spans="3:40" x14ac:dyDescent="0.3">
      <c r="C367" s="42"/>
      <c r="F367" s="184"/>
      <c r="H367" s="184"/>
      <c r="I367" s="184"/>
      <c r="J367" s="238"/>
      <c r="K367" s="238"/>
      <c r="L367" s="123"/>
      <c r="M367" s="123"/>
      <c r="N367" s="160"/>
      <c r="O367" s="160"/>
      <c r="P367" s="123"/>
      <c r="Q367" s="123"/>
      <c r="R367" s="123"/>
      <c r="T367" s="42"/>
      <c r="V367" s="123"/>
      <c r="Y367" s="123"/>
      <c r="Z367" s="238"/>
      <c r="AA367" s="123"/>
      <c r="AB367" s="123"/>
      <c r="AC367" s="160"/>
      <c r="AD367" s="160"/>
      <c r="AE367" s="123"/>
      <c r="AF367" s="123"/>
      <c r="AH367" s="236"/>
      <c r="AI367" s="123"/>
      <c r="AJ367" s="123"/>
      <c r="AL367" s="123"/>
      <c r="AM367" s="160"/>
      <c r="AN367" s="160"/>
    </row>
    <row r="368" spans="3:40" x14ac:dyDescent="0.3">
      <c r="C368" s="42"/>
      <c r="F368" s="184"/>
      <c r="H368" s="184"/>
      <c r="I368" s="184"/>
      <c r="J368" s="238"/>
      <c r="K368" s="238"/>
      <c r="L368" s="123"/>
      <c r="M368" s="123"/>
      <c r="N368" s="160"/>
      <c r="O368" s="160"/>
      <c r="P368" s="123"/>
      <c r="Q368" s="123"/>
      <c r="R368" s="123"/>
      <c r="T368" s="42"/>
      <c r="V368" s="123"/>
      <c r="Y368" s="123"/>
      <c r="Z368" s="238"/>
      <c r="AA368" s="123"/>
      <c r="AB368" s="123"/>
      <c r="AC368" s="160"/>
      <c r="AD368" s="160"/>
      <c r="AE368" s="123"/>
      <c r="AF368" s="123"/>
      <c r="AH368" s="236"/>
      <c r="AI368" s="123"/>
      <c r="AJ368" s="123"/>
      <c r="AL368" s="123"/>
      <c r="AM368" s="160"/>
      <c r="AN368" s="160"/>
    </row>
    <row r="369" spans="3:40" x14ac:dyDescent="0.3">
      <c r="C369" s="42"/>
      <c r="F369" s="184"/>
      <c r="H369" s="184"/>
      <c r="I369" s="184"/>
      <c r="J369" s="238"/>
      <c r="K369" s="238"/>
      <c r="L369" s="123"/>
      <c r="M369" s="123"/>
      <c r="N369" s="160"/>
      <c r="O369" s="160"/>
      <c r="P369" s="123"/>
      <c r="Q369" s="123"/>
      <c r="R369" s="123"/>
      <c r="T369" s="42"/>
      <c r="V369" s="123"/>
      <c r="Y369" s="123"/>
      <c r="Z369" s="238"/>
      <c r="AA369" s="123"/>
      <c r="AB369" s="123"/>
      <c r="AC369" s="160"/>
      <c r="AD369" s="160"/>
      <c r="AE369" s="123"/>
      <c r="AF369" s="123"/>
      <c r="AH369" s="236"/>
      <c r="AI369" s="123"/>
      <c r="AJ369" s="123"/>
      <c r="AL369" s="123"/>
      <c r="AM369" s="160"/>
      <c r="AN369" s="160"/>
    </row>
    <row r="370" spans="3:40" x14ac:dyDescent="0.3">
      <c r="C370" s="42"/>
      <c r="F370" s="184"/>
      <c r="H370" s="184"/>
      <c r="I370" s="184"/>
      <c r="J370" s="238"/>
      <c r="K370" s="238"/>
      <c r="L370" s="123"/>
      <c r="M370" s="123"/>
      <c r="N370" s="160"/>
      <c r="O370" s="160"/>
      <c r="P370" s="123"/>
      <c r="Q370" s="123"/>
      <c r="R370" s="123"/>
      <c r="T370" s="42"/>
      <c r="V370" s="123"/>
      <c r="Y370" s="123"/>
      <c r="Z370" s="238"/>
      <c r="AA370" s="123"/>
      <c r="AB370" s="123"/>
      <c r="AC370" s="160"/>
      <c r="AD370" s="160"/>
      <c r="AE370" s="123"/>
      <c r="AF370" s="123"/>
      <c r="AH370" s="236"/>
      <c r="AI370" s="123"/>
      <c r="AJ370" s="123"/>
      <c r="AL370" s="123"/>
      <c r="AM370" s="160"/>
      <c r="AN370" s="160"/>
    </row>
    <row r="371" spans="3:40" x14ac:dyDescent="0.3">
      <c r="C371" s="42"/>
      <c r="F371" s="184"/>
      <c r="H371" s="184"/>
      <c r="I371" s="184"/>
      <c r="J371" s="238"/>
      <c r="K371" s="238"/>
      <c r="L371" s="123"/>
      <c r="M371" s="123"/>
      <c r="N371" s="160"/>
      <c r="O371" s="160"/>
      <c r="P371" s="123"/>
      <c r="Q371" s="123"/>
      <c r="R371" s="123"/>
      <c r="T371" s="42"/>
      <c r="V371" s="123"/>
      <c r="Y371" s="123"/>
      <c r="Z371" s="238"/>
      <c r="AA371" s="123"/>
      <c r="AB371" s="123"/>
      <c r="AC371" s="160"/>
      <c r="AD371" s="160"/>
      <c r="AE371" s="123"/>
      <c r="AF371" s="123"/>
      <c r="AH371" s="236"/>
      <c r="AI371" s="123"/>
      <c r="AJ371" s="123"/>
      <c r="AL371" s="123"/>
      <c r="AM371" s="160"/>
      <c r="AN371" s="160"/>
    </row>
    <row r="372" spans="3:40" x14ac:dyDescent="0.3">
      <c r="C372" s="42"/>
      <c r="J372" s="188"/>
      <c r="K372" s="188"/>
      <c r="T372" s="42"/>
      <c r="Z372" s="188"/>
    </row>
    <row r="373" spans="3:40" x14ac:dyDescent="0.3">
      <c r="C373" s="42"/>
      <c r="F373" s="184"/>
      <c r="H373" s="184"/>
      <c r="I373" s="184"/>
      <c r="J373" s="238"/>
      <c r="K373" s="238"/>
      <c r="L373" s="123"/>
      <c r="M373" s="123"/>
      <c r="N373" s="160"/>
      <c r="O373" s="160"/>
      <c r="P373" s="123"/>
      <c r="Q373" s="123"/>
      <c r="R373" s="123"/>
      <c r="T373" s="42"/>
      <c r="V373" s="123"/>
      <c r="Y373" s="123"/>
      <c r="Z373" s="238"/>
      <c r="AA373" s="123"/>
      <c r="AB373" s="123"/>
      <c r="AC373" s="160"/>
      <c r="AD373" s="160"/>
      <c r="AE373" s="123"/>
      <c r="AF373" s="123"/>
      <c r="AH373" s="236"/>
      <c r="AI373" s="123"/>
      <c r="AJ373" s="123"/>
      <c r="AL373" s="123"/>
      <c r="AM373" s="160"/>
      <c r="AN373" s="160"/>
    </row>
    <row r="374" spans="3:40" x14ac:dyDescent="0.3">
      <c r="C374" s="42"/>
      <c r="F374" s="184"/>
      <c r="H374" s="184"/>
      <c r="I374" s="184"/>
      <c r="J374" s="238"/>
      <c r="K374" s="238"/>
      <c r="L374" s="123"/>
      <c r="M374" s="123"/>
      <c r="N374" s="160"/>
      <c r="O374" s="160"/>
      <c r="P374" s="123"/>
      <c r="Q374" s="123"/>
      <c r="R374" s="123"/>
      <c r="T374" s="42"/>
      <c r="V374" s="123"/>
      <c r="Y374" s="123"/>
      <c r="Z374" s="238"/>
      <c r="AA374" s="123"/>
      <c r="AB374" s="123"/>
      <c r="AC374" s="160"/>
      <c r="AD374" s="160"/>
      <c r="AE374" s="123"/>
      <c r="AF374" s="123"/>
      <c r="AH374" s="236"/>
      <c r="AI374" s="123"/>
      <c r="AJ374" s="123"/>
      <c r="AL374" s="123"/>
      <c r="AM374" s="160"/>
      <c r="AN374" s="160"/>
    </row>
    <row r="375" spans="3:40" x14ac:dyDescent="0.3">
      <c r="C375" s="42"/>
      <c r="F375" s="184"/>
      <c r="H375" s="184"/>
      <c r="I375" s="184"/>
      <c r="J375" s="238"/>
      <c r="K375" s="238"/>
      <c r="L375" s="123"/>
      <c r="M375" s="123"/>
      <c r="N375" s="160"/>
      <c r="O375" s="160"/>
      <c r="P375" s="123"/>
      <c r="Q375" s="123"/>
      <c r="R375" s="123"/>
      <c r="T375" s="42"/>
      <c r="V375" s="123"/>
      <c r="Y375" s="123"/>
      <c r="Z375" s="238"/>
      <c r="AA375" s="123"/>
      <c r="AB375" s="123"/>
      <c r="AC375" s="160"/>
      <c r="AD375" s="160"/>
      <c r="AE375" s="123"/>
      <c r="AF375" s="123"/>
      <c r="AH375" s="236"/>
      <c r="AI375" s="123"/>
      <c r="AJ375" s="123"/>
      <c r="AL375" s="123"/>
      <c r="AM375" s="160"/>
      <c r="AN375" s="160"/>
    </row>
    <row r="376" spans="3:40" x14ac:dyDescent="0.3">
      <c r="C376" s="42"/>
      <c r="F376" s="184"/>
      <c r="H376" s="184"/>
      <c r="I376" s="184"/>
      <c r="J376" s="238"/>
      <c r="K376" s="238"/>
      <c r="L376" s="123"/>
      <c r="M376" s="123"/>
      <c r="N376" s="160"/>
      <c r="O376" s="160"/>
      <c r="P376" s="123"/>
      <c r="Q376" s="123"/>
      <c r="R376" s="123"/>
      <c r="T376" s="42"/>
      <c r="V376" s="123"/>
      <c r="Y376" s="123"/>
      <c r="Z376" s="238"/>
      <c r="AA376" s="123"/>
      <c r="AB376" s="123"/>
      <c r="AC376" s="160"/>
      <c r="AD376" s="160"/>
      <c r="AE376" s="123"/>
      <c r="AF376" s="123"/>
      <c r="AH376" s="236"/>
      <c r="AI376" s="123"/>
      <c r="AJ376" s="123"/>
      <c r="AL376" s="123"/>
      <c r="AM376" s="160"/>
      <c r="AN376" s="160"/>
    </row>
    <row r="377" spans="3:40" x14ac:dyDescent="0.3">
      <c r="C377" s="42"/>
      <c r="J377" s="188"/>
      <c r="K377" s="188"/>
      <c r="T377" s="42"/>
      <c r="Z377" s="188"/>
    </row>
    <row r="378" spans="3:40" x14ac:dyDescent="0.3">
      <c r="C378" s="42"/>
      <c r="F378" s="184"/>
      <c r="H378" s="184"/>
      <c r="I378" s="184"/>
      <c r="J378" s="238"/>
      <c r="K378" s="238"/>
      <c r="L378" s="123"/>
      <c r="M378" s="123"/>
      <c r="N378" s="160"/>
      <c r="O378" s="160"/>
      <c r="P378" s="123"/>
      <c r="Q378" s="123"/>
      <c r="R378" s="123"/>
      <c r="T378" s="42"/>
      <c r="V378" s="123"/>
      <c r="Y378" s="123"/>
      <c r="Z378" s="238"/>
      <c r="AA378" s="123"/>
      <c r="AB378" s="123"/>
      <c r="AC378" s="160"/>
      <c r="AD378" s="160"/>
      <c r="AE378" s="123"/>
      <c r="AF378" s="123"/>
      <c r="AH378" s="236"/>
      <c r="AI378" s="123"/>
      <c r="AJ378" s="123"/>
      <c r="AL378" s="123"/>
      <c r="AM378" s="160"/>
      <c r="AN378" s="160"/>
    </row>
    <row r="379" spans="3:40" x14ac:dyDescent="0.3">
      <c r="C379" s="42"/>
      <c r="F379" s="184"/>
      <c r="H379" s="184"/>
      <c r="I379" s="184"/>
      <c r="J379" s="238"/>
      <c r="K379" s="238"/>
      <c r="L379" s="123"/>
      <c r="M379" s="123"/>
      <c r="N379" s="160"/>
      <c r="O379" s="160"/>
      <c r="P379" s="123"/>
      <c r="Q379" s="123"/>
      <c r="R379" s="123"/>
      <c r="T379" s="42"/>
      <c r="V379" s="123"/>
      <c r="Y379" s="123"/>
      <c r="Z379" s="238"/>
      <c r="AA379" s="123"/>
      <c r="AB379" s="123"/>
      <c r="AC379" s="160"/>
      <c r="AD379" s="160"/>
      <c r="AE379" s="123"/>
      <c r="AF379" s="123"/>
      <c r="AH379" s="236"/>
      <c r="AI379" s="123"/>
      <c r="AJ379" s="123"/>
      <c r="AL379" s="123"/>
      <c r="AM379" s="160"/>
      <c r="AN379" s="160"/>
    </row>
    <row r="380" spans="3:40" x14ac:dyDescent="0.3">
      <c r="C380" s="42"/>
      <c r="F380" s="184"/>
      <c r="H380" s="184"/>
      <c r="I380" s="184"/>
      <c r="J380" s="238"/>
      <c r="K380" s="238"/>
      <c r="L380" s="123"/>
      <c r="M380" s="123"/>
      <c r="N380" s="160"/>
      <c r="O380" s="160"/>
      <c r="P380" s="123"/>
      <c r="Q380" s="123"/>
      <c r="R380" s="123"/>
      <c r="T380" s="42"/>
      <c r="V380" s="123"/>
      <c r="Y380" s="123"/>
      <c r="Z380" s="238"/>
      <c r="AA380" s="123"/>
      <c r="AB380" s="123"/>
      <c r="AC380" s="160"/>
      <c r="AD380" s="160"/>
      <c r="AE380" s="123"/>
      <c r="AF380" s="123"/>
      <c r="AH380" s="236"/>
      <c r="AI380" s="123"/>
      <c r="AJ380" s="123"/>
      <c r="AL380" s="123"/>
      <c r="AM380" s="160"/>
      <c r="AN380" s="160"/>
    </row>
    <row r="381" spans="3:40" x14ac:dyDescent="0.3">
      <c r="C381" s="42"/>
      <c r="F381" s="184"/>
      <c r="H381" s="184"/>
      <c r="I381" s="184"/>
      <c r="J381" s="238"/>
      <c r="K381" s="238"/>
      <c r="L381" s="123"/>
      <c r="M381" s="123"/>
      <c r="N381" s="160"/>
      <c r="O381" s="160"/>
      <c r="P381" s="123"/>
      <c r="Q381" s="123"/>
      <c r="R381" s="123"/>
      <c r="T381" s="42"/>
      <c r="V381" s="123"/>
      <c r="Y381" s="123"/>
      <c r="Z381" s="238"/>
      <c r="AA381" s="123"/>
      <c r="AB381" s="123"/>
      <c r="AC381" s="160"/>
      <c r="AD381" s="160"/>
      <c r="AE381" s="123"/>
      <c r="AF381" s="123"/>
      <c r="AH381" s="236"/>
      <c r="AI381" s="123"/>
      <c r="AJ381" s="123"/>
      <c r="AL381" s="123"/>
      <c r="AM381" s="160"/>
      <c r="AN381" s="160"/>
    </row>
    <row r="382" spans="3:40" x14ac:dyDescent="0.3">
      <c r="C382" s="42"/>
      <c r="F382" s="184"/>
      <c r="H382" s="184"/>
      <c r="I382" s="184"/>
      <c r="J382" s="238"/>
      <c r="K382" s="238"/>
      <c r="L382" s="123"/>
      <c r="M382" s="123"/>
      <c r="N382" s="160"/>
      <c r="O382" s="160"/>
      <c r="P382" s="123"/>
      <c r="Q382" s="123"/>
      <c r="R382" s="123"/>
      <c r="T382" s="42"/>
      <c r="V382" s="123"/>
      <c r="Y382" s="123"/>
      <c r="Z382" s="238"/>
      <c r="AA382" s="123"/>
      <c r="AB382" s="123"/>
      <c r="AC382" s="160"/>
      <c r="AD382" s="160"/>
      <c r="AE382" s="123"/>
      <c r="AF382" s="123"/>
      <c r="AH382" s="236"/>
      <c r="AI382" s="123"/>
      <c r="AJ382" s="123"/>
      <c r="AL382" s="123"/>
      <c r="AM382" s="160"/>
      <c r="AN382" s="160"/>
    </row>
    <row r="383" spans="3:40" x14ac:dyDescent="0.3">
      <c r="F383" s="210"/>
      <c r="H383" s="210"/>
      <c r="I383" s="210"/>
      <c r="J383" s="213"/>
      <c r="K383" s="213"/>
      <c r="L383" s="210"/>
      <c r="M383" s="210"/>
      <c r="N383" s="210"/>
      <c r="O383" s="210"/>
      <c r="P383" s="210"/>
      <c r="Q383" s="210"/>
      <c r="R383" s="210"/>
      <c r="V383" s="210"/>
      <c r="Y383" s="210"/>
      <c r="Z383" s="238"/>
      <c r="AA383" s="210"/>
      <c r="AB383" s="210"/>
      <c r="AC383" s="210"/>
      <c r="AD383" s="210"/>
      <c r="AE383" s="210"/>
      <c r="AF383" s="210"/>
      <c r="AI383" s="210"/>
      <c r="AJ383" s="210"/>
      <c r="AK383" s="214"/>
      <c r="AL383" s="210"/>
    </row>
    <row r="384" spans="3:40" x14ac:dyDescent="0.3">
      <c r="C384" s="42"/>
      <c r="F384" s="123"/>
      <c r="H384" s="123"/>
      <c r="I384" s="123"/>
      <c r="L384" s="123"/>
      <c r="M384" s="123"/>
      <c r="N384" s="236"/>
      <c r="O384" s="236"/>
      <c r="P384" s="123"/>
      <c r="Q384" s="123"/>
      <c r="R384" s="123"/>
      <c r="T384" s="42"/>
      <c r="V384" s="123"/>
      <c r="Y384" s="123"/>
      <c r="AA384" s="123"/>
      <c r="AB384" s="123"/>
      <c r="AC384" s="160"/>
      <c r="AD384" s="160"/>
      <c r="AE384" s="123"/>
      <c r="AF384" s="123"/>
      <c r="AH384" s="236"/>
      <c r="AI384" s="123"/>
      <c r="AJ384" s="123"/>
      <c r="AL384" s="123"/>
      <c r="AM384" s="160"/>
      <c r="AN384" s="160"/>
    </row>
    <row r="385" spans="1:40" x14ac:dyDescent="0.3">
      <c r="F385" s="210"/>
      <c r="H385" s="210"/>
      <c r="I385" s="210"/>
      <c r="J385" s="213"/>
      <c r="K385" s="213"/>
      <c r="L385" s="210"/>
      <c r="M385" s="210"/>
      <c r="N385" s="210"/>
      <c r="O385" s="210"/>
      <c r="P385" s="210"/>
      <c r="Q385" s="210"/>
      <c r="R385" s="210"/>
      <c r="V385" s="210"/>
      <c r="Y385" s="210"/>
      <c r="Z385" s="213"/>
      <c r="AA385" s="210"/>
      <c r="AB385" s="210"/>
      <c r="AC385" s="210"/>
      <c r="AD385" s="210"/>
      <c r="AE385" s="210"/>
      <c r="AF385" s="210"/>
      <c r="AI385" s="210"/>
      <c r="AJ385" s="210"/>
      <c r="AK385" s="214"/>
      <c r="AL385" s="210"/>
    </row>
    <row r="386" spans="1:40" x14ac:dyDescent="0.3">
      <c r="C386" s="42"/>
      <c r="T386" s="42"/>
    </row>
    <row r="387" spans="1:40" x14ac:dyDescent="0.3">
      <c r="C387" s="42"/>
      <c r="F387" s="184"/>
      <c r="H387" s="184"/>
      <c r="I387" s="184"/>
      <c r="J387" s="193"/>
      <c r="K387" s="193"/>
      <c r="L387" s="123"/>
      <c r="M387" s="123"/>
      <c r="N387" s="160"/>
      <c r="O387" s="160"/>
      <c r="P387" s="123"/>
      <c r="Q387" s="123"/>
      <c r="R387" s="123"/>
      <c r="T387" s="42"/>
      <c r="V387" s="123"/>
      <c r="Y387" s="123"/>
      <c r="Z387" s="193"/>
      <c r="AA387" s="123"/>
      <c r="AB387" s="123"/>
      <c r="AC387" s="160"/>
      <c r="AD387" s="160"/>
      <c r="AE387" s="123"/>
      <c r="AF387" s="123"/>
      <c r="AH387" s="236"/>
      <c r="AI387" s="123"/>
      <c r="AJ387" s="123"/>
      <c r="AL387" s="123"/>
      <c r="AM387" s="160"/>
      <c r="AN387" s="160"/>
    </row>
    <row r="388" spans="1:40" x14ac:dyDescent="0.3">
      <c r="C388" s="42"/>
      <c r="F388" s="184"/>
      <c r="H388" s="184"/>
      <c r="I388" s="184"/>
      <c r="J388" s="193"/>
      <c r="K388" s="193"/>
      <c r="L388" s="123"/>
      <c r="M388" s="123"/>
      <c r="N388" s="160"/>
      <c r="O388" s="160"/>
      <c r="P388" s="123"/>
      <c r="Q388" s="123"/>
      <c r="R388" s="123"/>
      <c r="T388" s="42"/>
      <c r="V388" s="123"/>
      <c r="Y388" s="123"/>
      <c r="Z388" s="193"/>
      <c r="AA388" s="123"/>
      <c r="AB388" s="123"/>
      <c r="AC388" s="160"/>
      <c r="AD388" s="160"/>
      <c r="AE388" s="123"/>
      <c r="AF388" s="123"/>
      <c r="AH388" s="236"/>
      <c r="AI388" s="123"/>
      <c r="AJ388" s="123"/>
      <c r="AL388" s="123"/>
      <c r="AM388" s="160"/>
      <c r="AN388" s="160"/>
    </row>
    <row r="389" spans="1:40" x14ac:dyDescent="0.3">
      <c r="F389" s="210"/>
      <c r="H389" s="123"/>
      <c r="I389" s="123"/>
      <c r="J389" s="213"/>
      <c r="K389" s="213"/>
      <c r="L389" s="210"/>
      <c r="M389" s="210"/>
      <c r="N389" s="210"/>
      <c r="O389" s="210"/>
      <c r="P389" s="210"/>
      <c r="Q389" s="210"/>
      <c r="R389" s="210"/>
      <c r="V389" s="210"/>
      <c r="Y389" s="123"/>
      <c r="Z389" s="213"/>
      <c r="AA389" s="210"/>
      <c r="AB389" s="210"/>
      <c r="AC389" s="210"/>
      <c r="AD389" s="210"/>
      <c r="AE389" s="210"/>
      <c r="AF389" s="210"/>
      <c r="AI389" s="210"/>
      <c r="AJ389" s="210"/>
      <c r="AK389" s="214"/>
      <c r="AL389" s="210"/>
    </row>
    <row r="390" spans="1:40" x14ac:dyDescent="0.3">
      <c r="F390" s="123"/>
      <c r="H390" s="123"/>
      <c r="I390" s="123"/>
      <c r="J390" s="213"/>
      <c r="K390" s="213"/>
      <c r="L390" s="123"/>
      <c r="M390" s="123"/>
      <c r="N390" s="123"/>
      <c r="O390" s="123"/>
      <c r="P390" s="123"/>
      <c r="Q390" s="123"/>
      <c r="R390" s="123"/>
      <c r="V390" s="123"/>
      <c r="Y390" s="123"/>
      <c r="Z390" s="213"/>
      <c r="AA390" s="123"/>
      <c r="AB390" s="123"/>
      <c r="AC390" s="123"/>
      <c r="AD390" s="123"/>
      <c r="AE390" s="123"/>
      <c r="AF390" s="123"/>
      <c r="AI390" s="123"/>
      <c r="AJ390" s="123"/>
      <c r="AL390" s="123"/>
    </row>
    <row r="391" spans="1:40" x14ac:dyDescent="0.3">
      <c r="C391" s="42"/>
      <c r="F391" s="123"/>
      <c r="H391" s="123"/>
      <c r="I391" s="123"/>
      <c r="L391" s="123"/>
      <c r="M391" s="123"/>
      <c r="N391" s="160"/>
      <c r="O391" s="160"/>
      <c r="P391" s="123"/>
      <c r="Q391" s="123"/>
      <c r="R391" s="123"/>
      <c r="T391" s="42"/>
      <c r="V391" s="123"/>
      <c r="Y391" s="123"/>
      <c r="AA391" s="123"/>
      <c r="AB391" s="123"/>
      <c r="AC391" s="160"/>
      <c r="AD391" s="160"/>
      <c r="AE391" s="123"/>
      <c r="AF391" s="123"/>
      <c r="AH391" s="236"/>
      <c r="AI391" s="184"/>
      <c r="AJ391" s="184"/>
      <c r="AL391" s="123"/>
      <c r="AM391" s="160"/>
      <c r="AN391" s="160"/>
    </row>
    <row r="392" spans="1:40" x14ac:dyDescent="0.3">
      <c r="H392" s="210"/>
      <c r="I392" s="210"/>
      <c r="J392" s="213"/>
      <c r="K392" s="213"/>
      <c r="L392" s="210"/>
      <c r="M392" s="210"/>
      <c r="N392" s="210"/>
      <c r="O392" s="210"/>
      <c r="P392" s="210"/>
      <c r="Q392" s="210"/>
      <c r="R392" s="210"/>
      <c r="V392" s="210"/>
      <c r="Y392" s="210"/>
      <c r="Z392" s="213"/>
      <c r="AA392" s="210"/>
      <c r="AB392" s="210"/>
      <c r="AC392" s="210"/>
      <c r="AD392" s="210"/>
      <c r="AE392" s="210"/>
      <c r="AF392" s="210"/>
      <c r="AI392" s="210"/>
      <c r="AJ392" s="210"/>
      <c r="AK392" s="214"/>
      <c r="AL392" s="210"/>
    </row>
    <row r="393" spans="1:40" x14ac:dyDescent="0.3">
      <c r="F393" s="210"/>
    </row>
    <row r="394" spans="1:40" x14ac:dyDescent="0.3">
      <c r="A394" s="42"/>
      <c r="T394" s="42"/>
    </row>
    <row r="395" spans="1:40" x14ac:dyDescent="0.3">
      <c r="A395" s="42"/>
      <c r="T395" s="42"/>
    </row>
    <row r="396" spans="1:40" x14ac:dyDescent="0.3">
      <c r="A396" s="42"/>
      <c r="T396" s="42"/>
    </row>
    <row r="397" spans="1:40" x14ac:dyDescent="0.3">
      <c r="A397" s="42"/>
      <c r="T397" s="42"/>
    </row>
    <row r="398" spans="1:40" x14ac:dyDescent="0.3">
      <c r="A398" s="42"/>
      <c r="T398" s="42"/>
    </row>
    <row r="399" spans="1:40" x14ac:dyDescent="0.3">
      <c r="A399" s="42"/>
      <c r="T399" s="42"/>
    </row>
    <row r="400" spans="1:40" x14ac:dyDescent="0.3">
      <c r="A400" s="42"/>
      <c r="T400" s="42"/>
    </row>
    <row r="401" spans="1:40" x14ac:dyDescent="0.3">
      <c r="A401" s="42"/>
      <c r="T401" s="42"/>
    </row>
    <row r="402" spans="1:40" x14ac:dyDescent="0.3">
      <c r="A402" s="42"/>
      <c r="T402" s="42"/>
    </row>
    <row r="404" spans="1:40" x14ac:dyDescent="0.3">
      <c r="A404" s="42"/>
    </row>
    <row r="406" spans="1:40" x14ac:dyDescent="0.3">
      <c r="H406" s="42"/>
      <c r="I406" s="42"/>
      <c r="Y406" s="42"/>
    </row>
    <row r="408" spans="1:40" x14ac:dyDescent="0.3">
      <c r="L408" s="42"/>
      <c r="M408" s="42"/>
      <c r="AA408" s="42"/>
      <c r="AB408" s="42"/>
    </row>
    <row r="409" spans="1:40" x14ac:dyDescent="0.3">
      <c r="R409" s="42"/>
      <c r="AK409" s="206"/>
      <c r="AL409" s="42"/>
    </row>
    <row r="410" spans="1:40" x14ac:dyDescent="0.3">
      <c r="R410" s="42"/>
      <c r="AK410" s="206"/>
      <c r="AL410" s="42"/>
    </row>
    <row r="411" spans="1:40" x14ac:dyDescent="0.3">
      <c r="A411" s="42"/>
      <c r="R411" s="42"/>
      <c r="AK411" s="206"/>
      <c r="AL411" s="42"/>
    </row>
    <row r="412" spans="1:40" x14ac:dyDescent="0.3">
      <c r="L412" s="42"/>
      <c r="M412" s="42"/>
      <c r="AA412" s="42"/>
      <c r="AB412" s="42"/>
    </row>
    <row r="413" spans="1:40" x14ac:dyDescent="0.3">
      <c r="A413" s="135"/>
      <c r="B413" s="135"/>
      <c r="C413" s="135"/>
      <c r="D413" s="135"/>
      <c r="E413" s="135"/>
      <c r="F413" s="135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207"/>
      <c r="AH413" s="135"/>
      <c r="AI413" s="135"/>
      <c r="AJ413" s="135"/>
      <c r="AK413" s="207"/>
      <c r="AL413" s="135"/>
      <c r="AM413" s="135"/>
      <c r="AN413" s="135"/>
    </row>
    <row r="414" spans="1:40" x14ac:dyDescent="0.3">
      <c r="L414" s="44"/>
      <c r="M414" s="44"/>
      <c r="N414" s="44"/>
      <c r="O414" s="44"/>
      <c r="R414" s="44"/>
      <c r="AA414" s="44"/>
      <c r="AB414" s="44"/>
      <c r="AC414" s="44"/>
      <c r="AD414" s="44"/>
      <c r="AE414" s="44"/>
      <c r="AF414" s="44"/>
      <c r="AG414" s="168"/>
      <c r="AH414" s="44"/>
      <c r="AK414" s="168"/>
      <c r="AL414" s="44"/>
      <c r="AM414" s="44"/>
      <c r="AN414" s="44"/>
    </row>
    <row r="415" spans="1:40" x14ac:dyDescent="0.3">
      <c r="L415" s="44"/>
      <c r="M415" s="44"/>
      <c r="N415" s="44"/>
      <c r="O415" s="44"/>
      <c r="R415" s="44"/>
      <c r="Z415" s="44"/>
      <c r="AA415" s="44"/>
      <c r="AB415" s="44"/>
      <c r="AC415" s="44"/>
      <c r="AD415" s="44"/>
      <c r="AE415" s="44"/>
      <c r="AF415" s="44"/>
      <c r="AG415" s="168"/>
      <c r="AH415" s="44"/>
      <c r="AK415" s="168"/>
      <c r="AL415" s="44"/>
      <c r="AM415" s="44"/>
      <c r="AN415" s="44"/>
    </row>
    <row r="416" spans="1:40" x14ac:dyDescent="0.3">
      <c r="A416" s="44"/>
      <c r="C416" s="44"/>
      <c r="D416" s="44"/>
      <c r="E416" s="44"/>
      <c r="F416" s="44"/>
      <c r="J416" s="44"/>
      <c r="K416" s="44"/>
      <c r="L416" s="44"/>
      <c r="M416" s="44"/>
      <c r="N416" s="44"/>
      <c r="O416" s="44"/>
      <c r="P416" s="44"/>
      <c r="Q416" s="44"/>
      <c r="R416" s="44"/>
      <c r="T416" s="44"/>
      <c r="U416" s="44"/>
      <c r="V416" s="44"/>
      <c r="Z416" s="44"/>
      <c r="AA416" s="44"/>
      <c r="AB416" s="44"/>
      <c r="AC416" s="44"/>
      <c r="AD416" s="44"/>
      <c r="AE416" s="44"/>
      <c r="AF416" s="44"/>
      <c r="AG416" s="168"/>
      <c r="AH416" s="44"/>
      <c r="AI416" s="44"/>
      <c r="AJ416" s="44"/>
      <c r="AK416" s="168"/>
      <c r="AL416" s="44"/>
      <c r="AM416" s="44"/>
      <c r="AN416" s="44"/>
    </row>
    <row r="417" spans="1:40" x14ac:dyDescent="0.3">
      <c r="A417" s="44"/>
      <c r="C417" s="44"/>
      <c r="D417" s="44"/>
      <c r="E417" s="44"/>
      <c r="F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T417" s="44"/>
      <c r="U417" s="44"/>
      <c r="V417" s="44"/>
      <c r="Y417" s="44"/>
      <c r="Z417" s="44"/>
      <c r="AA417" s="44"/>
      <c r="AB417" s="44"/>
      <c r="AC417" s="44"/>
      <c r="AD417" s="44"/>
      <c r="AE417" s="44"/>
      <c r="AF417" s="44"/>
      <c r="AG417" s="168"/>
      <c r="AH417" s="44"/>
      <c r="AI417" s="44"/>
      <c r="AJ417" s="44"/>
      <c r="AK417" s="168"/>
      <c r="AL417" s="44"/>
      <c r="AM417" s="44"/>
      <c r="AN417" s="44"/>
    </row>
    <row r="418" spans="1:40" x14ac:dyDescent="0.3">
      <c r="C418" s="44"/>
      <c r="D418" s="44"/>
      <c r="E418" s="44"/>
      <c r="F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T418" s="44"/>
      <c r="U418" s="44"/>
      <c r="V418" s="44"/>
      <c r="Y418" s="44"/>
      <c r="Z418" s="44"/>
      <c r="AA418" s="44"/>
      <c r="AB418" s="44"/>
      <c r="AC418" s="44"/>
      <c r="AD418" s="44"/>
      <c r="AE418" s="44"/>
      <c r="AF418" s="44"/>
      <c r="AG418" s="168"/>
      <c r="AH418" s="44"/>
      <c r="AI418" s="44"/>
      <c r="AJ418" s="44"/>
      <c r="AK418" s="168"/>
      <c r="AL418" s="44"/>
      <c r="AM418" s="44"/>
      <c r="AN418" s="44"/>
    </row>
    <row r="419" spans="1:40" x14ac:dyDescent="0.3">
      <c r="A419" s="135"/>
      <c r="B419" s="135"/>
      <c r="C419" s="135"/>
      <c r="D419" s="135"/>
      <c r="E419" s="135"/>
      <c r="F419" s="135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207"/>
      <c r="AH419" s="135"/>
      <c r="AI419" s="135"/>
      <c r="AJ419" s="135"/>
      <c r="AK419" s="207"/>
      <c r="AL419" s="135"/>
      <c r="AM419" s="135"/>
      <c r="AN419" s="135"/>
    </row>
    <row r="420" spans="1:40" x14ac:dyDescent="0.3"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Y420" s="44"/>
      <c r="Z420" s="44"/>
      <c r="AA420" s="44"/>
      <c r="AB420" s="44"/>
      <c r="AC420" s="44"/>
      <c r="AD420" s="44"/>
      <c r="AE420" s="44"/>
      <c r="AF420" s="44"/>
      <c r="AG420" s="168"/>
      <c r="AH420" s="44"/>
      <c r="AI420" s="44"/>
      <c r="AJ420" s="44"/>
      <c r="AK420" s="168"/>
      <c r="AL420" s="44"/>
      <c r="AM420" s="44"/>
      <c r="AN420" s="44"/>
    </row>
    <row r="421" spans="1:40" x14ac:dyDescent="0.3">
      <c r="C421" s="42"/>
      <c r="D421" s="42"/>
      <c r="E421" s="42"/>
      <c r="T421" s="42"/>
      <c r="U421" s="42"/>
    </row>
    <row r="422" spans="1:40" x14ac:dyDescent="0.3">
      <c r="D422" s="42"/>
      <c r="E422" s="42"/>
      <c r="U422" s="42"/>
    </row>
    <row r="424" spans="1:40" x14ac:dyDescent="0.3">
      <c r="C424" s="42"/>
      <c r="F424" s="123"/>
      <c r="J424" s="209"/>
      <c r="K424" s="209"/>
      <c r="L424" s="123"/>
      <c r="M424" s="123"/>
      <c r="R424" s="123"/>
      <c r="T424" s="42"/>
      <c r="V424" s="123"/>
      <c r="Z424" s="209"/>
      <c r="AA424" s="123"/>
      <c r="AB424" s="123"/>
      <c r="AH424" s="123"/>
      <c r="AL424" s="123"/>
    </row>
    <row r="425" spans="1:40" x14ac:dyDescent="0.3">
      <c r="C425" s="42"/>
      <c r="F425" s="123"/>
      <c r="R425" s="123"/>
      <c r="T425" s="42"/>
      <c r="V425" s="123"/>
      <c r="AH425" s="123"/>
      <c r="AL425" s="123"/>
    </row>
    <row r="426" spans="1:40" x14ac:dyDescent="0.3">
      <c r="AI426" s="123"/>
      <c r="AJ426" s="123"/>
      <c r="AL426" s="123"/>
      <c r="AM426" s="160"/>
      <c r="AN426" s="160"/>
    </row>
    <row r="427" spans="1:40" x14ac:dyDescent="0.3">
      <c r="C427" s="42"/>
      <c r="F427" s="184"/>
      <c r="H427" s="184"/>
      <c r="I427" s="184"/>
      <c r="J427" s="237"/>
      <c r="K427" s="237"/>
      <c r="L427" s="123"/>
      <c r="M427" s="123"/>
      <c r="N427" s="160"/>
      <c r="O427" s="160"/>
      <c r="P427" s="123"/>
      <c r="Q427" s="123"/>
      <c r="R427" s="123"/>
      <c r="T427" s="42"/>
      <c r="V427" s="123"/>
      <c r="Y427" s="123"/>
      <c r="Z427" s="237"/>
      <c r="AA427" s="123"/>
      <c r="AB427" s="123"/>
      <c r="AC427" s="160"/>
      <c r="AD427" s="160"/>
      <c r="AE427" s="123"/>
      <c r="AF427" s="123"/>
      <c r="AH427" s="236"/>
      <c r="AI427" s="123"/>
      <c r="AJ427" s="123"/>
      <c r="AL427" s="123"/>
      <c r="AM427" s="160"/>
      <c r="AN427" s="160"/>
    </row>
    <row r="428" spans="1:40" x14ac:dyDescent="0.3">
      <c r="F428" s="123"/>
      <c r="H428" s="123"/>
      <c r="I428" s="123"/>
      <c r="J428" s="219"/>
      <c r="K428" s="219"/>
      <c r="L428" s="123"/>
      <c r="M428" s="123"/>
      <c r="P428" s="123"/>
      <c r="Q428" s="123"/>
      <c r="R428" s="123"/>
      <c r="V428" s="123"/>
      <c r="Y428" s="123"/>
      <c r="Z428" s="219"/>
      <c r="AA428" s="123"/>
      <c r="AB428" s="123"/>
      <c r="AI428" s="123"/>
      <c r="AJ428" s="123"/>
      <c r="AL428" s="123"/>
      <c r="AM428" s="160"/>
      <c r="AN428" s="160"/>
    </row>
    <row r="429" spans="1:40" x14ac:dyDescent="0.3">
      <c r="F429" s="123"/>
      <c r="R429" s="123"/>
      <c r="V429" s="123"/>
      <c r="AL429" s="123"/>
      <c r="AM429" s="160"/>
      <c r="AN429" s="160"/>
    </row>
    <row r="430" spans="1:40" x14ac:dyDescent="0.3">
      <c r="C430" s="42"/>
      <c r="F430" s="123"/>
      <c r="J430" s="209"/>
      <c r="K430" s="209"/>
      <c r="L430" s="123"/>
      <c r="M430" s="123"/>
      <c r="N430" s="160"/>
      <c r="O430" s="160"/>
      <c r="R430" s="123"/>
      <c r="T430" s="42"/>
      <c r="V430" s="123"/>
      <c r="Z430" s="209"/>
      <c r="AA430" s="123"/>
      <c r="AB430" s="123"/>
      <c r="AC430" s="160"/>
      <c r="AD430" s="160"/>
      <c r="AL430" s="123"/>
      <c r="AM430" s="160"/>
      <c r="AN430" s="160"/>
    </row>
    <row r="431" spans="1:40" x14ac:dyDescent="0.3">
      <c r="C431" s="42"/>
      <c r="F431" s="123"/>
      <c r="H431" s="123"/>
      <c r="I431" s="123"/>
      <c r="J431" s="209"/>
      <c r="K431" s="209"/>
      <c r="L431" s="123"/>
      <c r="M431" s="123"/>
      <c r="N431" s="160"/>
      <c r="O431" s="160"/>
      <c r="P431" s="123"/>
      <c r="Q431" s="123"/>
      <c r="R431" s="123"/>
      <c r="T431" s="42"/>
      <c r="V431" s="123"/>
      <c r="Y431" s="123"/>
      <c r="Z431" s="209"/>
      <c r="AA431" s="123"/>
      <c r="AB431" s="123"/>
      <c r="AC431" s="160"/>
      <c r="AD431" s="160"/>
      <c r="AI431" s="123"/>
      <c r="AJ431" s="123"/>
      <c r="AL431" s="123"/>
      <c r="AM431" s="160"/>
      <c r="AN431" s="160"/>
    </row>
    <row r="432" spans="1:40" x14ac:dyDescent="0.3">
      <c r="C432" s="42"/>
      <c r="T432" s="42"/>
      <c r="AM432" s="160"/>
      <c r="AN432" s="160"/>
    </row>
    <row r="433" spans="1:40" x14ac:dyDescent="0.3">
      <c r="C433" s="42"/>
      <c r="T433" s="42"/>
      <c r="AM433" s="160"/>
      <c r="AN433" s="160"/>
    </row>
    <row r="434" spans="1:40" x14ac:dyDescent="0.3">
      <c r="AM434" s="160"/>
      <c r="AN434" s="160"/>
    </row>
    <row r="435" spans="1:40" x14ac:dyDescent="0.3">
      <c r="C435" s="42"/>
      <c r="F435" s="184"/>
      <c r="H435" s="184"/>
      <c r="I435" s="184"/>
      <c r="J435" s="237"/>
      <c r="K435" s="237"/>
      <c r="L435" s="123"/>
      <c r="M435" s="123"/>
      <c r="N435" s="160"/>
      <c r="O435" s="160"/>
      <c r="P435" s="123"/>
      <c r="Q435" s="123"/>
      <c r="R435" s="123"/>
      <c r="T435" s="42"/>
      <c r="V435" s="123"/>
      <c r="Y435" s="123"/>
      <c r="Z435" s="237"/>
      <c r="AA435" s="123"/>
      <c r="AB435" s="123"/>
      <c r="AC435" s="160"/>
      <c r="AD435" s="160"/>
      <c r="AE435" s="123"/>
      <c r="AF435" s="123"/>
      <c r="AH435" s="236"/>
      <c r="AI435" s="123"/>
      <c r="AJ435" s="123"/>
      <c r="AL435" s="123"/>
      <c r="AM435" s="160"/>
      <c r="AN435" s="160"/>
    </row>
    <row r="436" spans="1:40" x14ac:dyDescent="0.3">
      <c r="F436" s="210"/>
      <c r="H436" s="210"/>
      <c r="I436" s="210"/>
      <c r="J436" s="213"/>
      <c r="K436" s="213"/>
      <c r="L436" s="210"/>
      <c r="M436" s="210"/>
      <c r="N436" s="210"/>
      <c r="O436" s="210"/>
      <c r="P436" s="210"/>
      <c r="Q436" s="210"/>
      <c r="R436" s="210"/>
      <c r="V436" s="210"/>
      <c r="Y436" s="210"/>
      <c r="Z436" s="213"/>
      <c r="AA436" s="210"/>
      <c r="AB436" s="210"/>
      <c r="AC436" s="210"/>
      <c r="AD436" s="210"/>
      <c r="AE436" s="210"/>
      <c r="AF436" s="210"/>
      <c r="AI436" s="210"/>
      <c r="AJ436" s="210"/>
      <c r="AK436" s="214"/>
      <c r="AL436" s="210"/>
      <c r="AM436" s="160"/>
      <c r="AN436" s="160"/>
    </row>
    <row r="437" spans="1:40" x14ac:dyDescent="0.3">
      <c r="H437" s="123"/>
      <c r="I437" s="123"/>
      <c r="Y437" s="123"/>
      <c r="AM437" s="160"/>
      <c r="AN437" s="160"/>
    </row>
    <row r="438" spans="1:40" x14ac:dyDescent="0.3">
      <c r="C438" s="42"/>
      <c r="F438" s="123"/>
      <c r="H438" s="123"/>
      <c r="I438" s="123"/>
      <c r="L438" s="123"/>
      <c r="M438" s="123"/>
      <c r="N438" s="160"/>
      <c r="O438" s="160"/>
      <c r="P438" s="184"/>
      <c r="Q438" s="184"/>
      <c r="R438" s="123"/>
      <c r="T438" s="42"/>
      <c r="V438" s="123"/>
      <c r="Y438" s="123"/>
      <c r="AA438" s="123"/>
      <c r="AB438" s="123"/>
      <c r="AC438" s="160"/>
      <c r="AD438" s="160"/>
      <c r="AE438" s="123"/>
      <c r="AF438" s="123"/>
      <c r="AH438" s="236"/>
      <c r="AI438" s="184"/>
      <c r="AJ438" s="184"/>
      <c r="AL438" s="123"/>
      <c r="AM438" s="160"/>
      <c r="AN438" s="160"/>
    </row>
    <row r="439" spans="1:40" x14ac:dyDescent="0.3">
      <c r="H439" s="210"/>
      <c r="I439" s="210"/>
      <c r="J439" s="213"/>
      <c r="K439" s="213"/>
      <c r="L439" s="210"/>
      <c r="M439" s="210"/>
      <c r="N439" s="210"/>
      <c r="O439" s="210"/>
      <c r="P439" s="210"/>
      <c r="Q439" s="210"/>
      <c r="R439" s="210"/>
      <c r="V439" s="210"/>
      <c r="Y439" s="210"/>
      <c r="Z439" s="213"/>
      <c r="AA439" s="210"/>
      <c r="AB439" s="210"/>
      <c r="AC439" s="210"/>
      <c r="AD439" s="210"/>
      <c r="AE439" s="210"/>
      <c r="AF439" s="210"/>
      <c r="AI439" s="210"/>
      <c r="AJ439" s="210"/>
      <c r="AK439" s="214"/>
      <c r="AL439" s="210"/>
      <c r="AM439" s="160"/>
      <c r="AN439" s="160"/>
    </row>
    <row r="440" spans="1:40" x14ac:dyDescent="0.3">
      <c r="F440" s="210"/>
    </row>
    <row r="441" spans="1:40" x14ac:dyDescent="0.3">
      <c r="F441" s="123"/>
      <c r="H441" s="123"/>
      <c r="I441" s="123"/>
      <c r="J441" s="219"/>
      <c r="K441" s="219"/>
      <c r="L441" s="123"/>
      <c r="M441" s="123"/>
      <c r="N441" s="123"/>
      <c r="O441" s="123"/>
      <c r="P441" s="123"/>
      <c r="Q441" s="123"/>
      <c r="R441" s="123"/>
      <c r="V441" s="123"/>
      <c r="Y441" s="123"/>
      <c r="Z441" s="219"/>
      <c r="AA441" s="123"/>
      <c r="AB441" s="123"/>
      <c r="AC441" s="123"/>
      <c r="AD441" s="123"/>
      <c r="AE441" s="123"/>
      <c r="AF441" s="123"/>
      <c r="AH441" s="123"/>
      <c r="AI441" s="123"/>
      <c r="AJ441" s="123"/>
      <c r="AL441" s="123"/>
    </row>
    <row r="442" spans="1:40" x14ac:dyDescent="0.3">
      <c r="A442" s="42"/>
    </row>
    <row r="444" spans="1:40" x14ac:dyDescent="0.3">
      <c r="H444" s="42"/>
      <c r="I444" s="42"/>
      <c r="Y444" s="42"/>
    </row>
    <row r="446" spans="1:40" x14ac:dyDescent="0.3">
      <c r="L446" s="42"/>
      <c r="M446" s="42"/>
      <c r="AA446" s="42"/>
      <c r="AB446" s="42"/>
    </row>
    <row r="447" spans="1:40" x14ac:dyDescent="0.3">
      <c r="R447" s="42"/>
      <c r="AK447" s="206"/>
      <c r="AL447" s="42"/>
    </row>
    <row r="448" spans="1:40" x14ac:dyDescent="0.3">
      <c r="R448" s="42"/>
      <c r="AK448" s="206"/>
      <c r="AL448" s="42"/>
    </row>
    <row r="449" spans="1:40" x14ac:dyDescent="0.3">
      <c r="A449" s="42"/>
      <c r="R449" s="42"/>
      <c r="AK449" s="206"/>
      <c r="AL449" s="42"/>
    </row>
    <row r="450" spans="1:40" x14ac:dyDescent="0.3">
      <c r="L450" s="42"/>
      <c r="M450" s="42"/>
      <c r="AA450" s="42"/>
      <c r="AB450" s="42"/>
    </row>
    <row r="451" spans="1:40" x14ac:dyDescent="0.3">
      <c r="A451" s="135"/>
      <c r="B451" s="135"/>
      <c r="C451" s="135"/>
      <c r="D451" s="135"/>
      <c r="E451" s="135"/>
      <c r="F451" s="135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207"/>
      <c r="AH451" s="135"/>
      <c r="AI451" s="135"/>
      <c r="AJ451" s="135"/>
      <c r="AK451" s="207"/>
      <c r="AL451" s="135"/>
      <c r="AM451" s="135"/>
      <c r="AN451" s="135"/>
    </row>
    <row r="452" spans="1:40" x14ac:dyDescent="0.3">
      <c r="L452" s="44"/>
      <c r="M452" s="44"/>
      <c r="N452" s="44"/>
      <c r="O452" s="44"/>
      <c r="R452" s="44"/>
      <c r="AA452" s="44"/>
      <c r="AB452" s="44"/>
      <c r="AC452" s="44"/>
      <c r="AD452" s="44"/>
      <c r="AE452" s="44"/>
      <c r="AF452" s="44"/>
      <c r="AG452" s="168"/>
      <c r="AH452" s="44"/>
      <c r="AK452" s="168"/>
      <c r="AL452" s="44"/>
      <c r="AM452" s="44"/>
      <c r="AN452" s="44"/>
    </row>
    <row r="453" spans="1:40" x14ac:dyDescent="0.3">
      <c r="L453" s="44"/>
      <c r="M453" s="44"/>
      <c r="N453" s="44"/>
      <c r="O453" s="44"/>
      <c r="R453" s="44"/>
      <c r="Z453" s="44"/>
      <c r="AA453" s="44"/>
      <c r="AB453" s="44"/>
      <c r="AC453" s="44"/>
      <c r="AD453" s="44"/>
      <c r="AE453" s="44"/>
      <c r="AF453" s="44"/>
      <c r="AG453" s="168"/>
      <c r="AH453" s="44"/>
      <c r="AK453" s="168"/>
      <c r="AL453" s="44"/>
      <c r="AM453" s="44"/>
      <c r="AN453" s="44"/>
    </row>
    <row r="454" spans="1:40" x14ac:dyDescent="0.3">
      <c r="A454" s="44"/>
      <c r="C454" s="44"/>
      <c r="D454" s="44"/>
      <c r="E454" s="44"/>
      <c r="F454" s="44"/>
      <c r="J454" s="44"/>
      <c r="K454" s="44"/>
      <c r="L454" s="44"/>
      <c r="M454" s="44"/>
      <c r="N454" s="44"/>
      <c r="O454" s="44"/>
      <c r="P454" s="44"/>
      <c r="Q454" s="44"/>
      <c r="R454" s="44"/>
      <c r="T454" s="44"/>
      <c r="U454" s="44"/>
      <c r="V454" s="44"/>
      <c r="Z454" s="44"/>
      <c r="AA454" s="44"/>
      <c r="AB454" s="44"/>
      <c r="AC454" s="44"/>
      <c r="AD454" s="44"/>
      <c r="AE454" s="44"/>
      <c r="AF454" s="44"/>
      <c r="AG454" s="168"/>
      <c r="AH454" s="44"/>
      <c r="AI454" s="44"/>
      <c r="AJ454" s="44"/>
      <c r="AK454" s="168"/>
      <c r="AL454" s="44"/>
      <c r="AM454" s="44"/>
      <c r="AN454" s="44"/>
    </row>
    <row r="455" spans="1:40" x14ac:dyDescent="0.3">
      <c r="A455" s="44"/>
      <c r="C455" s="44"/>
      <c r="D455" s="44"/>
      <c r="E455" s="44"/>
      <c r="F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T455" s="44"/>
      <c r="U455" s="44"/>
      <c r="V455" s="44"/>
      <c r="Y455" s="44"/>
      <c r="Z455" s="44"/>
      <c r="AA455" s="44"/>
      <c r="AB455" s="44"/>
      <c r="AC455" s="44"/>
      <c r="AD455" s="44"/>
      <c r="AE455" s="44"/>
      <c r="AF455" s="44"/>
      <c r="AG455" s="168"/>
      <c r="AH455" s="44"/>
      <c r="AI455" s="44"/>
      <c r="AJ455" s="44"/>
      <c r="AK455" s="168"/>
      <c r="AL455" s="44"/>
      <c r="AM455" s="44"/>
      <c r="AN455" s="44"/>
    </row>
    <row r="456" spans="1:40" x14ac:dyDescent="0.3">
      <c r="C456" s="44"/>
      <c r="D456" s="44"/>
      <c r="E456" s="44"/>
      <c r="F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T456" s="44"/>
      <c r="U456" s="44"/>
      <c r="V456" s="44"/>
      <c r="Y456" s="44"/>
      <c r="Z456" s="44"/>
      <c r="AA456" s="44"/>
      <c r="AB456" s="44"/>
      <c r="AC456" s="44"/>
      <c r="AD456" s="44"/>
      <c r="AE456" s="44"/>
      <c r="AF456" s="44"/>
      <c r="AG456" s="168"/>
      <c r="AH456" s="44"/>
      <c r="AI456" s="44"/>
      <c r="AJ456" s="44"/>
      <c r="AK456" s="168"/>
      <c r="AL456" s="44"/>
      <c r="AM456" s="44"/>
      <c r="AN456" s="44"/>
    </row>
    <row r="457" spans="1:40" x14ac:dyDescent="0.3">
      <c r="A457" s="135"/>
      <c r="B457" s="135"/>
      <c r="C457" s="135"/>
      <c r="D457" s="135"/>
      <c r="E457" s="135"/>
      <c r="F457" s="135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207"/>
      <c r="AH457" s="135"/>
      <c r="AI457" s="135"/>
      <c r="AJ457" s="135"/>
      <c r="AK457" s="207"/>
      <c r="AL457" s="135"/>
      <c r="AM457" s="135"/>
      <c r="AN457" s="135"/>
    </row>
    <row r="458" spans="1:40" x14ac:dyDescent="0.3"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Y458" s="44"/>
      <c r="Z458" s="44"/>
      <c r="AA458" s="44"/>
      <c r="AB458" s="44"/>
      <c r="AC458" s="44"/>
      <c r="AD458" s="44"/>
      <c r="AE458" s="44"/>
      <c r="AF458" s="44"/>
      <c r="AG458" s="168"/>
      <c r="AH458" s="44"/>
      <c r="AI458" s="44"/>
      <c r="AJ458" s="44"/>
      <c r="AK458" s="168"/>
      <c r="AL458" s="44"/>
      <c r="AM458" s="44"/>
      <c r="AN458" s="44"/>
    </row>
    <row r="459" spans="1:40" x14ac:dyDescent="0.3">
      <c r="C459" s="42"/>
      <c r="D459" s="42"/>
      <c r="E459" s="42"/>
      <c r="T459" s="42"/>
      <c r="U459" s="42"/>
      <c r="V459" s="123"/>
      <c r="W459" s="123"/>
      <c r="X459" s="123"/>
      <c r="Y459" s="123"/>
      <c r="Z459" s="237"/>
    </row>
    <row r="461" spans="1:40" x14ac:dyDescent="0.3">
      <c r="C461" s="42"/>
      <c r="T461" s="42"/>
      <c r="V461" s="123"/>
      <c r="W461" s="123"/>
      <c r="X461" s="123"/>
      <c r="Y461" s="123"/>
      <c r="Z461" s="237"/>
    </row>
    <row r="462" spans="1:40" x14ac:dyDescent="0.3">
      <c r="C462" s="42"/>
      <c r="F462" s="184"/>
      <c r="H462" s="184"/>
      <c r="I462" s="184"/>
      <c r="J462" s="238"/>
      <c r="K462" s="238"/>
      <c r="L462" s="123"/>
      <c r="M462" s="123"/>
      <c r="N462" s="160"/>
      <c r="O462" s="160"/>
      <c r="P462" s="123"/>
      <c r="Q462" s="123"/>
      <c r="R462" s="123"/>
      <c r="T462" s="42"/>
      <c r="V462" s="123"/>
      <c r="W462" s="123"/>
      <c r="X462" s="123"/>
      <c r="Y462" s="123"/>
      <c r="Z462" s="238"/>
      <c r="AA462" s="123"/>
      <c r="AB462" s="123"/>
      <c r="AC462" s="160"/>
      <c r="AD462" s="160"/>
      <c r="AE462" s="123"/>
      <c r="AF462" s="123"/>
      <c r="AH462" s="236"/>
      <c r="AI462" s="123"/>
      <c r="AJ462" s="123"/>
      <c r="AL462" s="123"/>
      <c r="AM462" s="160"/>
      <c r="AN462" s="160"/>
    </row>
    <row r="463" spans="1:40" x14ac:dyDescent="0.3">
      <c r="C463" s="42"/>
      <c r="F463" s="184"/>
      <c r="H463" s="184"/>
      <c r="I463" s="184"/>
      <c r="J463" s="238"/>
      <c r="K463" s="238"/>
      <c r="L463" s="123"/>
      <c r="M463" s="123"/>
      <c r="N463" s="160"/>
      <c r="O463" s="160"/>
      <c r="P463" s="123"/>
      <c r="Q463" s="123"/>
      <c r="R463" s="123"/>
      <c r="T463" s="42"/>
      <c r="V463" s="123"/>
      <c r="W463" s="123"/>
      <c r="X463" s="123"/>
      <c r="Y463" s="123"/>
      <c r="Z463" s="238"/>
      <c r="AA463" s="123"/>
      <c r="AB463" s="123"/>
      <c r="AC463" s="160"/>
      <c r="AD463" s="160"/>
      <c r="AE463" s="123"/>
      <c r="AF463" s="123"/>
      <c r="AH463" s="236"/>
      <c r="AI463" s="123"/>
      <c r="AJ463" s="123"/>
      <c r="AL463" s="123"/>
      <c r="AM463" s="160"/>
      <c r="AN463" s="160"/>
    </row>
    <row r="464" spans="1:40" x14ac:dyDescent="0.3">
      <c r="C464" s="42"/>
      <c r="F464" s="184"/>
      <c r="H464" s="184"/>
      <c r="I464" s="184"/>
      <c r="J464" s="238"/>
      <c r="K464" s="238"/>
      <c r="L464" s="123"/>
      <c r="M464" s="123"/>
      <c r="N464" s="160"/>
      <c r="O464" s="160"/>
      <c r="P464" s="123"/>
      <c r="Q464" s="123"/>
      <c r="R464" s="123"/>
      <c r="T464" s="42"/>
      <c r="V464" s="123"/>
      <c r="W464" s="123"/>
      <c r="X464" s="123"/>
      <c r="Y464" s="123"/>
      <c r="Z464" s="238"/>
      <c r="AA464" s="123"/>
      <c r="AB464" s="123"/>
      <c r="AC464" s="160"/>
      <c r="AD464" s="160"/>
      <c r="AE464" s="123"/>
      <c r="AF464" s="123"/>
      <c r="AH464" s="236"/>
      <c r="AI464" s="123"/>
      <c r="AJ464" s="123"/>
      <c r="AL464" s="123"/>
      <c r="AM464" s="160"/>
      <c r="AN464" s="160"/>
    </row>
    <row r="465" spans="1:40" x14ac:dyDescent="0.3">
      <c r="C465" s="42"/>
      <c r="F465" s="184"/>
      <c r="H465" s="184"/>
      <c r="I465" s="184"/>
      <c r="J465" s="238"/>
      <c r="K465" s="238"/>
      <c r="L465" s="123"/>
      <c r="M465" s="123"/>
      <c r="N465" s="160"/>
      <c r="O465" s="160"/>
      <c r="P465" s="123"/>
      <c r="Q465" s="123"/>
      <c r="R465" s="123"/>
      <c r="T465" s="42"/>
      <c r="V465" s="123"/>
      <c r="W465" s="123"/>
      <c r="X465" s="123"/>
      <c r="Y465" s="123"/>
      <c r="Z465" s="238"/>
      <c r="AA465" s="123"/>
      <c r="AB465" s="123"/>
      <c r="AC465" s="160"/>
      <c r="AD465" s="160"/>
      <c r="AE465" s="123"/>
      <c r="AF465" s="123"/>
      <c r="AH465" s="236"/>
      <c r="AI465" s="123"/>
      <c r="AJ465" s="123"/>
      <c r="AL465" s="123"/>
      <c r="AM465" s="160"/>
      <c r="AN465" s="160"/>
    </row>
    <row r="466" spans="1:40" x14ac:dyDescent="0.3">
      <c r="J466" s="188"/>
      <c r="K466" s="188"/>
      <c r="V466" s="123"/>
      <c r="W466" s="123"/>
      <c r="X466" s="123"/>
      <c r="Y466" s="123"/>
      <c r="Z466" s="238"/>
    </row>
    <row r="467" spans="1:40" x14ac:dyDescent="0.3">
      <c r="C467" s="42"/>
      <c r="F467" s="184"/>
      <c r="H467" s="184"/>
      <c r="I467" s="184"/>
      <c r="J467" s="238"/>
      <c r="K467" s="238"/>
      <c r="L467" s="123"/>
      <c r="M467" s="123"/>
      <c r="N467" s="160"/>
      <c r="O467" s="160"/>
      <c r="P467" s="123"/>
      <c r="Q467" s="123"/>
      <c r="R467" s="123"/>
      <c r="T467" s="42"/>
      <c r="V467" s="123"/>
      <c r="W467" s="123"/>
      <c r="X467" s="123"/>
      <c r="Y467" s="123"/>
      <c r="Z467" s="238"/>
      <c r="AA467" s="123"/>
      <c r="AB467" s="123"/>
      <c r="AC467" s="160"/>
      <c r="AD467" s="160"/>
      <c r="AE467" s="123"/>
      <c r="AF467" s="123"/>
      <c r="AH467" s="236"/>
      <c r="AI467" s="123"/>
      <c r="AJ467" s="123"/>
      <c r="AL467" s="123"/>
      <c r="AM467" s="236"/>
      <c r="AN467" s="236"/>
    </row>
    <row r="468" spans="1:40" x14ac:dyDescent="0.3">
      <c r="C468" s="42"/>
      <c r="J468" s="188"/>
      <c r="K468" s="188"/>
      <c r="T468" s="42"/>
      <c r="V468" s="123"/>
      <c r="W468" s="123"/>
      <c r="X468" s="123"/>
      <c r="Y468" s="123"/>
      <c r="Z468" s="238"/>
    </row>
    <row r="469" spans="1:40" x14ac:dyDescent="0.3">
      <c r="C469" s="42"/>
      <c r="F469" s="184"/>
      <c r="H469" s="184"/>
      <c r="I469" s="184"/>
      <c r="J469" s="238"/>
      <c r="K469" s="238"/>
      <c r="L469" s="123"/>
      <c r="M469" s="123"/>
      <c r="N469" s="160"/>
      <c r="O469" s="160"/>
      <c r="P469" s="123"/>
      <c r="Q469" s="123"/>
      <c r="R469" s="123"/>
      <c r="T469" s="42"/>
      <c r="V469" s="123"/>
      <c r="W469" s="123"/>
      <c r="X469" s="123"/>
      <c r="Y469" s="123"/>
      <c r="Z469" s="238"/>
      <c r="AA469" s="123"/>
      <c r="AB469" s="123"/>
      <c r="AC469" s="160"/>
      <c r="AD469" s="160"/>
      <c r="AE469" s="123"/>
      <c r="AF469" s="123"/>
      <c r="AH469" s="236"/>
      <c r="AI469" s="123"/>
      <c r="AJ469" s="123"/>
      <c r="AL469" s="123"/>
      <c r="AM469" s="236"/>
      <c r="AN469" s="236"/>
    </row>
    <row r="470" spans="1:40" x14ac:dyDescent="0.3">
      <c r="J470" s="188"/>
      <c r="K470" s="188"/>
      <c r="Z470" s="188"/>
    </row>
    <row r="471" spans="1:40" x14ac:dyDescent="0.3">
      <c r="C471" s="42"/>
      <c r="J471" s="188"/>
      <c r="K471" s="188"/>
      <c r="T471" s="42"/>
      <c r="V471" s="123"/>
      <c r="W471" s="123"/>
      <c r="X471" s="123"/>
      <c r="Y471" s="123"/>
      <c r="Z471" s="238"/>
    </row>
    <row r="472" spans="1:40" x14ac:dyDescent="0.3">
      <c r="C472" s="42"/>
      <c r="F472" s="184"/>
      <c r="H472" s="184"/>
      <c r="I472" s="184"/>
      <c r="J472" s="238"/>
      <c r="K472" s="238"/>
      <c r="L472" s="123"/>
      <c r="M472" s="123"/>
      <c r="N472" s="160"/>
      <c r="O472" s="160"/>
      <c r="P472" s="123"/>
      <c r="Q472" s="123"/>
      <c r="R472" s="123"/>
      <c r="T472" s="42"/>
      <c r="V472" s="123"/>
      <c r="W472" s="123"/>
      <c r="X472" s="123"/>
      <c r="Y472" s="123"/>
      <c r="Z472" s="238"/>
      <c r="AA472" s="123"/>
      <c r="AB472" s="123"/>
      <c r="AC472" s="160"/>
      <c r="AD472" s="160"/>
      <c r="AE472" s="123"/>
      <c r="AF472" s="123"/>
      <c r="AH472" s="236"/>
      <c r="AI472" s="123"/>
      <c r="AJ472" s="123"/>
      <c r="AL472" s="123"/>
      <c r="AM472" s="236"/>
      <c r="AN472" s="236"/>
    </row>
    <row r="473" spans="1:40" x14ac:dyDescent="0.3">
      <c r="C473" s="42"/>
      <c r="F473" s="184"/>
      <c r="H473" s="184"/>
      <c r="I473" s="184"/>
      <c r="J473" s="238"/>
      <c r="K473" s="238"/>
      <c r="L473" s="123"/>
      <c r="M473" s="123"/>
      <c r="N473" s="160"/>
      <c r="O473" s="160"/>
      <c r="P473" s="123"/>
      <c r="Q473" s="123"/>
      <c r="R473" s="123"/>
      <c r="T473" s="42"/>
      <c r="V473" s="123"/>
      <c r="W473" s="123"/>
      <c r="X473" s="123"/>
      <c r="Y473" s="123"/>
      <c r="Z473" s="238"/>
      <c r="AA473" s="123"/>
      <c r="AB473" s="123"/>
      <c r="AC473" s="160"/>
      <c r="AD473" s="160"/>
      <c r="AE473" s="123"/>
      <c r="AF473" s="123"/>
      <c r="AH473" s="236"/>
      <c r="AI473" s="123"/>
      <c r="AJ473" s="123"/>
      <c r="AL473" s="123"/>
      <c r="AM473" s="236"/>
      <c r="AN473" s="236"/>
    </row>
    <row r="474" spans="1:40" x14ac:dyDescent="0.3">
      <c r="F474" s="210"/>
      <c r="H474" s="210"/>
      <c r="I474" s="210"/>
      <c r="J474" s="238"/>
      <c r="K474" s="238"/>
      <c r="L474" s="210"/>
      <c r="M474" s="210"/>
      <c r="N474" s="210"/>
      <c r="O474" s="210"/>
      <c r="P474" s="210"/>
      <c r="Q474" s="210"/>
      <c r="R474" s="210"/>
      <c r="V474" s="210"/>
      <c r="Y474" s="210"/>
      <c r="Z474" s="213"/>
      <c r="AA474" s="210"/>
      <c r="AB474" s="210"/>
      <c r="AC474" s="210"/>
      <c r="AD474" s="210"/>
      <c r="AE474" s="210"/>
      <c r="AF474" s="210"/>
      <c r="AI474" s="210"/>
      <c r="AJ474" s="210"/>
      <c r="AK474" s="214"/>
      <c r="AL474" s="210"/>
    </row>
    <row r="475" spans="1:40" x14ac:dyDescent="0.3">
      <c r="C475" s="42"/>
      <c r="F475" s="123"/>
      <c r="H475" s="123"/>
      <c r="I475" s="123"/>
      <c r="L475" s="123"/>
      <c r="M475" s="123"/>
      <c r="N475" s="160"/>
      <c r="O475" s="160"/>
      <c r="P475" s="184"/>
      <c r="Q475" s="184"/>
      <c r="R475" s="123"/>
      <c r="T475" s="42"/>
      <c r="V475" s="123"/>
      <c r="W475" s="123"/>
      <c r="X475" s="123"/>
      <c r="Y475" s="123"/>
      <c r="Z475" s="237"/>
      <c r="AA475" s="123"/>
      <c r="AB475" s="123"/>
      <c r="AC475" s="160"/>
      <c r="AD475" s="160"/>
      <c r="AE475" s="123"/>
      <c r="AF475" s="123"/>
      <c r="AH475" s="236"/>
      <c r="AI475" s="184"/>
      <c r="AJ475" s="184"/>
      <c r="AL475" s="123"/>
      <c r="AM475" s="236"/>
      <c r="AN475" s="236"/>
    </row>
    <row r="476" spans="1:40" x14ac:dyDescent="0.3">
      <c r="H476" s="210"/>
      <c r="I476" s="210"/>
      <c r="J476" s="213"/>
      <c r="K476" s="213"/>
      <c r="L476" s="210"/>
      <c r="M476" s="210"/>
      <c r="N476" s="210"/>
      <c r="O476" s="210"/>
      <c r="P476" s="210"/>
      <c r="Q476" s="210"/>
      <c r="R476" s="210"/>
      <c r="V476" s="210"/>
      <c r="Y476" s="210"/>
      <c r="Z476" s="213"/>
      <c r="AA476" s="210"/>
      <c r="AB476" s="210"/>
      <c r="AC476" s="210"/>
      <c r="AD476" s="210"/>
      <c r="AE476" s="210"/>
      <c r="AF476" s="210"/>
      <c r="AI476" s="210"/>
      <c r="AJ476" s="210"/>
      <c r="AK476" s="214"/>
      <c r="AL476" s="210"/>
    </row>
    <row r="477" spans="1:40" x14ac:dyDescent="0.3">
      <c r="F477" s="210"/>
    </row>
    <row r="479" spans="1:40" x14ac:dyDescent="0.3">
      <c r="A479" s="42"/>
    </row>
    <row r="481" spans="1:40" x14ac:dyDescent="0.3">
      <c r="H481" s="42"/>
      <c r="I481" s="42"/>
      <c r="Y481" s="42"/>
    </row>
    <row r="483" spans="1:40" x14ac:dyDescent="0.3">
      <c r="L483" s="42"/>
      <c r="M483" s="42"/>
      <c r="AA483" s="42"/>
      <c r="AB483" s="42"/>
    </row>
    <row r="484" spans="1:40" x14ac:dyDescent="0.3">
      <c r="R484" s="42"/>
      <c r="AK484" s="206"/>
      <c r="AL484" s="42"/>
    </row>
    <row r="485" spans="1:40" x14ac:dyDescent="0.3">
      <c r="R485" s="42"/>
      <c r="AK485" s="206"/>
      <c r="AL485" s="42"/>
    </row>
    <row r="486" spans="1:40" x14ac:dyDescent="0.3">
      <c r="A486" s="42"/>
      <c r="R486" s="42"/>
      <c r="AK486" s="206"/>
      <c r="AL486" s="42"/>
    </row>
    <row r="487" spans="1:40" x14ac:dyDescent="0.3">
      <c r="L487" s="42"/>
      <c r="M487" s="42"/>
      <c r="AA487" s="42"/>
      <c r="AB487" s="42"/>
    </row>
    <row r="488" spans="1:40" x14ac:dyDescent="0.3">
      <c r="A488" s="135"/>
      <c r="B488" s="135"/>
      <c r="C488" s="135"/>
      <c r="D488" s="135"/>
      <c r="E488" s="135"/>
      <c r="F488" s="135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207"/>
      <c r="AH488" s="135"/>
      <c r="AI488" s="135"/>
      <c r="AJ488" s="135"/>
      <c r="AK488" s="207"/>
      <c r="AL488" s="135"/>
      <c r="AM488" s="135"/>
      <c r="AN488" s="135"/>
    </row>
    <row r="489" spans="1:40" x14ac:dyDescent="0.3">
      <c r="L489" s="44"/>
      <c r="M489" s="44"/>
      <c r="N489" s="44"/>
      <c r="O489" s="44"/>
      <c r="R489" s="44"/>
      <c r="AA489" s="44"/>
      <c r="AB489" s="44"/>
      <c r="AC489" s="44"/>
      <c r="AD489" s="44"/>
      <c r="AE489" s="44"/>
      <c r="AF489" s="44"/>
      <c r="AG489" s="168"/>
      <c r="AH489" s="44"/>
      <c r="AK489" s="168"/>
      <c r="AL489" s="44"/>
      <c r="AM489" s="44"/>
      <c r="AN489" s="44"/>
    </row>
    <row r="490" spans="1:40" x14ac:dyDescent="0.3">
      <c r="L490" s="44"/>
      <c r="M490" s="44"/>
      <c r="N490" s="44"/>
      <c r="O490" s="44"/>
      <c r="R490" s="44"/>
      <c r="Z490" s="44"/>
      <c r="AA490" s="44"/>
      <c r="AB490" s="44"/>
      <c r="AC490" s="44"/>
      <c r="AD490" s="44"/>
      <c r="AE490" s="44"/>
      <c r="AF490" s="44"/>
      <c r="AG490" s="168"/>
      <c r="AH490" s="44"/>
      <c r="AK490" s="168"/>
      <c r="AL490" s="44"/>
      <c r="AM490" s="44"/>
      <c r="AN490" s="44"/>
    </row>
    <row r="491" spans="1:40" x14ac:dyDescent="0.3">
      <c r="A491" s="44"/>
      <c r="C491" s="44"/>
      <c r="D491" s="44"/>
      <c r="E491" s="44"/>
      <c r="F491" s="44"/>
      <c r="J491" s="44"/>
      <c r="K491" s="44"/>
      <c r="L491" s="44"/>
      <c r="M491" s="44"/>
      <c r="N491" s="44"/>
      <c r="O491" s="44"/>
      <c r="P491" s="44"/>
      <c r="Q491" s="44"/>
      <c r="R491" s="44"/>
      <c r="T491" s="44"/>
      <c r="U491" s="44"/>
      <c r="V491" s="44"/>
      <c r="Z491" s="44"/>
      <c r="AA491" s="44"/>
      <c r="AB491" s="44"/>
      <c r="AC491" s="44"/>
      <c r="AD491" s="44"/>
      <c r="AE491" s="44"/>
      <c r="AF491" s="44"/>
      <c r="AG491" s="168"/>
      <c r="AH491" s="44"/>
      <c r="AI491" s="44"/>
      <c r="AJ491" s="44"/>
      <c r="AK491" s="168"/>
      <c r="AL491" s="44"/>
      <c r="AM491" s="44"/>
      <c r="AN491" s="44"/>
    </row>
    <row r="492" spans="1:40" x14ac:dyDescent="0.3">
      <c r="A492" s="44"/>
      <c r="C492" s="44"/>
      <c r="D492" s="44"/>
      <c r="E492" s="44"/>
      <c r="F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T492" s="44"/>
      <c r="U492" s="44"/>
      <c r="V492" s="44"/>
      <c r="Y492" s="44"/>
      <c r="Z492" s="44"/>
      <c r="AA492" s="44"/>
      <c r="AB492" s="44"/>
      <c r="AC492" s="44"/>
      <c r="AD492" s="44"/>
      <c r="AE492" s="44"/>
      <c r="AF492" s="44"/>
      <c r="AG492" s="168"/>
      <c r="AH492" s="44"/>
      <c r="AI492" s="44"/>
      <c r="AJ492" s="44"/>
      <c r="AK492" s="168"/>
      <c r="AL492" s="44"/>
      <c r="AM492" s="44"/>
      <c r="AN492" s="44"/>
    </row>
    <row r="493" spans="1:40" x14ac:dyDescent="0.3">
      <c r="C493" s="44"/>
      <c r="D493" s="44"/>
      <c r="E493" s="44"/>
      <c r="F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T493" s="44"/>
      <c r="U493" s="44"/>
      <c r="V493" s="44"/>
      <c r="Y493" s="44"/>
      <c r="Z493" s="44"/>
      <c r="AA493" s="44"/>
      <c r="AB493" s="44"/>
      <c r="AC493" s="44"/>
      <c r="AD493" s="44"/>
      <c r="AE493" s="44"/>
      <c r="AF493" s="44"/>
      <c r="AG493" s="168"/>
      <c r="AH493" s="44"/>
      <c r="AI493" s="44"/>
      <c r="AJ493" s="44"/>
      <c r="AK493" s="168"/>
      <c r="AL493" s="44"/>
      <c r="AM493" s="44"/>
      <c r="AN493" s="44"/>
    </row>
    <row r="494" spans="1:40" x14ac:dyDescent="0.3">
      <c r="A494" s="135"/>
      <c r="B494" s="135"/>
      <c r="C494" s="135"/>
      <c r="D494" s="135"/>
      <c r="E494" s="135"/>
      <c r="F494" s="135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207"/>
      <c r="AH494" s="135"/>
      <c r="AI494" s="135"/>
      <c r="AJ494" s="135"/>
      <c r="AK494" s="207"/>
      <c r="AL494" s="135"/>
      <c r="AM494" s="135"/>
      <c r="AN494" s="135"/>
    </row>
    <row r="495" spans="1:40" x14ac:dyDescent="0.3"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Y495" s="44"/>
      <c r="Z495" s="44"/>
      <c r="AA495" s="44"/>
      <c r="AB495" s="44"/>
      <c r="AC495" s="44"/>
      <c r="AD495" s="44"/>
      <c r="AE495" s="44"/>
      <c r="AF495" s="44"/>
      <c r="AG495" s="168"/>
      <c r="AH495" s="44"/>
      <c r="AI495" s="44"/>
      <c r="AJ495" s="44"/>
      <c r="AK495" s="168"/>
      <c r="AL495" s="44"/>
      <c r="AM495" s="44"/>
      <c r="AN495" s="44"/>
    </row>
    <row r="496" spans="1:40" x14ac:dyDescent="0.3">
      <c r="C496" s="42"/>
      <c r="D496" s="42"/>
      <c r="E496" s="42"/>
      <c r="T496" s="42"/>
      <c r="U496" s="42"/>
    </row>
    <row r="498" spans="3:40" x14ac:dyDescent="0.3">
      <c r="C498" s="42"/>
      <c r="T498" s="42"/>
    </row>
    <row r="499" spans="3:40" x14ac:dyDescent="0.3">
      <c r="C499" s="42"/>
      <c r="T499" s="42"/>
    </row>
    <row r="500" spans="3:40" x14ac:dyDescent="0.3">
      <c r="C500" s="42"/>
      <c r="F500" s="184"/>
      <c r="H500" s="184"/>
      <c r="I500" s="184"/>
      <c r="J500" s="238"/>
      <c r="K500" s="238"/>
      <c r="L500" s="123"/>
      <c r="M500" s="123"/>
      <c r="N500" s="160"/>
      <c r="O500" s="160"/>
      <c r="P500" s="123"/>
      <c r="Q500" s="123"/>
      <c r="R500" s="123"/>
      <c r="T500" s="42"/>
      <c r="V500" s="123"/>
      <c r="W500" s="123"/>
      <c r="X500" s="123"/>
      <c r="Y500" s="123"/>
      <c r="Z500" s="238"/>
      <c r="AA500" s="123"/>
      <c r="AB500" s="123"/>
      <c r="AC500" s="160"/>
      <c r="AD500" s="160"/>
      <c r="AE500" s="123"/>
      <c r="AF500" s="123"/>
      <c r="AH500" s="236"/>
      <c r="AI500" s="123"/>
      <c r="AJ500" s="123"/>
      <c r="AL500" s="123"/>
      <c r="AM500" s="236"/>
      <c r="AN500" s="236"/>
    </row>
    <row r="501" spans="3:40" x14ac:dyDescent="0.3">
      <c r="C501" s="42"/>
      <c r="F501" s="123"/>
      <c r="H501" s="123"/>
      <c r="I501" s="123"/>
      <c r="J501" s="188"/>
      <c r="K501" s="188"/>
      <c r="L501" s="123"/>
      <c r="M501" s="123"/>
      <c r="N501" s="160"/>
      <c r="O501" s="160"/>
      <c r="P501" s="123"/>
      <c r="Q501" s="123"/>
      <c r="R501" s="123"/>
      <c r="T501" s="42"/>
      <c r="V501" s="123"/>
      <c r="W501" s="123"/>
      <c r="X501" s="123"/>
      <c r="Y501" s="123"/>
      <c r="Z501" s="188"/>
      <c r="AA501" s="123"/>
      <c r="AB501" s="123"/>
      <c r="AC501" s="160"/>
      <c r="AD501" s="160"/>
      <c r="AE501" s="123"/>
      <c r="AF501" s="123"/>
      <c r="AH501" s="236"/>
      <c r="AI501" s="123"/>
      <c r="AJ501" s="123"/>
      <c r="AL501" s="123"/>
      <c r="AM501" s="236"/>
      <c r="AN501" s="236"/>
    </row>
    <row r="502" spans="3:40" x14ac:dyDescent="0.3">
      <c r="C502" s="42"/>
      <c r="F502" s="123"/>
      <c r="H502" s="123"/>
      <c r="I502" s="123"/>
      <c r="J502" s="188"/>
      <c r="K502" s="188"/>
      <c r="L502" s="123"/>
      <c r="M502" s="123"/>
      <c r="N502" s="160"/>
      <c r="O502" s="160"/>
      <c r="P502" s="123"/>
      <c r="Q502" s="123"/>
      <c r="R502" s="123"/>
      <c r="T502" s="42"/>
      <c r="V502" s="123"/>
      <c r="W502" s="123"/>
      <c r="X502" s="123"/>
      <c r="Y502" s="123"/>
      <c r="Z502" s="188"/>
      <c r="AA502" s="123"/>
      <c r="AB502" s="123"/>
      <c r="AC502" s="160"/>
      <c r="AD502" s="160"/>
      <c r="AE502" s="123"/>
      <c r="AF502" s="123"/>
      <c r="AH502" s="236"/>
      <c r="AI502" s="123"/>
      <c r="AJ502" s="123"/>
      <c r="AL502" s="123"/>
      <c r="AM502" s="236"/>
      <c r="AN502" s="236"/>
    </row>
    <row r="503" spans="3:40" x14ac:dyDescent="0.3">
      <c r="C503" s="42"/>
      <c r="F503" s="123"/>
      <c r="H503" s="123"/>
      <c r="I503" s="123"/>
      <c r="J503" s="188"/>
      <c r="K503" s="188"/>
      <c r="T503" s="42"/>
      <c r="V503" s="123"/>
      <c r="Z503" s="188"/>
    </row>
    <row r="504" spans="3:40" x14ac:dyDescent="0.3">
      <c r="C504" s="42"/>
      <c r="F504" s="184"/>
      <c r="H504" s="184"/>
      <c r="I504" s="184"/>
      <c r="J504" s="238"/>
      <c r="K504" s="238"/>
      <c r="L504" s="123"/>
      <c r="M504" s="123"/>
      <c r="N504" s="160"/>
      <c r="O504" s="160"/>
      <c r="P504" s="123"/>
      <c r="Q504" s="123"/>
      <c r="R504" s="123"/>
      <c r="T504" s="42"/>
      <c r="V504" s="123"/>
      <c r="W504" s="123"/>
      <c r="X504" s="123"/>
      <c r="Y504" s="123"/>
      <c r="Z504" s="238"/>
      <c r="AA504" s="123"/>
      <c r="AB504" s="123"/>
      <c r="AC504" s="160"/>
      <c r="AD504" s="160"/>
      <c r="AE504" s="123"/>
      <c r="AF504" s="123"/>
      <c r="AH504" s="236"/>
      <c r="AI504" s="123"/>
      <c r="AJ504" s="123"/>
      <c r="AL504" s="123"/>
      <c r="AM504" s="236"/>
      <c r="AN504" s="236"/>
    </row>
    <row r="505" spans="3:40" x14ac:dyDescent="0.3">
      <c r="C505" s="42"/>
      <c r="F505" s="123"/>
      <c r="H505" s="123"/>
      <c r="I505" s="123"/>
      <c r="J505" s="188"/>
      <c r="K505" s="188"/>
      <c r="T505" s="42"/>
      <c r="V505" s="123"/>
      <c r="W505" s="123"/>
      <c r="X505" s="123"/>
      <c r="Y505" s="123"/>
      <c r="Z505" s="188"/>
      <c r="AC505" s="160"/>
      <c r="AD505" s="160"/>
      <c r="AE505" s="123"/>
      <c r="AF505" s="123"/>
      <c r="AH505" s="236"/>
      <c r="AI505" s="123"/>
      <c r="AJ505" s="123"/>
      <c r="AL505" s="123"/>
      <c r="AM505" s="236"/>
      <c r="AN505" s="236"/>
    </row>
    <row r="506" spans="3:40" x14ac:dyDescent="0.3">
      <c r="C506" s="42"/>
      <c r="F506" s="184"/>
      <c r="H506" s="184"/>
      <c r="I506" s="184"/>
      <c r="J506" s="238"/>
      <c r="K506" s="238"/>
      <c r="L506" s="123"/>
      <c r="M506" s="123"/>
      <c r="N506" s="160"/>
      <c r="O506" s="160"/>
      <c r="P506" s="123"/>
      <c r="Q506" s="123"/>
      <c r="R506" s="123"/>
      <c r="T506" s="42"/>
      <c r="V506" s="123"/>
      <c r="W506" s="123"/>
      <c r="X506" s="123"/>
      <c r="Y506" s="123"/>
      <c r="Z506" s="238"/>
      <c r="AA506" s="123"/>
      <c r="AB506" s="123"/>
      <c r="AC506" s="160"/>
      <c r="AD506" s="160"/>
      <c r="AE506" s="123"/>
      <c r="AF506" s="123"/>
      <c r="AH506" s="236"/>
      <c r="AI506" s="123"/>
      <c r="AJ506" s="123"/>
      <c r="AL506" s="123"/>
      <c r="AM506" s="236"/>
      <c r="AN506" s="236"/>
    </row>
    <row r="507" spans="3:40" x14ac:dyDescent="0.3">
      <c r="C507" s="42"/>
      <c r="F507" s="123"/>
      <c r="H507" s="123"/>
      <c r="I507" s="123"/>
      <c r="J507" s="188"/>
      <c r="K507" s="188"/>
      <c r="L507" s="123"/>
      <c r="M507" s="123"/>
      <c r="N507" s="160"/>
      <c r="O507" s="160"/>
      <c r="P507" s="123"/>
      <c r="Q507" s="123"/>
      <c r="R507" s="123"/>
      <c r="T507" s="42"/>
      <c r="V507" s="123"/>
      <c r="W507" s="123"/>
      <c r="X507" s="123"/>
      <c r="Y507" s="123"/>
      <c r="Z507" s="188"/>
      <c r="AA507" s="123"/>
      <c r="AB507" s="123"/>
      <c r="AC507" s="160"/>
      <c r="AD507" s="160"/>
      <c r="AE507" s="123"/>
      <c r="AF507" s="123"/>
      <c r="AH507" s="236"/>
      <c r="AI507" s="123"/>
      <c r="AJ507" s="123"/>
      <c r="AL507" s="123"/>
      <c r="AM507" s="236"/>
      <c r="AN507" s="236"/>
    </row>
    <row r="508" spans="3:40" x14ac:dyDescent="0.3">
      <c r="F508" s="123"/>
      <c r="H508" s="123"/>
      <c r="I508" s="123"/>
      <c r="J508" s="188"/>
      <c r="K508" s="188"/>
      <c r="Z508" s="188"/>
    </row>
    <row r="509" spans="3:40" x14ac:dyDescent="0.3">
      <c r="C509" s="42"/>
      <c r="F509" s="123"/>
      <c r="H509" s="184"/>
      <c r="I509" s="184"/>
      <c r="J509" s="238"/>
      <c r="K509" s="238"/>
      <c r="L509" s="123"/>
      <c r="M509" s="123"/>
      <c r="N509" s="160"/>
      <c r="O509" s="160"/>
      <c r="P509" s="123"/>
      <c r="Q509" s="123"/>
      <c r="R509" s="123"/>
      <c r="T509" s="42"/>
      <c r="V509" s="123"/>
      <c r="W509" s="123"/>
      <c r="X509" s="123"/>
      <c r="Y509" s="123"/>
      <c r="Z509" s="238"/>
      <c r="AA509" s="123"/>
      <c r="AB509" s="123"/>
      <c r="AC509" s="160"/>
      <c r="AD509" s="160"/>
      <c r="AE509" s="123"/>
      <c r="AF509" s="123"/>
      <c r="AH509" s="236"/>
      <c r="AI509" s="123"/>
      <c r="AJ509" s="123"/>
      <c r="AL509" s="123"/>
      <c r="AM509" s="236"/>
      <c r="AN509" s="236"/>
    </row>
    <row r="510" spans="3:40" x14ac:dyDescent="0.3">
      <c r="F510" s="210"/>
      <c r="H510" s="210"/>
      <c r="I510" s="210"/>
      <c r="J510" s="238"/>
      <c r="K510" s="238"/>
      <c r="L510" s="210"/>
      <c r="M510" s="210"/>
      <c r="N510" s="210"/>
      <c r="O510" s="210"/>
      <c r="P510" s="210"/>
      <c r="Q510" s="210"/>
      <c r="R510" s="210"/>
      <c r="V510" s="210"/>
      <c r="Y510" s="210"/>
      <c r="Z510" s="238"/>
      <c r="AA510" s="210"/>
      <c r="AB510" s="210"/>
      <c r="AC510" s="210"/>
      <c r="AD510" s="210"/>
      <c r="AE510" s="210"/>
      <c r="AF510" s="210"/>
      <c r="AI510" s="210"/>
      <c r="AJ510" s="210"/>
      <c r="AK510" s="214"/>
      <c r="AL510" s="210"/>
    </row>
    <row r="511" spans="3:40" x14ac:dyDescent="0.3">
      <c r="C511" s="42"/>
      <c r="F511" s="123"/>
      <c r="H511" s="123"/>
      <c r="I511" s="123"/>
      <c r="J511" s="188"/>
      <c r="K511" s="188"/>
      <c r="L511" s="123"/>
      <c r="M511" s="123"/>
      <c r="P511" s="123"/>
      <c r="Q511" s="123"/>
      <c r="R511" s="123"/>
      <c r="T511" s="42"/>
      <c r="V511" s="123"/>
      <c r="Y511" s="123"/>
      <c r="Z511" s="188"/>
      <c r="AA511" s="123"/>
      <c r="AB511" s="123"/>
      <c r="AC511" s="236"/>
      <c r="AD511" s="236"/>
      <c r="AE511" s="123"/>
      <c r="AF511" s="123"/>
      <c r="AH511" s="236"/>
      <c r="AI511" s="123"/>
      <c r="AJ511" s="123"/>
      <c r="AL511" s="123"/>
      <c r="AM511" s="236"/>
      <c r="AN511" s="236"/>
    </row>
    <row r="512" spans="3:40" x14ac:dyDescent="0.3">
      <c r="F512" s="210"/>
      <c r="H512" s="210"/>
      <c r="I512" s="210"/>
      <c r="J512" s="238"/>
      <c r="K512" s="238"/>
      <c r="L512" s="210"/>
      <c r="M512" s="210"/>
      <c r="N512" s="210"/>
      <c r="O512" s="210"/>
      <c r="P512" s="210"/>
      <c r="Q512" s="210"/>
      <c r="R512" s="210"/>
      <c r="V512" s="210"/>
      <c r="Y512" s="210"/>
      <c r="Z512" s="238"/>
      <c r="AA512" s="210"/>
      <c r="AB512" s="210"/>
      <c r="AC512" s="210"/>
      <c r="AD512" s="210"/>
      <c r="AE512" s="210"/>
      <c r="AF512" s="210"/>
      <c r="AI512" s="210"/>
      <c r="AJ512" s="210"/>
      <c r="AK512" s="214"/>
      <c r="AL512" s="210"/>
    </row>
    <row r="513" spans="1:40" x14ac:dyDescent="0.3">
      <c r="J513" s="188"/>
      <c r="K513" s="188"/>
      <c r="Z513" s="188"/>
    </row>
    <row r="514" spans="1:40" x14ac:dyDescent="0.3">
      <c r="C514" s="42"/>
      <c r="J514" s="188"/>
      <c r="K514" s="188"/>
      <c r="T514" s="42"/>
      <c r="Z514" s="188"/>
    </row>
    <row r="515" spans="1:40" x14ac:dyDescent="0.3">
      <c r="C515" s="42"/>
      <c r="J515" s="188"/>
      <c r="K515" s="188"/>
      <c r="T515" s="42"/>
      <c r="Z515" s="188"/>
    </row>
    <row r="516" spans="1:40" x14ac:dyDescent="0.3">
      <c r="C516" s="42"/>
      <c r="F516" s="184"/>
      <c r="H516" s="184"/>
      <c r="I516" s="184"/>
      <c r="J516" s="238"/>
      <c r="K516" s="238"/>
      <c r="L516" s="123"/>
      <c r="M516" s="123"/>
      <c r="N516" s="160"/>
      <c r="O516" s="160"/>
      <c r="P516" s="123"/>
      <c r="Q516" s="123"/>
      <c r="R516" s="123"/>
      <c r="T516" s="42"/>
      <c r="V516" s="123"/>
      <c r="W516" s="123"/>
      <c r="X516" s="123"/>
      <c r="Y516" s="123"/>
      <c r="Z516" s="238"/>
      <c r="AA516" s="123"/>
      <c r="AB516" s="123"/>
      <c r="AC516" s="160"/>
      <c r="AD516" s="160"/>
      <c r="AE516" s="123"/>
      <c r="AF516" s="123"/>
      <c r="AH516" s="236"/>
      <c r="AI516" s="123"/>
      <c r="AJ516" s="123"/>
      <c r="AL516" s="123"/>
      <c r="AM516" s="236"/>
      <c r="AN516" s="236"/>
    </row>
    <row r="517" spans="1:40" x14ac:dyDescent="0.3">
      <c r="C517" s="42"/>
      <c r="J517" s="188"/>
      <c r="K517" s="188"/>
      <c r="T517" s="42"/>
      <c r="Z517" s="188"/>
    </row>
    <row r="518" spans="1:40" x14ac:dyDescent="0.3">
      <c r="C518" s="42"/>
      <c r="F518" s="184"/>
      <c r="H518" s="184"/>
      <c r="I518" s="184"/>
      <c r="J518" s="238"/>
      <c r="K518" s="238"/>
      <c r="L518" s="123"/>
      <c r="M518" s="123"/>
      <c r="N518" s="160"/>
      <c r="O518" s="160"/>
      <c r="P518" s="123"/>
      <c r="Q518" s="123"/>
      <c r="R518" s="123"/>
      <c r="T518" s="42"/>
      <c r="V518" s="123"/>
      <c r="W518" s="123"/>
      <c r="X518" s="123"/>
      <c r="Y518" s="123"/>
      <c r="Z518" s="238"/>
      <c r="AA518" s="123"/>
      <c r="AB518" s="123"/>
      <c r="AC518" s="160"/>
      <c r="AD518" s="160"/>
      <c r="AE518" s="123"/>
      <c r="AF518" s="123"/>
      <c r="AH518" s="236"/>
      <c r="AI518" s="123"/>
      <c r="AJ518" s="123"/>
      <c r="AL518" s="123"/>
      <c r="AM518" s="236"/>
      <c r="AN518" s="236"/>
    </row>
    <row r="519" spans="1:40" x14ac:dyDescent="0.3">
      <c r="F519" s="210"/>
      <c r="H519" s="210"/>
      <c r="I519" s="210"/>
      <c r="J519" s="238"/>
      <c r="K519" s="238"/>
      <c r="L519" s="210"/>
      <c r="M519" s="210"/>
      <c r="N519" s="210"/>
      <c r="O519" s="210"/>
      <c r="P519" s="210"/>
      <c r="Q519" s="210"/>
      <c r="R519" s="210"/>
      <c r="V519" s="210"/>
      <c r="Y519" s="210"/>
      <c r="Z519" s="238"/>
      <c r="AA519" s="210"/>
      <c r="AB519" s="210"/>
      <c r="AC519" s="210"/>
      <c r="AD519" s="210"/>
      <c r="AE519" s="210"/>
      <c r="AF519" s="210"/>
      <c r="AI519" s="210"/>
      <c r="AJ519" s="210"/>
      <c r="AK519" s="214"/>
      <c r="AL519" s="210"/>
    </row>
    <row r="520" spans="1:40" x14ac:dyDescent="0.3">
      <c r="C520" s="42"/>
      <c r="F520" s="123"/>
      <c r="H520" s="123"/>
      <c r="I520" s="123"/>
      <c r="J520" s="188"/>
      <c r="K520" s="188"/>
      <c r="L520" s="123"/>
      <c r="M520" s="123"/>
      <c r="N520" s="236"/>
      <c r="O520" s="236"/>
      <c r="P520" s="123"/>
      <c r="Q520" s="123"/>
      <c r="R520" s="123"/>
      <c r="T520" s="42"/>
      <c r="V520" s="123"/>
      <c r="Y520" s="123"/>
      <c r="Z520" s="188"/>
      <c r="AA520" s="123"/>
      <c r="AB520" s="123"/>
      <c r="AC520" s="236"/>
      <c r="AD520" s="236"/>
      <c r="AE520" s="123"/>
      <c r="AF520" s="123"/>
      <c r="AH520" s="236"/>
      <c r="AI520" s="123"/>
      <c r="AJ520" s="123"/>
      <c r="AL520" s="123"/>
      <c r="AM520" s="236"/>
      <c r="AN520" s="236"/>
    </row>
    <row r="521" spans="1:40" x14ac:dyDescent="0.3">
      <c r="F521" s="210"/>
      <c r="H521" s="210"/>
      <c r="I521" s="210"/>
      <c r="J521" s="238"/>
      <c r="K521" s="238"/>
      <c r="L521" s="210"/>
      <c r="M521" s="210"/>
      <c r="N521" s="210"/>
      <c r="O521" s="210"/>
      <c r="P521" s="210"/>
      <c r="Q521" s="210"/>
      <c r="R521" s="210"/>
      <c r="V521" s="210"/>
      <c r="Y521" s="210"/>
      <c r="Z521" s="213"/>
      <c r="AA521" s="210"/>
      <c r="AB521" s="210"/>
      <c r="AC521" s="210"/>
      <c r="AD521" s="210"/>
      <c r="AE521" s="210"/>
      <c r="AF521" s="210"/>
      <c r="AI521" s="210"/>
      <c r="AJ521" s="210"/>
      <c r="AK521" s="214"/>
      <c r="AL521" s="210"/>
    </row>
    <row r="522" spans="1:40" x14ac:dyDescent="0.3">
      <c r="J522" s="188"/>
      <c r="K522" s="188"/>
    </row>
    <row r="523" spans="1:40" x14ac:dyDescent="0.3">
      <c r="C523" s="42"/>
      <c r="F523" s="123"/>
      <c r="H523" s="123"/>
      <c r="I523" s="123"/>
      <c r="J523" s="188"/>
      <c r="K523" s="188"/>
      <c r="L523" s="123"/>
      <c r="M523" s="123"/>
      <c r="N523" s="160"/>
      <c r="O523" s="160"/>
      <c r="P523" s="184"/>
      <c r="Q523" s="184"/>
      <c r="R523" s="123"/>
      <c r="T523" s="42"/>
      <c r="V523" s="123"/>
      <c r="Y523" s="123"/>
      <c r="AA523" s="123"/>
      <c r="AB523" s="123"/>
      <c r="AC523" s="236"/>
      <c r="AD523" s="236"/>
      <c r="AE523" s="123"/>
      <c r="AF523" s="123"/>
      <c r="AH523" s="236"/>
      <c r="AI523" s="184"/>
      <c r="AJ523" s="184"/>
      <c r="AL523" s="123"/>
      <c r="AM523" s="236"/>
      <c r="AN523" s="236"/>
    </row>
    <row r="524" spans="1:40" x14ac:dyDescent="0.3">
      <c r="H524" s="210"/>
      <c r="I524" s="210"/>
      <c r="J524" s="238"/>
      <c r="K524" s="238"/>
      <c r="L524" s="210"/>
      <c r="M524" s="210"/>
      <c r="N524" s="210"/>
      <c r="O524" s="210"/>
      <c r="P524" s="210"/>
      <c r="Q524" s="210"/>
      <c r="R524" s="210"/>
      <c r="V524" s="210"/>
      <c r="Y524" s="210"/>
      <c r="Z524" s="213"/>
      <c r="AA524" s="210"/>
      <c r="AB524" s="210"/>
      <c r="AC524" s="210"/>
      <c r="AD524" s="210"/>
      <c r="AE524" s="210"/>
      <c r="AF524" s="210"/>
      <c r="AI524" s="210"/>
      <c r="AJ524" s="210"/>
      <c r="AK524" s="214"/>
      <c r="AL524" s="210"/>
    </row>
    <row r="525" spans="1:40" x14ac:dyDescent="0.3">
      <c r="F525" s="210"/>
    </row>
    <row r="527" spans="1:40" x14ac:dyDescent="0.3">
      <c r="A527" s="42"/>
    </row>
    <row r="529" spans="1:40" x14ac:dyDescent="0.3">
      <c r="H529" s="42"/>
      <c r="I529" s="42"/>
      <c r="Y529" s="42"/>
    </row>
    <row r="531" spans="1:40" x14ac:dyDescent="0.3">
      <c r="L531" s="42"/>
      <c r="M531" s="42"/>
      <c r="AA531" s="42"/>
      <c r="AB531" s="42"/>
    </row>
    <row r="532" spans="1:40" x14ac:dyDescent="0.3">
      <c r="R532" s="42"/>
      <c r="AK532" s="206"/>
      <c r="AL532" s="42"/>
    </row>
    <row r="533" spans="1:40" x14ac:dyDescent="0.3">
      <c r="R533" s="42"/>
      <c r="AK533" s="206"/>
      <c r="AL533" s="42"/>
    </row>
    <row r="534" spans="1:40" x14ac:dyDescent="0.3">
      <c r="A534" s="42"/>
      <c r="R534" s="42"/>
      <c r="AK534" s="206"/>
      <c r="AL534" s="42"/>
    </row>
    <row r="535" spans="1:40" x14ac:dyDescent="0.3">
      <c r="L535" s="42"/>
      <c r="M535" s="42"/>
      <c r="AA535" s="42"/>
      <c r="AB535" s="42"/>
    </row>
    <row r="536" spans="1:40" x14ac:dyDescent="0.3">
      <c r="A536" s="135"/>
      <c r="B536" s="135"/>
      <c r="C536" s="135"/>
      <c r="D536" s="135"/>
      <c r="E536" s="135"/>
      <c r="F536" s="135"/>
      <c r="G536" s="135"/>
      <c r="H536" s="135"/>
      <c r="I536" s="135"/>
      <c r="J536" s="135"/>
      <c r="K536" s="135"/>
      <c r="L536" s="135"/>
      <c r="M536" s="135"/>
      <c r="N536" s="135"/>
      <c r="O536" s="135"/>
      <c r="P536" s="135"/>
      <c r="Q536" s="135"/>
      <c r="R536" s="135"/>
      <c r="T536" s="135"/>
      <c r="U536" s="135"/>
      <c r="V536" s="135"/>
      <c r="W536" s="135"/>
      <c r="X536" s="135"/>
      <c r="Y536" s="135"/>
      <c r="Z536" s="135"/>
      <c r="AA536" s="135"/>
      <c r="AB536" s="135"/>
      <c r="AC536" s="135"/>
      <c r="AD536" s="135"/>
      <c r="AE536" s="135"/>
      <c r="AF536" s="135"/>
      <c r="AG536" s="207"/>
      <c r="AH536" s="135"/>
      <c r="AI536" s="135"/>
      <c r="AJ536" s="135"/>
      <c r="AK536" s="207"/>
      <c r="AL536" s="135"/>
      <c r="AM536" s="135"/>
      <c r="AN536" s="135"/>
    </row>
    <row r="537" spans="1:40" x14ac:dyDescent="0.3">
      <c r="L537" s="44"/>
      <c r="M537" s="44"/>
      <c r="N537" s="44"/>
      <c r="O537" s="44"/>
      <c r="R537" s="44"/>
      <c r="AA537" s="44"/>
      <c r="AB537" s="44"/>
      <c r="AC537" s="44"/>
      <c r="AD537" s="44"/>
      <c r="AE537" s="44"/>
      <c r="AF537" s="44"/>
      <c r="AG537" s="168"/>
      <c r="AH537" s="44"/>
      <c r="AK537" s="168"/>
      <c r="AL537" s="44"/>
      <c r="AM537" s="44"/>
      <c r="AN537" s="44"/>
    </row>
    <row r="538" spans="1:40" x14ac:dyDescent="0.3">
      <c r="L538" s="44"/>
      <c r="M538" s="44"/>
      <c r="N538" s="44"/>
      <c r="O538" s="44"/>
      <c r="R538" s="44"/>
      <c r="Z538" s="44"/>
      <c r="AA538" s="44"/>
      <c r="AB538" s="44"/>
      <c r="AC538" s="44"/>
      <c r="AD538" s="44"/>
      <c r="AE538" s="44"/>
      <c r="AF538" s="44"/>
      <c r="AG538" s="168"/>
      <c r="AH538" s="44"/>
      <c r="AK538" s="168"/>
      <c r="AL538" s="44"/>
      <c r="AM538" s="44"/>
      <c r="AN538" s="44"/>
    </row>
    <row r="539" spans="1:40" x14ac:dyDescent="0.3">
      <c r="A539" s="44"/>
      <c r="C539" s="44"/>
      <c r="D539" s="44"/>
      <c r="E539" s="44"/>
      <c r="F539" s="44"/>
      <c r="J539" s="44"/>
      <c r="K539" s="44"/>
      <c r="L539" s="44"/>
      <c r="M539" s="44"/>
      <c r="N539" s="44"/>
      <c r="O539" s="44"/>
      <c r="P539" s="44"/>
      <c r="Q539" s="44"/>
      <c r="R539" s="44"/>
      <c r="T539" s="44"/>
      <c r="U539" s="44"/>
      <c r="V539" s="44"/>
      <c r="Z539" s="44"/>
      <c r="AA539" s="44"/>
      <c r="AB539" s="44"/>
      <c r="AC539" s="44"/>
      <c r="AD539" s="44"/>
      <c r="AE539" s="44"/>
      <c r="AF539" s="44"/>
      <c r="AG539" s="168"/>
      <c r="AH539" s="44"/>
      <c r="AI539" s="44"/>
      <c r="AJ539" s="44"/>
      <c r="AK539" s="168"/>
      <c r="AL539" s="44"/>
      <c r="AM539" s="44"/>
      <c r="AN539" s="44"/>
    </row>
    <row r="540" spans="1:40" x14ac:dyDescent="0.3">
      <c r="A540" s="44"/>
      <c r="C540" s="44"/>
      <c r="D540" s="44"/>
      <c r="E540" s="44"/>
      <c r="F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T540" s="44"/>
      <c r="U540" s="44"/>
      <c r="V540" s="44"/>
      <c r="Y540" s="44"/>
      <c r="Z540" s="44"/>
      <c r="AA540" s="44"/>
      <c r="AB540" s="44"/>
      <c r="AC540" s="44"/>
      <c r="AD540" s="44"/>
      <c r="AE540" s="44"/>
      <c r="AF540" s="44"/>
      <c r="AG540" s="168"/>
      <c r="AH540" s="44"/>
      <c r="AI540" s="44"/>
      <c r="AJ540" s="44"/>
      <c r="AK540" s="168"/>
      <c r="AL540" s="44"/>
      <c r="AM540" s="44"/>
      <c r="AN540" s="44"/>
    </row>
    <row r="541" spans="1:40" x14ac:dyDescent="0.3">
      <c r="C541" s="44"/>
      <c r="D541" s="44"/>
      <c r="E541" s="44"/>
      <c r="F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T541" s="44"/>
      <c r="U541" s="44"/>
      <c r="V541" s="44"/>
      <c r="Y541" s="44"/>
      <c r="Z541" s="44"/>
      <c r="AA541" s="44"/>
      <c r="AB541" s="44"/>
      <c r="AC541" s="44"/>
      <c r="AD541" s="44"/>
      <c r="AE541" s="44"/>
      <c r="AF541" s="44"/>
      <c r="AG541" s="168"/>
      <c r="AH541" s="44"/>
      <c r="AI541" s="44"/>
      <c r="AJ541" s="44"/>
      <c r="AK541" s="168"/>
      <c r="AL541" s="44"/>
      <c r="AM541" s="44"/>
      <c r="AN541" s="44"/>
    </row>
    <row r="542" spans="1:40" x14ac:dyDescent="0.3">
      <c r="A542" s="135"/>
      <c r="B542" s="135"/>
      <c r="C542" s="135"/>
      <c r="D542" s="135"/>
      <c r="E542" s="135"/>
      <c r="F542" s="135"/>
      <c r="G542" s="135"/>
      <c r="H542" s="135"/>
      <c r="I542" s="135"/>
      <c r="J542" s="135"/>
      <c r="K542" s="135"/>
      <c r="L542" s="135"/>
      <c r="M542" s="135"/>
      <c r="N542" s="135"/>
      <c r="O542" s="135"/>
      <c r="P542" s="135"/>
      <c r="Q542" s="135"/>
      <c r="R542" s="135"/>
      <c r="T542" s="135"/>
      <c r="U542" s="135"/>
      <c r="V542" s="135"/>
      <c r="W542" s="135"/>
      <c r="X542" s="135"/>
      <c r="Y542" s="135"/>
      <c r="Z542" s="135"/>
      <c r="AA542" s="135"/>
      <c r="AB542" s="135"/>
      <c r="AC542" s="135"/>
      <c r="AD542" s="135"/>
      <c r="AE542" s="135"/>
      <c r="AF542" s="135"/>
      <c r="AG542" s="207"/>
      <c r="AH542" s="135"/>
      <c r="AI542" s="135"/>
      <c r="AJ542" s="135"/>
      <c r="AK542" s="207"/>
      <c r="AL542" s="135"/>
      <c r="AM542" s="135"/>
      <c r="AN542" s="135"/>
    </row>
    <row r="543" spans="1:40" x14ac:dyDescent="0.3"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Y543" s="44"/>
      <c r="Z543" s="44"/>
      <c r="AA543" s="44"/>
      <c r="AB543" s="44"/>
      <c r="AC543" s="44"/>
      <c r="AD543" s="44"/>
      <c r="AE543" s="44"/>
      <c r="AF543" s="44"/>
      <c r="AG543" s="168"/>
      <c r="AH543" s="44"/>
      <c r="AI543" s="44"/>
      <c r="AJ543" s="44"/>
      <c r="AK543" s="168"/>
      <c r="AL543" s="44"/>
      <c r="AM543" s="44"/>
      <c r="AN543" s="44"/>
    </row>
    <row r="544" spans="1:40" x14ac:dyDescent="0.3">
      <c r="C544" s="42"/>
      <c r="D544" s="42"/>
      <c r="E544" s="42"/>
      <c r="T544" s="42"/>
      <c r="U544" s="42"/>
    </row>
    <row r="546" spans="3:40" x14ac:dyDescent="0.3">
      <c r="C546" s="42"/>
      <c r="D546" s="42"/>
      <c r="E546" s="42"/>
      <c r="T546" s="42"/>
      <c r="U546" s="42"/>
    </row>
    <row r="547" spans="3:40" x14ac:dyDescent="0.3">
      <c r="C547" s="42"/>
      <c r="T547" s="42"/>
    </row>
    <row r="548" spans="3:40" x14ac:dyDescent="0.3">
      <c r="C548" s="42"/>
      <c r="T548" s="42"/>
    </row>
    <row r="549" spans="3:40" x14ac:dyDescent="0.3">
      <c r="C549" s="42"/>
      <c r="H549" s="184"/>
      <c r="I549" s="184"/>
      <c r="J549" s="238"/>
      <c r="K549" s="238"/>
      <c r="L549" s="123"/>
      <c r="M549" s="123"/>
      <c r="N549" s="160"/>
      <c r="O549" s="160"/>
      <c r="P549" s="123"/>
      <c r="Q549" s="123"/>
      <c r="R549" s="123"/>
      <c r="T549" s="42"/>
      <c r="V549" s="123"/>
      <c r="W549" s="123"/>
      <c r="X549" s="123"/>
      <c r="Y549" s="123"/>
      <c r="Z549" s="238"/>
      <c r="AA549" s="123"/>
      <c r="AB549" s="123"/>
      <c r="AC549" s="160"/>
      <c r="AD549" s="160"/>
      <c r="AE549" s="123"/>
      <c r="AF549" s="123"/>
      <c r="AH549" s="236"/>
      <c r="AI549" s="123"/>
      <c r="AJ549" s="123"/>
      <c r="AL549" s="123"/>
      <c r="AM549" s="160"/>
      <c r="AN549" s="160"/>
    </row>
    <row r="550" spans="3:40" x14ac:dyDescent="0.3">
      <c r="C550" s="42"/>
      <c r="F550" s="184"/>
      <c r="J550" s="188"/>
      <c r="K550" s="188"/>
      <c r="T550" s="42"/>
      <c r="V550" s="123"/>
      <c r="W550" s="123"/>
      <c r="X550" s="123"/>
      <c r="Y550" s="123"/>
      <c r="Z550" s="238"/>
    </row>
    <row r="551" spans="3:40" x14ac:dyDescent="0.3">
      <c r="C551" s="42"/>
      <c r="H551" s="184"/>
      <c r="I551" s="184"/>
      <c r="J551" s="238"/>
      <c r="K551" s="238"/>
      <c r="L551" s="123"/>
      <c r="M551" s="123"/>
      <c r="N551" s="160"/>
      <c r="O551" s="160"/>
      <c r="P551" s="123"/>
      <c r="Q551" s="123"/>
      <c r="R551" s="123"/>
      <c r="T551" s="42"/>
      <c r="V551" s="123"/>
      <c r="W551" s="123"/>
      <c r="X551" s="123"/>
      <c r="Y551" s="123"/>
      <c r="Z551" s="238"/>
      <c r="AA551" s="123"/>
      <c r="AB551" s="123"/>
      <c r="AC551" s="160"/>
      <c r="AD551" s="160"/>
      <c r="AE551" s="123"/>
      <c r="AF551" s="123"/>
      <c r="AH551" s="236"/>
      <c r="AI551" s="123"/>
      <c r="AJ551" s="123"/>
      <c r="AL551" s="123"/>
      <c r="AM551" s="160"/>
      <c r="AN551" s="160"/>
    </row>
    <row r="552" spans="3:40" x14ac:dyDescent="0.3">
      <c r="C552" s="42"/>
      <c r="F552" s="184"/>
      <c r="J552" s="188"/>
      <c r="K552" s="188"/>
      <c r="T552" s="42"/>
      <c r="V552" s="123"/>
      <c r="W552" s="123"/>
      <c r="X552" s="123"/>
      <c r="Y552" s="123"/>
      <c r="Z552" s="238"/>
    </row>
    <row r="553" spans="3:40" x14ac:dyDescent="0.3">
      <c r="C553" s="42"/>
      <c r="H553" s="184"/>
      <c r="I553" s="184"/>
      <c r="J553" s="238"/>
      <c r="K553" s="238"/>
      <c r="L553" s="123"/>
      <c r="M553" s="123"/>
      <c r="N553" s="160"/>
      <c r="O553" s="160"/>
      <c r="P553" s="123"/>
      <c r="Q553" s="123"/>
      <c r="R553" s="123"/>
      <c r="T553" s="42"/>
      <c r="V553" s="123"/>
      <c r="W553" s="123"/>
      <c r="X553" s="123"/>
      <c r="Y553" s="123"/>
      <c r="Z553" s="238"/>
      <c r="AA553" s="123"/>
      <c r="AB553" s="123"/>
      <c r="AC553" s="160"/>
      <c r="AD553" s="160"/>
      <c r="AE553" s="123"/>
      <c r="AF553" s="123"/>
      <c r="AH553" s="236"/>
      <c r="AI553" s="123"/>
      <c r="AJ553" s="123"/>
      <c r="AL553" s="123"/>
      <c r="AM553" s="160"/>
      <c r="AN553" s="160"/>
    </row>
    <row r="554" spans="3:40" x14ac:dyDescent="0.3">
      <c r="C554" s="42"/>
      <c r="F554" s="184"/>
      <c r="J554" s="188"/>
      <c r="K554" s="188"/>
      <c r="T554" s="42"/>
      <c r="V554" s="123"/>
      <c r="W554" s="123"/>
      <c r="X554" s="123"/>
      <c r="Y554" s="123"/>
      <c r="Z554" s="238"/>
    </row>
    <row r="555" spans="3:40" x14ac:dyDescent="0.3">
      <c r="C555" s="42"/>
      <c r="H555" s="184"/>
      <c r="I555" s="184"/>
      <c r="J555" s="238"/>
      <c r="K555" s="238"/>
      <c r="L555" s="123"/>
      <c r="M555" s="123"/>
      <c r="N555" s="160"/>
      <c r="O555" s="160"/>
      <c r="P555" s="123"/>
      <c r="Q555" s="123"/>
      <c r="R555" s="123"/>
      <c r="T555" s="42"/>
      <c r="V555" s="123"/>
      <c r="W555" s="123"/>
      <c r="X555" s="123"/>
      <c r="Y555" s="123"/>
      <c r="Z555" s="238"/>
      <c r="AA555" s="123"/>
      <c r="AB555" s="123"/>
      <c r="AC555" s="160"/>
      <c r="AD555" s="160"/>
      <c r="AE555" s="123"/>
      <c r="AF555" s="123"/>
      <c r="AH555" s="236"/>
      <c r="AI555" s="123"/>
      <c r="AJ555" s="123"/>
      <c r="AL555" s="123"/>
      <c r="AM555" s="160"/>
      <c r="AN555" s="160"/>
    </row>
    <row r="556" spans="3:40" x14ac:dyDescent="0.3">
      <c r="C556" s="42"/>
      <c r="F556" s="184"/>
      <c r="J556" s="188"/>
      <c r="K556" s="188"/>
      <c r="T556" s="42"/>
      <c r="V556" s="123"/>
      <c r="W556" s="123"/>
      <c r="X556" s="123"/>
      <c r="Y556" s="123"/>
      <c r="Z556" s="238"/>
    </row>
    <row r="557" spans="3:40" x14ac:dyDescent="0.3">
      <c r="C557" s="42"/>
      <c r="H557" s="184"/>
      <c r="I557" s="184"/>
      <c r="J557" s="238"/>
      <c r="K557" s="238"/>
      <c r="L557" s="123"/>
      <c r="M557" s="123"/>
      <c r="N557" s="160"/>
      <c r="O557" s="160"/>
      <c r="P557" s="123"/>
      <c r="Q557" s="123"/>
      <c r="R557" s="123"/>
      <c r="T557" s="42"/>
      <c r="V557" s="123"/>
      <c r="W557" s="123"/>
      <c r="X557" s="123"/>
      <c r="Y557" s="123"/>
      <c r="Z557" s="238"/>
      <c r="AA557" s="123"/>
      <c r="AB557" s="123"/>
      <c r="AC557" s="160"/>
      <c r="AD557" s="160"/>
      <c r="AE557" s="123"/>
      <c r="AF557" s="123"/>
      <c r="AH557" s="236"/>
      <c r="AI557" s="123"/>
      <c r="AJ557" s="123"/>
      <c r="AL557" s="123"/>
      <c r="AM557" s="160"/>
      <c r="AN557" s="160"/>
    </row>
    <row r="558" spans="3:40" x14ac:dyDescent="0.3">
      <c r="C558" s="42"/>
      <c r="F558" s="184"/>
      <c r="J558" s="188"/>
      <c r="K558" s="188"/>
      <c r="T558" s="42"/>
      <c r="V558" s="123"/>
      <c r="W558" s="123"/>
      <c r="X558" s="123"/>
      <c r="Y558" s="123"/>
      <c r="Z558" s="238"/>
    </row>
    <row r="559" spans="3:40" x14ac:dyDescent="0.3">
      <c r="C559" s="42"/>
      <c r="H559" s="184"/>
      <c r="I559" s="184"/>
      <c r="J559" s="238"/>
      <c r="K559" s="238"/>
      <c r="L559" s="123"/>
      <c r="M559" s="123"/>
      <c r="N559" s="160"/>
      <c r="O559" s="160"/>
      <c r="P559" s="123"/>
      <c r="Q559" s="123"/>
      <c r="R559" s="123"/>
      <c r="T559" s="42"/>
      <c r="V559" s="123"/>
      <c r="W559" s="123"/>
      <c r="X559" s="123"/>
      <c r="Y559" s="123"/>
      <c r="Z559" s="238"/>
      <c r="AA559" s="123"/>
      <c r="AB559" s="123"/>
      <c r="AC559" s="160"/>
      <c r="AD559" s="160"/>
      <c r="AE559" s="123"/>
      <c r="AF559" s="123"/>
      <c r="AH559" s="236"/>
      <c r="AI559" s="123"/>
      <c r="AJ559" s="123"/>
      <c r="AL559" s="123"/>
      <c r="AM559" s="160"/>
      <c r="AN559" s="160"/>
    </row>
    <row r="560" spans="3:40" x14ac:dyDescent="0.3">
      <c r="F560" s="184"/>
      <c r="H560" s="210"/>
      <c r="I560" s="210"/>
      <c r="J560" s="238"/>
      <c r="K560" s="238"/>
      <c r="L560" s="210"/>
      <c r="M560" s="210"/>
      <c r="N560" s="210"/>
      <c r="O560" s="210"/>
      <c r="P560" s="210"/>
      <c r="Q560" s="210"/>
      <c r="R560" s="210"/>
      <c r="V560" s="210"/>
      <c r="Y560" s="210"/>
      <c r="Z560" s="238"/>
      <c r="AA560" s="210"/>
      <c r="AB560" s="210"/>
      <c r="AC560" s="210"/>
      <c r="AD560" s="210"/>
      <c r="AE560" s="210"/>
      <c r="AF560" s="210"/>
      <c r="AI560" s="210"/>
      <c r="AJ560" s="210"/>
      <c r="AK560" s="214"/>
      <c r="AL560" s="210"/>
      <c r="AM560" s="160"/>
      <c r="AN560" s="160"/>
    </row>
    <row r="561" spans="3:40" x14ac:dyDescent="0.3">
      <c r="C561" s="42"/>
      <c r="F561" s="210"/>
      <c r="H561" s="123"/>
      <c r="I561" s="123"/>
      <c r="J561" s="188"/>
      <c r="K561" s="188"/>
      <c r="L561" s="123"/>
      <c r="M561" s="123"/>
      <c r="N561" s="160"/>
      <c r="O561" s="160"/>
      <c r="P561" s="184"/>
      <c r="Q561" s="184"/>
      <c r="R561" s="123"/>
      <c r="T561" s="42"/>
      <c r="V561" s="123"/>
      <c r="W561" s="123"/>
      <c r="X561" s="123"/>
      <c r="Y561" s="123"/>
      <c r="Z561" s="238"/>
      <c r="AA561" s="123"/>
      <c r="AB561" s="123"/>
      <c r="AC561" s="160"/>
      <c r="AD561" s="160"/>
      <c r="AE561" s="123"/>
      <c r="AF561" s="123"/>
      <c r="AH561" s="236"/>
      <c r="AI561" s="184"/>
      <c r="AJ561" s="184"/>
      <c r="AL561" s="123"/>
      <c r="AM561" s="160"/>
      <c r="AN561" s="160"/>
    </row>
    <row r="562" spans="3:40" x14ac:dyDescent="0.3">
      <c r="F562" s="123"/>
      <c r="H562" s="210"/>
      <c r="I562" s="210"/>
      <c r="J562" s="238"/>
      <c r="K562" s="238"/>
      <c r="L562" s="210"/>
      <c r="M562" s="210"/>
      <c r="N562" s="210"/>
      <c r="O562" s="210"/>
      <c r="P562" s="210"/>
      <c r="Q562" s="210"/>
      <c r="R562" s="210"/>
      <c r="V562" s="210"/>
      <c r="Y562" s="210"/>
      <c r="Z562" s="238"/>
      <c r="AA562" s="210"/>
      <c r="AB562" s="210"/>
      <c r="AC562" s="210"/>
      <c r="AD562" s="210"/>
      <c r="AE562" s="210"/>
      <c r="AF562" s="210"/>
      <c r="AI562" s="210"/>
      <c r="AJ562" s="210"/>
      <c r="AK562" s="214"/>
      <c r="AL562" s="210"/>
    </row>
    <row r="563" spans="3:40" x14ac:dyDescent="0.3">
      <c r="C563" s="42"/>
      <c r="D563" s="42"/>
      <c r="E563" s="42"/>
      <c r="F563" s="210"/>
      <c r="J563" s="188"/>
      <c r="K563" s="188"/>
      <c r="T563" s="42"/>
      <c r="U563" s="42"/>
      <c r="V563" s="123"/>
      <c r="W563" s="123"/>
      <c r="X563" s="123"/>
      <c r="Y563" s="123"/>
      <c r="Z563" s="238"/>
    </row>
    <row r="564" spans="3:40" x14ac:dyDescent="0.3">
      <c r="C564" s="42"/>
      <c r="J564" s="188"/>
      <c r="K564" s="188"/>
      <c r="T564" s="42"/>
      <c r="V564" s="123"/>
      <c r="W564" s="123"/>
      <c r="X564" s="123"/>
      <c r="Y564" s="123"/>
      <c r="Z564" s="238"/>
    </row>
    <row r="565" spans="3:40" x14ac:dyDescent="0.3">
      <c r="C565" s="42"/>
      <c r="J565" s="188"/>
      <c r="K565" s="188"/>
      <c r="T565" s="42"/>
      <c r="V565" s="123"/>
      <c r="W565" s="123"/>
      <c r="X565" s="123"/>
      <c r="Y565" s="123"/>
      <c r="Z565" s="238"/>
    </row>
    <row r="566" spans="3:40" x14ac:dyDescent="0.3">
      <c r="C566" s="42"/>
      <c r="H566" s="184"/>
      <c r="I566" s="184"/>
      <c r="J566" s="238"/>
      <c r="K566" s="238"/>
      <c r="L566" s="123"/>
      <c r="M566" s="123"/>
      <c r="N566" s="160"/>
      <c r="O566" s="160"/>
      <c r="P566" s="123"/>
      <c r="Q566" s="123"/>
      <c r="R566" s="123"/>
      <c r="T566" s="42"/>
      <c r="V566" s="123"/>
      <c r="W566" s="123"/>
      <c r="X566" s="123"/>
      <c r="Y566" s="123"/>
      <c r="Z566" s="238"/>
      <c r="AA566" s="123"/>
      <c r="AB566" s="123"/>
      <c r="AC566" s="160"/>
      <c r="AD566" s="160"/>
      <c r="AE566" s="123"/>
      <c r="AF566" s="123"/>
      <c r="AH566" s="236"/>
      <c r="AI566" s="123"/>
      <c r="AJ566" s="123"/>
      <c r="AL566" s="123"/>
      <c r="AM566" s="160"/>
      <c r="AN566" s="160"/>
    </row>
    <row r="567" spans="3:40" x14ac:dyDescent="0.3">
      <c r="C567" s="42"/>
      <c r="F567" s="184"/>
      <c r="J567" s="188"/>
      <c r="K567" s="188"/>
      <c r="T567" s="42"/>
      <c r="V567" s="123"/>
      <c r="W567" s="123"/>
      <c r="X567" s="123"/>
      <c r="Y567" s="123"/>
      <c r="Z567" s="238"/>
    </row>
    <row r="568" spans="3:40" x14ac:dyDescent="0.3">
      <c r="C568" s="42"/>
      <c r="H568" s="184"/>
      <c r="I568" s="184"/>
      <c r="J568" s="238"/>
      <c r="K568" s="238"/>
      <c r="L568" s="123"/>
      <c r="M568" s="123"/>
      <c r="N568" s="160"/>
      <c r="O568" s="160"/>
      <c r="P568" s="123"/>
      <c r="Q568" s="123"/>
      <c r="R568" s="123"/>
      <c r="T568" s="42"/>
      <c r="V568" s="123"/>
      <c r="W568" s="123"/>
      <c r="X568" s="123"/>
      <c r="Y568" s="123"/>
      <c r="Z568" s="238"/>
      <c r="AA568" s="123"/>
      <c r="AB568" s="123"/>
      <c r="AC568" s="160"/>
      <c r="AD568" s="160"/>
      <c r="AE568" s="123"/>
      <c r="AF568" s="123"/>
      <c r="AH568" s="236"/>
      <c r="AI568" s="123"/>
      <c r="AJ568" s="123"/>
      <c r="AL568" s="123"/>
      <c r="AM568" s="160"/>
      <c r="AN568" s="160"/>
    </row>
    <row r="569" spans="3:40" x14ac:dyDescent="0.3">
      <c r="F569" s="184"/>
      <c r="H569" s="210"/>
      <c r="I569" s="210"/>
      <c r="J569" s="238"/>
      <c r="K569" s="238"/>
      <c r="L569" s="210"/>
      <c r="M569" s="210"/>
      <c r="N569" s="210"/>
      <c r="O569" s="210"/>
      <c r="P569" s="210"/>
      <c r="Q569" s="210"/>
      <c r="R569" s="210"/>
      <c r="V569" s="210"/>
      <c r="Y569" s="210"/>
      <c r="Z569" s="213"/>
      <c r="AA569" s="210"/>
      <c r="AB569" s="210"/>
      <c r="AC569" s="210"/>
      <c r="AD569" s="210"/>
      <c r="AE569" s="210"/>
      <c r="AF569" s="210"/>
      <c r="AI569" s="210"/>
      <c r="AJ569" s="210"/>
      <c r="AK569" s="214"/>
      <c r="AL569" s="210"/>
    </row>
    <row r="570" spans="3:40" x14ac:dyDescent="0.3">
      <c r="C570" s="42"/>
      <c r="F570" s="210"/>
      <c r="H570" s="123"/>
      <c r="I570" s="123"/>
      <c r="L570" s="123"/>
      <c r="M570" s="123"/>
      <c r="N570" s="160"/>
      <c r="O570" s="160"/>
      <c r="P570" s="184"/>
      <c r="Q570" s="184"/>
      <c r="R570" s="123"/>
      <c r="T570" s="42"/>
      <c r="V570" s="123"/>
      <c r="W570" s="123"/>
      <c r="X570" s="123"/>
      <c r="Y570" s="123"/>
      <c r="Z570" s="237"/>
      <c r="AA570" s="123"/>
      <c r="AB570" s="123"/>
      <c r="AC570" s="160"/>
      <c r="AD570" s="160"/>
      <c r="AE570" s="123"/>
      <c r="AF570" s="123"/>
      <c r="AH570" s="236"/>
      <c r="AI570" s="184"/>
      <c r="AJ570" s="184"/>
      <c r="AL570" s="123"/>
      <c r="AM570" s="160"/>
      <c r="AN570" s="160"/>
    </row>
    <row r="571" spans="3:40" x14ac:dyDescent="0.3">
      <c r="F571" s="123"/>
      <c r="H571" s="210"/>
      <c r="I571" s="210"/>
      <c r="J571" s="213"/>
      <c r="K571" s="213"/>
      <c r="L571" s="210"/>
      <c r="M571" s="210"/>
      <c r="N571" s="210"/>
      <c r="O571" s="210"/>
      <c r="P571" s="210"/>
      <c r="Q571" s="210"/>
      <c r="R571" s="210"/>
      <c r="V571" s="210"/>
      <c r="Y571" s="210"/>
      <c r="Z571" s="213"/>
      <c r="AA571" s="210"/>
      <c r="AB571" s="210"/>
      <c r="AC571" s="210"/>
      <c r="AD571" s="210"/>
      <c r="AE571" s="210"/>
      <c r="AF571" s="210"/>
      <c r="AI571" s="210"/>
      <c r="AJ571" s="210"/>
      <c r="AK571" s="214"/>
      <c r="AL571" s="210"/>
    </row>
    <row r="572" spans="3:40" x14ac:dyDescent="0.3">
      <c r="C572" s="42"/>
      <c r="D572" s="42"/>
      <c r="E572" s="42"/>
      <c r="F572" s="210"/>
      <c r="T572" s="42"/>
      <c r="U572" s="42"/>
      <c r="V572" s="123"/>
      <c r="W572" s="123"/>
      <c r="X572" s="123"/>
      <c r="Y572" s="123"/>
      <c r="Z572" s="237"/>
    </row>
    <row r="573" spans="3:40" x14ac:dyDescent="0.3">
      <c r="C573" s="42"/>
      <c r="T573" s="42"/>
      <c r="V573" s="123"/>
      <c r="W573" s="123"/>
      <c r="X573" s="123"/>
      <c r="Y573" s="123"/>
      <c r="Z573" s="237"/>
    </row>
    <row r="574" spans="3:40" x14ac:dyDescent="0.3">
      <c r="C574" s="42"/>
      <c r="H574" s="184"/>
      <c r="I574" s="184"/>
      <c r="J574" s="237"/>
      <c r="K574" s="237"/>
      <c r="L574" s="123"/>
      <c r="M574" s="123"/>
      <c r="N574" s="160"/>
      <c r="O574" s="160"/>
      <c r="P574" s="123"/>
      <c r="Q574" s="123"/>
      <c r="R574" s="123"/>
      <c r="T574" s="42"/>
      <c r="V574" s="123"/>
      <c r="W574" s="123"/>
      <c r="X574" s="123"/>
      <c r="Y574" s="123"/>
      <c r="Z574" s="237"/>
      <c r="AA574" s="123"/>
      <c r="AB574" s="123"/>
      <c r="AC574" s="160"/>
      <c r="AD574" s="160"/>
      <c r="AE574" s="123"/>
      <c r="AF574" s="123"/>
      <c r="AH574" s="236"/>
      <c r="AI574" s="123"/>
      <c r="AJ574" s="123"/>
      <c r="AL574" s="123"/>
      <c r="AM574" s="160"/>
      <c r="AN574" s="160"/>
    </row>
    <row r="575" spans="3:40" x14ac:dyDescent="0.3">
      <c r="C575" s="42"/>
      <c r="F575" s="184"/>
      <c r="T575" s="42"/>
      <c r="V575" s="123"/>
      <c r="W575" s="123"/>
      <c r="X575" s="123"/>
      <c r="Y575" s="123"/>
      <c r="Z575" s="237"/>
    </row>
    <row r="576" spans="3:40" x14ac:dyDescent="0.3">
      <c r="C576" s="42"/>
      <c r="H576" s="184"/>
      <c r="I576" s="184"/>
      <c r="J576" s="237"/>
      <c r="K576" s="237"/>
      <c r="L576" s="123"/>
      <c r="M576" s="123"/>
      <c r="N576" s="160"/>
      <c r="O576" s="160"/>
      <c r="P576" s="123"/>
      <c r="Q576" s="123"/>
      <c r="R576" s="123"/>
      <c r="T576" s="42"/>
      <c r="V576" s="123"/>
      <c r="W576" s="123"/>
      <c r="X576" s="123"/>
      <c r="Y576" s="123"/>
      <c r="Z576" s="237"/>
      <c r="AA576" s="123"/>
      <c r="AB576" s="123"/>
      <c r="AC576" s="160"/>
      <c r="AD576" s="160"/>
      <c r="AE576" s="123"/>
      <c r="AF576" s="123"/>
      <c r="AH576" s="236"/>
      <c r="AI576" s="123"/>
      <c r="AJ576" s="123"/>
      <c r="AL576" s="123"/>
      <c r="AM576" s="160"/>
      <c r="AN576" s="160"/>
    </row>
    <row r="577" spans="1:40" x14ac:dyDescent="0.3">
      <c r="C577" s="42"/>
      <c r="F577" s="184"/>
      <c r="T577" s="42"/>
      <c r="V577" s="123"/>
      <c r="W577" s="123"/>
      <c r="X577" s="123"/>
      <c r="Y577" s="123"/>
      <c r="Z577" s="237"/>
    </row>
    <row r="578" spans="1:40" x14ac:dyDescent="0.3">
      <c r="C578" s="42"/>
      <c r="H578" s="184"/>
      <c r="I578" s="184"/>
      <c r="J578" s="237"/>
      <c r="K578" s="237"/>
      <c r="L578" s="123"/>
      <c r="M578" s="123"/>
      <c r="N578" s="160"/>
      <c r="O578" s="160"/>
      <c r="P578" s="123"/>
      <c r="Q578" s="123"/>
      <c r="R578" s="123"/>
      <c r="T578" s="42"/>
      <c r="V578" s="123"/>
      <c r="W578" s="123"/>
      <c r="X578" s="123"/>
      <c r="Y578" s="123"/>
      <c r="Z578" s="237"/>
      <c r="AA578" s="123"/>
      <c r="AB578" s="123"/>
      <c r="AC578" s="160"/>
      <c r="AD578" s="160"/>
      <c r="AE578" s="123"/>
      <c r="AF578" s="123"/>
      <c r="AH578" s="236"/>
      <c r="AI578" s="123"/>
      <c r="AJ578" s="123"/>
      <c r="AL578" s="123"/>
      <c r="AM578" s="160"/>
      <c r="AN578" s="160"/>
    </row>
    <row r="579" spans="1:40" x14ac:dyDescent="0.3">
      <c r="C579" s="42"/>
      <c r="F579" s="184"/>
      <c r="T579" s="42"/>
      <c r="V579" s="123"/>
      <c r="W579" s="123"/>
      <c r="X579" s="123"/>
      <c r="Y579" s="123"/>
      <c r="Z579" s="237"/>
    </row>
    <row r="580" spans="1:40" x14ac:dyDescent="0.3">
      <c r="C580" s="42"/>
      <c r="H580" s="184"/>
      <c r="I580" s="184"/>
      <c r="J580" s="237"/>
      <c r="K580" s="237"/>
      <c r="L580" s="123"/>
      <c r="M580" s="123"/>
      <c r="N580" s="160"/>
      <c r="O580" s="160"/>
      <c r="P580" s="123"/>
      <c r="Q580" s="123"/>
      <c r="R580" s="123"/>
      <c r="T580" s="42"/>
      <c r="V580" s="123"/>
      <c r="W580" s="123"/>
      <c r="X580" s="123"/>
      <c r="Y580" s="123"/>
      <c r="Z580" s="237"/>
      <c r="AA580" s="123"/>
      <c r="AB580" s="123"/>
      <c r="AC580" s="160"/>
      <c r="AD580" s="160"/>
      <c r="AE580" s="123"/>
      <c r="AF580" s="123"/>
      <c r="AH580" s="236"/>
      <c r="AI580" s="123"/>
      <c r="AJ580" s="123"/>
      <c r="AL580" s="123"/>
      <c r="AM580" s="160"/>
      <c r="AN580" s="160"/>
    </row>
    <row r="581" spans="1:40" x14ac:dyDescent="0.3">
      <c r="F581" s="184"/>
      <c r="H581" s="210"/>
      <c r="I581" s="210"/>
      <c r="J581" s="213"/>
      <c r="K581" s="213"/>
      <c r="L581" s="210"/>
      <c r="M581" s="210"/>
      <c r="N581" s="210"/>
      <c r="O581" s="210"/>
      <c r="P581" s="210"/>
      <c r="Q581" s="210"/>
      <c r="R581" s="210"/>
      <c r="V581" s="210"/>
      <c r="Y581" s="210"/>
      <c r="Z581" s="213"/>
      <c r="AA581" s="210"/>
      <c r="AB581" s="210"/>
      <c r="AC581" s="210"/>
      <c r="AD581" s="210"/>
      <c r="AE581" s="210"/>
      <c r="AF581" s="210"/>
      <c r="AI581" s="210"/>
      <c r="AJ581" s="210"/>
      <c r="AK581" s="214"/>
      <c r="AL581" s="210"/>
    </row>
    <row r="582" spans="1:40" x14ac:dyDescent="0.3">
      <c r="C582" s="42"/>
      <c r="F582" s="210"/>
      <c r="H582" s="123"/>
      <c r="I582" s="123"/>
      <c r="L582" s="123"/>
      <c r="M582" s="123"/>
      <c r="N582" s="160"/>
      <c r="O582" s="160"/>
      <c r="P582" s="184"/>
      <c r="Q582" s="184"/>
      <c r="R582" s="123"/>
      <c r="T582" s="42"/>
      <c r="V582" s="123"/>
      <c r="W582" s="123"/>
      <c r="X582" s="123"/>
      <c r="Y582" s="123"/>
      <c r="Z582" s="237"/>
      <c r="AA582" s="123"/>
      <c r="AB582" s="123"/>
      <c r="AC582" s="160"/>
      <c r="AD582" s="160"/>
      <c r="AE582" s="123"/>
      <c r="AF582" s="123"/>
      <c r="AH582" s="236"/>
      <c r="AI582" s="184"/>
      <c r="AJ582" s="184"/>
      <c r="AL582" s="123"/>
      <c r="AM582" s="160"/>
      <c r="AN582" s="160"/>
    </row>
    <row r="583" spans="1:40" x14ac:dyDescent="0.3">
      <c r="F583" s="123"/>
      <c r="H583" s="210"/>
      <c r="I583" s="210"/>
      <c r="J583" s="213"/>
      <c r="K583" s="213"/>
      <c r="L583" s="210"/>
      <c r="M583" s="210"/>
      <c r="N583" s="210"/>
      <c r="O583" s="210"/>
      <c r="P583" s="210"/>
      <c r="Q583" s="210"/>
      <c r="R583" s="210"/>
      <c r="V583" s="210"/>
      <c r="Y583" s="210"/>
      <c r="Z583" s="213"/>
      <c r="AA583" s="210"/>
      <c r="AB583" s="210"/>
      <c r="AC583" s="210"/>
      <c r="AD583" s="210"/>
      <c r="AE583" s="210"/>
      <c r="AF583" s="210"/>
      <c r="AI583" s="210"/>
      <c r="AJ583" s="210"/>
      <c r="AK583" s="214"/>
      <c r="AL583" s="210"/>
    </row>
    <row r="584" spans="1:40" x14ac:dyDescent="0.3">
      <c r="C584" s="42"/>
      <c r="F584" s="210"/>
      <c r="H584" s="123"/>
      <c r="I584" s="123"/>
      <c r="L584" s="123"/>
      <c r="M584" s="123"/>
      <c r="N584" s="160"/>
      <c r="O584" s="160"/>
      <c r="P584" s="123"/>
      <c r="Q584" s="123"/>
      <c r="R584" s="123"/>
      <c r="T584" s="42"/>
      <c r="V584" s="123"/>
      <c r="W584" s="123"/>
      <c r="X584" s="123"/>
      <c r="Y584" s="123"/>
      <c r="AA584" s="123"/>
      <c r="AB584" s="123"/>
      <c r="AC584" s="160"/>
      <c r="AD584" s="160"/>
      <c r="AE584" s="123"/>
      <c r="AF584" s="123"/>
      <c r="AH584" s="236"/>
      <c r="AI584" s="123"/>
      <c r="AJ584" s="123"/>
      <c r="AL584" s="123"/>
      <c r="AM584" s="236"/>
      <c r="AN584" s="236"/>
    </row>
    <row r="585" spans="1:40" x14ac:dyDescent="0.3">
      <c r="F585" s="123"/>
      <c r="H585" s="210"/>
      <c r="I585" s="210"/>
      <c r="J585" s="213"/>
      <c r="K585" s="213"/>
      <c r="L585" s="210"/>
      <c r="M585" s="210"/>
      <c r="N585" s="210"/>
      <c r="O585" s="210"/>
      <c r="P585" s="210"/>
      <c r="Q585" s="210"/>
      <c r="R585" s="210"/>
      <c r="V585" s="210"/>
      <c r="Y585" s="210"/>
      <c r="Z585" s="213"/>
      <c r="AA585" s="210"/>
      <c r="AB585" s="210"/>
      <c r="AC585" s="210"/>
      <c r="AD585" s="210"/>
      <c r="AE585" s="210"/>
      <c r="AF585" s="210"/>
      <c r="AI585" s="210"/>
      <c r="AJ585" s="210"/>
      <c r="AK585" s="214"/>
      <c r="AL585" s="210"/>
    </row>
    <row r="587" spans="1:40" x14ac:dyDescent="0.3">
      <c r="F587" s="210"/>
    </row>
    <row r="588" spans="1:40" x14ac:dyDescent="0.3">
      <c r="A588" s="42"/>
    </row>
    <row r="590" spans="1:40" x14ac:dyDescent="0.3">
      <c r="H590" s="42"/>
      <c r="I590" s="42"/>
      <c r="Y590" s="42"/>
    </row>
    <row r="592" spans="1:40" x14ac:dyDescent="0.3">
      <c r="L592" s="42"/>
      <c r="M592" s="42"/>
      <c r="AA592" s="42"/>
      <c r="AB592" s="42"/>
    </row>
    <row r="593" spans="1:40" x14ac:dyDescent="0.3">
      <c r="R593" s="42"/>
      <c r="AK593" s="206"/>
      <c r="AL593" s="42"/>
    </row>
    <row r="594" spans="1:40" x14ac:dyDescent="0.3">
      <c r="R594" s="42"/>
      <c r="AK594" s="206"/>
      <c r="AL594" s="42"/>
    </row>
    <row r="595" spans="1:40" x14ac:dyDescent="0.3">
      <c r="A595" s="42"/>
      <c r="R595" s="42"/>
      <c r="AK595" s="206"/>
      <c r="AL595" s="42"/>
    </row>
    <row r="596" spans="1:40" x14ac:dyDescent="0.3">
      <c r="L596" s="42"/>
      <c r="M596" s="42"/>
      <c r="AA596" s="42"/>
      <c r="AB596" s="42"/>
    </row>
    <row r="597" spans="1:40" x14ac:dyDescent="0.3">
      <c r="A597" s="135"/>
      <c r="B597" s="135"/>
      <c r="C597" s="135"/>
      <c r="D597" s="135"/>
      <c r="E597" s="135"/>
      <c r="G597" s="135"/>
      <c r="H597" s="135"/>
      <c r="I597" s="135"/>
      <c r="J597" s="135"/>
      <c r="K597" s="135"/>
      <c r="L597" s="135"/>
      <c r="M597" s="135"/>
      <c r="N597" s="135"/>
      <c r="O597" s="135"/>
      <c r="P597" s="135"/>
      <c r="Q597" s="135"/>
      <c r="R597" s="135"/>
      <c r="T597" s="135"/>
      <c r="U597" s="135"/>
      <c r="V597" s="135"/>
      <c r="W597" s="135"/>
      <c r="X597" s="135"/>
      <c r="Y597" s="135"/>
      <c r="Z597" s="135"/>
      <c r="AA597" s="135"/>
      <c r="AB597" s="135"/>
      <c r="AC597" s="135"/>
      <c r="AD597" s="135"/>
      <c r="AE597" s="135"/>
      <c r="AF597" s="135"/>
      <c r="AG597" s="207"/>
      <c r="AH597" s="135"/>
      <c r="AI597" s="135"/>
      <c r="AJ597" s="135"/>
      <c r="AK597" s="207"/>
      <c r="AL597" s="135"/>
      <c r="AM597" s="135"/>
      <c r="AN597" s="135"/>
    </row>
    <row r="598" spans="1:40" x14ac:dyDescent="0.3">
      <c r="F598" s="135"/>
      <c r="L598" s="44"/>
      <c r="M598" s="44"/>
      <c r="N598" s="44"/>
      <c r="O598" s="44"/>
      <c r="R598" s="44"/>
      <c r="AA598" s="44"/>
      <c r="AB598" s="44"/>
      <c r="AC598" s="44"/>
      <c r="AD598" s="44"/>
      <c r="AE598" s="44"/>
      <c r="AF598" s="44"/>
      <c r="AG598" s="168"/>
      <c r="AH598" s="44"/>
      <c r="AK598" s="168"/>
      <c r="AL598" s="44"/>
      <c r="AM598" s="44"/>
      <c r="AN598" s="44"/>
    </row>
    <row r="599" spans="1:40" x14ac:dyDescent="0.3">
      <c r="L599" s="44"/>
      <c r="M599" s="44"/>
      <c r="N599" s="44"/>
      <c r="O599" s="44"/>
      <c r="R599" s="44"/>
      <c r="Z599" s="44"/>
      <c r="AA599" s="44"/>
      <c r="AB599" s="44"/>
      <c r="AC599" s="44"/>
      <c r="AD599" s="44"/>
      <c r="AE599" s="44"/>
      <c r="AF599" s="44"/>
      <c r="AG599" s="168"/>
      <c r="AH599" s="44"/>
      <c r="AK599" s="168"/>
      <c r="AL599" s="44"/>
      <c r="AM599" s="44"/>
      <c r="AN599" s="44"/>
    </row>
    <row r="600" spans="1:40" x14ac:dyDescent="0.3">
      <c r="A600" s="44"/>
      <c r="C600" s="44"/>
      <c r="D600" s="44"/>
      <c r="E600" s="44"/>
      <c r="J600" s="44"/>
      <c r="K600" s="44"/>
      <c r="L600" s="44"/>
      <c r="M600" s="44"/>
      <c r="N600" s="44"/>
      <c r="O600" s="44"/>
      <c r="P600" s="44"/>
      <c r="Q600" s="44"/>
      <c r="R600" s="44"/>
      <c r="T600" s="44"/>
      <c r="U600" s="44"/>
      <c r="V600" s="44"/>
      <c r="Z600" s="44"/>
      <c r="AA600" s="44"/>
      <c r="AB600" s="44"/>
      <c r="AC600" s="44"/>
      <c r="AD600" s="44"/>
      <c r="AE600" s="44"/>
      <c r="AF600" s="44"/>
      <c r="AG600" s="168"/>
      <c r="AH600" s="44"/>
      <c r="AI600" s="44"/>
      <c r="AJ600" s="44"/>
      <c r="AK600" s="168"/>
      <c r="AL600" s="44"/>
      <c r="AM600" s="44"/>
      <c r="AN600" s="44"/>
    </row>
    <row r="601" spans="1:40" x14ac:dyDescent="0.3">
      <c r="A601" s="44"/>
      <c r="C601" s="44"/>
      <c r="D601" s="44"/>
      <c r="E601" s="44"/>
      <c r="F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T601" s="44"/>
      <c r="U601" s="44"/>
      <c r="V601" s="44"/>
      <c r="Y601" s="44"/>
      <c r="Z601" s="44"/>
      <c r="AA601" s="44"/>
      <c r="AB601" s="44"/>
      <c r="AC601" s="44"/>
      <c r="AD601" s="44"/>
      <c r="AE601" s="44"/>
      <c r="AF601" s="44"/>
      <c r="AG601" s="168"/>
      <c r="AH601" s="44"/>
      <c r="AI601" s="44"/>
      <c r="AJ601" s="44"/>
      <c r="AK601" s="168"/>
      <c r="AL601" s="44"/>
      <c r="AM601" s="44"/>
      <c r="AN601" s="44"/>
    </row>
    <row r="602" spans="1:40" x14ac:dyDescent="0.3">
      <c r="C602" s="44"/>
      <c r="D602" s="44"/>
      <c r="E602" s="44"/>
      <c r="F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T602" s="44"/>
      <c r="U602" s="44"/>
      <c r="V602" s="44"/>
      <c r="Y602" s="44"/>
      <c r="Z602" s="44"/>
      <c r="AA602" s="44"/>
      <c r="AB602" s="44"/>
      <c r="AC602" s="44"/>
      <c r="AD602" s="44"/>
      <c r="AE602" s="44"/>
      <c r="AF602" s="44"/>
      <c r="AG602" s="168"/>
      <c r="AH602" s="44"/>
      <c r="AI602" s="44"/>
      <c r="AJ602" s="44"/>
      <c r="AK602" s="168"/>
      <c r="AL602" s="44"/>
      <c r="AM602" s="44"/>
      <c r="AN602" s="44"/>
    </row>
    <row r="603" spans="1:40" x14ac:dyDescent="0.3">
      <c r="A603" s="135"/>
      <c r="B603" s="135"/>
      <c r="C603" s="135"/>
      <c r="D603" s="135"/>
      <c r="E603" s="135"/>
      <c r="F603" s="44"/>
      <c r="G603" s="135"/>
      <c r="H603" s="135"/>
      <c r="I603" s="135"/>
      <c r="J603" s="135"/>
      <c r="K603" s="135"/>
      <c r="L603" s="135"/>
      <c r="M603" s="135"/>
      <c r="N603" s="135"/>
      <c r="O603" s="135"/>
      <c r="P603" s="135"/>
      <c r="Q603" s="135"/>
      <c r="R603" s="135"/>
      <c r="T603" s="135"/>
      <c r="U603" s="135"/>
      <c r="V603" s="135"/>
      <c r="W603" s="135"/>
      <c r="X603" s="135"/>
      <c r="Y603" s="135"/>
      <c r="Z603" s="135"/>
      <c r="AA603" s="135"/>
      <c r="AB603" s="135"/>
      <c r="AC603" s="135"/>
      <c r="AD603" s="135"/>
      <c r="AE603" s="135"/>
      <c r="AF603" s="135"/>
      <c r="AG603" s="207"/>
      <c r="AH603" s="135"/>
      <c r="AI603" s="135"/>
      <c r="AJ603" s="135"/>
      <c r="AK603" s="207"/>
      <c r="AL603" s="135"/>
      <c r="AM603" s="135"/>
      <c r="AN603" s="135"/>
    </row>
    <row r="604" spans="1:40" x14ac:dyDescent="0.3">
      <c r="F604" s="135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Y604" s="44"/>
      <c r="Z604" s="44"/>
      <c r="AA604" s="44"/>
      <c r="AB604" s="44"/>
      <c r="AC604" s="44"/>
      <c r="AD604" s="44"/>
      <c r="AE604" s="44"/>
      <c r="AF604" s="44"/>
      <c r="AG604" s="168"/>
      <c r="AH604" s="44"/>
      <c r="AI604" s="44"/>
      <c r="AJ604" s="44"/>
      <c r="AK604" s="168"/>
      <c r="AL604" s="44"/>
      <c r="AM604" s="44"/>
      <c r="AN604" s="44"/>
    </row>
    <row r="605" spans="1:40" x14ac:dyDescent="0.3">
      <c r="C605" s="42"/>
      <c r="D605" s="42"/>
      <c r="E605" s="42"/>
      <c r="H605" s="123"/>
      <c r="I605" s="123"/>
      <c r="J605" s="219"/>
      <c r="K605" s="219"/>
      <c r="L605" s="123"/>
      <c r="M605" s="123"/>
      <c r="N605" s="219"/>
      <c r="O605" s="219"/>
      <c r="P605" s="123"/>
      <c r="Q605" s="123"/>
      <c r="R605" s="123"/>
      <c r="T605" s="42"/>
      <c r="U605" s="42"/>
      <c r="V605" s="123"/>
      <c r="Y605" s="123"/>
      <c r="Z605" s="219"/>
      <c r="AA605" s="123"/>
      <c r="AB605" s="123"/>
      <c r="AC605" s="219"/>
      <c r="AD605" s="219"/>
      <c r="AE605" s="123"/>
      <c r="AF605" s="123"/>
      <c r="AH605" s="236"/>
      <c r="AI605" s="123"/>
      <c r="AJ605" s="123"/>
      <c r="AL605" s="123"/>
      <c r="AM605" s="160"/>
      <c r="AN605" s="160"/>
    </row>
    <row r="606" spans="1:40" x14ac:dyDescent="0.3">
      <c r="F606" s="123"/>
      <c r="H606" s="210"/>
      <c r="I606" s="210"/>
      <c r="J606" s="213"/>
      <c r="K606" s="213"/>
      <c r="L606" s="210"/>
      <c r="M606" s="210"/>
      <c r="N606" s="210"/>
      <c r="O606" s="210"/>
      <c r="P606" s="210"/>
      <c r="Q606" s="210"/>
      <c r="R606" s="210"/>
      <c r="V606" s="210"/>
      <c r="Y606" s="210"/>
      <c r="Z606" s="213"/>
      <c r="AA606" s="210"/>
      <c r="AB606" s="210"/>
      <c r="AC606" s="210"/>
      <c r="AD606" s="210"/>
      <c r="AE606" s="210"/>
      <c r="AF606" s="210"/>
      <c r="AI606" s="210"/>
      <c r="AJ606" s="210"/>
      <c r="AK606" s="214"/>
      <c r="AL606" s="210"/>
      <c r="AM606" s="160"/>
      <c r="AN606" s="160"/>
    </row>
    <row r="607" spans="1:40" x14ac:dyDescent="0.3">
      <c r="C607" s="42"/>
      <c r="F607" s="210"/>
      <c r="H607" s="123"/>
      <c r="I607" s="123"/>
      <c r="J607" s="219"/>
      <c r="K607" s="219"/>
      <c r="L607" s="123"/>
      <c r="M607" s="123"/>
      <c r="N607" s="219"/>
      <c r="O607" s="219"/>
      <c r="P607" s="123"/>
      <c r="Q607" s="123"/>
      <c r="R607" s="123"/>
      <c r="T607" s="42"/>
      <c r="V607" s="123"/>
      <c r="Y607" s="123"/>
      <c r="Z607" s="219"/>
      <c r="AA607" s="123"/>
      <c r="AB607" s="123"/>
      <c r="AC607" s="219"/>
      <c r="AD607" s="219"/>
      <c r="AE607" s="123"/>
      <c r="AF607" s="123"/>
      <c r="AH607" s="236"/>
      <c r="AI607" s="123"/>
      <c r="AJ607" s="123"/>
      <c r="AL607" s="123"/>
      <c r="AM607" s="160"/>
      <c r="AN607" s="160"/>
    </row>
    <row r="608" spans="1:40" x14ac:dyDescent="0.3">
      <c r="F608" s="123"/>
      <c r="H608" s="123"/>
      <c r="I608" s="123"/>
      <c r="J608" s="219"/>
      <c r="K608" s="219"/>
      <c r="L608" s="123"/>
      <c r="M608" s="123"/>
      <c r="N608" s="219"/>
      <c r="O608" s="219"/>
      <c r="P608" s="123"/>
      <c r="Q608" s="123"/>
      <c r="R608" s="123"/>
      <c r="V608" s="123"/>
      <c r="Y608" s="123"/>
      <c r="Z608" s="219"/>
      <c r="AA608" s="123"/>
      <c r="AB608" s="123"/>
      <c r="AC608" s="219"/>
      <c r="AD608" s="219"/>
      <c r="AH608" s="236"/>
      <c r="AI608" s="123"/>
      <c r="AJ608" s="123"/>
      <c r="AL608" s="123"/>
      <c r="AM608" s="160"/>
      <c r="AN608" s="160"/>
    </row>
    <row r="609" spans="3:40" x14ac:dyDescent="0.3">
      <c r="C609" s="42"/>
      <c r="D609" s="42"/>
      <c r="E609" s="42"/>
      <c r="F609" s="123"/>
      <c r="H609" s="123"/>
      <c r="I609" s="123"/>
      <c r="J609" s="219"/>
      <c r="K609" s="219"/>
      <c r="L609" s="123"/>
      <c r="M609" s="123"/>
      <c r="N609" s="219"/>
      <c r="O609" s="219"/>
      <c r="P609" s="123"/>
      <c r="Q609" s="123"/>
      <c r="R609" s="123"/>
      <c r="T609" s="42"/>
      <c r="U609" s="42"/>
      <c r="V609" s="123"/>
      <c r="Y609" s="123"/>
      <c r="Z609" s="219"/>
      <c r="AA609" s="123"/>
      <c r="AB609" s="123"/>
      <c r="AC609" s="219"/>
      <c r="AD609" s="219"/>
      <c r="AE609" s="123"/>
      <c r="AF609" s="123"/>
      <c r="AH609" s="236"/>
      <c r="AI609" s="123"/>
      <c r="AJ609" s="123"/>
      <c r="AL609" s="123"/>
      <c r="AM609" s="160"/>
      <c r="AN609" s="160"/>
    </row>
    <row r="610" spans="3:40" x14ac:dyDescent="0.3">
      <c r="C610" s="42"/>
      <c r="D610" s="42"/>
      <c r="E610" s="42"/>
      <c r="F610" s="123"/>
      <c r="H610" s="123"/>
      <c r="I610" s="123"/>
      <c r="J610" s="219"/>
      <c r="K610" s="219"/>
      <c r="L610" s="123"/>
      <c r="M610" s="123"/>
      <c r="N610" s="219"/>
      <c r="O610" s="219"/>
      <c r="P610" s="123"/>
      <c r="Q610" s="123"/>
      <c r="R610" s="123"/>
      <c r="T610" s="42"/>
      <c r="U610" s="42"/>
      <c r="V610" s="123"/>
      <c r="Y610" s="123"/>
      <c r="Z610" s="219"/>
      <c r="AA610" s="123"/>
      <c r="AB610" s="123"/>
      <c r="AC610" s="219"/>
      <c r="AD610" s="219"/>
      <c r="AE610" s="123"/>
      <c r="AF610" s="123"/>
      <c r="AH610" s="236"/>
      <c r="AI610" s="123"/>
      <c r="AJ610" s="123"/>
      <c r="AL610" s="123"/>
      <c r="AM610" s="160"/>
      <c r="AN610" s="160"/>
    </row>
    <row r="611" spans="3:40" x14ac:dyDescent="0.3">
      <c r="C611" s="42"/>
      <c r="D611" s="42"/>
      <c r="E611" s="42"/>
      <c r="F611" s="123"/>
      <c r="H611" s="123"/>
      <c r="I611" s="123"/>
      <c r="J611" s="219"/>
      <c r="K611" s="219"/>
      <c r="L611" s="123"/>
      <c r="M611" s="123"/>
      <c r="N611" s="219"/>
      <c r="O611" s="219"/>
      <c r="P611" s="123"/>
      <c r="Q611" s="123"/>
      <c r="R611" s="123"/>
      <c r="T611" s="42"/>
      <c r="U611" s="42"/>
      <c r="V611" s="123"/>
      <c r="Y611" s="123"/>
      <c r="Z611" s="219"/>
      <c r="AA611" s="123"/>
      <c r="AB611" s="123"/>
      <c r="AC611" s="219"/>
      <c r="AD611" s="219"/>
      <c r="AE611" s="123"/>
      <c r="AF611" s="123"/>
      <c r="AH611" s="236"/>
      <c r="AI611" s="123"/>
      <c r="AJ611" s="123"/>
      <c r="AL611" s="123"/>
      <c r="AM611" s="160"/>
      <c r="AN611" s="160"/>
    </row>
    <row r="612" spans="3:40" x14ac:dyDescent="0.3">
      <c r="C612" s="42"/>
      <c r="D612" s="42"/>
      <c r="E612" s="42"/>
      <c r="F612" s="123"/>
      <c r="H612" s="123"/>
      <c r="I612" s="123"/>
      <c r="J612" s="219"/>
      <c r="K612" s="219"/>
      <c r="L612" s="123"/>
      <c r="M612" s="123"/>
      <c r="N612" s="219"/>
      <c r="O612" s="219"/>
      <c r="P612" s="123"/>
      <c r="Q612" s="123"/>
      <c r="R612" s="123"/>
      <c r="T612" s="42"/>
      <c r="U612" s="42"/>
      <c r="V612" s="123"/>
      <c r="Y612" s="123"/>
      <c r="Z612" s="219"/>
      <c r="AA612" s="123"/>
      <c r="AB612" s="123"/>
      <c r="AC612" s="219"/>
      <c r="AD612" s="219"/>
      <c r="AE612" s="123"/>
      <c r="AF612" s="123"/>
      <c r="AH612" s="236"/>
      <c r="AI612" s="123"/>
      <c r="AJ612" s="123"/>
      <c r="AL612" s="123"/>
      <c r="AM612" s="160"/>
      <c r="AN612" s="160"/>
    </row>
    <row r="613" spans="3:40" x14ac:dyDescent="0.3">
      <c r="C613" s="42"/>
      <c r="D613" s="42"/>
      <c r="E613" s="42"/>
      <c r="F613" s="123"/>
      <c r="H613" s="123"/>
      <c r="I613" s="123"/>
      <c r="J613" s="219"/>
      <c r="K613" s="219"/>
      <c r="L613" s="123"/>
      <c r="M613" s="123"/>
      <c r="N613" s="219"/>
      <c r="O613" s="219"/>
      <c r="P613" s="123"/>
      <c r="Q613" s="123"/>
      <c r="R613" s="123"/>
      <c r="T613" s="42"/>
      <c r="U613" s="42"/>
      <c r="V613" s="123"/>
      <c r="Y613" s="123"/>
      <c r="Z613" s="219"/>
      <c r="AA613" s="123"/>
      <c r="AB613" s="123"/>
      <c r="AC613" s="219"/>
      <c r="AD613" s="219"/>
      <c r="AE613" s="123"/>
      <c r="AF613" s="123"/>
      <c r="AH613" s="236"/>
      <c r="AI613" s="123"/>
      <c r="AJ613" s="123"/>
      <c r="AL613" s="123"/>
      <c r="AM613" s="160"/>
      <c r="AN613" s="160"/>
    </row>
    <row r="614" spans="3:40" x14ac:dyDescent="0.3">
      <c r="C614" s="42"/>
      <c r="D614" s="42"/>
      <c r="E614" s="42"/>
      <c r="F614" s="123"/>
      <c r="H614" s="123"/>
      <c r="I614" s="123"/>
      <c r="J614" s="219"/>
      <c r="K614" s="219"/>
      <c r="L614" s="123"/>
      <c r="M614" s="123"/>
      <c r="N614" s="219"/>
      <c r="O614" s="219"/>
      <c r="P614" s="123"/>
      <c r="Q614" s="123"/>
      <c r="R614" s="123"/>
      <c r="T614" s="42"/>
      <c r="U614" s="42"/>
      <c r="V614" s="123"/>
      <c r="Y614" s="123"/>
      <c r="Z614" s="219"/>
      <c r="AA614" s="123"/>
      <c r="AB614" s="123"/>
      <c r="AC614" s="219"/>
      <c r="AD614" s="219"/>
      <c r="AE614" s="123"/>
      <c r="AF614" s="123"/>
      <c r="AH614" s="236"/>
      <c r="AI614" s="123"/>
      <c r="AJ614" s="123"/>
      <c r="AL614" s="123"/>
      <c r="AM614" s="160"/>
      <c r="AN614" s="160"/>
    </row>
    <row r="615" spans="3:40" x14ac:dyDescent="0.3">
      <c r="F615" s="123"/>
      <c r="H615" s="210"/>
      <c r="I615" s="210"/>
      <c r="J615" s="213"/>
      <c r="K615" s="213"/>
      <c r="L615" s="210"/>
      <c r="M615" s="210"/>
      <c r="N615" s="210"/>
      <c r="O615" s="210"/>
      <c r="P615" s="210"/>
      <c r="Q615" s="210"/>
      <c r="R615" s="210"/>
      <c r="V615" s="210"/>
      <c r="Y615" s="210"/>
      <c r="Z615" s="213"/>
      <c r="AA615" s="210"/>
      <c r="AB615" s="210"/>
      <c r="AC615" s="210"/>
      <c r="AD615" s="210"/>
      <c r="AE615" s="210"/>
      <c r="AF615" s="210"/>
      <c r="AI615" s="210"/>
      <c r="AJ615" s="210"/>
      <c r="AK615" s="214"/>
      <c r="AL615" s="210"/>
      <c r="AM615" s="160"/>
      <c r="AN615" s="160"/>
    </row>
    <row r="616" spans="3:40" x14ac:dyDescent="0.3">
      <c r="C616" s="42"/>
      <c r="F616" s="210"/>
      <c r="H616" s="123"/>
      <c r="I616" s="123"/>
      <c r="J616" s="219"/>
      <c r="K616" s="219"/>
      <c r="L616" s="123"/>
      <c r="M616" s="123"/>
      <c r="N616" s="219"/>
      <c r="O616" s="219"/>
      <c r="P616" s="123"/>
      <c r="Q616" s="123"/>
      <c r="R616" s="123"/>
      <c r="T616" s="42"/>
      <c r="V616" s="123"/>
      <c r="Y616" s="123"/>
      <c r="Z616" s="219"/>
      <c r="AA616" s="123"/>
      <c r="AB616" s="123"/>
      <c r="AC616" s="219"/>
      <c r="AD616" s="219"/>
      <c r="AE616" s="123"/>
      <c r="AF616" s="123"/>
      <c r="AH616" s="236"/>
      <c r="AI616" s="123"/>
      <c r="AJ616" s="123"/>
      <c r="AL616" s="123"/>
      <c r="AM616" s="160"/>
      <c r="AN616" s="160"/>
    </row>
    <row r="617" spans="3:40" x14ac:dyDescent="0.3">
      <c r="F617" s="123"/>
      <c r="H617" s="123"/>
      <c r="I617" s="123"/>
      <c r="J617" s="219"/>
      <c r="K617" s="219"/>
      <c r="L617" s="123"/>
      <c r="M617" s="123"/>
      <c r="N617" s="219"/>
      <c r="O617" s="219"/>
      <c r="P617" s="123"/>
      <c r="Q617" s="123"/>
      <c r="R617" s="123"/>
      <c r="V617" s="123"/>
      <c r="Y617" s="123"/>
      <c r="Z617" s="219"/>
      <c r="AA617" s="123"/>
      <c r="AB617" s="123"/>
      <c r="AC617" s="219"/>
      <c r="AD617" s="219"/>
      <c r="AH617" s="236"/>
      <c r="AI617" s="123"/>
      <c r="AJ617" s="123"/>
      <c r="AL617" s="123"/>
      <c r="AM617" s="160"/>
      <c r="AN617" s="160"/>
    </row>
    <row r="618" spans="3:40" x14ac:dyDescent="0.3">
      <c r="C618" s="42"/>
      <c r="D618" s="42"/>
      <c r="E618" s="42"/>
      <c r="F618" s="123"/>
      <c r="H618" s="123"/>
      <c r="I618" s="123"/>
      <c r="J618" s="219"/>
      <c r="K618" s="219"/>
      <c r="L618" s="123"/>
      <c r="M618" s="123"/>
      <c r="N618" s="219"/>
      <c r="O618" s="219"/>
      <c r="P618" s="123"/>
      <c r="Q618" s="123"/>
      <c r="R618" s="123"/>
      <c r="T618" s="42"/>
      <c r="U618" s="42"/>
      <c r="V618" s="123"/>
      <c r="Y618" s="123"/>
      <c r="Z618" s="219"/>
      <c r="AA618" s="123"/>
      <c r="AB618" s="123"/>
      <c r="AC618" s="219"/>
      <c r="AD618" s="219"/>
      <c r="AE618" s="123"/>
      <c r="AF618" s="123"/>
      <c r="AH618" s="236"/>
      <c r="AI618" s="123"/>
      <c r="AJ618" s="123"/>
      <c r="AL618" s="123"/>
      <c r="AM618" s="160"/>
      <c r="AN618" s="160"/>
    </row>
    <row r="619" spans="3:40" x14ac:dyDescent="0.3">
      <c r="F619" s="123"/>
      <c r="H619" s="210"/>
      <c r="I619" s="210"/>
      <c r="J619" s="213"/>
      <c r="K619" s="213"/>
      <c r="L619" s="210"/>
      <c r="M619" s="210"/>
      <c r="N619" s="210"/>
      <c r="O619" s="210"/>
      <c r="P619" s="210"/>
      <c r="Q619" s="210"/>
      <c r="R619" s="210"/>
      <c r="V619" s="210"/>
      <c r="Y619" s="210"/>
      <c r="Z619" s="213"/>
      <c r="AA619" s="210"/>
      <c r="AB619" s="210"/>
      <c r="AC619" s="210"/>
      <c r="AD619" s="210"/>
      <c r="AE619" s="210"/>
      <c r="AF619" s="210"/>
      <c r="AI619" s="210"/>
      <c r="AJ619" s="210"/>
      <c r="AK619" s="214"/>
      <c r="AL619" s="210"/>
      <c r="AM619" s="160"/>
      <c r="AN619" s="160"/>
    </row>
    <row r="620" spans="3:40" x14ac:dyDescent="0.3">
      <c r="C620" s="42"/>
      <c r="F620" s="210"/>
      <c r="H620" s="123"/>
      <c r="I620" s="123"/>
      <c r="J620" s="219"/>
      <c r="K620" s="219"/>
      <c r="L620" s="123"/>
      <c r="M620" s="123"/>
      <c r="N620" s="219"/>
      <c r="O620" s="219"/>
      <c r="P620" s="123"/>
      <c r="Q620" s="123"/>
      <c r="R620" s="123"/>
      <c r="T620" s="42"/>
      <c r="V620" s="123"/>
      <c r="Y620" s="123"/>
      <c r="Z620" s="219"/>
      <c r="AA620" s="123"/>
      <c r="AB620" s="123"/>
      <c r="AC620" s="219"/>
      <c r="AD620" s="219"/>
      <c r="AE620" s="123"/>
      <c r="AF620" s="123"/>
      <c r="AH620" s="236"/>
      <c r="AI620" s="123"/>
      <c r="AJ620" s="123"/>
      <c r="AL620" s="123"/>
      <c r="AM620" s="160"/>
      <c r="AN620" s="160"/>
    </row>
    <row r="621" spans="3:40" x14ac:dyDescent="0.3">
      <c r="F621" s="123"/>
      <c r="H621" s="123"/>
      <c r="I621" s="123"/>
      <c r="J621" s="219"/>
      <c r="K621" s="219"/>
      <c r="L621" s="123"/>
      <c r="M621" s="123"/>
      <c r="N621" s="219"/>
      <c r="O621" s="219"/>
      <c r="P621" s="123"/>
      <c r="Q621" s="123"/>
      <c r="R621" s="123"/>
      <c r="V621" s="123"/>
      <c r="Y621" s="123"/>
      <c r="Z621" s="219"/>
      <c r="AA621" s="123"/>
      <c r="AB621" s="123"/>
      <c r="AC621" s="219"/>
      <c r="AD621" s="219"/>
      <c r="AH621" s="236"/>
      <c r="AI621" s="123"/>
      <c r="AJ621" s="123"/>
      <c r="AL621" s="123"/>
      <c r="AM621" s="160"/>
      <c r="AN621" s="160"/>
    </row>
    <row r="622" spans="3:40" x14ac:dyDescent="0.3">
      <c r="C622" s="42"/>
      <c r="D622" s="42"/>
      <c r="E622" s="42"/>
      <c r="F622" s="123"/>
      <c r="H622" s="123"/>
      <c r="I622" s="123"/>
      <c r="J622" s="219"/>
      <c r="K622" s="219"/>
      <c r="L622" s="123"/>
      <c r="M622" s="123"/>
      <c r="N622" s="219"/>
      <c r="O622" s="219"/>
      <c r="P622" s="123"/>
      <c r="Q622" s="123"/>
      <c r="R622" s="123"/>
      <c r="T622" s="42"/>
      <c r="U622" s="42"/>
      <c r="V622" s="123"/>
      <c r="Y622" s="123"/>
      <c r="Z622" s="219"/>
      <c r="AA622" s="123"/>
      <c r="AB622" s="123"/>
      <c r="AC622" s="219"/>
      <c r="AD622" s="219"/>
      <c r="AE622" s="123"/>
      <c r="AF622" s="123"/>
      <c r="AH622" s="236"/>
      <c r="AI622" s="123"/>
      <c r="AJ622" s="123"/>
      <c r="AL622" s="123"/>
      <c r="AM622" s="160"/>
      <c r="AN622" s="160"/>
    </row>
    <row r="623" spans="3:40" x14ac:dyDescent="0.3">
      <c r="C623" s="42"/>
      <c r="D623" s="42"/>
      <c r="E623" s="42"/>
      <c r="F623" s="123"/>
      <c r="G623" s="123"/>
      <c r="H623" s="123"/>
      <c r="I623" s="123"/>
      <c r="J623" s="219"/>
      <c r="K623" s="219"/>
      <c r="L623" s="123"/>
      <c r="M623" s="123"/>
      <c r="N623" s="219"/>
      <c r="O623" s="219"/>
      <c r="P623" s="123"/>
      <c r="Q623" s="123"/>
      <c r="R623" s="123"/>
      <c r="T623" s="42"/>
      <c r="U623" s="42"/>
      <c r="V623" s="123"/>
      <c r="W623" s="123"/>
      <c r="X623" s="123"/>
      <c r="Y623" s="123"/>
      <c r="Z623" s="219"/>
      <c r="AA623" s="123"/>
      <c r="AB623" s="123"/>
      <c r="AC623" s="219"/>
      <c r="AD623" s="219"/>
      <c r="AE623" s="123"/>
      <c r="AF623" s="123"/>
      <c r="AH623" s="236"/>
      <c r="AI623" s="123"/>
      <c r="AJ623" s="123"/>
      <c r="AL623" s="123"/>
      <c r="AM623" s="160"/>
      <c r="AN623" s="160"/>
    </row>
    <row r="624" spans="3:40" x14ac:dyDescent="0.3">
      <c r="C624" s="42"/>
      <c r="D624" s="42"/>
      <c r="E624" s="42"/>
      <c r="F624" s="123"/>
      <c r="G624" s="123"/>
      <c r="H624" s="123"/>
      <c r="I624" s="123"/>
      <c r="J624" s="219"/>
      <c r="K624" s="219"/>
      <c r="L624" s="123"/>
      <c r="M624" s="123"/>
      <c r="N624" s="219"/>
      <c r="O624" s="219"/>
      <c r="P624" s="123"/>
      <c r="Q624" s="123"/>
      <c r="R624" s="123"/>
      <c r="T624" s="42"/>
      <c r="U624" s="42"/>
      <c r="V624" s="123"/>
      <c r="W624" s="123"/>
      <c r="X624" s="123"/>
      <c r="Y624" s="123"/>
      <c r="Z624" s="219"/>
      <c r="AA624" s="123"/>
      <c r="AB624" s="123"/>
      <c r="AC624" s="219"/>
      <c r="AD624" s="219"/>
      <c r="AE624" s="123"/>
      <c r="AF624" s="123"/>
      <c r="AH624" s="236"/>
      <c r="AI624" s="123"/>
      <c r="AJ624" s="123"/>
      <c r="AL624" s="123"/>
      <c r="AM624" s="160"/>
      <c r="AN624" s="160"/>
    </row>
    <row r="625" spans="3:40" x14ac:dyDescent="0.3">
      <c r="C625" s="42"/>
      <c r="D625" s="42"/>
      <c r="E625" s="42"/>
      <c r="F625" s="123"/>
      <c r="H625" s="123"/>
      <c r="I625" s="123"/>
      <c r="J625" s="219"/>
      <c r="K625" s="219"/>
      <c r="L625" s="123"/>
      <c r="M625" s="123"/>
      <c r="N625" s="219"/>
      <c r="O625" s="219"/>
      <c r="P625" s="123"/>
      <c r="Q625" s="123"/>
      <c r="R625" s="123"/>
      <c r="T625" s="42"/>
      <c r="U625" s="42"/>
      <c r="V625" s="123"/>
      <c r="Y625" s="123"/>
      <c r="Z625" s="219"/>
      <c r="AA625" s="123"/>
      <c r="AB625" s="123"/>
      <c r="AC625" s="219"/>
      <c r="AD625" s="219"/>
      <c r="AE625" s="123"/>
      <c r="AF625" s="123"/>
      <c r="AH625" s="236"/>
      <c r="AI625" s="123"/>
      <c r="AJ625" s="123"/>
      <c r="AL625" s="123"/>
      <c r="AM625" s="160"/>
      <c r="AN625" s="160"/>
    </row>
    <row r="626" spans="3:40" x14ac:dyDescent="0.3">
      <c r="C626" s="42"/>
      <c r="D626" s="42"/>
      <c r="E626" s="42"/>
      <c r="F626" s="123"/>
      <c r="H626" s="123"/>
      <c r="I626" s="123"/>
      <c r="J626" s="219"/>
      <c r="K626" s="219"/>
      <c r="L626" s="123"/>
      <c r="M626" s="123"/>
      <c r="N626" s="219"/>
      <c r="O626" s="219"/>
      <c r="P626" s="123"/>
      <c r="Q626" s="123"/>
      <c r="R626" s="123"/>
      <c r="T626" s="42"/>
      <c r="U626" s="42"/>
      <c r="V626" s="123"/>
      <c r="Y626" s="123"/>
      <c r="Z626" s="219"/>
      <c r="AA626" s="123"/>
      <c r="AB626" s="123"/>
      <c r="AC626" s="219"/>
      <c r="AD626" s="219"/>
      <c r="AE626" s="123"/>
      <c r="AF626" s="123"/>
      <c r="AH626" s="236"/>
      <c r="AI626" s="123"/>
      <c r="AJ626" s="123"/>
      <c r="AL626" s="123"/>
      <c r="AM626" s="160"/>
      <c r="AN626" s="160"/>
    </row>
    <row r="627" spans="3:40" x14ac:dyDescent="0.3">
      <c r="C627" s="42"/>
      <c r="D627" s="42"/>
      <c r="E627" s="42"/>
      <c r="F627" s="123"/>
      <c r="H627" s="123"/>
      <c r="I627" s="123"/>
      <c r="J627" s="219"/>
      <c r="K627" s="219"/>
      <c r="L627" s="123"/>
      <c r="M627" s="123"/>
      <c r="N627" s="219"/>
      <c r="O627" s="219"/>
      <c r="P627" s="123"/>
      <c r="Q627" s="123"/>
      <c r="R627" s="123"/>
      <c r="T627" s="42"/>
      <c r="U627" s="42"/>
      <c r="V627" s="123"/>
      <c r="Y627" s="123"/>
      <c r="Z627" s="219"/>
      <c r="AA627" s="123"/>
      <c r="AB627" s="123"/>
      <c r="AC627" s="219"/>
      <c r="AD627" s="219"/>
      <c r="AE627" s="123"/>
      <c r="AF627" s="123"/>
      <c r="AH627" s="236"/>
      <c r="AI627" s="123"/>
      <c r="AJ627" s="123"/>
      <c r="AL627" s="123"/>
      <c r="AM627" s="160"/>
      <c r="AN627" s="160"/>
    </row>
    <row r="628" spans="3:40" x14ac:dyDescent="0.3">
      <c r="C628" s="42"/>
      <c r="D628" s="42"/>
      <c r="E628" s="42"/>
      <c r="F628" s="123"/>
      <c r="H628" s="123"/>
      <c r="I628" s="123"/>
      <c r="J628" s="219"/>
      <c r="K628" s="219"/>
      <c r="L628" s="123"/>
      <c r="M628" s="123"/>
      <c r="N628" s="219"/>
      <c r="O628" s="219"/>
      <c r="P628" s="123"/>
      <c r="Q628" s="123"/>
      <c r="R628" s="123"/>
      <c r="T628" s="42"/>
      <c r="U628" s="42"/>
      <c r="V628" s="123"/>
      <c r="Y628" s="123"/>
      <c r="Z628" s="219"/>
      <c r="AA628" s="123"/>
      <c r="AB628" s="123"/>
      <c r="AC628" s="219"/>
      <c r="AD628" s="219"/>
      <c r="AE628" s="123"/>
      <c r="AF628" s="123"/>
      <c r="AH628" s="236"/>
      <c r="AI628" s="123"/>
      <c r="AJ628" s="123"/>
      <c r="AL628" s="123"/>
      <c r="AM628" s="160"/>
      <c r="AN628" s="160"/>
    </row>
    <row r="629" spans="3:40" x14ac:dyDescent="0.3">
      <c r="F629" s="123"/>
      <c r="H629" s="210"/>
      <c r="I629" s="210"/>
      <c r="J629" s="213"/>
      <c r="K629" s="213"/>
      <c r="L629" s="210"/>
      <c r="M629" s="210"/>
      <c r="N629" s="210"/>
      <c r="O629" s="210"/>
      <c r="P629" s="210"/>
      <c r="Q629" s="210"/>
      <c r="R629" s="210"/>
      <c r="V629" s="210"/>
      <c r="Y629" s="210"/>
      <c r="Z629" s="213"/>
      <c r="AA629" s="210"/>
      <c r="AB629" s="210"/>
      <c r="AC629" s="210"/>
      <c r="AD629" s="210"/>
      <c r="AE629" s="210"/>
      <c r="AF629" s="210"/>
      <c r="AI629" s="210"/>
      <c r="AJ629" s="210"/>
      <c r="AK629" s="214"/>
      <c r="AL629" s="210"/>
      <c r="AM629" s="160"/>
      <c r="AN629" s="160"/>
    </row>
    <row r="630" spans="3:40" x14ac:dyDescent="0.3">
      <c r="C630" s="42"/>
      <c r="F630" s="210"/>
      <c r="H630" s="123"/>
      <c r="I630" s="123"/>
      <c r="J630" s="219"/>
      <c r="K630" s="219"/>
      <c r="L630" s="123"/>
      <c r="M630" s="123"/>
      <c r="N630" s="219"/>
      <c r="O630" s="219"/>
      <c r="P630" s="123"/>
      <c r="Q630" s="123"/>
      <c r="R630" s="123"/>
      <c r="T630" s="42"/>
      <c r="V630" s="123"/>
      <c r="Y630" s="123"/>
      <c r="Z630" s="219"/>
      <c r="AA630" s="123"/>
      <c r="AB630" s="123"/>
      <c r="AC630" s="219"/>
      <c r="AD630" s="219"/>
      <c r="AE630" s="123"/>
      <c r="AF630" s="123"/>
      <c r="AH630" s="236"/>
      <c r="AI630" s="123"/>
      <c r="AJ630" s="123"/>
      <c r="AL630" s="123"/>
      <c r="AM630" s="160"/>
      <c r="AN630" s="160"/>
    </row>
    <row r="631" spans="3:40" x14ac:dyDescent="0.3">
      <c r="F631" s="123"/>
      <c r="V631" s="123"/>
      <c r="Y631" s="123"/>
      <c r="Z631" s="213"/>
      <c r="AA631" s="123"/>
      <c r="AB631" s="123"/>
      <c r="AC631" s="123"/>
      <c r="AD631" s="123"/>
      <c r="AE631" s="123"/>
      <c r="AF631" s="123"/>
      <c r="AI631" s="123"/>
      <c r="AJ631" s="123"/>
      <c r="AL631" s="123"/>
      <c r="AM631" s="160"/>
      <c r="AN631" s="160"/>
    </row>
    <row r="632" spans="3:40" x14ac:dyDescent="0.3">
      <c r="C632" s="42"/>
      <c r="D632" s="42"/>
      <c r="E632" s="42"/>
      <c r="L632" s="123"/>
      <c r="M632" s="123"/>
      <c r="N632" s="219"/>
      <c r="O632" s="219"/>
      <c r="R632" s="123"/>
      <c r="T632" s="42"/>
      <c r="U632" s="42"/>
      <c r="AA632" s="123"/>
      <c r="AB632" s="123"/>
      <c r="AC632" s="219"/>
      <c r="AD632" s="219"/>
      <c r="AE632" s="123"/>
      <c r="AF632" s="123"/>
      <c r="AH632" s="236"/>
      <c r="AL632" s="123"/>
      <c r="AM632" s="160"/>
      <c r="AN632" s="160"/>
    </row>
    <row r="633" spans="3:40" x14ac:dyDescent="0.3">
      <c r="D633" s="42"/>
      <c r="E633" s="42"/>
      <c r="H633" s="184"/>
      <c r="I633" s="184"/>
      <c r="J633" s="219"/>
      <c r="K633" s="219"/>
      <c r="L633" s="123"/>
      <c r="M633" s="123"/>
      <c r="N633" s="219"/>
      <c r="O633" s="219"/>
      <c r="P633" s="184"/>
      <c r="Q633" s="184"/>
      <c r="R633" s="123"/>
      <c r="U633" s="42"/>
      <c r="V633" s="123"/>
      <c r="Y633" s="123"/>
      <c r="Z633" s="219"/>
      <c r="AA633" s="123"/>
      <c r="AB633" s="123"/>
      <c r="AC633" s="219"/>
      <c r="AD633" s="219"/>
      <c r="AE633" s="123"/>
      <c r="AF633" s="123"/>
      <c r="AH633" s="236"/>
      <c r="AI633" s="123"/>
      <c r="AJ633" s="123"/>
      <c r="AL633" s="123"/>
      <c r="AM633" s="160"/>
      <c r="AN633" s="160"/>
    </row>
    <row r="634" spans="3:40" x14ac:dyDescent="0.3">
      <c r="F634" s="184"/>
      <c r="H634" s="210"/>
      <c r="I634" s="210"/>
      <c r="J634" s="213"/>
      <c r="K634" s="213"/>
      <c r="L634" s="210"/>
      <c r="M634" s="210"/>
      <c r="N634" s="210"/>
      <c r="O634" s="210"/>
      <c r="P634" s="210"/>
      <c r="Q634" s="210"/>
      <c r="R634" s="210"/>
      <c r="V634" s="210"/>
      <c r="Y634" s="210"/>
      <c r="Z634" s="213"/>
      <c r="AA634" s="210"/>
      <c r="AB634" s="210"/>
      <c r="AC634" s="210"/>
      <c r="AD634" s="210"/>
      <c r="AE634" s="210"/>
      <c r="AF634" s="210"/>
      <c r="AI634" s="210"/>
      <c r="AJ634" s="210"/>
      <c r="AK634" s="214"/>
      <c r="AL634" s="210"/>
      <c r="AM634" s="160"/>
      <c r="AN634" s="160"/>
    </row>
    <row r="635" spans="3:40" x14ac:dyDescent="0.3">
      <c r="C635" s="42"/>
      <c r="F635" s="210"/>
      <c r="H635" s="123"/>
      <c r="I635" s="123"/>
      <c r="J635" s="219"/>
      <c r="K635" s="219"/>
      <c r="L635" s="123"/>
      <c r="M635" s="123"/>
      <c r="N635" s="219"/>
      <c r="O635" s="219"/>
      <c r="P635" s="123"/>
      <c r="Q635" s="123"/>
      <c r="R635" s="123"/>
      <c r="T635" s="42"/>
      <c r="V635" s="123"/>
      <c r="Y635" s="123"/>
      <c r="Z635" s="219"/>
      <c r="AA635" s="123"/>
      <c r="AB635" s="123"/>
      <c r="AC635" s="219"/>
      <c r="AD635" s="219"/>
      <c r="AE635" s="123"/>
      <c r="AF635" s="123"/>
      <c r="AH635" s="236"/>
      <c r="AI635" s="123"/>
      <c r="AJ635" s="123"/>
      <c r="AL635" s="123"/>
      <c r="AM635" s="160"/>
      <c r="AN635" s="160"/>
    </row>
    <row r="636" spans="3:40" x14ac:dyDescent="0.3">
      <c r="F636" s="123"/>
      <c r="H636" s="123"/>
      <c r="I636" s="123"/>
      <c r="J636" s="219"/>
      <c r="K636" s="219"/>
      <c r="L636" s="123"/>
      <c r="M636" s="123"/>
      <c r="N636" s="219"/>
      <c r="O636" s="219"/>
      <c r="P636" s="123"/>
      <c r="Q636" s="123"/>
      <c r="R636" s="123"/>
      <c r="V636" s="123"/>
      <c r="Y636" s="123"/>
      <c r="Z636" s="219"/>
      <c r="AA636" s="123"/>
      <c r="AB636" s="123"/>
      <c r="AC636" s="219"/>
      <c r="AD636" s="219"/>
      <c r="AH636" s="236"/>
      <c r="AI636" s="123"/>
      <c r="AJ636" s="123"/>
      <c r="AL636" s="123"/>
      <c r="AM636" s="160"/>
      <c r="AN636" s="160"/>
    </row>
    <row r="637" spans="3:40" x14ac:dyDescent="0.3">
      <c r="D637" s="42"/>
      <c r="E637" s="42"/>
      <c r="F637" s="123"/>
      <c r="H637" s="123"/>
      <c r="I637" s="123"/>
      <c r="J637" s="219"/>
      <c r="K637" s="219"/>
      <c r="L637" s="184"/>
      <c r="M637" s="184"/>
      <c r="N637" s="219"/>
      <c r="O637" s="219"/>
      <c r="P637" s="123"/>
      <c r="Q637" s="123"/>
      <c r="R637" s="123"/>
      <c r="U637" s="42"/>
      <c r="V637" s="123"/>
      <c r="Y637" s="123"/>
      <c r="Z637" s="219"/>
      <c r="AA637" s="184"/>
      <c r="AB637" s="184"/>
      <c r="AC637" s="219"/>
      <c r="AD637" s="219"/>
      <c r="AE637" s="123"/>
      <c r="AF637" s="123"/>
      <c r="AH637" s="236"/>
      <c r="AI637" s="123"/>
      <c r="AJ637" s="123"/>
      <c r="AL637" s="123"/>
      <c r="AM637" s="160"/>
      <c r="AN637" s="160"/>
    </row>
    <row r="638" spans="3:40" x14ac:dyDescent="0.3">
      <c r="D638" s="42"/>
      <c r="E638" s="42"/>
      <c r="F638" s="123"/>
      <c r="H638" s="123"/>
      <c r="I638" s="123"/>
      <c r="J638" s="219"/>
      <c r="K638" s="219"/>
      <c r="L638" s="184"/>
      <c r="M638" s="184"/>
      <c r="N638" s="219"/>
      <c r="O638" s="219"/>
      <c r="P638" s="123"/>
      <c r="Q638" s="123"/>
      <c r="R638" s="123"/>
      <c r="U638" s="42"/>
      <c r="V638" s="123"/>
      <c r="Y638" s="123"/>
      <c r="Z638" s="219"/>
      <c r="AA638" s="184"/>
      <c r="AB638" s="184"/>
      <c r="AC638" s="219"/>
      <c r="AD638" s="219"/>
      <c r="AE638" s="123"/>
      <c r="AF638" s="123"/>
      <c r="AH638" s="236"/>
      <c r="AI638" s="123"/>
      <c r="AJ638" s="123"/>
      <c r="AL638" s="123"/>
      <c r="AM638" s="160"/>
      <c r="AN638" s="160"/>
    </row>
    <row r="639" spans="3:40" x14ac:dyDescent="0.3">
      <c r="D639" s="42"/>
      <c r="E639" s="42"/>
      <c r="F639" s="123"/>
      <c r="H639" s="123"/>
      <c r="I639" s="123"/>
      <c r="J639" s="219"/>
      <c r="K639" s="219"/>
      <c r="L639" s="184"/>
      <c r="M639" s="184"/>
      <c r="N639" s="219"/>
      <c r="O639" s="219"/>
      <c r="P639" s="123"/>
      <c r="Q639" s="123"/>
      <c r="R639" s="123"/>
      <c r="U639" s="42"/>
      <c r="V639" s="123"/>
      <c r="Y639" s="123"/>
      <c r="Z639" s="219"/>
      <c r="AA639" s="184"/>
      <c r="AB639" s="184"/>
      <c r="AC639" s="219"/>
      <c r="AD639" s="219"/>
      <c r="AE639" s="123"/>
      <c r="AF639" s="123"/>
      <c r="AH639" s="236"/>
      <c r="AI639" s="123"/>
      <c r="AJ639" s="123"/>
      <c r="AL639" s="123"/>
      <c r="AM639" s="160"/>
      <c r="AN639" s="160"/>
    </row>
    <row r="640" spans="3:40" x14ac:dyDescent="0.3">
      <c r="F640" s="123"/>
      <c r="H640" s="210"/>
      <c r="I640" s="210"/>
      <c r="J640" s="213"/>
      <c r="K640" s="213"/>
      <c r="L640" s="210"/>
      <c r="M640" s="210"/>
      <c r="N640" s="210"/>
      <c r="O640" s="210"/>
      <c r="P640" s="210"/>
      <c r="Q640" s="210"/>
      <c r="R640" s="210"/>
      <c r="V640" s="210"/>
      <c r="Y640" s="210"/>
      <c r="Z640" s="213"/>
      <c r="AA640" s="210"/>
      <c r="AB640" s="210"/>
      <c r="AC640" s="210"/>
      <c r="AD640" s="210"/>
      <c r="AE640" s="210"/>
      <c r="AF640" s="210"/>
      <c r="AI640" s="210"/>
      <c r="AJ640" s="210"/>
      <c r="AK640" s="214"/>
      <c r="AL640" s="210"/>
      <c r="AM640" s="160"/>
      <c r="AN640" s="160"/>
    </row>
    <row r="641" spans="1:40" x14ac:dyDescent="0.3">
      <c r="C641" s="42"/>
      <c r="F641" s="210"/>
      <c r="H641" s="123"/>
      <c r="I641" s="123"/>
      <c r="J641" s="219"/>
      <c r="K641" s="219"/>
      <c r="L641" s="123"/>
      <c r="M641" s="123"/>
      <c r="N641" s="219"/>
      <c r="O641" s="219"/>
      <c r="P641" s="123"/>
      <c r="Q641" s="123"/>
      <c r="R641" s="123"/>
      <c r="T641" s="42"/>
      <c r="V641" s="123"/>
      <c r="Y641" s="123"/>
      <c r="Z641" s="219"/>
      <c r="AA641" s="123"/>
      <c r="AB641" s="123"/>
      <c r="AC641" s="219"/>
      <c r="AD641" s="219"/>
      <c r="AE641" s="123"/>
      <c r="AF641" s="123"/>
      <c r="AH641" s="236"/>
      <c r="AI641" s="123"/>
      <c r="AJ641" s="123"/>
      <c r="AL641" s="123"/>
      <c r="AM641" s="160"/>
      <c r="AN641" s="160"/>
    </row>
    <row r="642" spans="1:40" x14ac:dyDescent="0.3">
      <c r="F642" s="123"/>
      <c r="H642" s="123"/>
      <c r="I642" s="123"/>
      <c r="J642" s="219"/>
      <c r="K642" s="219"/>
      <c r="L642" s="123"/>
      <c r="M642" s="123"/>
      <c r="N642" s="219"/>
      <c r="O642" s="219"/>
      <c r="P642" s="123"/>
      <c r="Q642" s="123"/>
      <c r="R642" s="123"/>
      <c r="V642" s="123"/>
      <c r="Y642" s="123"/>
      <c r="Z642" s="219"/>
      <c r="AA642" s="123"/>
      <c r="AB642" s="123"/>
      <c r="AC642" s="219"/>
      <c r="AD642" s="219"/>
      <c r="AH642" s="236"/>
      <c r="AI642" s="123"/>
      <c r="AJ642" s="123"/>
      <c r="AL642" s="123"/>
      <c r="AM642" s="160"/>
      <c r="AN642" s="160"/>
    </row>
    <row r="643" spans="1:40" x14ac:dyDescent="0.3">
      <c r="C643" s="42"/>
      <c r="F643" s="123"/>
      <c r="H643" s="123"/>
      <c r="I643" s="123"/>
      <c r="J643" s="219"/>
      <c r="K643" s="219"/>
      <c r="L643" s="123"/>
      <c r="M643" s="123"/>
      <c r="N643" s="219"/>
      <c r="O643" s="219"/>
      <c r="P643" s="123"/>
      <c r="Q643" s="123"/>
      <c r="R643" s="123"/>
      <c r="T643" s="42"/>
      <c r="V643" s="123"/>
      <c r="Y643" s="123"/>
      <c r="Z643" s="219"/>
      <c r="AA643" s="123"/>
      <c r="AB643" s="123"/>
      <c r="AC643" s="219"/>
      <c r="AD643" s="219"/>
      <c r="AE643" s="123"/>
      <c r="AF643" s="123"/>
      <c r="AH643" s="236"/>
      <c r="AI643" s="123"/>
      <c r="AJ643" s="123"/>
      <c r="AL643" s="123"/>
      <c r="AM643" s="160"/>
      <c r="AN643" s="160"/>
    </row>
    <row r="644" spans="1:40" x14ac:dyDescent="0.3">
      <c r="F644" s="123"/>
      <c r="H644" s="210"/>
      <c r="I644" s="210"/>
      <c r="J644" s="213"/>
      <c r="K644" s="213"/>
      <c r="L644" s="210"/>
      <c r="M644" s="210"/>
      <c r="N644" s="210"/>
      <c r="O644" s="210"/>
      <c r="P644" s="210"/>
      <c r="Q644" s="210"/>
      <c r="R644" s="210"/>
      <c r="V644" s="210"/>
      <c r="Y644" s="210"/>
      <c r="Z644" s="213"/>
      <c r="AA644" s="210"/>
      <c r="AB644" s="210"/>
      <c r="AC644" s="210"/>
      <c r="AD644" s="210"/>
      <c r="AE644" s="210"/>
      <c r="AF644" s="210"/>
      <c r="AI644" s="210"/>
      <c r="AJ644" s="210"/>
      <c r="AK644" s="214"/>
      <c r="AL644" s="210"/>
    </row>
    <row r="646" spans="1:40" x14ac:dyDescent="0.3">
      <c r="C646" s="42"/>
      <c r="F646" s="210"/>
      <c r="L646" s="123"/>
      <c r="M646" s="123"/>
      <c r="P646" s="123"/>
      <c r="Q646" s="123"/>
      <c r="R646" s="123"/>
      <c r="T646" s="42"/>
    </row>
    <row r="647" spans="1:40" x14ac:dyDescent="0.3">
      <c r="A647" s="42"/>
      <c r="L647" s="123"/>
      <c r="M647" s="123"/>
      <c r="P647" s="123"/>
      <c r="Q647" s="123"/>
      <c r="R647" s="123"/>
    </row>
    <row r="648" spans="1:40" x14ac:dyDescent="0.3">
      <c r="L648" s="123"/>
      <c r="M648" s="123"/>
      <c r="P648" s="123"/>
      <c r="Q648" s="123"/>
      <c r="R648" s="123"/>
    </row>
    <row r="649" spans="1:40" x14ac:dyDescent="0.3">
      <c r="L649" s="123"/>
      <c r="M649" s="123"/>
      <c r="P649" s="123"/>
      <c r="Q649" s="123"/>
      <c r="R649" s="123"/>
    </row>
    <row r="650" spans="1:40" x14ac:dyDescent="0.3">
      <c r="L650" s="123"/>
      <c r="M650" s="123"/>
      <c r="P650" s="123"/>
      <c r="Q650" s="123"/>
      <c r="R650" s="123"/>
    </row>
    <row r="651" spans="1:40" x14ac:dyDescent="0.3">
      <c r="L651" s="123"/>
      <c r="M651" s="123"/>
      <c r="P651" s="123"/>
      <c r="Q651" s="123"/>
      <c r="R651" s="123"/>
    </row>
    <row r="652" spans="1:40" x14ac:dyDescent="0.3">
      <c r="L652" s="123"/>
      <c r="M652" s="123"/>
      <c r="P652" s="123"/>
      <c r="Q652" s="123"/>
      <c r="R652" s="123"/>
    </row>
    <row r="685" spans="49:49" x14ac:dyDescent="0.3">
      <c r="AW685" s="123"/>
    </row>
    <row r="686" spans="49:49" x14ac:dyDescent="0.3">
      <c r="AW686" s="123"/>
    </row>
    <row r="687" spans="49:49" x14ac:dyDescent="0.3">
      <c r="AW687" s="123"/>
    </row>
    <row r="688" spans="49:49" x14ac:dyDescent="0.3">
      <c r="AW688" s="123"/>
    </row>
    <row r="689" spans="49:49" x14ac:dyDescent="0.3">
      <c r="AW689" s="123"/>
    </row>
    <row r="690" spans="49:49" x14ac:dyDescent="0.3">
      <c r="AW690" s="123"/>
    </row>
    <row r="693" spans="49:49" x14ac:dyDescent="0.3">
      <c r="AW693" s="123"/>
    </row>
    <row r="694" spans="49:49" x14ac:dyDescent="0.3">
      <c r="AW694" s="123"/>
    </row>
    <row r="695" spans="49:49" x14ac:dyDescent="0.3">
      <c r="AW695" s="123"/>
    </row>
    <row r="696" spans="49:49" x14ac:dyDescent="0.3">
      <c r="AW696" s="123"/>
    </row>
    <row r="697" spans="49:49" x14ac:dyDescent="0.3">
      <c r="AW697" s="123"/>
    </row>
    <row r="698" spans="49:49" x14ac:dyDescent="0.3">
      <c r="AW698" s="123"/>
    </row>
    <row r="699" spans="49:49" x14ac:dyDescent="0.3">
      <c r="AW699" s="123"/>
    </row>
    <row r="700" spans="49:49" x14ac:dyDescent="0.3">
      <c r="AW700" s="123"/>
    </row>
    <row r="703" spans="49:49" x14ac:dyDescent="0.3">
      <c r="AW703" s="123"/>
    </row>
    <row r="704" spans="49:49" x14ac:dyDescent="0.3">
      <c r="AW704" s="123"/>
    </row>
    <row r="707" spans="49:56" x14ac:dyDescent="0.3">
      <c r="AW707" s="123"/>
    </row>
    <row r="708" spans="49:56" x14ac:dyDescent="0.3">
      <c r="AW708" s="123"/>
    </row>
    <row r="709" spans="49:56" x14ac:dyDescent="0.3">
      <c r="AW709" s="123"/>
    </row>
    <row r="710" spans="49:56" x14ac:dyDescent="0.3">
      <c r="AW710" s="123"/>
    </row>
    <row r="718" spans="49:56" x14ac:dyDescent="0.3">
      <c r="AY718" s="42"/>
    </row>
    <row r="719" spans="49:56" x14ac:dyDescent="0.3">
      <c r="AY719" s="42"/>
    </row>
    <row r="720" spans="49:56" x14ac:dyDescent="0.3">
      <c r="BD720" s="42"/>
    </row>
    <row r="721" spans="45:69" x14ac:dyDescent="0.3">
      <c r="BD721" s="42"/>
    </row>
    <row r="722" spans="45:69" x14ac:dyDescent="0.3">
      <c r="AS722" s="42"/>
      <c r="BD722" s="42"/>
    </row>
    <row r="724" spans="45:69" x14ac:dyDescent="0.3">
      <c r="AS724" s="135"/>
      <c r="AT724" s="135"/>
      <c r="AU724" s="135"/>
      <c r="AV724" s="135"/>
      <c r="AW724" s="135"/>
      <c r="AX724" s="135"/>
      <c r="AY724" s="135"/>
      <c r="AZ724" s="135"/>
      <c r="BA724" s="135"/>
      <c r="BB724" s="135"/>
      <c r="BC724" s="135"/>
      <c r="BD724" s="135"/>
      <c r="BE724" s="135"/>
    </row>
    <row r="725" spans="45:69" x14ac:dyDescent="0.3">
      <c r="AX725" s="42"/>
    </row>
    <row r="726" spans="45:69" x14ac:dyDescent="0.3">
      <c r="AX726" s="135"/>
      <c r="AY726" s="135"/>
      <c r="AZ726" s="135"/>
      <c r="BA726" s="135"/>
      <c r="BC726" s="44"/>
      <c r="BD726" s="44"/>
    </row>
    <row r="727" spans="45:69" x14ac:dyDescent="0.3">
      <c r="AV727" s="44"/>
      <c r="AW727" s="44"/>
      <c r="AZ727" s="44"/>
      <c r="BA727" s="44"/>
      <c r="BC727" s="44"/>
      <c r="BD727" s="44"/>
      <c r="BE727" s="44"/>
      <c r="BG727" s="135"/>
      <c r="BH727" s="42"/>
      <c r="BK727" s="135"/>
      <c r="BM727" s="135"/>
      <c r="BN727" s="42"/>
      <c r="BQ727" s="135"/>
    </row>
    <row r="728" spans="45:69" x14ac:dyDescent="0.3"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H728" s="44"/>
      <c r="BI728" s="44"/>
      <c r="BJ728" s="44"/>
      <c r="BN728" s="44"/>
      <c r="BO728" s="44"/>
      <c r="BP728" s="44"/>
    </row>
    <row r="729" spans="45:69" x14ac:dyDescent="0.3">
      <c r="AS729" s="44"/>
      <c r="AU729" s="42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G729" s="44"/>
      <c r="BH729" s="44"/>
      <c r="BI729" s="44"/>
      <c r="BJ729" s="44"/>
      <c r="BK729" s="44"/>
      <c r="BM729" s="44"/>
      <c r="BN729" s="44"/>
      <c r="BO729" s="44"/>
      <c r="BP729" s="44"/>
      <c r="BQ729" s="44"/>
    </row>
    <row r="730" spans="45:69" x14ac:dyDescent="0.3">
      <c r="AS730" s="44"/>
      <c r="AU730" s="42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G730" s="44"/>
      <c r="BH730" s="44"/>
      <c r="BI730" s="44"/>
      <c r="BJ730" s="44"/>
      <c r="BK730" s="44"/>
      <c r="BM730" s="44"/>
      <c r="BN730" s="44"/>
      <c r="BO730" s="44"/>
      <c r="BP730" s="44"/>
      <c r="BQ730" s="44"/>
    </row>
    <row r="731" spans="45:69" x14ac:dyDescent="0.3">
      <c r="AS731" s="135"/>
      <c r="AT731" s="135"/>
      <c r="AU731" s="135"/>
      <c r="AV731" s="135"/>
      <c r="AW731" s="135"/>
      <c r="AX731" s="135"/>
      <c r="AY731" s="135"/>
      <c r="AZ731" s="135"/>
      <c r="BA731" s="135"/>
      <c r="BB731" s="135"/>
      <c r="BC731" s="135"/>
      <c r="BD731" s="135"/>
      <c r="BE731" s="135"/>
      <c r="BG731" s="135"/>
      <c r="BH731" s="135"/>
      <c r="BI731" s="135"/>
      <c r="BJ731" s="135"/>
      <c r="BK731" s="135"/>
      <c r="BM731" s="135"/>
      <c r="BN731" s="135"/>
      <c r="BO731" s="135"/>
      <c r="BP731" s="135"/>
      <c r="BQ731" s="135"/>
    </row>
    <row r="732" spans="45:69" x14ac:dyDescent="0.3"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</row>
    <row r="733" spans="45:69" x14ac:dyDescent="0.3">
      <c r="AU733" s="42"/>
      <c r="AV733" s="44"/>
      <c r="AY733" s="219"/>
    </row>
    <row r="734" spans="45:69" x14ac:dyDescent="0.3">
      <c r="AV734" s="44"/>
      <c r="AW734" s="123"/>
      <c r="AX734" s="188"/>
      <c r="AY734" s="188"/>
      <c r="AZ734" s="188"/>
      <c r="BA734" s="160"/>
      <c r="BB734" s="188"/>
      <c r="BC734" s="219"/>
      <c r="BD734" s="219"/>
      <c r="BE734" s="160"/>
      <c r="BG734" s="188"/>
      <c r="BH734" s="188"/>
      <c r="BI734" s="188"/>
      <c r="BJ734" s="188"/>
      <c r="BK734" s="188"/>
      <c r="BM734" s="188"/>
      <c r="BN734" s="188"/>
      <c r="BO734" s="188"/>
      <c r="BP734" s="188"/>
      <c r="BQ734" s="188"/>
    </row>
    <row r="735" spans="45:69" x14ac:dyDescent="0.3">
      <c r="AV735" s="44"/>
      <c r="AW735" s="123"/>
      <c r="AX735" s="188"/>
      <c r="AY735" s="188"/>
      <c r="AZ735" s="188"/>
      <c r="BA735" s="160"/>
      <c r="BB735" s="188"/>
      <c r="BC735" s="219"/>
      <c r="BD735" s="219"/>
      <c r="BE735" s="160"/>
      <c r="BG735" s="188"/>
      <c r="BH735" s="188"/>
      <c r="BI735" s="188"/>
      <c r="BJ735" s="188"/>
      <c r="BK735" s="188"/>
      <c r="BM735" s="188"/>
      <c r="BN735" s="188"/>
      <c r="BO735" s="188"/>
      <c r="BP735" s="188"/>
      <c r="BQ735" s="188"/>
    </row>
    <row r="736" spans="45:69" x14ac:dyDescent="0.3">
      <c r="AV736" s="44"/>
      <c r="AW736" s="123"/>
      <c r="AX736" s="188"/>
      <c r="AY736" s="188"/>
      <c r="AZ736" s="188"/>
      <c r="BA736" s="160"/>
      <c r="BB736" s="188"/>
      <c r="BC736" s="219"/>
      <c r="BD736" s="219"/>
      <c r="BE736" s="160"/>
      <c r="BG736" s="188"/>
      <c r="BH736" s="188"/>
      <c r="BI736" s="188"/>
      <c r="BJ736" s="188"/>
      <c r="BK736" s="188"/>
      <c r="BM736" s="188"/>
      <c r="BN736" s="188"/>
      <c r="BO736" s="188"/>
      <c r="BP736" s="188"/>
      <c r="BQ736" s="188"/>
    </row>
    <row r="737" spans="47:69" x14ac:dyDescent="0.3">
      <c r="AV737" s="44"/>
      <c r="AW737" s="123"/>
      <c r="AX737" s="188"/>
      <c r="AY737" s="188"/>
      <c r="AZ737" s="188"/>
      <c r="BA737" s="160"/>
      <c r="BB737" s="188"/>
      <c r="BC737" s="219"/>
      <c r="BD737" s="219"/>
      <c r="BE737" s="160"/>
      <c r="BG737" s="188"/>
      <c r="BH737" s="188"/>
      <c r="BI737" s="188"/>
      <c r="BJ737" s="188"/>
      <c r="BK737" s="188"/>
      <c r="BM737" s="188"/>
      <c r="BN737" s="188"/>
      <c r="BO737" s="188"/>
      <c r="BP737" s="188"/>
      <c r="BQ737" s="188"/>
    </row>
    <row r="738" spans="47:69" x14ac:dyDescent="0.3">
      <c r="AV738" s="44"/>
      <c r="AW738" s="123"/>
      <c r="AX738" s="188"/>
      <c r="AY738" s="188"/>
      <c r="AZ738" s="188"/>
      <c r="BA738" s="160"/>
      <c r="BB738" s="188"/>
      <c r="BC738" s="219"/>
      <c r="BD738" s="219"/>
      <c r="BE738" s="160"/>
      <c r="BG738" s="188"/>
      <c r="BH738" s="188"/>
      <c r="BI738" s="188"/>
      <c r="BJ738" s="188"/>
      <c r="BK738" s="188"/>
      <c r="BM738" s="188"/>
      <c r="BN738" s="188"/>
      <c r="BO738" s="188"/>
      <c r="BP738" s="188"/>
      <c r="BQ738" s="188"/>
    </row>
    <row r="739" spans="47:69" x14ac:dyDescent="0.3">
      <c r="AV739" s="44"/>
      <c r="AW739" s="123"/>
      <c r="AX739" s="188"/>
      <c r="AY739" s="188"/>
      <c r="AZ739" s="188"/>
      <c r="BA739" s="160"/>
      <c r="BB739" s="188"/>
      <c r="BC739" s="219"/>
      <c r="BD739" s="219"/>
      <c r="BE739" s="160"/>
      <c r="BG739" s="188"/>
      <c r="BH739" s="188"/>
      <c r="BI739" s="188"/>
      <c r="BJ739" s="188"/>
      <c r="BK739" s="188"/>
      <c r="BM739" s="188"/>
      <c r="BN739" s="188"/>
      <c r="BO739" s="188"/>
      <c r="BP739" s="188"/>
      <c r="BQ739" s="188"/>
    </row>
    <row r="740" spans="47:69" x14ac:dyDescent="0.3">
      <c r="AV740" s="44"/>
      <c r="AW740" s="123"/>
      <c r="AX740" s="188"/>
      <c r="AY740" s="188"/>
      <c r="AZ740" s="188"/>
      <c r="BA740" s="160"/>
      <c r="BB740" s="188"/>
      <c r="BC740" s="219"/>
      <c r="BD740" s="219"/>
      <c r="BE740" s="160"/>
      <c r="BG740" s="188"/>
      <c r="BH740" s="188"/>
      <c r="BI740" s="188"/>
      <c r="BJ740" s="188"/>
      <c r="BK740" s="188"/>
      <c r="BM740" s="188"/>
      <c r="BN740" s="188"/>
      <c r="BO740" s="188"/>
      <c r="BP740" s="188"/>
      <c r="BQ740" s="188"/>
    </row>
    <row r="741" spans="47:69" x14ac:dyDescent="0.3">
      <c r="AY741" s="219"/>
      <c r="AZ741" s="188"/>
      <c r="BA741" s="160"/>
      <c r="BB741" s="188"/>
      <c r="BC741" s="219"/>
      <c r="BD741" s="219"/>
      <c r="BE741" s="160"/>
      <c r="BK741" s="188"/>
      <c r="BQ741" s="188"/>
    </row>
    <row r="742" spans="47:69" x14ac:dyDescent="0.3">
      <c r="AV742" s="44"/>
      <c r="AY742" s="219"/>
      <c r="AZ742" s="188"/>
      <c r="BA742" s="160"/>
      <c r="BB742" s="188"/>
      <c r="BC742" s="219"/>
      <c r="BD742" s="219"/>
      <c r="BE742" s="160"/>
      <c r="BK742" s="188"/>
      <c r="BQ742" s="188"/>
    </row>
    <row r="743" spans="47:69" x14ac:dyDescent="0.3">
      <c r="AV743" s="44"/>
      <c r="AW743" s="123"/>
      <c r="AX743" s="188"/>
      <c r="AY743" s="188"/>
      <c r="AZ743" s="188"/>
      <c r="BA743" s="160"/>
      <c r="BB743" s="188"/>
      <c r="BC743" s="219"/>
      <c r="BD743" s="219"/>
      <c r="BE743" s="160"/>
      <c r="BG743" s="188"/>
      <c r="BH743" s="188"/>
      <c r="BI743" s="188"/>
      <c r="BJ743" s="188"/>
      <c r="BK743" s="188"/>
      <c r="BM743" s="188"/>
      <c r="BN743" s="188"/>
      <c r="BO743" s="188"/>
      <c r="BP743" s="188"/>
      <c r="BQ743" s="188"/>
    </row>
    <row r="744" spans="47:69" x14ac:dyDescent="0.3">
      <c r="AV744" s="44"/>
      <c r="AW744" s="123"/>
      <c r="AX744" s="188"/>
      <c r="AY744" s="188"/>
      <c r="AZ744" s="188"/>
      <c r="BA744" s="160"/>
      <c r="BB744" s="188"/>
      <c r="BC744" s="219"/>
      <c r="BD744" s="219"/>
      <c r="BE744" s="160"/>
      <c r="BG744" s="188"/>
      <c r="BH744" s="188"/>
      <c r="BI744" s="188"/>
      <c r="BJ744" s="188"/>
      <c r="BK744" s="188"/>
      <c r="BM744" s="188"/>
      <c r="BN744" s="188"/>
      <c r="BO744" s="188"/>
      <c r="BP744" s="188"/>
      <c r="BQ744" s="188"/>
    </row>
    <row r="745" spans="47:69" x14ac:dyDescent="0.3">
      <c r="AV745" s="44"/>
      <c r="AW745" s="123"/>
      <c r="AX745" s="188"/>
      <c r="AY745" s="188"/>
      <c r="AZ745" s="188"/>
      <c r="BA745" s="160"/>
      <c r="BB745" s="188"/>
      <c r="BC745" s="219"/>
      <c r="BD745" s="219"/>
      <c r="BE745" s="160"/>
      <c r="BG745" s="188"/>
      <c r="BH745" s="188"/>
      <c r="BI745" s="188"/>
      <c r="BJ745" s="188"/>
      <c r="BK745" s="188"/>
      <c r="BM745" s="188"/>
      <c r="BN745" s="188"/>
      <c r="BO745" s="188"/>
      <c r="BP745" s="188"/>
      <c r="BQ745" s="188"/>
    </row>
    <row r="746" spans="47:69" x14ac:dyDescent="0.3">
      <c r="AV746" s="44"/>
      <c r="AW746" s="123"/>
      <c r="AX746" s="188"/>
      <c r="AY746" s="188"/>
      <c r="AZ746" s="188"/>
      <c r="BA746" s="160"/>
      <c r="BB746" s="188"/>
      <c r="BC746" s="219"/>
      <c r="BD746" s="219"/>
      <c r="BE746" s="160"/>
      <c r="BG746" s="188"/>
      <c r="BH746" s="188"/>
      <c r="BI746" s="188"/>
      <c r="BJ746" s="188"/>
      <c r="BK746" s="188"/>
      <c r="BM746" s="188"/>
      <c r="BN746" s="188"/>
      <c r="BO746" s="188"/>
      <c r="BP746" s="188"/>
      <c r="BQ746" s="188"/>
    </row>
    <row r="747" spans="47:69" x14ac:dyDescent="0.3">
      <c r="AV747" s="44"/>
      <c r="AW747" s="123"/>
      <c r="AX747" s="188"/>
      <c r="AY747" s="188"/>
      <c r="AZ747" s="188"/>
      <c r="BA747" s="160"/>
      <c r="BB747" s="188"/>
      <c r="BC747" s="219"/>
      <c r="BD747" s="219"/>
      <c r="BE747" s="160"/>
      <c r="BG747" s="188"/>
      <c r="BH747" s="188"/>
      <c r="BI747" s="188"/>
      <c r="BJ747" s="188"/>
      <c r="BK747" s="188"/>
      <c r="BM747" s="188"/>
      <c r="BN747" s="188"/>
      <c r="BO747" s="188"/>
      <c r="BP747" s="188"/>
      <c r="BQ747" s="188"/>
    </row>
    <row r="748" spans="47:69" x14ac:dyDescent="0.3">
      <c r="AV748" s="44"/>
      <c r="AW748" s="123"/>
      <c r="AX748" s="188"/>
      <c r="AY748" s="188"/>
      <c r="AZ748" s="188"/>
      <c r="BA748" s="160"/>
      <c r="BB748" s="188"/>
      <c r="BC748" s="219"/>
      <c r="BD748" s="219"/>
      <c r="BE748" s="160"/>
      <c r="BG748" s="188"/>
      <c r="BH748" s="188"/>
      <c r="BI748" s="188"/>
      <c r="BJ748" s="188"/>
      <c r="BK748" s="188"/>
      <c r="BM748" s="188"/>
      <c r="BN748" s="188"/>
      <c r="BO748" s="188"/>
      <c r="BP748" s="188"/>
      <c r="BQ748" s="188"/>
    </row>
    <row r="749" spans="47:69" x14ac:dyDescent="0.3">
      <c r="AV749" s="44"/>
      <c r="AW749" s="123"/>
      <c r="AX749" s="188"/>
      <c r="AY749" s="188"/>
      <c r="AZ749" s="188"/>
      <c r="BA749" s="160"/>
      <c r="BB749" s="188"/>
      <c r="BC749" s="219"/>
      <c r="BD749" s="219"/>
      <c r="BE749" s="160"/>
      <c r="BG749" s="188"/>
      <c r="BH749" s="188"/>
      <c r="BI749" s="188"/>
      <c r="BJ749" s="188"/>
      <c r="BK749" s="188"/>
      <c r="BM749" s="188"/>
      <c r="BN749" s="188"/>
      <c r="BO749" s="188"/>
      <c r="BP749" s="188"/>
      <c r="BQ749" s="188"/>
    </row>
    <row r="750" spans="47:69" x14ac:dyDescent="0.3">
      <c r="AV750" s="44"/>
      <c r="AW750" s="123"/>
      <c r="AX750" s="188"/>
      <c r="AY750" s="188"/>
      <c r="AZ750" s="188"/>
      <c r="BA750" s="160"/>
      <c r="BB750" s="188"/>
      <c r="BC750" s="219"/>
      <c r="BD750" s="219"/>
      <c r="BE750" s="160"/>
      <c r="BG750" s="188"/>
      <c r="BH750" s="188"/>
      <c r="BI750" s="188"/>
      <c r="BJ750" s="188"/>
      <c r="BK750" s="188"/>
      <c r="BM750" s="188"/>
      <c r="BN750" s="188"/>
      <c r="BO750" s="188"/>
      <c r="BP750" s="188"/>
      <c r="BQ750" s="188"/>
    </row>
    <row r="751" spans="47:69" x14ac:dyDescent="0.3">
      <c r="AY751" s="219"/>
      <c r="AZ751" s="188"/>
      <c r="BA751" s="160"/>
      <c r="BB751" s="188"/>
      <c r="BC751" s="219"/>
      <c r="BD751" s="219"/>
      <c r="BE751" s="160"/>
      <c r="BK751" s="188"/>
      <c r="BQ751" s="188"/>
    </row>
    <row r="752" spans="47:69" x14ac:dyDescent="0.3">
      <c r="AU752" s="42"/>
      <c r="AZ752" s="188"/>
      <c r="BB752" s="188"/>
      <c r="BG752" s="188"/>
      <c r="BH752" s="188"/>
      <c r="BJ752" s="188"/>
      <c r="BK752" s="188"/>
    </row>
    <row r="753" spans="45:75" x14ac:dyDescent="0.3">
      <c r="AZ753" s="188"/>
      <c r="BB753" s="188"/>
    </row>
    <row r="754" spans="45:75" x14ac:dyDescent="0.3">
      <c r="AS754" s="42"/>
      <c r="AZ754" s="188"/>
      <c r="BB754" s="188"/>
      <c r="BI754" s="188"/>
    </row>
    <row r="755" spans="45:75" x14ac:dyDescent="0.3">
      <c r="AZ755" s="188"/>
      <c r="BB755" s="188"/>
    </row>
    <row r="756" spans="45:75" x14ac:dyDescent="0.3">
      <c r="AY756" s="188"/>
      <c r="BB756" s="188"/>
    </row>
    <row r="757" spans="45:75" x14ac:dyDescent="0.3">
      <c r="AY757" s="42"/>
      <c r="AZ757" s="188"/>
      <c r="BB757" s="188"/>
    </row>
    <row r="758" spans="45:75" x14ac:dyDescent="0.3">
      <c r="AY758" s="42"/>
      <c r="AZ758" s="188"/>
      <c r="BB758" s="188"/>
    </row>
    <row r="759" spans="45:75" x14ac:dyDescent="0.3">
      <c r="AZ759" s="188"/>
      <c r="BB759" s="188"/>
      <c r="BD759" s="42"/>
    </row>
    <row r="760" spans="45:75" x14ac:dyDescent="0.3">
      <c r="AZ760" s="188"/>
      <c r="BB760" s="188"/>
      <c r="BD760" s="42"/>
    </row>
    <row r="761" spans="45:75" x14ac:dyDescent="0.3">
      <c r="AS761" s="42"/>
      <c r="AZ761" s="188"/>
      <c r="BB761" s="188"/>
      <c r="BD761" s="42"/>
    </row>
    <row r="762" spans="45:75" x14ac:dyDescent="0.3">
      <c r="AZ762" s="188"/>
      <c r="BB762" s="188"/>
    </row>
    <row r="763" spans="45:75" x14ac:dyDescent="0.3">
      <c r="AS763" s="135"/>
      <c r="AT763" s="135"/>
      <c r="AU763" s="135"/>
      <c r="AV763" s="135"/>
      <c r="AW763" s="135"/>
      <c r="AX763" s="135"/>
      <c r="AY763" s="135"/>
      <c r="AZ763" s="244"/>
      <c r="BA763" s="135"/>
      <c r="BB763" s="244"/>
      <c r="BC763" s="135"/>
      <c r="BD763" s="135"/>
      <c r="BE763" s="135"/>
    </row>
    <row r="764" spans="45:75" x14ac:dyDescent="0.3">
      <c r="AX764" s="42"/>
      <c r="AZ764" s="188"/>
      <c r="BB764" s="188"/>
    </row>
    <row r="765" spans="45:75" x14ac:dyDescent="0.3">
      <c r="AX765" s="135"/>
      <c r="AY765" s="135"/>
      <c r="AZ765" s="244"/>
      <c r="BA765" s="135"/>
      <c r="BB765" s="188"/>
      <c r="BC765" s="44"/>
      <c r="BD765" s="44"/>
    </row>
    <row r="766" spans="45:75" x14ac:dyDescent="0.3">
      <c r="AV766" s="44"/>
      <c r="AW766" s="44"/>
      <c r="AZ766" s="245"/>
      <c r="BA766" s="44"/>
      <c r="BB766" s="188"/>
      <c r="BC766" s="44"/>
      <c r="BD766" s="44"/>
      <c r="BE766" s="44"/>
      <c r="BG766" s="135"/>
      <c r="BH766" s="135"/>
      <c r="BI766" s="42"/>
      <c r="BM766" s="135"/>
      <c r="BN766" s="135"/>
      <c r="BP766" s="135"/>
      <c r="BQ766" s="135"/>
      <c r="BR766" s="42"/>
      <c r="BV766" s="135"/>
      <c r="BW766" s="135"/>
    </row>
    <row r="767" spans="45:75" x14ac:dyDescent="0.3">
      <c r="AV767" s="44"/>
      <c r="AW767" s="44"/>
      <c r="AX767" s="44"/>
      <c r="AY767" s="44"/>
      <c r="AZ767" s="245"/>
      <c r="BA767" s="44"/>
      <c r="BB767" s="245"/>
      <c r="BC767" s="44"/>
      <c r="BD767" s="44"/>
      <c r="BE767" s="44"/>
      <c r="BH767" s="44"/>
      <c r="BI767" s="44"/>
      <c r="BJ767" s="44"/>
      <c r="BK767" s="44"/>
      <c r="BL767" s="44"/>
      <c r="BM767" s="44"/>
      <c r="BQ767" s="44"/>
      <c r="BR767" s="44"/>
      <c r="BS767" s="44"/>
      <c r="BT767" s="44"/>
      <c r="BU767" s="44"/>
      <c r="BV767" s="44"/>
    </row>
    <row r="768" spans="45:75" x14ac:dyDescent="0.3">
      <c r="AS768" s="44"/>
      <c r="AU768" s="42"/>
      <c r="AV768" s="44"/>
      <c r="AW768" s="44"/>
      <c r="AX768" s="44"/>
      <c r="AY768" s="44"/>
      <c r="AZ768" s="245"/>
      <c r="BA768" s="44"/>
      <c r="BB768" s="245"/>
      <c r="BC768" s="44"/>
      <c r="BD768" s="44"/>
      <c r="BE768" s="44"/>
      <c r="BG768" s="44"/>
      <c r="BH768" s="44"/>
      <c r="BI768" s="44"/>
      <c r="BJ768" s="44"/>
      <c r="BK768" s="44"/>
      <c r="BL768" s="44"/>
      <c r="BM768" s="44"/>
      <c r="BN768" s="44"/>
      <c r="BP768" s="44"/>
      <c r="BQ768" s="44"/>
      <c r="BR768" s="44"/>
      <c r="BS768" s="44"/>
      <c r="BT768" s="44"/>
      <c r="BU768" s="44"/>
      <c r="BV768" s="44"/>
      <c r="BW768" s="44"/>
    </row>
    <row r="769" spans="45:75" x14ac:dyDescent="0.3">
      <c r="AS769" s="44"/>
      <c r="AU769" s="42"/>
      <c r="AV769" s="44"/>
      <c r="AW769" s="44"/>
      <c r="AX769" s="44"/>
      <c r="AY769" s="44"/>
      <c r="AZ769" s="245"/>
      <c r="BA769" s="44"/>
      <c r="BB769" s="245"/>
      <c r="BC769" s="44"/>
      <c r="BD769" s="44"/>
      <c r="BE769" s="44"/>
      <c r="BG769" s="44"/>
      <c r="BH769" s="44"/>
      <c r="BI769" s="44"/>
      <c r="BJ769" s="44"/>
      <c r="BK769" s="44"/>
      <c r="BL769" s="44"/>
      <c r="BM769" s="44"/>
      <c r="BN769" s="44"/>
      <c r="BP769" s="44"/>
      <c r="BQ769" s="44"/>
      <c r="BR769" s="44"/>
      <c r="BS769" s="44"/>
      <c r="BT769" s="44"/>
      <c r="BU769" s="44"/>
      <c r="BV769" s="44"/>
      <c r="BW769" s="44"/>
    </row>
    <row r="770" spans="45:75" x14ac:dyDescent="0.3">
      <c r="AS770" s="135"/>
      <c r="AT770" s="135"/>
      <c r="AU770" s="135"/>
      <c r="AV770" s="135"/>
      <c r="AW770" s="135"/>
      <c r="AX770" s="135"/>
      <c r="AY770" s="135"/>
      <c r="AZ770" s="244"/>
      <c r="BA770" s="135"/>
      <c r="BB770" s="244"/>
      <c r="BC770" s="135"/>
      <c r="BD770" s="135"/>
      <c r="BE770" s="135"/>
      <c r="BG770" s="135"/>
      <c r="BH770" s="135"/>
      <c r="BI770" s="135"/>
      <c r="BJ770" s="135"/>
      <c r="BK770" s="135"/>
      <c r="BL770" s="135"/>
      <c r="BM770" s="135"/>
      <c r="BN770" s="135"/>
      <c r="BP770" s="135"/>
      <c r="BQ770" s="135"/>
      <c r="BR770" s="135"/>
      <c r="BS770" s="135"/>
      <c r="BT770" s="135"/>
      <c r="BU770" s="135"/>
      <c r="BV770" s="135"/>
      <c r="BW770" s="135"/>
    </row>
    <row r="771" spans="45:75" x14ac:dyDescent="0.3">
      <c r="AV771" s="44"/>
      <c r="AW771" s="44"/>
      <c r="AX771" s="44"/>
      <c r="AY771" s="44"/>
      <c r="AZ771" s="245"/>
      <c r="BA771" s="44"/>
      <c r="BB771" s="245"/>
      <c r="BC771" s="44"/>
      <c r="BD771" s="44"/>
      <c r="BE771" s="44"/>
      <c r="BG771" s="188"/>
      <c r="BH771" s="188"/>
      <c r="BI771" s="188"/>
      <c r="BJ771" s="188"/>
      <c r="BK771" s="188"/>
      <c r="BL771" s="188"/>
      <c r="BM771" s="188"/>
      <c r="BN771" s="188"/>
      <c r="BO771" s="188"/>
      <c r="BP771" s="188"/>
      <c r="BQ771" s="188"/>
      <c r="BR771" s="188"/>
      <c r="BS771" s="188"/>
      <c r="BT771" s="188"/>
      <c r="BU771" s="188"/>
      <c r="BV771" s="188"/>
      <c r="BW771" s="188"/>
    </row>
    <row r="772" spans="45:75" x14ac:dyDescent="0.3">
      <c r="AU772" s="42"/>
      <c r="AW772" s="123"/>
      <c r="AX772" s="188"/>
      <c r="AY772" s="188"/>
      <c r="AZ772" s="188"/>
      <c r="BA772" s="236"/>
      <c r="BB772" s="188"/>
      <c r="BC772" s="188"/>
      <c r="BD772" s="188"/>
      <c r="BE772" s="236"/>
      <c r="BG772" s="188"/>
      <c r="BH772" s="188"/>
      <c r="BI772" s="188"/>
      <c r="BJ772" s="188"/>
      <c r="BK772" s="188"/>
      <c r="BL772" s="188"/>
      <c r="BM772" s="188"/>
      <c r="BN772" s="188"/>
      <c r="BO772" s="188"/>
      <c r="BP772" s="188"/>
      <c r="BQ772" s="188"/>
      <c r="BR772" s="188"/>
      <c r="BS772" s="188"/>
      <c r="BT772" s="188"/>
      <c r="BU772" s="188"/>
      <c r="BV772" s="188"/>
      <c r="BW772" s="188"/>
    </row>
    <row r="773" spans="45:75" x14ac:dyDescent="0.3">
      <c r="AW773" s="123"/>
      <c r="AX773" s="188"/>
      <c r="AY773" s="188"/>
      <c r="AZ773" s="188"/>
      <c r="BA773" s="236"/>
      <c r="BB773" s="188"/>
      <c r="BC773" s="188"/>
      <c r="BD773" s="188"/>
      <c r="BE773" s="236"/>
      <c r="BG773" s="188"/>
      <c r="BH773" s="188"/>
      <c r="BI773" s="188"/>
      <c r="BJ773" s="188"/>
      <c r="BK773" s="188"/>
      <c r="BL773" s="188"/>
      <c r="BM773" s="188"/>
      <c r="BN773" s="188"/>
      <c r="BO773" s="188"/>
      <c r="BP773" s="188"/>
      <c r="BQ773" s="188"/>
      <c r="BR773" s="188"/>
      <c r="BS773" s="188"/>
      <c r="BT773" s="188"/>
      <c r="BU773" s="188"/>
      <c r="BV773" s="188"/>
      <c r="BW773" s="188"/>
    </row>
    <row r="774" spans="45:75" x14ac:dyDescent="0.3">
      <c r="AW774" s="123"/>
      <c r="AX774" s="188"/>
      <c r="AY774" s="188"/>
      <c r="AZ774" s="188"/>
      <c r="BA774" s="236"/>
      <c r="BB774" s="188"/>
      <c r="BC774" s="188"/>
      <c r="BD774" s="188"/>
      <c r="BE774" s="236"/>
      <c r="BG774" s="188"/>
      <c r="BH774" s="188"/>
      <c r="BI774" s="188"/>
      <c r="BJ774" s="188"/>
      <c r="BK774" s="188"/>
      <c r="BL774" s="188"/>
      <c r="BM774" s="188"/>
      <c r="BN774" s="188"/>
      <c r="BO774" s="188"/>
      <c r="BP774" s="188"/>
      <c r="BQ774" s="188"/>
      <c r="BR774" s="188"/>
      <c r="BS774" s="188"/>
      <c r="BT774" s="188"/>
      <c r="BU774" s="188"/>
      <c r="BV774" s="188"/>
      <c r="BW774" s="188"/>
    </row>
    <row r="775" spans="45:75" x14ac:dyDescent="0.3">
      <c r="AW775" s="123"/>
      <c r="AX775" s="188"/>
      <c r="AY775" s="188"/>
      <c r="AZ775" s="188"/>
      <c r="BA775" s="236"/>
      <c r="BB775" s="188"/>
      <c r="BC775" s="188"/>
      <c r="BD775" s="188"/>
      <c r="BE775" s="236"/>
      <c r="BG775" s="188"/>
      <c r="BH775" s="188"/>
      <c r="BI775" s="188"/>
      <c r="BJ775" s="188"/>
      <c r="BK775" s="188"/>
      <c r="BL775" s="188"/>
      <c r="BM775" s="188"/>
      <c r="BN775" s="188"/>
      <c r="BO775" s="188"/>
      <c r="BP775" s="188"/>
      <c r="BQ775" s="188"/>
      <c r="BR775" s="188"/>
      <c r="BS775" s="188"/>
      <c r="BT775" s="188"/>
      <c r="BU775" s="188"/>
      <c r="BV775" s="188"/>
      <c r="BW775" s="188"/>
    </row>
    <row r="776" spans="45:75" x14ac:dyDescent="0.3">
      <c r="AW776" s="123"/>
      <c r="AX776" s="188"/>
      <c r="AY776" s="188"/>
      <c r="AZ776" s="188"/>
      <c r="BA776" s="236"/>
      <c r="BB776" s="188"/>
      <c r="BC776" s="188"/>
      <c r="BD776" s="188"/>
      <c r="BE776" s="236"/>
      <c r="BG776" s="188"/>
      <c r="BH776" s="188"/>
      <c r="BI776" s="188"/>
      <c r="BJ776" s="188"/>
      <c r="BK776" s="188"/>
      <c r="BL776" s="188"/>
      <c r="BM776" s="188"/>
      <c r="BN776" s="188"/>
      <c r="BO776" s="188"/>
      <c r="BP776" s="188"/>
      <c r="BQ776" s="188"/>
      <c r="BR776" s="188"/>
      <c r="BS776" s="188"/>
      <c r="BT776" s="188"/>
      <c r="BU776" s="188"/>
      <c r="BV776" s="188"/>
      <c r="BW776" s="188"/>
    </row>
    <row r="777" spans="45:75" x14ac:dyDescent="0.3">
      <c r="AW777" s="123"/>
      <c r="AX777" s="188"/>
      <c r="AY777" s="188"/>
      <c r="AZ777" s="188"/>
      <c r="BA777" s="236"/>
      <c r="BB777" s="188"/>
      <c r="BC777" s="188"/>
      <c r="BD777" s="188"/>
      <c r="BE777" s="236"/>
      <c r="BG777" s="188"/>
      <c r="BH777" s="188"/>
      <c r="BI777" s="188"/>
      <c r="BJ777" s="188"/>
      <c r="BK777" s="188"/>
      <c r="BL777" s="188"/>
      <c r="BM777" s="188"/>
      <c r="BN777" s="188"/>
      <c r="BO777" s="188"/>
      <c r="BP777" s="188"/>
      <c r="BQ777" s="188"/>
      <c r="BR777" s="188"/>
      <c r="BS777" s="188"/>
      <c r="BT777" s="188"/>
      <c r="BU777" s="188"/>
      <c r="BV777" s="188"/>
      <c r="BW777" s="188"/>
    </row>
    <row r="778" spans="45:75" x14ac:dyDescent="0.3">
      <c r="AW778" s="123"/>
      <c r="AX778" s="188"/>
      <c r="AY778" s="188"/>
      <c r="AZ778" s="188"/>
      <c r="BA778" s="236"/>
      <c r="BB778" s="188"/>
      <c r="BC778" s="188"/>
      <c r="BD778" s="188"/>
      <c r="BE778" s="236"/>
      <c r="BG778" s="188"/>
      <c r="BH778" s="188"/>
      <c r="BI778" s="188"/>
      <c r="BJ778" s="188"/>
      <c r="BK778" s="188"/>
      <c r="BL778" s="188"/>
      <c r="BM778" s="188"/>
      <c r="BN778" s="188"/>
      <c r="BO778" s="188"/>
      <c r="BP778" s="188"/>
      <c r="BQ778" s="188"/>
      <c r="BR778" s="188"/>
      <c r="BS778" s="188"/>
      <c r="BT778" s="188"/>
      <c r="BU778" s="188"/>
      <c r="BV778" s="188"/>
      <c r="BW778" s="188"/>
    </row>
    <row r="779" spans="45:75" x14ac:dyDescent="0.3">
      <c r="AW779" s="123"/>
      <c r="AX779" s="188"/>
      <c r="AY779" s="188"/>
      <c r="AZ779" s="188"/>
      <c r="BA779" s="236"/>
      <c r="BB779" s="188"/>
      <c r="BC779" s="188"/>
      <c r="BD779" s="188"/>
      <c r="BE779" s="236"/>
      <c r="BG779" s="188"/>
      <c r="BH779" s="188"/>
      <c r="BI779" s="188"/>
      <c r="BJ779" s="188"/>
      <c r="BK779" s="188"/>
      <c r="BL779" s="188"/>
      <c r="BM779" s="188"/>
      <c r="BN779" s="188"/>
      <c r="BO779" s="188"/>
      <c r="BP779" s="188"/>
      <c r="BQ779" s="188"/>
      <c r="BR779" s="188"/>
      <c r="BS779" s="188"/>
      <c r="BT779" s="188"/>
      <c r="BU779" s="188"/>
      <c r="BV779" s="188"/>
      <c r="BW779" s="188"/>
    </row>
    <row r="780" spans="45:75" x14ac:dyDescent="0.3">
      <c r="AW780" s="123"/>
      <c r="AX780" s="188"/>
      <c r="AY780" s="188"/>
      <c r="AZ780" s="188"/>
      <c r="BA780" s="236"/>
      <c r="BB780" s="188"/>
      <c r="BC780" s="188"/>
      <c r="BD780" s="188"/>
      <c r="BE780" s="236"/>
      <c r="BG780" s="188"/>
      <c r="BH780" s="188"/>
      <c r="BI780" s="188"/>
      <c r="BJ780" s="188"/>
      <c r="BK780" s="188"/>
      <c r="BL780" s="188"/>
      <c r="BM780" s="188"/>
      <c r="BN780" s="188"/>
      <c r="BO780" s="188"/>
      <c r="BP780" s="188"/>
      <c r="BQ780" s="188"/>
      <c r="BR780" s="188"/>
      <c r="BS780" s="188"/>
      <c r="BT780" s="188"/>
      <c r="BU780" s="188"/>
      <c r="BV780" s="188"/>
      <c r="BW780" s="188"/>
    </row>
    <row r="781" spans="45:75" x14ac:dyDescent="0.3">
      <c r="AW781" s="123"/>
      <c r="AX781" s="188"/>
      <c r="AY781" s="188"/>
      <c r="AZ781" s="188"/>
      <c r="BA781" s="236"/>
      <c r="BB781" s="188"/>
      <c r="BC781" s="188"/>
      <c r="BD781" s="188"/>
      <c r="BE781" s="236"/>
      <c r="BG781" s="188"/>
      <c r="BH781" s="188"/>
      <c r="BI781" s="188"/>
      <c r="BJ781" s="188"/>
      <c r="BK781" s="188"/>
      <c r="BL781" s="188"/>
      <c r="BM781" s="188"/>
      <c r="BN781" s="188"/>
      <c r="BO781" s="188"/>
      <c r="BP781" s="188"/>
      <c r="BQ781" s="188"/>
      <c r="BR781" s="188"/>
      <c r="BS781" s="188"/>
      <c r="BT781" s="188"/>
      <c r="BU781" s="188"/>
      <c r="BV781" s="188"/>
      <c r="BW781" s="188"/>
    </row>
    <row r="782" spans="45:75" x14ac:dyDescent="0.3">
      <c r="AW782" s="123"/>
      <c r="AX782" s="188"/>
      <c r="AY782" s="188"/>
      <c r="AZ782" s="188"/>
      <c r="BA782" s="236"/>
      <c r="BB782" s="188"/>
      <c r="BC782" s="188"/>
      <c r="BD782" s="188"/>
      <c r="BE782" s="236"/>
      <c r="BG782" s="188"/>
      <c r="BH782" s="188"/>
      <c r="BI782" s="188"/>
      <c r="BJ782" s="188"/>
      <c r="BK782" s="188"/>
      <c r="BL782" s="188"/>
      <c r="BM782" s="188"/>
      <c r="BN782" s="188"/>
      <c r="BO782" s="188"/>
      <c r="BP782" s="188"/>
      <c r="BQ782" s="188"/>
      <c r="BR782" s="188"/>
      <c r="BS782" s="188"/>
      <c r="BT782" s="188"/>
      <c r="BU782" s="188"/>
      <c r="BV782" s="188"/>
      <c r="BW782" s="188"/>
    </row>
    <row r="783" spans="45:75" x14ac:dyDescent="0.3">
      <c r="AW783" s="123"/>
      <c r="AX783" s="188"/>
      <c r="AY783" s="188"/>
      <c r="AZ783" s="188"/>
      <c r="BA783" s="236"/>
      <c r="BB783" s="188"/>
      <c r="BC783" s="188"/>
      <c r="BD783" s="188"/>
      <c r="BE783" s="236"/>
      <c r="BG783" s="188"/>
      <c r="BH783" s="188"/>
      <c r="BI783" s="188"/>
      <c r="BJ783" s="188"/>
      <c r="BK783" s="188"/>
      <c r="BL783" s="188"/>
      <c r="BM783" s="188"/>
      <c r="BN783" s="188"/>
      <c r="BO783" s="188"/>
      <c r="BP783" s="188"/>
      <c r="BQ783" s="188"/>
      <c r="BR783" s="188"/>
      <c r="BS783" s="188"/>
      <c r="BT783" s="188"/>
      <c r="BU783" s="188"/>
      <c r="BV783" s="188"/>
      <c r="BW783" s="188"/>
    </row>
    <row r="784" spans="45:75" x14ac:dyDescent="0.3">
      <c r="AW784" s="123"/>
      <c r="AX784" s="188"/>
      <c r="AY784" s="188"/>
      <c r="AZ784" s="188"/>
      <c r="BA784" s="236"/>
      <c r="BB784" s="188"/>
      <c r="BC784" s="188"/>
      <c r="BD784" s="188"/>
      <c r="BE784" s="236"/>
      <c r="BG784" s="188"/>
      <c r="BH784" s="188"/>
      <c r="BI784" s="188"/>
      <c r="BJ784" s="188"/>
      <c r="BK784" s="188"/>
      <c r="BL784" s="188"/>
      <c r="BM784" s="188"/>
      <c r="BN784" s="188"/>
      <c r="BO784" s="188"/>
      <c r="BP784" s="188"/>
      <c r="BQ784" s="188"/>
      <c r="BR784" s="188"/>
      <c r="BS784" s="188"/>
      <c r="BT784" s="188"/>
      <c r="BU784" s="188"/>
      <c r="BV784" s="188"/>
      <c r="BW784" s="188"/>
    </row>
    <row r="785" spans="47:75" x14ac:dyDescent="0.3">
      <c r="AW785" s="123"/>
      <c r="AX785" s="188"/>
      <c r="AY785" s="188"/>
      <c r="AZ785" s="188"/>
      <c r="BA785" s="236"/>
      <c r="BB785" s="188"/>
      <c r="BC785" s="188"/>
      <c r="BD785" s="188"/>
      <c r="BE785" s="236"/>
      <c r="BG785" s="188"/>
      <c r="BH785" s="188"/>
      <c r="BI785" s="188"/>
      <c r="BJ785" s="188"/>
      <c r="BK785" s="188"/>
      <c r="BL785" s="188"/>
      <c r="BM785" s="188"/>
      <c r="BN785" s="188"/>
      <c r="BO785" s="188"/>
      <c r="BP785" s="188"/>
      <c r="BQ785" s="188"/>
      <c r="BR785" s="188"/>
      <c r="BS785" s="188"/>
      <c r="BT785" s="188"/>
      <c r="BU785" s="188"/>
      <c r="BV785" s="188"/>
      <c r="BW785" s="188"/>
    </row>
    <row r="786" spans="47:75" x14ac:dyDescent="0.3">
      <c r="AW786" s="123"/>
      <c r="AX786" s="188"/>
      <c r="AY786" s="188"/>
      <c r="AZ786" s="188"/>
      <c r="BA786" s="236"/>
      <c r="BB786" s="188"/>
      <c r="BC786" s="188"/>
      <c r="BD786" s="188"/>
      <c r="BE786" s="236"/>
      <c r="BG786" s="188"/>
      <c r="BH786" s="188"/>
      <c r="BI786" s="188"/>
      <c r="BJ786" s="188"/>
      <c r="BK786" s="188"/>
      <c r="BL786" s="188"/>
      <c r="BM786" s="188"/>
      <c r="BN786" s="188"/>
      <c r="BO786" s="188"/>
      <c r="BP786" s="188"/>
      <c r="BQ786" s="188"/>
      <c r="BR786" s="188"/>
      <c r="BS786" s="188"/>
      <c r="BT786" s="188"/>
      <c r="BU786" s="188"/>
      <c r="BV786" s="188"/>
      <c r="BW786" s="188"/>
    </row>
    <row r="787" spans="47:75" x14ac:dyDescent="0.3">
      <c r="AW787" s="123"/>
      <c r="AX787" s="188"/>
      <c r="AY787" s="188"/>
      <c r="AZ787" s="188"/>
      <c r="BA787" s="236"/>
      <c r="BB787" s="188"/>
      <c r="BC787" s="188"/>
      <c r="BD787" s="188"/>
      <c r="BE787" s="236"/>
      <c r="BG787" s="188"/>
      <c r="BH787" s="188"/>
      <c r="BI787" s="188"/>
      <c r="BJ787" s="188"/>
      <c r="BK787" s="188"/>
      <c r="BL787" s="188"/>
      <c r="BM787" s="188"/>
      <c r="BN787" s="188"/>
      <c r="BO787" s="188"/>
      <c r="BP787" s="188"/>
      <c r="BQ787" s="188"/>
      <c r="BR787" s="188"/>
      <c r="BS787" s="188"/>
      <c r="BT787" s="188"/>
      <c r="BU787" s="188"/>
      <c r="BV787" s="188"/>
      <c r="BW787" s="188"/>
    </row>
    <row r="788" spans="47:75" x14ac:dyDescent="0.3">
      <c r="AW788" s="123"/>
      <c r="AX788" s="188"/>
      <c r="AY788" s="188"/>
      <c r="AZ788" s="188"/>
      <c r="BA788" s="236"/>
      <c r="BB788" s="188"/>
      <c r="BC788" s="188"/>
      <c r="BD788" s="188"/>
      <c r="BE788" s="236"/>
      <c r="BG788" s="188"/>
      <c r="BH788" s="188"/>
      <c r="BI788" s="188"/>
      <c r="BJ788" s="188"/>
      <c r="BK788" s="188"/>
      <c r="BL788" s="188"/>
      <c r="BM788" s="188"/>
      <c r="BN788" s="188"/>
      <c r="BO788" s="188"/>
      <c r="BP788" s="188"/>
      <c r="BQ788" s="188"/>
      <c r="BR788" s="188"/>
      <c r="BS788" s="188"/>
      <c r="BT788" s="188"/>
      <c r="BU788" s="188"/>
      <c r="BV788" s="188"/>
      <c r="BW788" s="188"/>
    </row>
    <row r="789" spans="47:75" x14ac:dyDescent="0.3">
      <c r="AW789" s="123"/>
      <c r="AX789" s="188"/>
      <c r="AY789" s="188"/>
      <c r="AZ789" s="188"/>
      <c r="BA789" s="236"/>
      <c r="BB789" s="188"/>
      <c r="BC789" s="188"/>
      <c r="BD789" s="188"/>
      <c r="BE789" s="236"/>
      <c r="BG789" s="188"/>
      <c r="BH789" s="188"/>
      <c r="BI789" s="188"/>
      <c r="BJ789" s="188"/>
      <c r="BK789" s="188"/>
      <c r="BL789" s="188"/>
      <c r="BM789" s="188"/>
      <c r="BN789" s="188"/>
      <c r="BO789" s="188"/>
      <c r="BP789" s="188"/>
      <c r="BQ789" s="188"/>
      <c r="BR789" s="188"/>
      <c r="BS789" s="188"/>
      <c r="BT789" s="188"/>
      <c r="BU789" s="188"/>
      <c r="BV789" s="188"/>
      <c r="BW789" s="188"/>
    </row>
    <row r="790" spans="47:75" x14ac:dyDescent="0.3">
      <c r="AW790" s="123"/>
      <c r="AX790" s="188"/>
      <c r="AY790" s="188"/>
      <c r="AZ790" s="188"/>
      <c r="BA790" s="236"/>
      <c r="BB790" s="188"/>
      <c r="BC790" s="188"/>
      <c r="BD790" s="188"/>
      <c r="BE790" s="236"/>
      <c r="BG790" s="188"/>
      <c r="BH790" s="188"/>
      <c r="BI790" s="188"/>
      <c r="BJ790" s="188"/>
      <c r="BK790" s="188"/>
      <c r="BL790" s="188"/>
      <c r="BM790" s="188"/>
      <c r="BN790" s="188"/>
      <c r="BO790" s="188"/>
      <c r="BP790" s="188"/>
      <c r="BQ790" s="188"/>
      <c r="BR790" s="188"/>
      <c r="BS790" s="188"/>
      <c r="BT790" s="188"/>
      <c r="BU790" s="188"/>
      <c r="BV790" s="188"/>
      <c r="BW790" s="188"/>
    </row>
    <row r="791" spans="47:75" x14ac:dyDescent="0.3">
      <c r="AW791" s="123"/>
      <c r="AX791" s="188"/>
      <c r="AY791" s="188"/>
      <c r="AZ791" s="188"/>
      <c r="BA791" s="236"/>
      <c r="BB791" s="188"/>
      <c r="BC791" s="188"/>
      <c r="BD791" s="188"/>
      <c r="BE791" s="236"/>
      <c r="BG791" s="188"/>
      <c r="BH791" s="188"/>
      <c r="BI791" s="188"/>
      <c r="BJ791" s="188"/>
      <c r="BK791" s="188"/>
      <c r="BL791" s="188"/>
      <c r="BM791" s="188"/>
      <c r="BN791" s="188"/>
      <c r="BO791" s="188"/>
      <c r="BP791" s="188"/>
      <c r="BQ791" s="188"/>
      <c r="BR791" s="188"/>
      <c r="BS791" s="188"/>
      <c r="BT791" s="188"/>
      <c r="BU791" s="188"/>
      <c r="BV791" s="188"/>
      <c r="BW791" s="188"/>
    </row>
    <row r="792" spans="47:75" x14ac:dyDescent="0.3">
      <c r="AW792" s="123"/>
      <c r="AX792" s="188"/>
      <c r="AY792" s="188"/>
      <c r="AZ792" s="188"/>
      <c r="BA792" s="236"/>
      <c r="BB792" s="188"/>
      <c r="BC792" s="188"/>
      <c r="BD792" s="188"/>
      <c r="BE792" s="236"/>
      <c r="BG792" s="188"/>
      <c r="BH792" s="188"/>
      <c r="BI792" s="188"/>
      <c r="BJ792" s="188"/>
      <c r="BK792" s="188"/>
      <c r="BL792" s="188"/>
      <c r="BM792" s="188"/>
      <c r="BN792" s="188"/>
      <c r="BO792" s="188"/>
      <c r="BP792" s="188"/>
      <c r="BQ792" s="188"/>
      <c r="BR792" s="188"/>
      <c r="BS792" s="188"/>
      <c r="BT792" s="188"/>
      <c r="BU792" s="188"/>
      <c r="BV792" s="188"/>
      <c r="BW792" s="188"/>
    </row>
    <row r="793" spans="47:75" x14ac:dyDescent="0.3">
      <c r="AW793" s="123"/>
      <c r="AX793" s="188"/>
      <c r="AY793" s="188"/>
      <c r="AZ793" s="188"/>
      <c r="BA793" s="236"/>
      <c r="BB793" s="188"/>
      <c r="BC793" s="188"/>
      <c r="BD793" s="188"/>
      <c r="BE793" s="236"/>
      <c r="BG793" s="135"/>
      <c r="BH793" s="135"/>
      <c r="BI793" s="42"/>
      <c r="BM793" s="135"/>
      <c r="BN793" s="135"/>
      <c r="BO793" s="188"/>
      <c r="BP793" s="135"/>
      <c r="BQ793" s="135"/>
      <c r="BR793" s="42"/>
      <c r="BV793" s="135"/>
      <c r="BW793" s="135"/>
    </row>
    <row r="794" spans="47:75" x14ac:dyDescent="0.3">
      <c r="AU794" s="42"/>
      <c r="AV794" s="44"/>
      <c r="AW794" s="123"/>
      <c r="AX794" s="188"/>
      <c r="AY794" s="188"/>
      <c r="AZ794" s="188"/>
      <c r="BA794" s="236"/>
      <c r="BB794" s="188"/>
      <c r="BC794" s="188"/>
      <c r="BD794" s="188"/>
      <c r="BE794" s="236"/>
      <c r="BG794" s="245"/>
      <c r="BH794" s="188"/>
      <c r="BI794" s="188"/>
      <c r="BJ794" s="188"/>
      <c r="BK794" s="245"/>
      <c r="BL794" s="246"/>
      <c r="BM794" s="188"/>
      <c r="BN794" s="245"/>
      <c r="BO794" s="188"/>
      <c r="BP794" s="245"/>
      <c r="BQ794" s="188"/>
      <c r="BR794" s="188"/>
      <c r="BS794" s="188"/>
      <c r="BT794" s="245"/>
      <c r="BU794" s="246"/>
      <c r="BV794" s="188"/>
      <c r="BW794" s="245"/>
    </row>
    <row r="795" spans="47:75" x14ac:dyDescent="0.3">
      <c r="AV795" s="44"/>
      <c r="AW795" s="123"/>
      <c r="AX795" s="188"/>
      <c r="AY795" s="188"/>
      <c r="AZ795" s="188"/>
      <c r="BA795" s="236"/>
      <c r="BB795" s="188"/>
      <c r="BC795" s="188"/>
      <c r="BD795" s="188"/>
      <c r="BE795" s="236"/>
      <c r="BG795" s="188"/>
      <c r="BH795" s="188"/>
      <c r="BI795" s="188"/>
      <c r="BJ795" s="188"/>
      <c r="BK795" s="188"/>
      <c r="BL795" s="246"/>
      <c r="BM795" s="188"/>
      <c r="BN795" s="188"/>
      <c r="BO795" s="188"/>
      <c r="BP795" s="188"/>
      <c r="BQ795" s="188"/>
      <c r="BR795" s="188"/>
      <c r="BS795" s="188"/>
      <c r="BT795" s="188"/>
      <c r="BU795" s="246"/>
      <c r="BV795" s="188"/>
      <c r="BW795" s="188"/>
    </row>
    <row r="796" spans="47:75" x14ac:dyDescent="0.3">
      <c r="AV796" s="44"/>
      <c r="AW796" s="123"/>
      <c r="AX796" s="188"/>
      <c r="AY796" s="188"/>
      <c r="AZ796" s="188"/>
      <c r="BA796" s="236"/>
      <c r="BB796" s="188"/>
      <c r="BC796" s="188"/>
      <c r="BD796" s="188"/>
      <c r="BE796" s="236"/>
      <c r="BG796" s="188"/>
      <c r="BH796" s="188"/>
      <c r="BI796" s="188"/>
      <c r="BJ796" s="188"/>
      <c r="BK796" s="188"/>
      <c r="BL796" s="246"/>
      <c r="BM796" s="188"/>
      <c r="BN796" s="188"/>
      <c r="BO796" s="188"/>
      <c r="BP796" s="188"/>
      <c r="BQ796" s="188"/>
      <c r="BR796" s="188"/>
      <c r="BS796" s="188"/>
      <c r="BT796" s="188"/>
      <c r="BU796" s="246"/>
      <c r="BV796" s="188"/>
      <c r="BW796" s="188"/>
    </row>
    <row r="797" spans="47:75" x14ac:dyDescent="0.3">
      <c r="AV797" s="44"/>
      <c r="AW797" s="123"/>
      <c r="AX797" s="188"/>
      <c r="AY797" s="188"/>
      <c r="AZ797" s="188"/>
      <c r="BA797" s="236"/>
      <c r="BB797" s="188"/>
      <c r="BC797" s="188"/>
      <c r="BD797" s="188"/>
      <c r="BE797" s="236"/>
      <c r="BG797" s="188"/>
      <c r="BH797" s="188"/>
      <c r="BI797" s="188"/>
      <c r="BJ797" s="188"/>
      <c r="BK797" s="188"/>
      <c r="BL797" s="246"/>
      <c r="BM797" s="188"/>
      <c r="BN797" s="188"/>
      <c r="BO797" s="188"/>
      <c r="BP797" s="188"/>
      <c r="BQ797" s="188"/>
      <c r="BR797" s="188"/>
      <c r="BS797" s="188"/>
      <c r="BT797" s="188"/>
      <c r="BU797" s="246"/>
      <c r="BV797" s="188"/>
      <c r="BW797" s="188"/>
    </row>
    <row r="798" spans="47:75" x14ac:dyDescent="0.3">
      <c r="AX798" s="188"/>
      <c r="AY798" s="188"/>
      <c r="AZ798" s="188"/>
      <c r="BA798" s="236"/>
      <c r="BB798" s="188"/>
      <c r="BC798" s="188"/>
      <c r="BD798" s="188"/>
      <c r="BE798" s="236"/>
      <c r="BG798" s="188"/>
      <c r="BH798" s="188"/>
      <c r="BI798" s="188"/>
      <c r="BJ798" s="188"/>
      <c r="BK798" s="188"/>
      <c r="BL798" s="188"/>
      <c r="BM798" s="188"/>
      <c r="BN798" s="188"/>
      <c r="BO798" s="188"/>
      <c r="BP798" s="188"/>
      <c r="BQ798" s="188"/>
      <c r="BR798" s="188"/>
      <c r="BS798" s="188"/>
      <c r="BT798" s="188"/>
      <c r="BU798" s="188"/>
      <c r="BV798" s="188"/>
    </row>
    <row r="799" spans="47:75" x14ac:dyDescent="0.3">
      <c r="AU799" s="42"/>
    </row>
    <row r="800" spans="47:75" x14ac:dyDescent="0.3">
      <c r="AU800" s="42"/>
      <c r="AZ800" s="188"/>
      <c r="BA800" s="236"/>
      <c r="BB800" s="188"/>
      <c r="BC800" s="188"/>
      <c r="BD800" s="188"/>
      <c r="BE800" s="236"/>
      <c r="BG800" s="188"/>
      <c r="BH800" s="188"/>
      <c r="BI800" s="188"/>
      <c r="BJ800" s="188"/>
      <c r="BK800" s="188"/>
      <c r="BL800" s="188"/>
      <c r="BM800" s="188"/>
      <c r="BN800" s="188"/>
      <c r="BO800" s="188"/>
      <c r="BP800" s="188"/>
      <c r="BQ800" s="188"/>
      <c r="BR800" s="188"/>
      <c r="BS800" s="188"/>
      <c r="BT800" s="188"/>
      <c r="BU800" s="188"/>
      <c r="BV800" s="188"/>
    </row>
    <row r="801" spans="45:74" x14ac:dyDescent="0.3">
      <c r="AS801" s="42"/>
      <c r="AZ801" s="188"/>
      <c r="BB801" s="188"/>
    </row>
    <row r="802" spans="45:74" x14ac:dyDescent="0.3">
      <c r="AZ802" s="188"/>
      <c r="BB802" s="188"/>
      <c r="BO802" s="188"/>
      <c r="BP802" s="188"/>
      <c r="BQ802" s="188"/>
      <c r="BR802" s="188"/>
      <c r="BS802" s="188"/>
      <c r="BT802" s="188"/>
      <c r="BU802" s="188"/>
      <c r="BV802" s="188"/>
    </row>
    <row r="803" spans="45:74" x14ac:dyDescent="0.3">
      <c r="AY803" s="188"/>
      <c r="AZ803" s="188"/>
      <c r="BB803" s="188"/>
      <c r="BO803" s="188"/>
      <c r="BP803" s="188"/>
      <c r="BQ803" s="188"/>
      <c r="BR803" s="188"/>
      <c r="BS803" s="188"/>
      <c r="BT803" s="188"/>
      <c r="BU803" s="188"/>
      <c r="BV803" s="188"/>
    </row>
    <row r="804" spans="45:74" x14ac:dyDescent="0.3">
      <c r="AY804" s="42"/>
      <c r="AZ804" s="188"/>
      <c r="BB804" s="188"/>
      <c r="BO804" s="188"/>
      <c r="BP804" s="188"/>
      <c r="BQ804" s="188"/>
      <c r="BR804" s="188"/>
      <c r="BS804" s="188"/>
      <c r="BT804" s="188"/>
      <c r="BU804" s="188"/>
      <c r="BV804" s="188"/>
    </row>
    <row r="805" spans="45:74" x14ac:dyDescent="0.3">
      <c r="AY805" s="42"/>
      <c r="AZ805" s="188"/>
      <c r="BB805" s="188"/>
      <c r="BO805" s="188"/>
      <c r="BP805" s="188"/>
      <c r="BQ805" s="188"/>
      <c r="BR805" s="188"/>
      <c r="BS805" s="188"/>
      <c r="BT805" s="188"/>
      <c r="BU805" s="188"/>
      <c r="BV805" s="188"/>
    </row>
    <row r="806" spans="45:74" x14ac:dyDescent="0.3">
      <c r="AZ806" s="188"/>
      <c r="BB806" s="188"/>
      <c r="BD806" s="42"/>
      <c r="BO806" s="188"/>
      <c r="BP806" s="188"/>
      <c r="BQ806" s="188"/>
      <c r="BR806" s="188"/>
      <c r="BS806" s="188"/>
      <c r="BT806" s="188"/>
      <c r="BU806" s="188"/>
      <c r="BV806" s="188"/>
    </row>
    <row r="807" spans="45:74" x14ac:dyDescent="0.3">
      <c r="AZ807" s="188"/>
      <c r="BB807" s="188"/>
      <c r="BD807" s="42"/>
      <c r="BO807" s="188"/>
      <c r="BP807" s="188"/>
      <c r="BQ807" s="188"/>
      <c r="BR807" s="188"/>
      <c r="BS807" s="188"/>
      <c r="BT807" s="188"/>
      <c r="BU807" s="188"/>
      <c r="BV807" s="188"/>
    </row>
    <row r="808" spans="45:74" x14ac:dyDescent="0.3">
      <c r="AS808" s="42"/>
      <c r="AZ808" s="188"/>
      <c r="BB808" s="188"/>
      <c r="BD808" s="42"/>
      <c r="BO808" s="188"/>
      <c r="BP808" s="188"/>
      <c r="BQ808" s="188"/>
      <c r="BR808" s="188"/>
      <c r="BS808" s="188"/>
      <c r="BT808" s="188"/>
      <c r="BU808" s="188"/>
      <c r="BV808" s="188"/>
    </row>
    <row r="809" spans="45:74" x14ac:dyDescent="0.3">
      <c r="AZ809" s="188"/>
      <c r="BB809" s="188"/>
      <c r="BO809" s="188"/>
      <c r="BP809" s="188"/>
      <c r="BQ809" s="188"/>
      <c r="BR809" s="188"/>
      <c r="BS809" s="188"/>
      <c r="BT809" s="188"/>
      <c r="BU809" s="188"/>
      <c r="BV809" s="188"/>
    </row>
    <row r="810" spans="45:74" x14ac:dyDescent="0.3">
      <c r="AS810" s="135"/>
      <c r="AT810" s="135"/>
      <c r="AU810" s="135"/>
      <c r="AV810" s="135"/>
      <c r="AW810" s="135"/>
      <c r="AX810" s="135"/>
      <c r="AY810" s="135"/>
      <c r="AZ810" s="244"/>
      <c r="BA810" s="135"/>
      <c r="BB810" s="244"/>
      <c r="BC810" s="135"/>
      <c r="BD810" s="135"/>
      <c r="BE810" s="135"/>
      <c r="BO810" s="188"/>
      <c r="BP810" s="188"/>
      <c r="BQ810" s="188"/>
      <c r="BR810" s="188"/>
      <c r="BS810" s="188"/>
      <c r="BT810" s="188"/>
      <c r="BU810" s="188"/>
      <c r="BV810" s="188"/>
    </row>
    <row r="811" spans="45:74" x14ac:dyDescent="0.3">
      <c r="AX811" s="42"/>
      <c r="AZ811" s="188"/>
      <c r="BB811" s="188"/>
      <c r="BO811" s="188"/>
      <c r="BP811" s="188"/>
      <c r="BQ811" s="188"/>
      <c r="BR811" s="188"/>
      <c r="BS811" s="188"/>
      <c r="BT811" s="188"/>
      <c r="BU811" s="188"/>
      <c r="BV811" s="188"/>
    </row>
    <row r="812" spans="45:74" x14ac:dyDescent="0.3">
      <c r="AX812" s="135"/>
      <c r="AY812" s="135"/>
      <c r="AZ812" s="244"/>
      <c r="BA812" s="135"/>
      <c r="BB812" s="188"/>
      <c r="BC812" s="44"/>
      <c r="BD812" s="44"/>
      <c r="BO812" s="188"/>
      <c r="BP812" s="188"/>
      <c r="BQ812" s="188"/>
      <c r="BR812" s="188"/>
      <c r="BS812" s="188"/>
      <c r="BT812" s="188"/>
      <c r="BU812" s="188"/>
      <c r="BV812" s="188"/>
    </row>
    <row r="813" spans="45:74" x14ac:dyDescent="0.3">
      <c r="AV813" s="44"/>
      <c r="AW813" s="44"/>
      <c r="AZ813" s="245"/>
      <c r="BA813" s="44"/>
      <c r="BB813" s="188"/>
      <c r="BC813" s="44"/>
      <c r="BD813" s="44"/>
      <c r="BE813" s="44"/>
      <c r="BG813" s="135"/>
      <c r="BH813" s="42"/>
      <c r="BK813" s="135"/>
      <c r="BM813" s="135"/>
      <c r="BN813" s="42"/>
      <c r="BQ813" s="135"/>
    </row>
    <row r="814" spans="45:74" x14ac:dyDescent="0.3">
      <c r="AV814" s="44"/>
      <c r="AW814" s="44"/>
      <c r="AX814" s="44"/>
      <c r="AY814" s="44"/>
      <c r="AZ814" s="245"/>
      <c r="BA814" s="44"/>
      <c r="BB814" s="245"/>
      <c r="BC814" s="44"/>
      <c r="BD814" s="44"/>
      <c r="BE814" s="44"/>
      <c r="BH814" s="44"/>
      <c r="BI814" s="44"/>
      <c r="BN814" s="44"/>
      <c r="BO814" s="44"/>
    </row>
    <row r="815" spans="45:74" x14ac:dyDescent="0.3">
      <c r="AS815" s="44"/>
      <c r="AU815" s="42"/>
      <c r="AV815" s="44"/>
      <c r="AW815" s="44"/>
      <c r="AX815" s="44"/>
      <c r="AY815" s="44"/>
      <c r="AZ815" s="245"/>
      <c r="BA815" s="44"/>
      <c r="BB815" s="245"/>
      <c r="BC815" s="44"/>
      <c r="BD815" s="44"/>
      <c r="BE815" s="44"/>
      <c r="BG815" s="44"/>
      <c r="BH815" s="44"/>
      <c r="BI815" s="44"/>
      <c r="BJ815" s="44"/>
      <c r="BK815" s="44"/>
      <c r="BM815" s="44"/>
      <c r="BN815" s="44"/>
      <c r="BO815" s="44"/>
      <c r="BP815" s="44"/>
      <c r="BQ815" s="44"/>
    </row>
    <row r="816" spans="45:74" x14ac:dyDescent="0.3">
      <c r="AS816" s="44"/>
      <c r="AU816" s="42"/>
      <c r="AV816" s="44"/>
      <c r="AW816" s="44"/>
      <c r="AX816" s="44"/>
      <c r="AY816" s="44"/>
      <c r="AZ816" s="245"/>
      <c r="BA816" s="44"/>
      <c r="BB816" s="245"/>
      <c r="BC816" s="44"/>
      <c r="BD816" s="44"/>
      <c r="BE816" s="44"/>
      <c r="BG816" s="44"/>
      <c r="BH816" s="44"/>
      <c r="BI816" s="44"/>
      <c r="BJ816" s="44"/>
      <c r="BK816" s="44"/>
      <c r="BM816" s="44"/>
      <c r="BN816" s="44"/>
      <c r="BO816" s="44"/>
      <c r="BP816" s="44"/>
      <c r="BQ816" s="44"/>
    </row>
    <row r="817" spans="45:71" x14ac:dyDescent="0.3">
      <c r="AS817" s="135"/>
      <c r="AT817" s="135"/>
      <c r="AU817" s="135"/>
      <c r="AV817" s="135"/>
      <c r="AW817" s="135"/>
      <c r="AX817" s="135"/>
      <c r="AY817" s="135"/>
      <c r="AZ817" s="244"/>
      <c r="BA817" s="135"/>
      <c r="BB817" s="244"/>
      <c r="BC817" s="135"/>
      <c r="BD817" s="135"/>
      <c r="BE817" s="135"/>
      <c r="BG817" s="135"/>
      <c r="BH817" s="135"/>
      <c r="BI817" s="135"/>
      <c r="BJ817" s="135"/>
      <c r="BK817" s="135"/>
      <c r="BM817" s="135"/>
      <c r="BN817" s="135"/>
      <c r="BO817" s="135"/>
      <c r="BP817" s="135"/>
      <c r="BQ817" s="135"/>
    </row>
    <row r="818" spans="45:71" x14ac:dyDescent="0.3">
      <c r="AV818" s="44"/>
      <c r="AW818" s="44"/>
      <c r="AX818" s="44"/>
      <c r="AY818" s="44"/>
      <c r="AZ818" s="245"/>
      <c r="BA818" s="44"/>
      <c r="BB818" s="245"/>
      <c r="BC818" s="44"/>
      <c r="BD818" s="44"/>
      <c r="BE818" s="44"/>
      <c r="BG818" s="188"/>
      <c r="BH818" s="188"/>
      <c r="BI818" s="188"/>
      <c r="BJ818" s="188"/>
      <c r="BK818" s="188"/>
      <c r="BL818" s="188"/>
      <c r="BM818" s="188"/>
      <c r="BN818" s="188"/>
      <c r="BO818" s="188"/>
      <c r="BP818" s="188"/>
      <c r="BQ818" s="188"/>
    </row>
    <row r="819" spans="45:71" x14ac:dyDescent="0.3">
      <c r="AT819" s="42"/>
      <c r="AV819" s="123"/>
      <c r="AW819" s="123"/>
      <c r="AX819" s="188"/>
      <c r="AY819" s="188"/>
      <c r="AZ819" s="188"/>
      <c r="BA819" s="236"/>
      <c r="BB819" s="188"/>
      <c r="BC819" s="188"/>
      <c r="BD819" s="188"/>
      <c r="BE819" s="236"/>
      <c r="BG819" s="188"/>
      <c r="BH819" s="188"/>
      <c r="BI819" s="188"/>
      <c r="BJ819" s="188"/>
      <c r="BK819" s="188"/>
      <c r="BL819" s="188"/>
      <c r="BM819" s="188"/>
      <c r="BN819" s="188"/>
      <c r="BO819" s="188"/>
      <c r="BP819" s="188"/>
      <c r="BQ819" s="188"/>
      <c r="BR819" s="188"/>
      <c r="BS819" s="188"/>
    </row>
    <row r="820" spans="45:71" x14ac:dyDescent="0.3">
      <c r="AV820" s="123"/>
      <c r="AW820" s="123"/>
      <c r="AX820" s="188"/>
      <c r="AY820" s="188"/>
      <c r="AZ820" s="188"/>
      <c r="BA820" s="236"/>
      <c r="BB820" s="188"/>
      <c r="BC820" s="188"/>
      <c r="BD820" s="188"/>
      <c r="BE820" s="236"/>
      <c r="BG820" s="188"/>
      <c r="BH820" s="188"/>
      <c r="BI820" s="188"/>
      <c r="BJ820" s="188"/>
      <c r="BK820" s="188"/>
      <c r="BL820" s="188"/>
      <c r="BM820" s="188"/>
      <c r="BN820" s="188"/>
      <c r="BO820" s="188"/>
      <c r="BP820" s="188"/>
      <c r="BQ820" s="188"/>
      <c r="BR820" s="188"/>
      <c r="BS820" s="188"/>
    </row>
    <row r="821" spans="45:71" x14ac:dyDescent="0.3">
      <c r="AV821" s="123"/>
      <c r="AW821" s="123"/>
      <c r="AX821" s="188"/>
      <c r="AY821" s="188"/>
      <c r="AZ821" s="188"/>
      <c r="BA821" s="236"/>
      <c r="BB821" s="188"/>
      <c r="BC821" s="188"/>
      <c r="BD821" s="188"/>
      <c r="BE821" s="236"/>
      <c r="BG821" s="188"/>
      <c r="BH821" s="188"/>
      <c r="BI821" s="188"/>
      <c r="BJ821" s="188"/>
      <c r="BK821" s="188"/>
      <c r="BL821" s="188"/>
      <c r="BM821" s="188"/>
      <c r="BN821" s="188"/>
      <c r="BO821" s="188"/>
      <c r="BP821" s="188"/>
      <c r="BQ821" s="188"/>
      <c r="BR821" s="188"/>
      <c r="BS821" s="188"/>
    </row>
    <row r="822" spans="45:71" x14ac:dyDescent="0.3">
      <c r="AV822" s="123"/>
      <c r="AW822" s="123"/>
      <c r="AX822" s="188"/>
      <c r="AY822" s="188"/>
      <c r="AZ822" s="188"/>
      <c r="BA822" s="236"/>
      <c r="BB822" s="188"/>
      <c r="BC822" s="188"/>
      <c r="BD822" s="188"/>
      <c r="BE822" s="236"/>
      <c r="BG822" s="188"/>
      <c r="BH822" s="188"/>
      <c r="BI822" s="188"/>
      <c r="BJ822" s="188"/>
      <c r="BK822" s="188"/>
      <c r="BL822" s="188"/>
      <c r="BM822" s="188"/>
      <c r="BN822" s="188"/>
      <c r="BO822" s="188"/>
      <c r="BP822" s="188"/>
      <c r="BQ822" s="188"/>
      <c r="BR822" s="188"/>
      <c r="BS822" s="188"/>
    </row>
    <row r="823" spans="45:71" x14ac:dyDescent="0.3">
      <c r="AV823" s="123"/>
      <c r="AW823" s="123"/>
      <c r="AX823" s="188"/>
      <c r="AY823" s="188"/>
      <c r="AZ823" s="188"/>
      <c r="BA823" s="236"/>
      <c r="BB823" s="188"/>
      <c r="BC823" s="188"/>
      <c r="BD823" s="188"/>
      <c r="BE823" s="236"/>
      <c r="BG823" s="188"/>
      <c r="BH823" s="188"/>
      <c r="BI823" s="188"/>
      <c r="BJ823" s="188"/>
      <c r="BK823" s="188"/>
      <c r="BL823" s="188"/>
      <c r="BM823" s="188"/>
      <c r="BN823" s="188"/>
      <c r="BO823" s="188"/>
      <c r="BP823" s="188"/>
      <c r="BQ823" s="188"/>
      <c r="BR823" s="188"/>
      <c r="BS823" s="188"/>
    </row>
    <row r="824" spans="45:71" x14ac:dyDescent="0.3">
      <c r="AV824" s="123"/>
      <c r="AW824" s="123"/>
      <c r="AX824" s="188"/>
      <c r="AY824" s="188"/>
      <c r="AZ824" s="188"/>
      <c r="BA824" s="236"/>
      <c r="BB824" s="188"/>
      <c r="BC824" s="188"/>
      <c r="BD824" s="188"/>
      <c r="BE824" s="236"/>
      <c r="BG824" s="188"/>
      <c r="BH824" s="188"/>
      <c r="BI824" s="188"/>
      <c r="BJ824" s="188"/>
      <c r="BK824" s="188"/>
      <c r="BL824" s="188"/>
      <c r="BM824" s="188"/>
      <c r="BN824" s="188"/>
      <c r="BO824" s="188"/>
      <c r="BP824" s="188"/>
      <c r="BQ824" s="188"/>
      <c r="BR824" s="188"/>
      <c r="BS824" s="188"/>
    </row>
    <row r="825" spans="45:71" x14ac:dyDescent="0.3">
      <c r="AV825" s="123"/>
      <c r="AW825" s="123"/>
      <c r="AX825" s="188"/>
      <c r="AY825" s="188"/>
      <c r="AZ825" s="188"/>
      <c r="BA825" s="236"/>
      <c r="BB825" s="188"/>
      <c r="BC825" s="188"/>
      <c r="BD825" s="188"/>
      <c r="BE825" s="236"/>
      <c r="BG825" s="188"/>
      <c r="BH825" s="188"/>
      <c r="BI825" s="188"/>
      <c r="BJ825" s="188"/>
      <c r="BK825" s="188"/>
      <c r="BL825" s="188"/>
      <c r="BM825" s="188"/>
      <c r="BN825" s="188"/>
      <c r="BO825" s="188"/>
      <c r="BP825" s="188"/>
      <c r="BQ825" s="188"/>
      <c r="BR825" s="188"/>
      <c r="BS825" s="188"/>
    </row>
    <row r="826" spans="45:71" x14ac:dyDescent="0.3">
      <c r="AV826" s="123"/>
      <c r="AW826" s="123"/>
      <c r="AX826" s="188"/>
      <c r="AY826" s="188"/>
      <c r="AZ826" s="188"/>
      <c r="BA826" s="236"/>
      <c r="BB826" s="188"/>
      <c r="BC826" s="188"/>
      <c r="BD826" s="188"/>
      <c r="BE826" s="236"/>
      <c r="BG826" s="188"/>
      <c r="BH826" s="188"/>
      <c r="BI826" s="188"/>
      <c r="BJ826" s="188"/>
      <c r="BK826" s="188"/>
      <c r="BL826" s="188"/>
      <c r="BM826" s="188"/>
      <c r="BN826" s="188"/>
      <c r="BO826" s="188"/>
      <c r="BP826" s="188"/>
      <c r="BQ826" s="188"/>
      <c r="BR826" s="188"/>
      <c r="BS826" s="188"/>
    </row>
    <row r="827" spans="45:71" x14ac:dyDescent="0.3">
      <c r="AV827" s="123"/>
      <c r="AW827" s="123"/>
      <c r="AX827" s="188"/>
      <c r="AY827" s="188"/>
      <c r="AZ827" s="188"/>
      <c r="BA827" s="236"/>
      <c r="BB827" s="188"/>
      <c r="BC827" s="188"/>
      <c r="BD827" s="188"/>
      <c r="BE827" s="236"/>
      <c r="BG827" s="188"/>
      <c r="BH827" s="188"/>
      <c r="BI827" s="188"/>
      <c r="BJ827" s="188"/>
      <c r="BK827" s="188"/>
      <c r="BL827" s="188"/>
      <c r="BM827" s="188"/>
      <c r="BN827" s="188"/>
      <c r="BO827" s="188"/>
      <c r="BP827" s="188"/>
      <c r="BQ827" s="188"/>
      <c r="BR827" s="188"/>
      <c r="BS827" s="188"/>
    </row>
    <row r="828" spans="45:71" x14ac:dyDescent="0.3">
      <c r="AV828" s="123"/>
      <c r="AW828" s="123"/>
      <c r="AX828" s="188"/>
      <c r="AY828" s="188"/>
      <c r="AZ828" s="188"/>
      <c r="BA828" s="236"/>
      <c r="BB828" s="188"/>
      <c r="BC828" s="188"/>
      <c r="BD828" s="188"/>
      <c r="BE828" s="236"/>
      <c r="BG828" s="188"/>
      <c r="BH828" s="188"/>
      <c r="BI828" s="188"/>
      <c r="BJ828" s="188"/>
      <c r="BK828" s="188"/>
      <c r="BL828" s="188"/>
      <c r="BM828" s="188"/>
      <c r="BN828" s="188"/>
      <c r="BO828" s="188"/>
      <c r="BP828" s="188"/>
      <c r="BQ828" s="188"/>
      <c r="BR828" s="188"/>
      <c r="BS828" s="188"/>
    </row>
    <row r="829" spans="45:71" x14ac:dyDescent="0.3">
      <c r="AV829" s="123"/>
      <c r="AW829" s="123"/>
      <c r="AX829" s="188"/>
      <c r="AY829" s="188"/>
      <c r="AZ829" s="188"/>
      <c r="BA829" s="236"/>
      <c r="BB829" s="188"/>
      <c r="BC829" s="188"/>
      <c r="BD829" s="188"/>
      <c r="BE829" s="236"/>
      <c r="BG829" s="188"/>
      <c r="BH829" s="188"/>
      <c r="BI829" s="188"/>
      <c r="BJ829" s="188"/>
      <c r="BK829" s="188"/>
      <c r="BL829" s="188"/>
      <c r="BM829" s="188"/>
      <c r="BN829" s="188"/>
      <c r="BO829" s="188"/>
      <c r="BP829" s="188"/>
      <c r="BQ829" s="188"/>
      <c r="BR829" s="188"/>
      <c r="BS829" s="188"/>
    </row>
    <row r="830" spans="45:71" x14ac:dyDescent="0.3">
      <c r="AV830" s="123"/>
      <c r="AW830" s="123"/>
      <c r="AX830" s="188"/>
      <c r="AY830" s="188"/>
      <c r="AZ830" s="188"/>
      <c r="BA830" s="236"/>
      <c r="BB830" s="188"/>
      <c r="BC830" s="188"/>
      <c r="BD830" s="188"/>
      <c r="BE830" s="236"/>
      <c r="BG830" s="188"/>
      <c r="BH830" s="188"/>
      <c r="BI830" s="188"/>
      <c r="BJ830" s="188"/>
      <c r="BK830" s="188"/>
      <c r="BL830" s="188"/>
      <c r="BM830" s="188"/>
      <c r="BN830" s="188"/>
      <c r="BO830" s="188"/>
      <c r="BP830" s="188"/>
      <c r="BQ830" s="188"/>
      <c r="BR830" s="188"/>
      <c r="BS830" s="188"/>
    </row>
    <row r="831" spans="45:71" x14ac:dyDescent="0.3">
      <c r="AV831" s="123"/>
      <c r="AW831" s="123"/>
      <c r="AX831" s="188"/>
      <c r="AY831" s="188"/>
      <c r="AZ831" s="188"/>
      <c r="BA831" s="236"/>
      <c r="BB831" s="188"/>
      <c r="BC831" s="188"/>
      <c r="BD831" s="188"/>
      <c r="BE831" s="236"/>
      <c r="BG831" s="188"/>
      <c r="BH831" s="188"/>
      <c r="BI831" s="188"/>
      <c r="BJ831" s="188"/>
      <c r="BK831" s="188"/>
      <c r="BL831" s="188"/>
      <c r="BM831" s="188"/>
      <c r="BN831" s="188"/>
      <c r="BO831" s="188"/>
      <c r="BP831" s="188"/>
      <c r="BQ831" s="188"/>
      <c r="BR831" s="188"/>
      <c r="BS831" s="188"/>
    </row>
    <row r="832" spans="45:71" x14ac:dyDescent="0.3">
      <c r="AV832" s="123"/>
      <c r="AW832" s="123"/>
      <c r="AX832" s="188"/>
      <c r="AY832" s="188"/>
      <c r="AZ832" s="188"/>
      <c r="BA832" s="236"/>
      <c r="BB832" s="188"/>
      <c r="BC832" s="188"/>
      <c r="BD832" s="188"/>
      <c r="BE832" s="236"/>
      <c r="BG832" s="188"/>
      <c r="BH832" s="188"/>
      <c r="BI832" s="188"/>
      <c r="BJ832" s="188"/>
      <c r="BK832" s="188"/>
      <c r="BL832" s="188"/>
      <c r="BM832" s="188"/>
      <c r="BN832" s="188"/>
      <c r="BO832" s="188"/>
      <c r="BP832" s="188"/>
      <c r="BQ832" s="188"/>
      <c r="BR832" s="188"/>
      <c r="BS832" s="188"/>
    </row>
    <row r="833" spans="46:71" x14ac:dyDescent="0.3">
      <c r="AV833" s="123"/>
      <c r="AW833" s="123"/>
      <c r="AX833" s="188"/>
      <c r="AY833" s="188"/>
      <c r="AZ833" s="188"/>
      <c r="BA833" s="236"/>
      <c r="BB833" s="188"/>
      <c r="BC833" s="188"/>
      <c r="BD833" s="188"/>
      <c r="BE833" s="236"/>
      <c r="BG833" s="188"/>
      <c r="BH833" s="188"/>
      <c r="BI833" s="188"/>
      <c r="BJ833" s="188"/>
      <c r="BK833" s="188"/>
      <c r="BL833" s="188"/>
      <c r="BM833" s="188"/>
      <c r="BN833" s="188"/>
      <c r="BO833" s="188"/>
      <c r="BP833" s="188"/>
      <c r="BQ833" s="188"/>
      <c r="BR833" s="188"/>
      <c r="BS833" s="188"/>
    </row>
    <row r="834" spans="46:71" x14ac:dyDescent="0.3">
      <c r="AV834" s="123"/>
      <c r="AW834" s="123"/>
      <c r="AX834" s="188"/>
      <c r="AY834" s="188"/>
      <c r="AZ834" s="188"/>
      <c r="BA834" s="236"/>
      <c r="BB834" s="188"/>
      <c r="BC834" s="188"/>
      <c r="BD834" s="188"/>
      <c r="BE834" s="236"/>
      <c r="BG834" s="188"/>
      <c r="BH834" s="188"/>
      <c r="BI834" s="188"/>
      <c r="BJ834" s="188"/>
      <c r="BK834" s="188"/>
      <c r="BL834" s="188"/>
      <c r="BM834" s="188"/>
      <c r="BN834" s="188"/>
      <c r="BO834" s="188"/>
      <c r="BP834" s="188"/>
      <c r="BQ834" s="188"/>
      <c r="BR834" s="188"/>
      <c r="BS834" s="188"/>
    </row>
    <row r="835" spans="46:71" x14ac:dyDescent="0.3">
      <c r="AV835" s="123"/>
      <c r="AW835" s="123"/>
      <c r="AX835" s="188"/>
      <c r="AY835" s="188"/>
      <c r="AZ835" s="188"/>
      <c r="BA835" s="236"/>
      <c r="BB835" s="188"/>
      <c r="BC835" s="188"/>
      <c r="BD835" s="188"/>
      <c r="BE835" s="236"/>
      <c r="BG835" s="188"/>
      <c r="BH835" s="188"/>
      <c r="BI835" s="188"/>
      <c r="BJ835" s="188"/>
      <c r="BK835" s="188"/>
      <c r="BL835" s="188"/>
      <c r="BM835" s="188"/>
      <c r="BN835" s="188"/>
      <c r="BO835" s="188"/>
      <c r="BP835" s="188"/>
      <c r="BQ835" s="188"/>
      <c r="BR835" s="188"/>
      <c r="BS835" s="188"/>
    </row>
    <row r="836" spans="46:71" x14ac:dyDescent="0.3">
      <c r="AV836" s="123"/>
      <c r="AW836" s="123"/>
      <c r="AX836" s="188"/>
      <c r="AY836" s="188"/>
      <c r="AZ836" s="188"/>
      <c r="BA836" s="236"/>
      <c r="BB836" s="188"/>
      <c r="BC836" s="188"/>
      <c r="BD836" s="188"/>
      <c r="BE836" s="236"/>
      <c r="BG836" s="188"/>
      <c r="BH836" s="188"/>
      <c r="BI836" s="188"/>
      <c r="BJ836" s="188"/>
      <c r="BK836" s="188"/>
      <c r="BL836" s="188"/>
      <c r="BM836" s="188"/>
      <c r="BN836" s="188"/>
      <c r="BO836" s="188"/>
      <c r="BP836" s="188"/>
      <c r="BQ836" s="188"/>
      <c r="BR836" s="188"/>
      <c r="BS836" s="188"/>
    </row>
    <row r="837" spans="46:71" x14ac:dyDescent="0.3">
      <c r="AZ837" s="188"/>
      <c r="BB837" s="188"/>
      <c r="BC837" s="188"/>
      <c r="BD837" s="188"/>
      <c r="BG837" s="188"/>
      <c r="BH837" s="188"/>
      <c r="BI837" s="188"/>
      <c r="BJ837" s="188"/>
      <c r="BK837" s="188"/>
      <c r="BL837" s="188"/>
      <c r="BM837" s="188"/>
      <c r="BN837" s="188"/>
      <c r="BO837" s="188"/>
      <c r="BP837" s="188"/>
      <c r="BQ837" s="188"/>
      <c r="BR837" s="188"/>
      <c r="BS837" s="188"/>
    </row>
    <row r="838" spans="46:71" x14ac:dyDescent="0.3">
      <c r="AT838" s="42"/>
      <c r="AV838" s="123"/>
      <c r="AW838" s="123"/>
      <c r="AX838" s="188"/>
      <c r="AY838" s="188"/>
      <c r="AZ838" s="188"/>
      <c r="BA838" s="236"/>
      <c r="BB838" s="188"/>
      <c r="BC838" s="188"/>
      <c r="BD838" s="188"/>
      <c r="BE838" s="236"/>
    </row>
    <row r="839" spans="46:71" x14ac:dyDescent="0.3">
      <c r="AV839" s="123"/>
      <c r="AW839" s="123"/>
      <c r="AX839" s="188"/>
      <c r="AY839" s="188"/>
      <c r="AZ839" s="188"/>
      <c r="BA839" s="236"/>
      <c r="BB839" s="188"/>
      <c r="BC839" s="188"/>
      <c r="BD839" s="188"/>
      <c r="BE839" s="236"/>
    </row>
    <row r="840" spans="46:71" x14ac:dyDescent="0.3">
      <c r="AV840" s="123"/>
      <c r="AW840" s="123"/>
      <c r="AX840" s="188"/>
      <c r="AY840" s="188"/>
      <c r="AZ840" s="188"/>
      <c r="BA840" s="236"/>
      <c r="BB840" s="188"/>
      <c r="BC840" s="188"/>
      <c r="BD840" s="188"/>
      <c r="BE840" s="236"/>
    </row>
    <row r="841" spans="46:71" x14ac:dyDescent="0.3">
      <c r="AV841" s="123"/>
      <c r="AW841" s="123"/>
      <c r="AX841" s="188"/>
      <c r="AY841" s="188"/>
      <c r="AZ841" s="188"/>
      <c r="BA841" s="236"/>
      <c r="BB841" s="188"/>
      <c r="BC841" s="188"/>
      <c r="BD841" s="188"/>
      <c r="BE841" s="236"/>
    </row>
    <row r="842" spans="46:71" x14ac:dyDescent="0.3">
      <c r="AV842" s="123"/>
      <c r="AW842" s="123"/>
      <c r="AX842" s="188"/>
      <c r="AY842" s="188"/>
      <c r="AZ842" s="188"/>
      <c r="BA842" s="236"/>
      <c r="BB842" s="188"/>
      <c r="BC842" s="188"/>
      <c r="BD842" s="188"/>
      <c r="BE842" s="236"/>
    </row>
    <row r="843" spans="46:71" x14ac:dyDescent="0.3">
      <c r="AV843" s="123"/>
      <c r="AW843" s="123"/>
      <c r="AX843" s="188"/>
      <c r="AY843" s="188"/>
      <c r="AZ843" s="188"/>
      <c r="BA843" s="236"/>
      <c r="BB843" s="188"/>
      <c r="BC843" s="188"/>
      <c r="BD843" s="188"/>
      <c r="BE843" s="236"/>
    </row>
    <row r="844" spans="46:71" x14ac:dyDescent="0.3">
      <c r="AV844" s="123"/>
      <c r="AW844" s="123"/>
      <c r="AX844" s="188"/>
      <c r="AY844" s="188"/>
      <c r="AZ844" s="188"/>
      <c r="BA844" s="236"/>
      <c r="BB844" s="188"/>
      <c r="BC844" s="188"/>
      <c r="BD844" s="188"/>
      <c r="BE844" s="236"/>
    </row>
    <row r="845" spans="46:71" x14ac:dyDescent="0.3">
      <c r="AV845" s="123"/>
      <c r="AW845" s="123"/>
      <c r="AX845" s="188"/>
      <c r="AY845" s="188"/>
      <c r="AZ845" s="188"/>
      <c r="BA845" s="236"/>
      <c r="BB845" s="188"/>
      <c r="BC845" s="188"/>
      <c r="BD845" s="188"/>
      <c r="BE845" s="236"/>
    </row>
    <row r="846" spans="46:71" x14ac:dyDescent="0.3">
      <c r="AV846" s="123"/>
      <c r="AW846" s="123"/>
      <c r="AX846" s="188"/>
      <c r="AY846" s="188"/>
      <c r="AZ846" s="188"/>
      <c r="BA846" s="236"/>
      <c r="BB846" s="188"/>
      <c r="BC846" s="188"/>
      <c r="BD846" s="188"/>
      <c r="BE846" s="236"/>
    </row>
    <row r="847" spans="46:71" x14ac:dyDescent="0.3">
      <c r="AV847" s="123"/>
      <c r="AW847" s="123"/>
      <c r="AX847" s="188"/>
      <c r="AY847" s="188"/>
      <c r="AZ847" s="188"/>
      <c r="BA847" s="236"/>
      <c r="BB847" s="188"/>
      <c r="BC847" s="188"/>
      <c r="BD847" s="188"/>
      <c r="BE847" s="236"/>
    </row>
    <row r="848" spans="46:71" x14ac:dyDescent="0.3">
      <c r="AV848" s="123"/>
      <c r="AW848" s="123"/>
      <c r="AX848" s="188"/>
      <c r="AY848" s="188"/>
      <c r="AZ848" s="188"/>
      <c r="BA848" s="236"/>
      <c r="BB848" s="188"/>
      <c r="BC848" s="188"/>
      <c r="BD848" s="188"/>
      <c r="BE848" s="236"/>
    </row>
    <row r="849" spans="45:57" x14ac:dyDescent="0.3">
      <c r="AV849" s="123"/>
      <c r="AW849" s="123"/>
      <c r="AX849" s="188"/>
      <c r="AY849" s="188"/>
      <c r="AZ849" s="188"/>
      <c r="BA849" s="236"/>
      <c r="BB849" s="188"/>
      <c r="BC849" s="188"/>
      <c r="BD849" s="188"/>
      <c r="BE849" s="236"/>
    </row>
    <row r="850" spans="45:57" x14ac:dyDescent="0.3">
      <c r="AV850" s="123"/>
      <c r="AW850" s="123"/>
      <c r="AX850" s="188"/>
      <c r="AY850" s="188"/>
      <c r="AZ850" s="188"/>
      <c r="BA850" s="236"/>
      <c r="BB850" s="188"/>
      <c r="BC850" s="188"/>
      <c r="BD850" s="188"/>
      <c r="BE850" s="236"/>
    </row>
    <row r="851" spans="45:57" x14ac:dyDescent="0.3">
      <c r="AV851" s="123"/>
      <c r="AW851" s="123"/>
      <c r="AX851" s="188"/>
      <c r="AY851" s="188"/>
      <c r="AZ851" s="188"/>
      <c r="BA851" s="236"/>
      <c r="BB851" s="188"/>
      <c r="BC851" s="188"/>
      <c r="BD851" s="188"/>
      <c r="BE851" s="236"/>
    </row>
    <row r="852" spans="45:57" x14ac:dyDescent="0.3">
      <c r="AV852" s="123"/>
      <c r="AW852" s="123"/>
      <c r="AX852" s="188"/>
      <c r="AY852" s="188"/>
      <c r="AZ852" s="188"/>
      <c r="BA852" s="236"/>
      <c r="BB852" s="188"/>
      <c r="BC852" s="188"/>
      <c r="BD852" s="188"/>
      <c r="BE852" s="236"/>
    </row>
    <row r="853" spans="45:57" x14ac:dyDescent="0.3">
      <c r="AV853" s="123"/>
      <c r="AW853" s="123"/>
      <c r="AX853" s="188"/>
      <c r="AY853" s="188"/>
      <c r="AZ853" s="188"/>
      <c r="BA853" s="236"/>
      <c r="BB853" s="188"/>
      <c r="BC853" s="188"/>
      <c r="BD853" s="188"/>
      <c r="BE853" s="236"/>
    </row>
    <row r="854" spans="45:57" x14ac:dyDescent="0.3">
      <c r="AV854" s="123"/>
      <c r="AW854" s="123"/>
      <c r="AX854" s="188"/>
      <c r="AY854" s="188"/>
      <c r="AZ854" s="188"/>
      <c r="BA854" s="236"/>
      <c r="BB854" s="188"/>
      <c r="BC854" s="188"/>
      <c r="BD854" s="188"/>
      <c r="BE854" s="236"/>
    </row>
    <row r="855" spans="45:57" x14ac:dyDescent="0.3">
      <c r="AV855" s="123"/>
      <c r="AW855" s="123"/>
      <c r="AX855" s="188"/>
      <c r="AY855" s="188"/>
      <c r="AZ855" s="188"/>
      <c r="BA855" s="236"/>
      <c r="BB855" s="188"/>
      <c r="BC855" s="188"/>
      <c r="BD855" s="188"/>
      <c r="BE855" s="236"/>
    </row>
    <row r="856" spans="45:57" x14ac:dyDescent="0.3">
      <c r="BB856" s="188"/>
    </row>
    <row r="857" spans="45:57" x14ac:dyDescent="0.3">
      <c r="AU857" s="42"/>
      <c r="BB857" s="188"/>
    </row>
    <row r="858" spans="45:57" x14ac:dyDescent="0.3">
      <c r="AU858" s="42"/>
    </row>
    <row r="859" spans="45:57" x14ac:dyDescent="0.3">
      <c r="AU859" s="42"/>
      <c r="BB859" s="188"/>
    </row>
    <row r="860" spans="45:57" x14ac:dyDescent="0.3">
      <c r="AS860" s="42"/>
      <c r="AZ860" s="188"/>
      <c r="BB860" s="188"/>
    </row>
    <row r="861" spans="45:57" x14ac:dyDescent="0.3">
      <c r="AZ861" s="188"/>
      <c r="BB861" s="188"/>
    </row>
    <row r="862" spans="45:57" x14ac:dyDescent="0.3">
      <c r="AY862" s="188"/>
      <c r="AZ862" s="188"/>
      <c r="BB862" s="188"/>
    </row>
    <row r="863" spans="45:57" x14ac:dyDescent="0.3">
      <c r="AY863" s="42"/>
      <c r="AZ863" s="188"/>
      <c r="BB863" s="188"/>
    </row>
    <row r="864" spans="45:57" x14ac:dyDescent="0.3">
      <c r="AY864" s="42"/>
      <c r="AZ864" s="188"/>
      <c r="BB864" s="188"/>
    </row>
    <row r="865" spans="45:57" x14ac:dyDescent="0.3">
      <c r="AZ865" s="188"/>
      <c r="BB865" s="188"/>
      <c r="BD865" s="42"/>
    </row>
    <row r="866" spans="45:57" x14ac:dyDescent="0.3">
      <c r="AZ866" s="188"/>
      <c r="BB866" s="188"/>
      <c r="BD866" s="42"/>
    </row>
    <row r="867" spans="45:57" x14ac:dyDescent="0.3">
      <c r="AS867" s="42"/>
      <c r="AZ867" s="188"/>
      <c r="BB867" s="188"/>
      <c r="BD867" s="42"/>
    </row>
    <row r="868" spans="45:57" x14ac:dyDescent="0.3">
      <c r="AZ868" s="188"/>
      <c r="BB868" s="188"/>
    </row>
    <row r="869" spans="45:57" x14ac:dyDescent="0.3">
      <c r="AS869" s="135"/>
      <c r="AT869" s="135"/>
      <c r="AU869" s="135"/>
      <c r="AV869" s="135"/>
      <c r="AW869" s="135"/>
      <c r="AX869" s="135"/>
      <c r="AY869" s="135"/>
      <c r="AZ869" s="244"/>
      <c r="BA869" s="135"/>
      <c r="BB869" s="244"/>
      <c r="BC869" s="135"/>
      <c r="BD869" s="135"/>
      <c r="BE869" s="135"/>
    </row>
    <row r="870" spans="45:57" x14ac:dyDescent="0.3">
      <c r="AX870" s="42"/>
      <c r="AZ870" s="188"/>
      <c r="BB870" s="188"/>
    </row>
    <row r="871" spans="45:57" x14ac:dyDescent="0.3">
      <c r="AX871" s="135"/>
      <c r="AY871" s="135"/>
      <c r="AZ871" s="244"/>
      <c r="BA871" s="135"/>
      <c r="BB871" s="188"/>
      <c r="BC871" s="44"/>
      <c r="BD871" s="44"/>
    </row>
    <row r="872" spans="45:57" x14ac:dyDescent="0.3">
      <c r="AV872" s="44"/>
      <c r="AW872" s="44"/>
      <c r="AZ872" s="245"/>
      <c r="BA872" s="44"/>
      <c r="BB872" s="188"/>
      <c r="BC872" s="44"/>
      <c r="BD872" s="44"/>
      <c r="BE872" s="44"/>
    </row>
    <row r="873" spans="45:57" x14ac:dyDescent="0.3">
      <c r="AV873" s="44"/>
      <c r="AW873" s="44"/>
      <c r="AX873" s="44"/>
      <c r="AY873" s="44"/>
      <c r="AZ873" s="245"/>
      <c r="BA873" s="44"/>
      <c r="BB873" s="245"/>
      <c r="BC873" s="44"/>
      <c r="BD873" s="44"/>
      <c r="BE873" s="44"/>
    </row>
    <row r="874" spans="45:57" x14ac:dyDescent="0.3">
      <c r="AS874" s="44"/>
      <c r="AU874" s="42"/>
      <c r="AV874" s="44"/>
      <c r="AW874" s="44"/>
      <c r="AX874" s="44"/>
      <c r="AY874" s="44"/>
      <c r="AZ874" s="245"/>
      <c r="BA874" s="44"/>
      <c r="BB874" s="245"/>
      <c r="BC874" s="44"/>
      <c r="BD874" s="44"/>
      <c r="BE874" s="44"/>
    </row>
    <row r="875" spans="45:57" x14ac:dyDescent="0.3">
      <c r="AS875" s="44"/>
      <c r="AU875" s="42"/>
      <c r="AV875" s="44"/>
      <c r="AW875" s="44"/>
      <c r="AX875" s="44"/>
      <c r="AY875" s="44"/>
      <c r="AZ875" s="245"/>
      <c r="BA875" s="44"/>
      <c r="BB875" s="245"/>
      <c r="BC875" s="44"/>
      <c r="BD875" s="44"/>
      <c r="BE875" s="44"/>
    </row>
    <row r="876" spans="45:57" x14ac:dyDescent="0.3">
      <c r="AS876" s="135"/>
      <c r="AT876" s="135"/>
      <c r="AU876" s="135"/>
      <c r="AV876" s="135"/>
      <c r="AW876" s="135"/>
      <c r="AX876" s="135"/>
      <c r="AY876" s="135"/>
      <c r="AZ876" s="244"/>
      <c r="BA876" s="135"/>
      <c r="BB876" s="244"/>
      <c r="BC876" s="135"/>
      <c r="BD876" s="135"/>
      <c r="BE876" s="135"/>
    </row>
    <row r="877" spans="45:57" x14ac:dyDescent="0.3">
      <c r="AV877" s="44"/>
      <c r="AW877" s="44"/>
      <c r="AX877" s="44"/>
      <c r="AY877" s="44"/>
      <c r="AZ877" s="245"/>
      <c r="BA877" s="44"/>
      <c r="BB877" s="245"/>
      <c r="BC877" s="44"/>
      <c r="BD877" s="44"/>
      <c r="BE877" s="44"/>
    </row>
    <row r="878" spans="45:57" x14ac:dyDescent="0.3">
      <c r="AT878" s="42"/>
      <c r="AV878" s="123"/>
      <c r="AW878" s="123"/>
      <c r="AX878" s="188"/>
      <c r="AY878" s="188"/>
      <c r="AZ878" s="188"/>
      <c r="BA878" s="236"/>
      <c r="BB878" s="188"/>
      <c r="BC878" s="188"/>
      <c r="BD878" s="188"/>
      <c r="BE878" s="236"/>
    </row>
    <row r="879" spans="45:57" x14ac:dyDescent="0.3">
      <c r="AV879" s="123"/>
      <c r="AW879" s="123"/>
      <c r="AX879" s="188"/>
      <c r="AY879" s="188"/>
      <c r="AZ879" s="188"/>
      <c r="BA879" s="236"/>
      <c r="BB879" s="188"/>
      <c r="BC879" s="188"/>
      <c r="BD879" s="188"/>
      <c r="BE879" s="236"/>
    </row>
    <row r="880" spans="45:57" x14ac:dyDescent="0.3">
      <c r="AV880" s="123"/>
      <c r="AW880" s="123"/>
      <c r="AX880" s="188"/>
      <c r="AY880" s="188"/>
      <c r="AZ880" s="188"/>
      <c r="BA880" s="236"/>
      <c r="BB880" s="188"/>
      <c r="BC880" s="188"/>
      <c r="BD880" s="188"/>
      <c r="BE880" s="236"/>
    </row>
    <row r="881" spans="46:57" x14ac:dyDescent="0.3">
      <c r="AV881" s="123"/>
      <c r="AW881" s="123"/>
      <c r="AX881" s="188"/>
      <c r="AY881" s="188"/>
      <c r="AZ881" s="188"/>
      <c r="BA881" s="236"/>
      <c r="BB881" s="188"/>
      <c r="BC881" s="188"/>
      <c r="BD881" s="188"/>
      <c r="BE881" s="236"/>
    </row>
    <row r="882" spans="46:57" x14ac:dyDescent="0.3">
      <c r="AV882" s="123"/>
      <c r="AW882" s="123"/>
      <c r="AX882" s="188"/>
      <c r="AY882" s="188"/>
      <c r="AZ882" s="188"/>
      <c r="BA882" s="236"/>
      <c r="BB882" s="188"/>
      <c r="BC882" s="188"/>
      <c r="BD882" s="188"/>
      <c r="BE882" s="236"/>
    </row>
    <row r="883" spans="46:57" x14ac:dyDescent="0.3">
      <c r="AV883" s="123"/>
      <c r="AW883" s="123"/>
      <c r="AX883" s="188"/>
      <c r="AY883" s="188"/>
      <c r="AZ883" s="188"/>
      <c r="BA883" s="236"/>
      <c r="BB883" s="188"/>
      <c r="BC883" s="188"/>
      <c r="BD883" s="188"/>
      <c r="BE883" s="236"/>
    </row>
    <row r="884" spans="46:57" x14ac:dyDescent="0.3">
      <c r="AV884" s="123"/>
      <c r="AW884" s="123"/>
      <c r="AX884" s="188"/>
      <c r="AY884" s="188"/>
      <c r="AZ884" s="188"/>
      <c r="BA884" s="236"/>
      <c r="BB884" s="188"/>
      <c r="BC884" s="188"/>
      <c r="BD884" s="188"/>
      <c r="BE884" s="236"/>
    </row>
    <row r="885" spans="46:57" x14ac:dyDescent="0.3">
      <c r="AV885" s="123"/>
      <c r="AW885" s="123"/>
      <c r="AX885" s="188"/>
      <c r="AY885" s="188"/>
      <c r="AZ885" s="188"/>
      <c r="BA885" s="236"/>
      <c r="BB885" s="188"/>
      <c r="BC885" s="188"/>
      <c r="BD885" s="188"/>
      <c r="BE885" s="236"/>
    </row>
    <row r="886" spans="46:57" x14ac:dyDescent="0.3">
      <c r="AV886" s="123"/>
      <c r="AW886" s="123"/>
      <c r="AX886" s="188"/>
      <c r="AY886" s="188"/>
      <c r="AZ886" s="188"/>
      <c r="BA886" s="236"/>
      <c r="BB886" s="188"/>
      <c r="BC886" s="188"/>
      <c r="BD886" s="188"/>
      <c r="BE886" s="236"/>
    </row>
    <row r="887" spans="46:57" x14ac:dyDescent="0.3">
      <c r="AV887" s="123"/>
      <c r="AW887" s="123"/>
      <c r="AX887" s="188"/>
      <c r="AY887" s="188"/>
      <c r="AZ887" s="188"/>
      <c r="BA887" s="236"/>
      <c r="BB887" s="188"/>
      <c r="BC887" s="188"/>
      <c r="BD887" s="188"/>
      <c r="BE887" s="236"/>
    </row>
    <row r="888" spans="46:57" x14ac:dyDescent="0.3">
      <c r="AV888" s="123"/>
      <c r="AW888" s="123"/>
      <c r="BB888" s="188"/>
    </row>
    <row r="889" spans="46:57" x14ac:dyDescent="0.3">
      <c r="AT889" s="42"/>
      <c r="AV889" s="123"/>
      <c r="AW889" s="123"/>
      <c r="AX889" s="188"/>
      <c r="AY889" s="188"/>
      <c r="AZ889" s="188"/>
      <c r="BA889" s="236"/>
      <c r="BB889" s="188"/>
      <c r="BC889" s="188"/>
      <c r="BD889" s="188"/>
      <c r="BE889" s="236"/>
    </row>
    <row r="890" spans="46:57" x14ac:dyDescent="0.3">
      <c r="AV890" s="123"/>
      <c r="AW890" s="123"/>
      <c r="AX890" s="188"/>
      <c r="AY890" s="188"/>
      <c r="AZ890" s="188"/>
      <c r="BA890" s="236"/>
      <c r="BB890" s="188"/>
      <c r="BC890" s="188"/>
      <c r="BD890" s="188"/>
      <c r="BE890" s="236"/>
    </row>
    <row r="891" spans="46:57" x14ac:dyDescent="0.3">
      <c r="AV891" s="123"/>
      <c r="AW891" s="123"/>
      <c r="AX891" s="188"/>
      <c r="AY891" s="188"/>
      <c r="AZ891" s="188"/>
      <c r="BA891" s="236"/>
      <c r="BB891" s="188"/>
      <c r="BC891" s="188"/>
      <c r="BD891" s="188"/>
      <c r="BE891" s="236"/>
    </row>
    <row r="892" spans="46:57" x14ac:dyDescent="0.3">
      <c r="AV892" s="123"/>
      <c r="AW892" s="123"/>
      <c r="AX892" s="188"/>
      <c r="AY892" s="188"/>
      <c r="AZ892" s="188"/>
      <c r="BA892" s="236"/>
      <c r="BB892" s="188"/>
      <c r="BC892" s="188"/>
      <c r="BD892" s="188"/>
      <c r="BE892" s="236"/>
    </row>
    <row r="893" spans="46:57" x14ac:dyDescent="0.3">
      <c r="AV893" s="123"/>
      <c r="AW893" s="123"/>
      <c r="AX893" s="188"/>
      <c r="AY893" s="188"/>
      <c r="AZ893" s="188"/>
      <c r="BA893" s="236"/>
      <c r="BB893" s="188"/>
      <c r="BC893" s="188"/>
      <c r="BD893" s="188"/>
      <c r="BE893" s="236"/>
    </row>
    <row r="894" spans="46:57" x14ac:dyDescent="0.3">
      <c r="AV894" s="123"/>
      <c r="AW894" s="123"/>
      <c r="AX894" s="188"/>
      <c r="AY894" s="188"/>
      <c r="AZ894" s="188"/>
      <c r="BA894" s="236"/>
      <c r="BB894" s="188"/>
      <c r="BC894" s="188"/>
      <c r="BD894" s="188"/>
      <c r="BE894" s="236"/>
    </row>
    <row r="895" spans="46:57" x14ac:dyDescent="0.3">
      <c r="AV895" s="123"/>
      <c r="AW895" s="123"/>
      <c r="AX895" s="188"/>
      <c r="AY895" s="188"/>
      <c r="AZ895" s="188"/>
      <c r="BA895" s="236"/>
      <c r="BB895" s="188"/>
      <c r="BC895" s="188"/>
      <c r="BD895" s="188"/>
      <c r="BE895" s="236"/>
    </row>
    <row r="896" spans="46:57" x14ac:dyDescent="0.3">
      <c r="AV896" s="123"/>
      <c r="AW896" s="123"/>
      <c r="AX896" s="188"/>
      <c r="AY896" s="188"/>
      <c r="AZ896" s="188"/>
      <c r="BA896" s="236"/>
      <c r="BB896" s="188"/>
      <c r="BC896" s="188"/>
      <c r="BD896" s="188"/>
      <c r="BE896" s="236"/>
    </row>
    <row r="897" spans="45:57" x14ac:dyDescent="0.3">
      <c r="AV897" s="123"/>
      <c r="AW897" s="123"/>
      <c r="AX897" s="188"/>
      <c r="AY897" s="188"/>
      <c r="AZ897" s="188"/>
      <c r="BA897" s="236"/>
      <c r="BB897" s="188"/>
      <c r="BC897" s="188"/>
      <c r="BD897" s="188"/>
      <c r="BE897" s="236"/>
    </row>
    <row r="898" spans="45:57" x14ac:dyDescent="0.3">
      <c r="AV898" s="123"/>
      <c r="AW898" s="123"/>
      <c r="AX898" s="188"/>
      <c r="AY898" s="188"/>
      <c r="AZ898" s="188"/>
      <c r="BA898" s="236"/>
      <c r="BB898" s="188"/>
      <c r="BC898" s="188"/>
      <c r="BD898" s="188"/>
      <c r="BE898" s="236"/>
    </row>
    <row r="900" spans="45:57" x14ac:dyDescent="0.3">
      <c r="AU900" s="42"/>
    </row>
    <row r="901" spans="45:57" x14ac:dyDescent="0.3">
      <c r="AU901" s="42"/>
    </row>
    <row r="902" spans="45:57" x14ac:dyDescent="0.3">
      <c r="AU902" s="42"/>
    </row>
    <row r="903" spans="45:57" x14ac:dyDescent="0.3">
      <c r="AS903" s="42"/>
    </row>
    <row r="924" spans="52:71" x14ac:dyDescent="0.3">
      <c r="AZ924" s="188"/>
      <c r="BB924" s="188"/>
      <c r="BC924" s="188"/>
      <c r="BD924" s="188"/>
      <c r="BG924" s="188"/>
      <c r="BH924" s="188"/>
      <c r="BI924" s="188"/>
      <c r="BJ924" s="188"/>
      <c r="BK924" s="188"/>
      <c r="BL924" s="188"/>
      <c r="BM924" s="188"/>
      <c r="BN924" s="188"/>
      <c r="BO924" s="188"/>
      <c r="BP924" s="188"/>
      <c r="BQ924" s="188"/>
      <c r="BR924" s="188"/>
      <c r="BS924" s="188"/>
    </row>
    <row r="925" spans="52:71" x14ac:dyDescent="0.3">
      <c r="AZ925" s="188"/>
      <c r="BB925" s="188"/>
      <c r="BC925" s="188"/>
      <c r="BD925" s="188"/>
      <c r="BG925" s="188"/>
      <c r="BH925" s="188"/>
      <c r="BI925" s="188"/>
      <c r="BJ925" s="188"/>
      <c r="BK925" s="188"/>
      <c r="BL925" s="188"/>
      <c r="BM925" s="188"/>
      <c r="BN925" s="188"/>
      <c r="BO925" s="188"/>
      <c r="BP925" s="188"/>
      <c r="BQ925" s="188"/>
      <c r="BR925" s="188"/>
      <c r="BS925" s="188"/>
    </row>
    <row r="926" spans="52:71" x14ac:dyDescent="0.3">
      <c r="AZ926" s="188"/>
      <c r="BB926" s="188"/>
      <c r="BC926" s="188"/>
      <c r="BD926" s="188"/>
      <c r="BG926" s="188"/>
      <c r="BH926" s="188"/>
      <c r="BI926" s="188"/>
      <c r="BJ926" s="188"/>
      <c r="BK926" s="188"/>
      <c r="BL926" s="188"/>
      <c r="BM926" s="188"/>
      <c r="BN926" s="188"/>
      <c r="BO926" s="188"/>
      <c r="BP926" s="188"/>
      <c r="BQ926" s="188"/>
      <c r="BR926" s="188"/>
      <c r="BS926" s="188"/>
    </row>
    <row r="927" spans="52:71" x14ac:dyDescent="0.3">
      <c r="AZ927" s="188"/>
      <c r="BB927" s="188"/>
      <c r="BC927" s="188"/>
      <c r="BD927" s="188"/>
      <c r="BG927" s="188"/>
      <c r="BH927" s="188"/>
      <c r="BI927" s="188"/>
      <c r="BJ927" s="188"/>
      <c r="BK927" s="188"/>
      <c r="BL927" s="188"/>
      <c r="BM927" s="188"/>
      <c r="BN927" s="188"/>
      <c r="BO927" s="188"/>
      <c r="BP927" s="188"/>
      <c r="BQ927" s="188"/>
      <c r="BR927" s="188"/>
      <c r="BS927" s="188"/>
    </row>
    <row r="928" spans="52:71" x14ac:dyDescent="0.3">
      <c r="AZ928" s="188"/>
      <c r="BB928" s="188"/>
      <c r="BC928" s="188"/>
      <c r="BD928" s="188"/>
      <c r="BG928" s="188"/>
      <c r="BH928" s="188"/>
      <c r="BI928" s="188"/>
      <c r="BJ928" s="188"/>
      <c r="BK928" s="188"/>
      <c r="BL928" s="188"/>
      <c r="BM928" s="188"/>
      <c r="BN928" s="188"/>
      <c r="BO928" s="188"/>
      <c r="BP928" s="188"/>
      <c r="BQ928" s="188"/>
      <c r="BR928" s="188"/>
      <c r="BS928" s="188"/>
    </row>
    <row r="929" spans="52:71" x14ac:dyDescent="0.3">
      <c r="AZ929" s="188"/>
      <c r="BB929" s="188"/>
      <c r="BC929" s="188"/>
      <c r="BD929" s="188"/>
      <c r="BG929" s="188"/>
      <c r="BH929" s="188"/>
      <c r="BI929" s="188"/>
      <c r="BJ929" s="188"/>
      <c r="BK929" s="188"/>
      <c r="BL929" s="188"/>
      <c r="BM929" s="188"/>
      <c r="BN929" s="188"/>
      <c r="BO929" s="188"/>
      <c r="BP929" s="188"/>
      <c r="BQ929" s="188"/>
      <c r="BR929" s="188"/>
      <c r="BS929" s="188"/>
    </row>
    <row r="930" spans="52:71" x14ac:dyDescent="0.3">
      <c r="AZ930" s="188"/>
      <c r="BB930" s="188"/>
      <c r="BC930" s="188"/>
      <c r="BD930" s="188"/>
      <c r="BG930" s="188"/>
      <c r="BH930" s="188"/>
      <c r="BI930" s="188"/>
      <c r="BJ930" s="188"/>
      <c r="BK930" s="188"/>
      <c r="BL930" s="188"/>
      <c r="BM930" s="188"/>
      <c r="BN930" s="188"/>
      <c r="BO930" s="188"/>
      <c r="BP930" s="188"/>
      <c r="BQ930" s="188"/>
      <c r="BR930" s="188"/>
      <c r="BS930" s="188"/>
    </row>
    <row r="931" spans="52:71" x14ac:dyDescent="0.3">
      <c r="AZ931" s="188"/>
      <c r="BB931" s="188"/>
      <c r="BC931" s="188"/>
      <c r="BD931" s="188"/>
      <c r="BG931" s="188"/>
      <c r="BH931" s="188"/>
      <c r="BI931" s="188"/>
      <c r="BJ931" s="188"/>
      <c r="BK931" s="188"/>
      <c r="BL931" s="188"/>
      <c r="BM931" s="188"/>
      <c r="BN931" s="188"/>
      <c r="BO931" s="188"/>
      <c r="BP931" s="188"/>
      <c r="BQ931" s="188"/>
      <c r="BR931" s="188"/>
      <c r="BS931" s="188"/>
    </row>
    <row r="932" spans="52:71" x14ac:dyDescent="0.3">
      <c r="AZ932" s="188"/>
      <c r="BB932" s="188"/>
      <c r="BC932" s="188"/>
      <c r="BD932" s="188"/>
      <c r="BG932" s="188"/>
      <c r="BH932" s="188"/>
      <c r="BI932" s="188"/>
      <c r="BJ932" s="188"/>
      <c r="BK932" s="188"/>
      <c r="BL932" s="188"/>
      <c r="BM932" s="188"/>
      <c r="BN932" s="188"/>
      <c r="BO932" s="188"/>
      <c r="BP932" s="188"/>
      <c r="BQ932" s="188"/>
      <c r="BR932" s="188"/>
      <c r="BS932" s="188"/>
    </row>
    <row r="933" spans="52:71" x14ac:dyDescent="0.3">
      <c r="AZ933" s="188"/>
      <c r="BB933" s="188"/>
      <c r="BC933" s="188"/>
      <c r="BD933" s="188"/>
      <c r="BG933" s="188"/>
      <c r="BH933" s="188"/>
      <c r="BI933" s="188"/>
      <c r="BJ933" s="188"/>
      <c r="BK933" s="188"/>
      <c r="BL933" s="188"/>
      <c r="BM933" s="188"/>
      <c r="BN933" s="188"/>
      <c r="BO933" s="188"/>
      <c r="BP933" s="188"/>
      <c r="BQ933" s="188"/>
      <c r="BR933" s="188"/>
      <c r="BS933" s="188"/>
    </row>
    <row r="934" spans="52:71" x14ac:dyDescent="0.3">
      <c r="AZ934" s="188"/>
      <c r="BB934" s="188"/>
      <c r="BC934" s="188"/>
      <c r="BD934" s="188"/>
      <c r="BG934" s="188"/>
      <c r="BH934" s="188"/>
      <c r="BI934" s="188"/>
      <c r="BJ934" s="188"/>
      <c r="BK934" s="188"/>
      <c r="BL934" s="188"/>
      <c r="BM934" s="188"/>
      <c r="BN934" s="188"/>
      <c r="BO934" s="188"/>
      <c r="BP934" s="188"/>
      <c r="BQ934" s="188"/>
      <c r="BR934" s="188"/>
      <c r="BS934" s="188"/>
    </row>
    <row r="935" spans="52:71" x14ac:dyDescent="0.3">
      <c r="AZ935" s="188"/>
      <c r="BB935" s="188"/>
      <c r="BC935" s="188"/>
      <c r="BD935" s="188"/>
      <c r="BG935" s="188"/>
      <c r="BH935" s="188"/>
      <c r="BI935" s="188"/>
      <c r="BJ935" s="188"/>
      <c r="BK935" s="188"/>
      <c r="BL935" s="188"/>
      <c r="BM935" s="188"/>
      <c r="BN935" s="188"/>
      <c r="BO935" s="188"/>
      <c r="BP935" s="188"/>
      <c r="BQ935" s="188"/>
      <c r="BR935" s="188"/>
      <c r="BS935" s="188"/>
    </row>
    <row r="936" spans="52:71" x14ac:dyDescent="0.3">
      <c r="AZ936" s="188"/>
      <c r="BG936" s="188"/>
      <c r="BH936" s="188"/>
      <c r="BI936" s="188"/>
      <c r="BJ936" s="188"/>
      <c r="BK936" s="188"/>
      <c r="BL936" s="188"/>
      <c r="BM936" s="188"/>
      <c r="BN936" s="188"/>
      <c r="BO936" s="188"/>
      <c r="BP936" s="188"/>
      <c r="BQ936" s="188"/>
      <c r="BR936" s="188"/>
      <c r="BS936" s="188"/>
    </row>
    <row r="937" spans="52:71" x14ac:dyDescent="0.3">
      <c r="AZ937" s="188"/>
      <c r="BG937" s="188"/>
      <c r="BH937" s="188"/>
      <c r="BI937" s="188"/>
      <c r="BJ937" s="188"/>
      <c r="BK937" s="188"/>
      <c r="BL937" s="188"/>
      <c r="BM937" s="188"/>
      <c r="BN937" s="188"/>
      <c r="BO937" s="188"/>
      <c r="BP937" s="188"/>
      <c r="BQ937" s="188"/>
      <c r="BR937" s="188"/>
      <c r="BS937" s="188"/>
    </row>
    <row r="938" spans="52:71" x14ac:dyDescent="0.3">
      <c r="AZ938" s="188"/>
      <c r="BG938" s="188"/>
      <c r="BH938" s="188"/>
      <c r="BI938" s="188"/>
      <c r="BJ938" s="188"/>
      <c r="BK938" s="188"/>
      <c r="BL938" s="188"/>
      <c r="BM938" s="188"/>
      <c r="BN938" s="188"/>
      <c r="BO938" s="188"/>
      <c r="BP938" s="188"/>
      <c r="BQ938" s="188"/>
      <c r="BR938" s="188"/>
      <c r="BS938" s="188"/>
    </row>
    <row r="939" spans="52:71" x14ac:dyDescent="0.3">
      <c r="AZ939" s="188"/>
      <c r="BG939" s="188"/>
      <c r="BH939" s="188"/>
      <c r="BI939" s="188"/>
      <c r="BJ939" s="188"/>
      <c r="BK939" s="188"/>
      <c r="BL939" s="188"/>
      <c r="BM939" s="188"/>
      <c r="BN939" s="188"/>
      <c r="BO939" s="188"/>
      <c r="BP939" s="188"/>
      <c r="BQ939" s="188"/>
      <c r="BR939" s="188"/>
      <c r="BS939" s="188"/>
    </row>
    <row r="940" spans="52:71" x14ac:dyDescent="0.3">
      <c r="AZ940" s="188"/>
      <c r="BG940" s="188"/>
      <c r="BH940" s="188"/>
      <c r="BI940" s="188"/>
      <c r="BJ940" s="188"/>
      <c r="BK940" s="188"/>
      <c r="BL940" s="188"/>
      <c r="BM940" s="188"/>
      <c r="BN940" s="188"/>
      <c r="BO940" s="188"/>
      <c r="BP940" s="188"/>
      <c r="BQ940" s="188"/>
      <c r="BR940" s="188"/>
      <c r="BS940" s="188"/>
    </row>
    <row r="941" spans="52:71" x14ac:dyDescent="0.3">
      <c r="AZ941" s="188"/>
      <c r="BG941" s="188"/>
      <c r="BH941" s="188"/>
      <c r="BI941" s="188"/>
      <c r="BJ941" s="188"/>
      <c r="BK941" s="188"/>
      <c r="BL941" s="188"/>
      <c r="BM941" s="188"/>
      <c r="BN941" s="188"/>
      <c r="BO941" s="188"/>
      <c r="BP941" s="188"/>
      <c r="BQ941" s="188"/>
      <c r="BR941" s="188"/>
      <c r="BS941" s="188"/>
    </row>
    <row r="942" spans="52:71" x14ac:dyDescent="0.3">
      <c r="AZ942" s="188"/>
      <c r="BG942" s="188"/>
      <c r="BH942" s="188"/>
      <c r="BI942" s="188"/>
      <c r="BJ942" s="188"/>
      <c r="BK942" s="188"/>
      <c r="BL942" s="188"/>
      <c r="BM942" s="188"/>
      <c r="BN942" s="188"/>
      <c r="BO942" s="188"/>
      <c r="BP942" s="188"/>
      <c r="BQ942" s="188"/>
      <c r="BR942" s="188"/>
      <c r="BS942" s="188"/>
    </row>
    <row r="943" spans="52:71" x14ac:dyDescent="0.3">
      <c r="AZ943" s="188"/>
    </row>
    <row r="944" spans="52:71" x14ac:dyDescent="0.3">
      <c r="AZ944" s="188"/>
    </row>
    <row r="958" spans="1:1" x14ac:dyDescent="0.3">
      <c r="A958" s="42"/>
    </row>
    <row r="961" spans="1:28" x14ac:dyDescent="0.3">
      <c r="Y961" s="42"/>
    </row>
    <row r="962" spans="1:28" x14ac:dyDescent="0.3">
      <c r="A962" s="42"/>
      <c r="H962" s="42"/>
      <c r="I962" s="42"/>
    </row>
    <row r="963" spans="1:28" x14ac:dyDescent="0.3">
      <c r="A963" s="42"/>
      <c r="V963" s="44"/>
      <c r="AA963" s="44"/>
      <c r="AB963" s="44"/>
    </row>
    <row r="964" spans="1:28" x14ac:dyDescent="0.3">
      <c r="A964" s="42"/>
      <c r="V964" s="135"/>
      <c r="AA964" s="135"/>
      <c r="AB964" s="135"/>
    </row>
    <row r="965" spans="1:28" x14ac:dyDescent="0.3">
      <c r="A965" s="42"/>
      <c r="U965" s="42"/>
      <c r="AA965" s="44"/>
      <c r="AB965" s="44"/>
    </row>
    <row r="966" spans="1:28" x14ac:dyDescent="0.3">
      <c r="A966" s="42"/>
    </row>
    <row r="967" spans="1:28" x14ac:dyDescent="0.3">
      <c r="A967" s="42"/>
      <c r="U967" s="42"/>
      <c r="AA967" s="44"/>
      <c r="AB967" s="44"/>
    </row>
    <row r="968" spans="1:28" x14ac:dyDescent="0.3">
      <c r="A968" s="42"/>
    </row>
    <row r="969" spans="1:28" x14ac:dyDescent="0.3">
      <c r="A969" s="42"/>
      <c r="U969" s="42"/>
      <c r="V969" s="247"/>
      <c r="AA969" s="44"/>
      <c r="AB969" s="44"/>
    </row>
    <row r="970" spans="1:28" x14ac:dyDescent="0.3">
      <c r="A970" s="42"/>
    </row>
    <row r="971" spans="1:28" x14ac:dyDescent="0.3">
      <c r="A971" s="42"/>
      <c r="U971" s="42"/>
      <c r="AA971" s="44"/>
      <c r="AB971" s="44"/>
    </row>
    <row r="972" spans="1:28" x14ac:dyDescent="0.3">
      <c r="A972" s="42"/>
    </row>
    <row r="973" spans="1:28" x14ac:dyDescent="0.3">
      <c r="A973" s="42"/>
      <c r="U973" s="42"/>
      <c r="AA973" s="44"/>
      <c r="AB973" s="44"/>
    </row>
    <row r="974" spans="1:28" x14ac:dyDescent="0.3">
      <c r="A974" s="42"/>
    </row>
    <row r="975" spans="1:28" x14ac:dyDescent="0.3">
      <c r="A975" s="42"/>
    </row>
    <row r="976" spans="1:28" x14ac:dyDescent="0.3">
      <c r="A976" s="42"/>
    </row>
    <row r="977" spans="1:9" x14ac:dyDescent="0.3">
      <c r="A977" s="42"/>
    </row>
    <row r="978" spans="1:9" x14ac:dyDescent="0.3">
      <c r="A978" s="42"/>
    </row>
    <row r="979" spans="1:9" x14ac:dyDescent="0.3">
      <c r="A979" s="42"/>
    </row>
    <row r="980" spans="1:9" x14ac:dyDescent="0.3">
      <c r="A980" s="42"/>
    </row>
    <row r="981" spans="1:9" x14ac:dyDescent="0.3">
      <c r="A981" s="42"/>
    </row>
    <row r="982" spans="1:9" x14ac:dyDescent="0.3">
      <c r="A982" s="42"/>
    </row>
    <row r="983" spans="1:9" x14ac:dyDescent="0.3">
      <c r="A983" s="42"/>
    </row>
    <row r="984" spans="1:9" x14ac:dyDescent="0.3">
      <c r="A984" s="42"/>
      <c r="H984" s="42"/>
      <c r="I984" s="42"/>
    </row>
    <row r="987" spans="1:9" x14ac:dyDescent="0.3">
      <c r="A987" s="42"/>
    </row>
    <row r="990" spans="1:9" x14ac:dyDescent="0.3">
      <c r="A990" s="42"/>
    </row>
    <row r="993" spans="1:1" x14ac:dyDescent="0.3">
      <c r="A993" s="42"/>
    </row>
    <row r="994" spans="1:1" x14ac:dyDescent="0.3">
      <c r="A994" s="42"/>
    </row>
    <row r="995" spans="1:1" x14ac:dyDescent="0.3">
      <c r="A995" s="42"/>
    </row>
    <row r="996" spans="1:1" x14ac:dyDescent="0.3">
      <c r="A996" s="42"/>
    </row>
    <row r="997" spans="1:1" x14ac:dyDescent="0.3">
      <c r="A997" s="42"/>
    </row>
    <row r="998" spans="1:1" x14ac:dyDescent="0.3">
      <c r="A998" s="42"/>
    </row>
    <row r="999" spans="1:1" x14ac:dyDescent="0.3">
      <c r="A999" s="42"/>
    </row>
    <row r="1000" spans="1:1" x14ac:dyDescent="0.3">
      <c r="A1000" s="42"/>
    </row>
    <row r="1001" spans="1:1" x14ac:dyDescent="0.3">
      <c r="A1001" s="42"/>
    </row>
    <row r="1002" spans="1:1" x14ac:dyDescent="0.3">
      <c r="A1002" s="42"/>
    </row>
    <row r="1003" spans="1:1" x14ac:dyDescent="0.3">
      <c r="A1003" s="42"/>
    </row>
    <row r="1004" spans="1:1" x14ac:dyDescent="0.3">
      <c r="A1004" s="42"/>
    </row>
    <row r="1005" spans="1:1" x14ac:dyDescent="0.3">
      <c r="A1005" s="42"/>
    </row>
    <row r="1006" spans="1:1" x14ac:dyDescent="0.3">
      <c r="A1006" s="42"/>
    </row>
    <row r="1007" spans="1:1" x14ac:dyDescent="0.3">
      <c r="A1007" s="42"/>
    </row>
    <row r="1008" spans="1:1" x14ac:dyDescent="0.3">
      <c r="A1008" s="42"/>
    </row>
    <row r="1009" spans="1:1" x14ac:dyDescent="0.3">
      <c r="A1009" s="42"/>
    </row>
    <row r="1010" spans="1:1" x14ac:dyDescent="0.3">
      <c r="A1010" s="42"/>
    </row>
    <row r="1011" spans="1:1" x14ac:dyDescent="0.3">
      <c r="A1011" s="42"/>
    </row>
    <row r="1012" spans="1:1" x14ac:dyDescent="0.3">
      <c r="A1012" s="42"/>
    </row>
    <row r="1013" spans="1:1" x14ac:dyDescent="0.3">
      <c r="A1013" s="42"/>
    </row>
    <row r="1014" spans="1:1" x14ac:dyDescent="0.3">
      <c r="A1014" s="42"/>
    </row>
    <row r="1015" spans="1:1" x14ac:dyDescent="0.3">
      <c r="A1015" s="42"/>
    </row>
    <row r="1016" spans="1:1" x14ac:dyDescent="0.3">
      <c r="A1016" s="42"/>
    </row>
    <row r="1017" spans="1:1" x14ac:dyDescent="0.3">
      <c r="A1017" s="42"/>
    </row>
    <row r="1018" spans="1:1" x14ac:dyDescent="0.3">
      <c r="A1018" s="42"/>
    </row>
    <row r="1019" spans="1:1" x14ac:dyDescent="0.3">
      <c r="A1019" s="42"/>
    </row>
    <row r="1020" spans="1:1" x14ac:dyDescent="0.3">
      <c r="A1020" s="42"/>
    </row>
    <row r="1021" spans="1:1" x14ac:dyDescent="0.3">
      <c r="A1021" s="42"/>
    </row>
    <row r="1022" spans="1:1" x14ac:dyDescent="0.3">
      <c r="A1022" s="42"/>
    </row>
    <row r="1023" spans="1:1" x14ac:dyDescent="0.3">
      <c r="A1023" s="42"/>
    </row>
    <row r="1024" spans="1:1" x14ac:dyDescent="0.3">
      <c r="A1024" s="42"/>
    </row>
    <row r="1025" spans="1:1" x14ac:dyDescent="0.3">
      <c r="A1025" s="42"/>
    </row>
    <row r="1026" spans="1:1" x14ac:dyDescent="0.3">
      <c r="A1026" s="42"/>
    </row>
    <row r="1027" spans="1:1" x14ac:dyDescent="0.3">
      <c r="A1027" s="42"/>
    </row>
    <row r="1032" spans="1:1" x14ac:dyDescent="0.3">
      <c r="A1032" s="42"/>
    </row>
    <row r="1033" spans="1:1" x14ac:dyDescent="0.3">
      <c r="A1033" s="42"/>
    </row>
    <row r="1036" spans="1:1" x14ac:dyDescent="0.3">
      <c r="A1036" s="42"/>
    </row>
    <row r="1038" spans="1:1" x14ac:dyDescent="0.3">
      <c r="A1038" s="42"/>
    </row>
    <row r="1040" spans="1:1" x14ac:dyDescent="0.3">
      <c r="A1040" s="42"/>
    </row>
    <row r="1042" spans="1:1" x14ac:dyDescent="0.3">
      <c r="A1042" s="42"/>
    </row>
    <row r="1045" spans="1:1" x14ac:dyDescent="0.3">
      <c r="A1045" s="42"/>
    </row>
    <row r="1046" spans="1:1" x14ac:dyDescent="0.3">
      <c r="A1046" s="42"/>
    </row>
    <row r="1047" spans="1:1" x14ac:dyDescent="0.3">
      <c r="A1047" s="42"/>
    </row>
    <row r="1048" spans="1:1" x14ac:dyDescent="0.3">
      <c r="A1048" s="42"/>
    </row>
    <row r="1049" spans="1:1" x14ac:dyDescent="0.3">
      <c r="A1049" s="42"/>
    </row>
    <row r="1050" spans="1:1" x14ac:dyDescent="0.3">
      <c r="A1050" s="42"/>
    </row>
    <row r="1051" spans="1:1" x14ac:dyDescent="0.3">
      <c r="A1051" s="42"/>
    </row>
    <row r="1052" spans="1:1" x14ac:dyDescent="0.3">
      <c r="A1052" s="42"/>
    </row>
  </sheetData>
  <printOptions horizontalCentered="1"/>
  <pageMargins left="0.5" right="0.5" top="1" bottom="0" header="0" footer="0"/>
  <pageSetup scale="65" orientation="landscape" r:id="rId1"/>
  <headerFooter alignWithMargins="0"/>
  <rowBreaks count="16" manualBreakCount="16">
    <brk id="66" min="19" max="42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syncVertical="1" syncRef="A1" transitionEvaluation="1" transitionEntry="1" codeName="Sheet17">
    <pageSetUpPr fitToPage="1"/>
  </sheetPr>
  <dimension ref="A1:BX1063"/>
  <sheetViews>
    <sheetView zoomScale="75" workbookViewId="0"/>
  </sheetViews>
  <sheetFormatPr defaultColWidth="9.75" defaultRowHeight="15.6" x14ac:dyDescent="0.3"/>
  <cols>
    <col min="1" max="1" width="5.25" style="41" customWidth="1"/>
    <col min="2" max="2" width="0.4140625" style="41" customWidth="1"/>
    <col min="3" max="3" width="6.75" style="41" customWidth="1"/>
    <col min="4" max="4" width="42.75" style="41" customWidth="1"/>
    <col min="5" max="5" width="0.91406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1.332031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8.9140625" style="41" customWidth="1"/>
    <col min="19" max="19" width="6.75" style="41" customWidth="1"/>
    <col min="20" max="20" width="5.4140625" style="41" customWidth="1"/>
    <col min="21" max="21" width="0.58203125" style="41" customWidth="1"/>
    <col min="22" max="22" width="4.58203125" style="41" customWidth="1"/>
    <col min="23" max="23" width="39" style="41" customWidth="1"/>
    <col min="24" max="24" width="0.5820312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1.9140625" style="41" customWidth="1"/>
    <col min="30" max="30" width="0.9140625" style="41" customWidth="1"/>
    <col min="31" max="31" width="12.9140625" style="41" customWidth="1"/>
    <col min="32" max="32" width="0.75" style="41" customWidth="1"/>
    <col min="33" max="33" width="13.6640625" style="165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165" customWidth="1"/>
    <col min="38" max="38" width="0.582031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165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REHEARING ORDER CALCULATED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V5" s="21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157</v>
      </c>
      <c r="V6" s="210"/>
      <c r="AK6" s="206"/>
      <c r="AL6" s="42"/>
    </row>
    <row r="7" spans="1:40" x14ac:dyDescent="0.3">
      <c r="A7" s="41" t="str">
        <f>TYPE</f>
        <v>TYPE OF FILING: _X_ ORIGINAL   ___UPDATED  ___ REVISED</v>
      </c>
      <c r="R7" s="45" t="str">
        <f>"PAGE 17 OF "&amp;TEXT(Page_Num_2.3,"00")</f>
        <v>PAGE 17 OF 24</v>
      </c>
      <c r="V7" s="238"/>
      <c r="AK7" s="206"/>
      <c r="AL7" s="42"/>
    </row>
    <row r="8" spans="1:40" x14ac:dyDescent="0.3">
      <c r="A8" s="42" t="s">
        <v>171</v>
      </c>
      <c r="R8" s="42" t="s">
        <v>3</v>
      </c>
      <c r="V8" s="238"/>
      <c r="AK8" s="206"/>
      <c r="AL8" s="42"/>
    </row>
    <row r="9" spans="1:40" x14ac:dyDescent="0.3">
      <c r="A9" s="153" t="str">
        <f>TIME</f>
        <v>12 Months Projected with Riders</v>
      </c>
      <c r="N9" s="42"/>
      <c r="R9" s="41" t="str">
        <f>WIT</f>
        <v>B. L. Sailers</v>
      </c>
      <c r="V9" s="238"/>
      <c r="AK9" s="206"/>
      <c r="AL9" s="42"/>
    </row>
    <row r="10" spans="1:40" x14ac:dyDescent="0.3">
      <c r="A10" s="40" t="s">
        <v>130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V10" s="238"/>
      <c r="W10" s="40"/>
      <c r="AA10" s="42"/>
      <c r="AB10" s="42"/>
    </row>
    <row r="11" spans="1:40" x14ac:dyDescent="0.3">
      <c r="A11" s="135"/>
      <c r="B11" s="135"/>
      <c r="C11" s="135"/>
      <c r="D11" s="135"/>
      <c r="E11" s="135"/>
      <c r="F11" s="135"/>
      <c r="H11" s="135"/>
      <c r="I11" s="135"/>
      <c r="J11" s="135"/>
      <c r="K11" s="135"/>
      <c r="L11" s="43"/>
      <c r="M11" s="43"/>
      <c r="N11" s="43"/>
      <c r="O11" s="43"/>
      <c r="P11" s="43"/>
      <c r="Q11" s="43"/>
      <c r="R11" s="43"/>
      <c r="T11" s="135"/>
      <c r="U11" s="135"/>
      <c r="V11" s="238"/>
      <c r="W11" s="42"/>
      <c r="X11" s="135"/>
      <c r="Y11" s="135"/>
      <c r="Z11" s="135"/>
      <c r="AA11" s="135"/>
      <c r="AB11" s="135"/>
      <c r="AC11" s="135"/>
      <c r="AD11" s="135"/>
      <c r="AE11" s="135"/>
      <c r="AF11" s="135"/>
      <c r="AG11" s="207"/>
      <c r="AH11" s="135"/>
      <c r="AI11" s="135"/>
      <c r="AJ11" s="135"/>
      <c r="AK11" s="207"/>
      <c r="AL11" s="135"/>
      <c r="AM11" s="135"/>
      <c r="AN11" s="135"/>
    </row>
    <row r="12" spans="1:40" ht="18" customHeight="1" x14ac:dyDescent="0.3">
      <c r="A12" s="191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44" t="s">
        <v>6</v>
      </c>
      <c r="M12" s="44"/>
      <c r="N12" s="44" t="s">
        <v>7</v>
      </c>
      <c r="O12" s="44"/>
      <c r="R12" s="44" t="s">
        <v>6</v>
      </c>
      <c r="V12" s="238"/>
      <c r="W12" s="40"/>
      <c r="AA12" s="44"/>
      <c r="AB12" s="44"/>
      <c r="AC12" s="44"/>
      <c r="AD12" s="44"/>
      <c r="AE12" s="44"/>
      <c r="AF12" s="44"/>
      <c r="AG12" s="168"/>
      <c r="AH12" s="44"/>
      <c r="AK12" s="168"/>
      <c r="AL12" s="44"/>
      <c r="AM12" s="44"/>
      <c r="AN12" s="44"/>
    </row>
    <row r="13" spans="1:40" x14ac:dyDescent="0.3">
      <c r="L13" s="44" t="s">
        <v>12</v>
      </c>
      <c r="M13" s="44"/>
      <c r="N13" s="44" t="s">
        <v>13</v>
      </c>
      <c r="O13" s="44"/>
      <c r="R13" s="44" t="s">
        <v>11</v>
      </c>
      <c r="V13" s="238"/>
      <c r="W13" s="42"/>
      <c r="Z13" s="44"/>
      <c r="AA13" s="44"/>
      <c r="AB13" s="44"/>
      <c r="AC13" s="44"/>
      <c r="AD13" s="44"/>
      <c r="AE13" s="44"/>
      <c r="AF13" s="44"/>
      <c r="AG13" s="168"/>
      <c r="AH13" s="44"/>
      <c r="AK13" s="168"/>
      <c r="AL13" s="44"/>
      <c r="AM13" s="44"/>
      <c r="AN13" s="44"/>
    </row>
    <row r="14" spans="1:40" x14ac:dyDescent="0.3">
      <c r="A14" s="44" t="s">
        <v>17</v>
      </c>
      <c r="C14" s="44" t="s">
        <v>18</v>
      </c>
      <c r="D14" s="44" t="s">
        <v>19</v>
      </c>
      <c r="E14" s="44"/>
      <c r="F14" s="44" t="s">
        <v>20</v>
      </c>
      <c r="J14" s="44" t="s">
        <v>6</v>
      </c>
      <c r="K14" s="44"/>
      <c r="L14" s="44" t="s">
        <v>842</v>
      </c>
      <c r="M14" s="44"/>
      <c r="N14" s="44" t="s">
        <v>842</v>
      </c>
      <c r="O14" s="44"/>
      <c r="P14" s="44" t="s">
        <v>842</v>
      </c>
      <c r="Q14" s="44"/>
      <c r="R14" s="44" t="s">
        <v>9</v>
      </c>
      <c r="T14" s="44"/>
      <c r="U14" s="44"/>
      <c r="V14" s="44"/>
      <c r="Z14" s="44"/>
      <c r="AA14" s="44"/>
      <c r="AB14" s="44"/>
      <c r="AC14" s="44"/>
      <c r="AD14" s="44"/>
      <c r="AE14" s="44"/>
      <c r="AF14" s="44"/>
      <c r="AG14" s="168"/>
      <c r="AH14" s="44"/>
      <c r="AI14" s="44"/>
      <c r="AJ14" s="44"/>
      <c r="AK14" s="168"/>
      <c r="AL14" s="44"/>
      <c r="AM14" s="44"/>
      <c r="AN14" s="44"/>
    </row>
    <row r="15" spans="1:40" x14ac:dyDescent="0.3">
      <c r="A15" s="44" t="s">
        <v>22</v>
      </c>
      <c r="C15" s="44" t="s">
        <v>23</v>
      </c>
      <c r="D15" s="44" t="s">
        <v>24</v>
      </c>
      <c r="E15" s="44"/>
      <c r="F15" s="44" t="s">
        <v>25</v>
      </c>
      <c r="H15" s="44" t="s">
        <v>26</v>
      </c>
      <c r="I15" s="44"/>
      <c r="J15" s="46" t="s">
        <v>325</v>
      </c>
      <c r="K15" s="44"/>
      <c r="L15" s="44" t="s">
        <v>9</v>
      </c>
      <c r="M15" s="44"/>
      <c r="N15" s="44" t="s">
        <v>9</v>
      </c>
      <c r="O15" s="44"/>
      <c r="P15" s="44" t="s">
        <v>324</v>
      </c>
      <c r="Q15" s="44"/>
      <c r="R15" s="141" t="s">
        <v>28</v>
      </c>
      <c r="T15" s="44"/>
      <c r="U15" s="44"/>
      <c r="V15" s="44"/>
      <c r="Y15" s="44"/>
      <c r="Z15" s="44"/>
      <c r="AA15" s="44"/>
      <c r="AB15" s="44"/>
      <c r="AC15" s="44"/>
      <c r="AD15" s="44"/>
      <c r="AE15" s="44"/>
      <c r="AF15" s="44"/>
      <c r="AG15" s="168"/>
      <c r="AH15" s="44"/>
      <c r="AI15" s="44"/>
      <c r="AJ15" s="44"/>
      <c r="AK15" s="168"/>
      <c r="AL15" s="44"/>
      <c r="AM15" s="44"/>
      <c r="AN15" s="44"/>
    </row>
    <row r="16" spans="1:40" x14ac:dyDescent="0.3">
      <c r="C16" s="141" t="s">
        <v>33</v>
      </c>
      <c r="D16" s="141" t="s">
        <v>34</v>
      </c>
      <c r="E16" s="141"/>
      <c r="F16" s="141" t="s">
        <v>35</v>
      </c>
      <c r="G16" s="153"/>
      <c r="H16" s="141" t="s">
        <v>36</v>
      </c>
      <c r="I16" s="141"/>
      <c r="J16" s="141" t="s">
        <v>37</v>
      </c>
      <c r="K16" s="141"/>
      <c r="L16" s="141" t="s">
        <v>38</v>
      </c>
      <c r="M16" s="141"/>
      <c r="N16" s="141" t="s">
        <v>39</v>
      </c>
      <c r="O16" s="141"/>
      <c r="P16" s="141" t="s">
        <v>40</v>
      </c>
      <c r="Q16" s="141"/>
      <c r="R16" s="141" t="s">
        <v>41</v>
      </c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207"/>
      <c r="AH16" s="135"/>
      <c r="AI16" s="135"/>
      <c r="AJ16" s="135"/>
      <c r="AK16" s="207"/>
      <c r="AL16" s="135"/>
      <c r="AM16" s="135"/>
      <c r="AN16" s="135"/>
    </row>
    <row r="17" spans="1:43" ht="17.100000000000001" customHeight="1" x14ac:dyDescent="0.3">
      <c r="A17" s="191"/>
      <c r="B17" s="191"/>
      <c r="C17" s="191"/>
      <c r="D17" s="191"/>
      <c r="E17" s="191"/>
      <c r="F17" s="191"/>
      <c r="G17" s="191"/>
      <c r="H17" s="271" t="s">
        <v>49</v>
      </c>
      <c r="I17" s="271"/>
      <c r="J17" s="270" t="s">
        <v>69</v>
      </c>
      <c r="K17" s="271"/>
      <c r="L17" s="271" t="s">
        <v>50</v>
      </c>
      <c r="M17" s="271"/>
      <c r="N17" s="271" t="s">
        <v>51</v>
      </c>
      <c r="O17" s="271"/>
      <c r="P17" s="271" t="s">
        <v>50</v>
      </c>
      <c r="Q17" s="271"/>
      <c r="R17" s="271" t="s">
        <v>50</v>
      </c>
      <c r="Y17" s="44" t="s">
        <v>405</v>
      </c>
      <c r="Z17" s="44"/>
      <c r="AA17" s="44"/>
      <c r="AB17" s="44"/>
      <c r="AC17" s="44"/>
      <c r="AD17" s="44"/>
      <c r="AE17" s="44"/>
      <c r="AF17" s="44"/>
      <c r="AG17" s="168"/>
      <c r="AH17" s="44"/>
      <c r="AI17" s="44"/>
      <c r="AJ17" s="44"/>
      <c r="AK17" s="168"/>
      <c r="AL17" s="44"/>
      <c r="AM17" s="44"/>
      <c r="AN17" s="44"/>
    </row>
    <row r="18" spans="1:43" x14ac:dyDescent="0.3">
      <c r="A18" s="41">
        <v>1</v>
      </c>
      <c r="C18" s="132" t="s">
        <v>86</v>
      </c>
      <c r="D18" s="178" t="s">
        <v>219</v>
      </c>
      <c r="E18" s="42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T18" s="42"/>
      <c r="U18" s="42"/>
      <c r="Y18" s="44" t="s">
        <v>406</v>
      </c>
    </row>
    <row r="19" spans="1:43" x14ac:dyDescent="0.3"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T19" s="42"/>
      <c r="Y19" s="44" t="s">
        <v>407</v>
      </c>
    </row>
    <row r="20" spans="1:43" x14ac:dyDescent="0.3">
      <c r="A20" s="41">
        <v>2</v>
      </c>
      <c r="C20" s="178" t="s">
        <v>220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43" x14ac:dyDescent="0.3">
      <c r="A21" s="41">
        <v>3</v>
      </c>
      <c r="C21" s="178" t="s">
        <v>221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23"/>
      <c r="V21" s="210"/>
      <c r="Y21" s="123"/>
      <c r="Z21" s="184"/>
      <c r="AA21" s="123"/>
      <c r="AB21" s="123"/>
      <c r="AC21" s="160"/>
      <c r="AD21" s="160"/>
      <c r="AE21" s="123"/>
      <c r="AF21" s="123"/>
      <c r="AI21" s="123"/>
      <c r="AJ21" s="123"/>
      <c r="AL21" s="123"/>
    </row>
    <row r="22" spans="1:43" x14ac:dyDescent="0.3">
      <c r="A22" s="41">
        <v>4</v>
      </c>
      <c r="C22" s="45" t="s">
        <v>88</v>
      </c>
      <c r="F22" s="184">
        <v>0</v>
      </c>
      <c r="G22" s="1"/>
      <c r="H22" s="184">
        <f>ROUND(F22*786/12,0)</f>
        <v>0</v>
      </c>
      <c r="I22" s="159"/>
      <c r="J22" s="238">
        <v>16.579999999999998</v>
      </c>
      <c r="K22" s="258"/>
      <c r="L22" s="3">
        <f>ROUND((F22*J22),0)</f>
        <v>0</v>
      </c>
      <c r="M22" s="3"/>
      <c r="N22" s="4">
        <f>ROUND((L22/L$45)*100,1)</f>
        <v>0</v>
      </c>
      <c r="O22" s="4"/>
      <c r="P22" s="3">
        <f>ROUND($P$45/$H$45*H22,0)</f>
        <v>0</v>
      </c>
      <c r="Q22" s="3"/>
      <c r="R22" s="3">
        <f>L22+P22</f>
        <v>0</v>
      </c>
      <c r="S22" s="123"/>
      <c r="V22" s="210"/>
      <c r="Y22" s="249">
        <f>J22-AY72</f>
        <v>14.849999999999998</v>
      </c>
      <c r="Z22" s="213"/>
      <c r="AA22" s="210"/>
      <c r="AB22" s="210"/>
      <c r="AC22" s="210"/>
      <c r="AD22" s="210"/>
      <c r="AE22" s="210"/>
      <c r="AF22" s="210"/>
      <c r="AI22" s="210"/>
      <c r="AJ22" s="210"/>
      <c r="AK22" s="214"/>
      <c r="AL22" s="210"/>
      <c r="AM22" s="160"/>
      <c r="AN22" s="160"/>
    </row>
    <row r="23" spans="1:43" x14ac:dyDescent="0.3">
      <c r="A23" s="41">
        <v>5</v>
      </c>
      <c r="C23" s="45" t="s">
        <v>87</v>
      </c>
      <c r="F23" s="123">
        <v>139</v>
      </c>
      <c r="G23" s="1"/>
      <c r="H23" s="184">
        <f>ROUND(F23*786/12,0)</f>
        <v>9105</v>
      </c>
      <c r="I23" s="3"/>
      <c r="J23" s="238">
        <v>13.21</v>
      </c>
      <c r="K23" s="5"/>
      <c r="L23" s="3">
        <f>ROUND((F23*J23),0)</f>
        <v>1836</v>
      </c>
      <c r="M23" s="3"/>
      <c r="N23" s="4">
        <f>ROUND((L23/L$45)*100,1)</f>
        <v>1.7</v>
      </c>
      <c r="O23" s="4"/>
      <c r="P23" s="3">
        <f>ROUND($P$45/$H$45*H23,0)</f>
        <v>32</v>
      </c>
      <c r="Q23" s="3"/>
      <c r="R23" s="3">
        <f>L23+P23</f>
        <v>1868</v>
      </c>
      <c r="S23" s="123"/>
      <c r="V23" s="184"/>
      <c r="Y23" s="249">
        <f>J23-AY73</f>
        <v>11</v>
      </c>
      <c r="Z23" s="213"/>
      <c r="AA23" s="123"/>
      <c r="AB23" s="123"/>
      <c r="AC23" s="160"/>
      <c r="AD23" s="160"/>
      <c r="AE23" s="123"/>
      <c r="AF23" s="123"/>
      <c r="AI23" s="123"/>
      <c r="AJ23" s="123"/>
      <c r="AL23" s="123"/>
      <c r="AM23" s="160"/>
      <c r="AN23" s="160"/>
    </row>
    <row r="24" spans="1:43" x14ac:dyDescent="0.3">
      <c r="A24" s="41">
        <v>6</v>
      </c>
      <c r="C24" s="178" t="s">
        <v>222</v>
      </c>
      <c r="F24" s="123"/>
      <c r="G24" s="1"/>
      <c r="H24" s="3"/>
      <c r="I24" s="3"/>
      <c r="J24" s="188"/>
      <c r="K24" s="5"/>
      <c r="L24" s="3"/>
      <c r="M24" s="3"/>
      <c r="N24" s="4"/>
      <c r="O24" s="4"/>
      <c r="P24" s="3"/>
      <c r="Q24" s="3"/>
      <c r="R24" s="3"/>
      <c r="S24" s="123"/>
      <c r="V24" s="184"/>
      <c r="Y24" s="238"/>
      <c r="Z24" s="213"/>
      <c r="AA24" s="123"/>
      <c r="AB24" s="123"/>
      <c r="AC24" s="160"/>
      <c r="AD24" s="160"/>
      <c r="AE24" s="123"/>
      <c r="AF24" s="123"/>
      <c r="AI24" s="123"/>
      <c r="AJ24" s="123"/>
      <c r="AL24" s="123"/>
      <c r="AM24" s="160"/>
      <c r="AN24" s="160"/>
    </row>
    <row r="25" spans="1:43" x14ac:dyDescent="0.3">
      <c r="A25" s="41">
        <v>7</v>
      </c>
      <c r="C25" s="45" t="s">
        <v>223</v>
      </c>
      <c r="F25" s="123"/>
      <c r="G25" s="1"/>
      <c r="H25" s="3"/>
      <c r="I25" s="3"/>
      <c r="J25" s="188"/>
      <c r="K25" s="5"/>
      <c r="L25" s="1"/>
      <c r="M25" s="1"/>
      <c r="N25" s="1"/>
      <c r="O25" s="1"/>
      <c r="P25" s="1"/>
      <c r="Q25" s="1"/>
      <c r="R25" s="1"/>
      <c r="Y25" s="188"/>
    </row>
    <row r="26" spans="1:43" x14ac:dyDescent="0.3">
      <c r="A26" s="41">
        <v>8</v>
      </c>
      <c r="C26" s="45" t="s">
        <v>224</v>
      </c>
      <c r="F26" s="184">
        <v>348</v>
      </c>
      <c r="G26" s="1"/>
      <c r="H26" s="184">
        <f>ROUND(F26*1215/12,0)</f>
        <v>35235</v>
      </c>
      <c r="I26" s="159"/>
      <c r="J26" s="238">
        <v>30.29</v>
      </c>
      <c r="K26" s="258"/>
      <c r="L26" s="3">
        <f>ROUND((F26*J26),0)</f>
        <v>10541</v>
      </c>
      <c r="M26" s="3"/>
      <c r="N26" s="4">
        <f>ROUND((L26/L$45)*100,1)</f>
        <v>9.6</v>
      </c>
      <c r="O26" s="4"/>
      <c r="P26" s="3">
        <f>ROUND($P$45/$H$45*H26,0)</f>
        <v>123</v>
      </c>
      <c r="Q26" s="3"/>
      <c r="R26" s="3">
        <f>L26+P26</f>
        <v>10664</v>
      </c>
      <c r="S26" s="123"/>
      <c r="Y26" s="249">
        <f>J26-AY76</f>
        <v>26.869999999999997</v>
      </c>
    </row>
    <row r="27" spans="1:43" x14ac:dyDescent="0.3">
      <c r="A27" s="41">
        <v>9</v>
      </c>
      <c r="C27" s="178" t="s">
        <v>225</v>
      </c>
      <c r="F27" s="184"/>
      <c r="G27" s="1"/>
      <c r="H27" s="159"/>
      <c r="I27" s="159"/>
      <c r="J27" s="238"/>
      <c r="K27" s="258"/>
      <c r="L27" s="3"/>
      <c r="M27" s="3"/>
      <c r="N27" s="4"/>
      <c r="O27" s="4"/>
      <c r="P27" s="3"/>
      <c r="Q27" s="3"/>
      <c r="R27" s="3"/>
      <c r="Y27" s="188"/>
    </row>
    <row r="28" spans="1:43" x14ac:dyDescent="0.3">
      <c r="A28" s="41">
        <v>10</v>
      </c>
      <c r="C28" s="42" t="s">
        <v>226</v>
      </c>
      <c r="F28" s="123">
        <v>372</v>
      </c>
      <c r="G28" s="1"/>
      <c r="H28" s="184">
        <f>ROUND(F28*786/12,0)</f>
        <v>24366</v>
      </c>
      <c r="I28" s="3"/>
      <c r="J28" s="238">
        <v>13.09</v>
      </c>
      <c r="K28" s="258"/>
      <c r="L28" s="3">
        <f>ROUND((F28*J28),0)</f>
        <v>4869</v>
      </c>
      <c r="M28" s="3"/>
      <c r="N28" s="4">
        <f>ROUND((L28/L$45)*100,1)</f>
        <v>4.4000000000000004</v>
      </c>
      <c r="O28" s="4"/>
      <c r="P28" s="3">
        <f>ROUND($P$45/$H$45*H28,0)</f>
        <v>85</v>
      </c>
      <c r="Q28" s="3"/>
      <c r="R28" s="3">
        <f>L28+P28</f>
        <v>4954</v>
      </c>
      <c r="S28" s="123"/>
      <c r="Y28" s="249">
        <f>J28-AY78</f>
        <v>10.879999999999999</v>
      </c>
    </row>
    <row r="29" spans="1:43" x14ac:dyDescent="0.3">
      <c r="A29" s="41">
        <v>11</v>
      </c>
      <c r="C29" s="42" t="s">
        <v>227</v>
      </c>
      <c r="F29" s="123">
        <v>6746</v>
      </c>
      <c r="G29" s="1"/>
      <c r="H29" s="184">
        <f>ROUND(F29*453/12,0)</f>
        <v>254662</v>
      </c>
      <c r="I29" s="3"/>
      <c r="J29" s="238">
        <v>12.09</v>
      </c>
      <c r="K29" s="258"/>
      <c r="L29" s="3">
        <f>ROUND((F29*J29),0)</f>
        <v>81559</v>
      </c>
      <c r="M29" s="3"/>
      <c r="N29" s="4">
        <f>ROUND((L29/L$45)*100,1)</f>
        <v>74.5</v>
      </c>
      <c r="O29" s="4"/>
      <c r="P29" s="3">
        <f>ROUND($P$45/$H$45*H29,0)</f>
        <v>888</v>
      </c>
      <c r="Q29" s="3"/>
      <c r="R29" s="3">
        <f>L29+P29</f>
        <v>82447</v>
      </c>
      <c r="S29" s="123"/>
      <c r="Y29" s="249">
        <f>J29-AY79</f>
        <v>10.81</v>
      </c>
    </row>
    <row r="30" spans="1:43" x14ac:dyDescent="0.3">
      <c r="A30" s="41">
        <v>12</v>
      </c>
      <c r="C30" s="45" t="s">
        <v>218</v>
      </c>
      <c r="F30" s="123">
        <v>408</v>
      </c>
      <c r="G30" s="1"/>
      <c r="H30" s="184">
        <f>ROUND(F30*1914/12,0)</f>
        <v>65076</v>
      </c>
      <c r="I30" s="3"/>
      <c r="J30" s="238">
        <v>20.420000000000002</v>
      </c>
      <c r="K30" s="5"/>
      <c r="L30" s="3">
        <f>ROUND((F30*J30),0)</f>
        <v>8331</v>
      </c>
      <c r="M30" s="3"/>
      <c r="N30" s="4">
        <f>ROUND((L30/L$45)*100,1)</f>
        <v>7.6</v>
      </c>
      <c r="O30" s="4"/>
      <c r="P30" s="49">
        <f>P31-P22-P23-P26-P28-P29</f>
        <v>226</v>
      </c>
      <c r="Q30" s="3"/>
      <c r="R30" s="3">
        <f>L30+P30</f>
        <v>8557</v>
      </c>
      <c r="S30" s="123"/>
      <c r="Y30" s="249">
        <f>J30-AY80</f>
        <v>15.030000000000001</v>
      </c>
    </row>
    <row r="31" spans="1:43" ht="20.100000000000001" customHeight="1" x14ac:dyDescent="0.3">
      <c r="A31" s="41">
        <v>13</v>
      </c>
      <c r="C31" s="132" t="s">
        <v>90</v>
      </c>
      <c r="F31" s="145">
        <f>SUM(F22:F30)</f>
        <v>8013</v>
      </c>
      <c r="G31" s="1"/>
      <c r="H31" s="145">
        <f>SUM(H22:H30)</f>
        <v>388444</v>
      </c>
      <c r="I31" s="3"/>
      <c r="J31" s="188"/>
      <c r="K31" s="5"/>
      <c r="L31" s="145">
        <f>SUM(L22:L30)</f>
        <v>107136</v>
      </c>
      <c r="M31" s="3"/>
      <c r="N31" s="211">
        <f>ROUND((L31/L$45)*100,1)</f>
        <v>97.9</v>
      </c>
      <c r="O31" s="1"/>
      <c r="P31" s="145">
        <f>ROUND($P$45/$H$45*H31,0)</f>
        <v>1354</v>
      </c>
      <c r="Q31" s="3"/>
      <c r="R31" s="145">
        <f>SUM(R22:R30)</f>
        <v>108490</v>
      </c>
      <c r="T31" s="40"/>
      <c r="U31" s="40"/>
      <c r="V31" s="40"/>
      <c r="W31" s="40"/>
      <c r="X31" s="40"/>
      <c r="Y31" s="334"/>
      <c r="Z31" s="40"/>
      <c r="AA31" s="40"/>
      <c r="AB31" s="40"/>
      <c r="AC31" s="40"/>
      <c r="AD31" s="40"/>
      <c r="AE31" s="40"/>
      <c r="AF31" s="40"/>
      <c r="AG31" s="166"/>
      <c r="AH31" s="40"/>
      <c r="AI31" s="40"/>
      <c r="AJ31" s="40"/>
      <c r="AK31" s="166"/>
      <c r="AL31" s="40"/>
      <c r="AM31" s="40"/>
      <c r="AN31" s="40"/>
      <c r="AO31" s="40"/>
      <c r="AP31" s="40"/>
      <c r="AQ31" s="166"/>
    </row>
    <row r="32" spans="1:43" x14ac:dyDescent="0.3">
      <c r="F32" s="1"/>
      <c r="G32" s="1"/>
      <c r="H32" s="1"/>
      <c r="I32" s="1"/>
      <c r="J32" s="188"/>
      <c r="K32" s="5"/>
      <c r="L32" s="1"/>
      <c r="M32" s="1"/>
      <c r="N32" s="1"/>
      <c r="O32" s="1"/>
      <c r="P32" s="1"/>
      <c r="Q32" s="1"/>
      <c r="R32" s="1"/>
      <c r="Y32" s="188"/>
      <c r="AO32" s="42"/>
      <c r="AP32" s="42"/>
    </row>
    <row r="33" spans="1:76" x14ac:dyDescent="0.3">
      <c r="A33" s="41">
        <v>14</v>
      </c>
      <c r="C33" s="178" t="s">
        <v>228</v>
      </c>
      <c r="F33" s="1"/>
      <c r="G33" s="1"/>
      <c r="H33" s="1"/>
      <c r="I33" s="1"/>
      <c r="J33" s="188"/>
      <c r="K33" s="5"/>
      <c r="L33" s="1"/>
      <c r="M33" s="1"/>
      <c r="N33" s="1"/>
      <c r="O33" s="1"/>
      <c r="P33" s="1"/>
      <c r="Q33" s="1"/>
      <c r="R33" s="1"/>
      <c r="T33" s="42"/>
      <c r="Y33" s="188"/>
    </row>
    <row r="34" spans="1:76" x14ac:dyDescent="0.3">
      <c r="A34" s="41">
        <v>15</v>
      </c>
      <c r="C34" s="178" t="s">
        <v>221</v>
      </c>
      <c r="F34" s="1"/>
      <c r="G34" s="1"/>
      <c r="H34" s="1"/>
      <c r="I34" s="1"/>
      <c r="J34" s="188"/>
      <c r="K34" s="5"/>
      <c r="L34" s="1"/>
      <c r="M34" s="1"/>
      <c r="N34" s="1"/>
      <c r="O34" s="1"/>
      <c r="P34" s="1"/>
      <c r="Q34" s="1"/>
      <c r="R34" s="1"/>
      <c r="T34" s="42"/>
      <c r="Y34" s="188"/>
    </row>
    <row r="35" spans="1:76" x14ac:dyDescent="0.3">
      <c r="A35" s="41">
        <v>16</v>
      </c>
      <c r="C35" s="45" t="s">
        <v>88</v>
      </c>
      <c r="F35" s="184">
        <v>0</v>
      </c>
      <c r="G35" s="1"/>
      <c r="H35" s="184">
        <f>ROUND(F35*616/12,0)</f>
        <v>0</v>
      </c>
      <c r="I35" s="159"/>
      <c r="J35" s="238">
        <v>10.039999999999999</v>
      </c>
      <c r="K35" s="258"/>
      <c r="L35" s="3">
        <f>ROUND((F35*J35),0)</f>
        <v>0</v>
      </c>
      <c r="M35" s="3"/>
      <c r="N35" s="4">
        <f>ROUND((L35/L$45)*100,1)</f>
        <v>0</v>
      </c>
      <c r="O35" s="4"/>
      <c r="P35" s="3">
        <f>ROUND($P$45/$H$45*H35,0)</f>
        <v>0</v>
      </c>
      <c r="Q35" s="3"/>
      <c r="R35" s="3">
        <f>L35+P35</f>
        <v>0</v>
      </c>
      <c r="S35" s="123"/>
      <c r="Y35" s="249">
        <f>J35-AY85</f>
        <v>8.3059599999999989</v>
      </c>
      <c r="AE35" s="44"/>
      <c r="AF35" s="44"/>
      <c r="AG35" s="168"/>
      <c r="AH35" s="44"/>
      <c r="AI35" s="44"/>
      <c r="AJ35" s="44"/>
      <c r="AK35" s="168"/>
      <c r="AL35" s="44"/>
      <c r="AO35" s="44"/>
      <c r="AP35" s="44"/>
      <c r="AQ35" s="168"/>
    </row>
    <row r="36" spans="1:76" x14ac:dyDescent="0.3">
      <c r="A36" s="41">
        <v>17</v>
      </c>
      <c r="C36" s="45" t="s">
        <v>87</v>
      </c>
      <c r="F36" s="184">
        <v>60</v>
      </c>
      <c r="G36" s="1"/>
      <c r="H36" s="184">
        <f>ROUND(F36*786/12,0)</f>
        <v>3930</v>
      </c>
      <c r="I36" s="159"/>
      <c r="J36" s="238">
        <v>12.77</v>
      </c>
      <c r="K36" s="258"/>
      <c r="L36" s="3">
        <f>ROUND((F36*J36),0)</f>
        <v>766</v>
      </c>
      <c r="M36" s="3"/>
      <c r="N36" s="253">
        <f>ROUND((L36/L$45)*100,1)</f>
        <v>0.7</v>
      </c>
      <c r="O36" s="4"/>
      <c r="P36" s="49">
        <f>ROUND($P$45/$H$45*H36,0)</f>
        <v>14</v>
      </c>
      <c r="Q36" s="3"/>
      <c r="R36" s="3">
        <f>L36+P36</f>
        <v>780</v>
      </c>
      <c r="S36" s="123"/>
      <c r="V36" s="44"/>
      <c r="W36" s="44"/>
      <c r="X36" s="44"/>
      <c r="Y36" s="249">
        <f>J36-AY86</f>
        <v>10.557409999999999</v>
      </c>
      <c r="AA36" s="44"/>
      <c r="AB36" s="44"/>
      <c r="AC36" s="44"/>
      <c r="AD36" s="44"/>
      <c r="AE36" s="44"/>
      <c r="AF36" s="44"/>
      <c r="AG36" s="168"/>
      <c r="AH36" s="44"/>
      <c r="AI36" s="44"/>
      <c r="AJ36" s="44"/>
      <c r="AK36" s="168"/>
      <c r="AL36" s="44"/>
      <c r="AM36" s="44"/>
      <c r="AN36" s="44"/>
      <c r="AO36" s="44"/>
      <c r="AP36" s="44"/>
      <c r="AQ36" s="168"/>
      <c r="AS36" s="123"/>
      <c r="AT36" s="123"/>
      <c r="AU36" s="160"/>
      <c r="BX36" s="222"/>
    </row>
    <row r="37" spans="1:76" ht="20.100000000000001" customHeight="1" x14ac:dyDescent="0.3">
      <c r="A37" s="41">
        <v>18</v>
      </c>
      <c r="C37" s="178" t="s">
        <v>229</v>
      </c>
      <c r="F37" s="145">
        <f>SUM(F35:F36)</f>
        <v>60</v>
      </c>
      <c r="G37" s="1"/>
      <c r="H37" s="145">
        <f>SUM(H35:H36)</f>
        <v>3930</v>
      </c>
      <c r="I37" s="3"/>
      <c r="J37" s="5"/>
      <c r="K37" s="5"/>
      <c r="L37" s="145">
        <f>SUM(L35:L36)</f>
        <v>766</v>
      </c>
      <c r="M37" s="3"/>
      <c r="N37" s="211">
        <f>ROUND((L37/L$45)*100,1)</f>
        <v>0.7</v>
      </c>
      <c r="O37" s="6"/>
      <c r="P37" s="145">
        <f>ROUND($P$45/$H$45*H37,0)</f>
        <v>14</v>
      </c>
      <c r="Q37" s="3"/>
      <c r="R37" s="145">
        <f>SUM(R35:R36)</f>
        <v>780</v>
      </c>
      <c r="Y37" s="188"/>
      <c r="AA37" s="44"/>
      <c r="AB37" s="44"/>
      <c r="AC37" s="44"/>
      <c r="AD37" s="44"/>
      <c r="AE37" s="44"/>
      <c r="AF37" s="44"/>
      <c r="AG37" s="168"/>
      <c r="AH37" s="44"/>
      <c r="AI37" s="44"/>
      <c r="AJ37" s="44"/>
      <c r="AK37" s="168"/>
      <c r="AL37" s="44"/>
      <c r="AM37" s="44"/>
      <c r="AN37" s="44"/>
      <c r="AO37" s="44"/>
      <c r="AP37" s="44"/>
      <c r="AQ37" s="168"/>
      <c r="AS37" s="123"/>
      <c r="AT37" s="123"/>
      <c r="AU37" s="235"/>
    </row>
    <row r="38" spans="1:76" ht="20.100000000000001" customHeight="1" x14ac:dyDescent="0.3">
      <c r="A38" s="41">
        <v>19</v>
      </c>
      <c r="C38" s="178" t="s">
        <v>470</v>
      </c>
      <c r="F38" s="145">
        <f>F37+F31</f>
        <v>8073</v>
      </c>
      <c r="G38" s="1"/>
      <c r="H38" s="145">
        <f>H37+H31</f>
        <v>392374</v>
      </c>
      <c r="I38" s="3"/>
      <c r="J38" s="5"/>
      <c r="K38" s="5"/>
      <c r="L38" s="145">
        <f>L37+L31</f>
        <v>107902</v>
      </c>
      <c r="M38" s="3"/>
      <c r="N38" s="211">
        <f>ROUND((L38/L$45)*100,1)</f>
        <v>98.6</v>
      </c>
      <c r="O38" s="6"/>
      <c r="P38" s="145">
        <f>P37+P31</f>
        <v>1368</v>
      </c>
      <c r="Q38" s="3"/>
      <c r="R38" s="145">
        <f>R37+R31</f>
        <v>109270</v>
      </c>
      <c r="Y38" s="188"/>
      <c r="AA38" s="44"/>
      <c r="AB38" s="44"/>
      <c r="AC38" s="44"/>
      <c r="AD38" s="44"/>
      <c r="AE38" s="44"/>
      <c r="AF38" s="44"/>
      <c r="AG38" s="168"/>
      <c r="AH38" s="44"/>
      <c r="AI38" s="44"/>
      <c r="AJ38" s="44"/>
      <c r="AK38" s="168"/>
      <c r="AL38" s="44"/>
      <c r="AM38" s="44"/>
      <c r="AN38" s="44"/>
      <c r="AO38" s="44"/>
      <c r="AP38" s="44"/>
      <c r="AQ38" s="168"/>
      <c r="AS38" s="123"/>
      <c r="AT38" s="123"/>
      <c r="AU38" s="235"/>
    </row>
    <row r="39" spans="1:76" ht="15.75" customHeight="1" x14ac:dyDescent="0.3">
      <c r="C39" s="178"/>
      <c r="F39" s="3"/>
      <c r="G39" s="1"/>
      <c r="H39" s="3"/>
      <c r="I39" s="3"/>
      <c r="J39" s="5"/>
      <c r="K39" s="5"/>
      <c r="L39" s="3"/>
      <c r="M39" s="3"/>
      <c r="N39" s="4"/>
      <c r="O39" s="6"/>
      <c r="P39" s="3"/>
      <c r="Q39" s="3"/>
      <c r="R39" s="3"/>
      <c r="Y39" s="188"/>
      <c r="AA39" s="44"/>
      <c r="AB39" s="44"/>
      <c r="AC39" s="44"/>
      <c r="AD39" s="44"/>
      <c r="AE39" s="44"/>
      <c r="AF39" s="44"/>
      <c r="AG39" s="168"/>
      <c r="AH39" s="44"/>
      <c r="AI39" s="44"/>
      <c r="AJ39" s="44"/>
      <c r="AK39" s="168"/>
      <c r="AL39" s="44"/>
      <c r="AM39" s="44"/>
      <c r="AN39" s="44"/>
      <c r="AO39" s="44"/>
      <c r="AP39" s="44"/>
      <c r="AQ39" s="168"/>
      <c r="AS39" s="123"/>
      <c r="AT39" s="123"/>
      <c r="AU39" s="235"/>
    </row>
    <row r="40" spans="1:76" ht="15.75" customHeight="1" x14ac:dyDescent="0.3">
      <c r="A40" s="41">
        <v>20</v>
      </c>
      <c r="C40" s="132" t="s">
        <v>469</v>
      </c>
      <c r="F40" s="3"/>
      <c r="G40" s="1"/>
      <c r="H40" s="3"/>
      <c r="I40" s="3"/>
      <c r="J40" s="5"/>
      <c r="K40" s="5"/>
      <c r="L40" s="3"/>
      <c r="M40" s="3"/>
      <c r="N40" s="4"/>
      <c r="O40" s="6"/>
      <c r="P40" s="3"/>
      <c r="Q40" s="3"/>
      <c r="R40" s="3"/>
      <c r="Y40" s="188"/>
      <c r="AA40" s="44"/>
      <c r="AB40" s="44"/>
      <c r="AC40" s="44"/>
      <c r="AD40" s="44"/>
      <c r="AE40" s="44"/>
      <c r="AF40" s="44"/>
      <c r="AG40" s="168"/>
      <c r="AH40" s="44"/>
      <c r="AI40" s="44"/>
      <c r="AJ40" s="44"/>
      <c r="AK40" s="168"/>
      <c r="AL40" s="44"/>
      <c r="AM40" s="44"/>
      <c r="AN40" s="44"/>
      <c r="AO40" s="44"/>
      <c r="AP40" s="44"/>
      <c r="AQ40" s="168"/>
      <c r="AS40" s="123"/>
      <c r="AT40" s="123"/>
      <c r="AU40" s="235"/>
    </row>
    <row r="41" spans="1:76" ht="15.75" customHeight="1" x14ac:dyDescent="0.3">
      <c r="A41" s="41">
        <v>21</v>
      </c>
      <c r="C41" s="192" t="str">
        <f>ESM_Name</f>
        <v>ENVIRONMENTAL SURCHARGE MECHANISM RIDER (ESM)</v>
      </c>
      <c r="F41" s="3"/>
      <c r="G41" s="1"/>
      <c r="H41" s="3"/>
      <c r="I41" s="3"/>
      <c r="J41" s="318">
        <f>PRO_ESM_NONRES</f>
        <v>5.7995821086186533E-3</v>
      </c>
      <c r="K41" s="5"/>
      <c r="L41" s="3">
        <f>ROUND((R38-(PRO_BASE_FUEL*H38)+R42)*J41,0)</f>
        <v>562</v>
      </c>
      <c r="M41" s="3"/>
      <c r="N41" s="4">
        <f>ROUND((L41/L$45)*100,1)</f>
        <v>0.5</v>
      </c>
      <c r="O41" s="6"/>
      <c r="P41" s="3"/>
      <c r="Q41" s="3"/>
      <c r="R41" s="3">
        <f>L41+P41</f>
        <v>562</v>
      </c>
      <c r="Y41" s="188"/>
      <c r="AA41" s="44"/>
      <c r="AB41" s="44"/>
      <c r="AC41" s="44"/>
      <c r="AD41" s="44"/>
      <c r="AE41" s="44"/>
      <c r="AF41" s="44"/>
      <c r="AG41" s="168"/>
      <c r="AH41" s="44"/>
      <c r="AI41" s="44"/>
      <c r="AJ41" s="44"/>
      <c r="AK41" s="168"/>
      <c r="AL41" s="44"/>
      <c r="AM41" s="44"/>
      <c r="AN41" s="44"/>
      <c r="AO41" s="44"/>
      <c r="AP41" s="44"/>
      <c r="AQ41" s="168"/>
      <c r="AS41" s="123"/>
      <c r="AT41" s="123"/>
      <c r="AU41" s="235"/>
    </row>
    <row r="42" spans="1:76" ht="15.75" customHeight="1" x14ac:dyDescent="0.3">
      <c r="A42" s="41">
        <v>22</v>
      </c>
      <c r="C42" s="192" t="str">
        <f>PSM_Name</f>
        <v>PROFIT SHARING MECHANISM (PSM)</v>
      </c>
      <c r="F42" s="3"/>
      <c r="G42" s="1"/>
      <c r="H42" s="3"/>
      <c r="I42" s="3"/>
      <c r="J42" s="217">
        <f>PRO_PSM</f>
        <v>2.4750000000000002E-3</v>
      </c>
      <c r="K42" s="5"/>
      <c r="L42" s="49">
        <f>ROUND($H$38*J42,0)</f>
        <v>971</v>
      </c>
      <c r="M42" s="3"/>
      <c r="N42" s="177">
        <f>ROUND((L42/L$45)*100,1)</f>
        <v>0.9</v>
      </c>
      <c r="O42" s="6"/>
      <c r="P42" s="49"/>
      <c r="Q42" s="3"/>
      <c r="R42" s="49">
        <f>L42+P42</f>
        <v>971</v>
      </c>
      <c r="Y42" s="188"/>
      <c r="AA42" s="44"/>
      <c r="AB42" s="44"/>
      <c r="AC42" s="44"/>
      <c r="AD42" s="44"/>
      <c r="AE42" s="44"/>
      <c r="AF42" s="44"/>
      <c r="AG42" s="168"/>
      <c r="AH42" s="44"/>
      <c r="AI42" s="44"/>
      <c r="AJ42" s="44"/>
      <c r="AK42" s="168"/>
      <c r="AL42" s="44"/>
      <c r="AM42" s="44"/>
      <c r="AN42" s="44"/>
      <c r="AO42" s="44"/>
      <c r="AP42" s="44"/>
      <c r="AQ42" s="168"/>
      <c r="AS42" s="123"/>
      <c r="AT42" s="123"/>
      <c r="AU42" s="235"/>
    </row>
    <row r="43" spans="1:76" ht="20.100000000000001" customHeight="1" x14ac:dyDescent="0.3">
      <c r="A43" s="41">
        <v>23</v>
      </c>
      <c r="C43" s="132" t="s">
        <v>465</v>
      </c>
      <c r="F43" s="49"/>
      <c r="G43" s="1"/>
      <c r="H43" s="49"/>
      <c r="I43" s="3"/>
      <c r="J43" s="5"/>
      <c r="K43" s="5"/>
      <c r="L43" s="145">
        <f>SUM(L41:L42)</f>
        <v>1533</v>
      </c>
      <c r="M43" s="3"/>
      <c r="N43" s="180">
        <f>ROUND((L43/L$45)*100,1)</f>
        <v>1.4</v>
      </c>
      <c r="O43" s="6"/>
      <c r="P43" s="145"/>
      <c r="Q43" s="3"/>
      <c r="R43" s="145">
        <f>SUM(R41:R42)</f>
        <v>1533</v>
      </c>
      <c r="Y43" s="188"/>
      <c r="AA43" s="44"/>
      <c r="AB43" s="44"/>
      <c r="AC43" s="44"/>
      <c r="AD43" s="44"/>
      <c r="AE43" s="44"/>
      <c r="AF43" s="44"/>
      <c r="AG43" s="168"/>
      <c r="AH43" s="44"/>
      <c r="AI43" s="44"/>
      <c r="AJ43" s="44"/>
      <c r="AK43" s="168"/>
      <c r="AL43" s="44"/>
      <c r="AM43" s="44"/>
      <c r="AN43" s="44"/>
      <c r="AO43" s="44"/>
      <c r="AP43" s="44"/>
      <c r="AQ43" s="168"/>
      <c r="AS43" s="123"/>
      <c r="AT43" s="123"/>
      <c r="AU43" s="235"/>
    </row>
    <row r="44" spans="1:76" ht="15.75" customHeight="1" x14ac:dyDescent="0.3">
      <c r="C44" s="178"/>
      <c r="F44" s="3"/>
      <c r="G44" s="1"/>
      <c r="H44" s="3"/>
      <c r="I44" s="3"/>
      <c r="J44" s="5"/>
      <c r="K44" s="5"/>
      <c r="L44" s="3"/>
      <c r="M44" s="3"/>
      <c r="N44" s="4"/>
      <c r="O44" s="6"/>
      <c r="P44" s="3"/>
      <c r="Q44" s="3"/>
      <c r="R44" s="3"/>
      <c r="V44" s="251"/>
      <c r="Y44" s="188"/>
      <c r="AA44" s="44"/>
      <c r="AB44" s="44"/>
      <c r="AC44" s="44"/>
      <c r="AD44" s="44"/>
      <c r="AE44" s="44"/>
      <c r="AF44" s="44"/>
      <c r="AG44" s="168"/>
      <c r="AH44" s="44"/>
      <c r="AI44" s="44"/>
      <c r="AJ44" s="44"/>
      <c r="AK44" s="168"/>
      <c r="AL44" s="44"/>
      <c r="AM44" s="44"/>
      <c r="AN44" s="44"/>
      <c r="AO44" s="44"/>
      <c r="AP44" s="44"/>
      <c r="AQ44" s="168"/>
      <c r="AS44" s="123"/>
      <c r="AT44" s="123"/>
      <c r="AU44" s="235"/>
    </row>
    <row r="45" spans="1:76" ht="20.100000000000001" customHeight="1" thickBot="1" x14ac:dyDescent="0.35">
      <c r="A45" s="41">
        <v>24</v>
      </c>
      <c r="C45" s="132" t="s">
        <v>471</v>
      </c>
      <c r="F45" s="151">
        <f>F31+F37</f>
        <v>8073</v>
      </c>
      <c r="G45" s="1"/>
      <c r="H45" s="151">
        <f>H31+H37</f>
        <v>392374</v>
      </c>
      <c r="I45" s="3"/>
      <c r="J45" s="5"/>
      <c r="K45" s="5"/>
      <c r="L45" s="151">
        <f>L43+L38</f>
        <v>109435</v>
      </c>
      <c r="M45" s="3"/>
      <c r="N45" s="218">
        <v>100</v>
      </c>
      <c r="O45" s="4"/>
      <c r="P45" s="151">
        <f>ROUND(H45*CUR_FAC,0)</f>
        <v>1368</v>
      </c>
      <c r="Q45" s="159"/>
      <c r="R45" s="151">
        <f>R43+R38</f>
        <v>110803</v>
      </c>
      <c r="Y45" s="188"/>
      <c r="AS45" s="123"/>
      <c r="AT45" s="123"/>
      <c r="AU45" s="160"/>
    </row>
    <row r="46" spans="1:76" ht="16.2" thickTop="1" x14ac:dyDescent="0.3"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Y46" s="123"/>
      <c r="AO46" s="123"/>
      <c r="AP46" s="123"/>
      <c r="AS46" s="123"/>
      <c r="AT46" s="123"/>
      <c r="AU46" s="160"/>
    </row>
    <row r="47" spans="1:76" x14ac:dyDescent="0.3">
      <c r="C47" s="202" t="s">
        <v>76</v>
      </c>
      <c r="V47" s="42"/>
      <c r="Y47" s="123"/>
      <c r="AA47" s="123"/>
      <c r="AB47" s="123"/>
      <c r="AC47" s="193"/>
      <c r="AD47" s="193"/>
      <c r="AE47" s="123"/>
      <c r="AF47" s="123"/>
      <c r="AH47" s="160"/>
      <c r="AI47" s="123"/>
      <c r="AJ47" s="123"/>
      <c r="AL47" s="236"/>
      <c r="AM47" s="123"/>
      <c r="AN47" s="123"/>
      <c r="AO47" s="123"/>
      <c r="AP47" s="123"/>
      <c r="AR47" s="123"/>
      <c r="AS47" s="123"/>
      <c r="AT47" s="123"/>
      <c r="AU47" s="160"/>
    </row>
    <row r="48" spans="1:76" x14ac:dyDescent="0.3">
      <c r="C48" s="202" t="str">
        <f>"(2) REFLECTS FUEL COMPONENT OF "&amp;TEXT(PRO_FAC,"$0.000000;($0.000000)")&amp;" PER KWH."</f>
        <v>(2) REFLECTS FUEL COMPONENT OF $0.003487 PER KWH.</v>
      </c>
      <c r="V48" s="42"/>
      <c r="Y48" s="123"/>
      <c r="AA48" s="123"/>
      <c r="AB48" s="123"/>
      <c r="AC48" s="193"/>
      <c r="AD48" s="193"/>
      <c r="AE48" s="123"/>
      <c r="AF48" s="123"/>
      <c r="AH48" s="160"/>
      <c r="AI48" s="123"/>
      <c r="AJ48" s="123"/>
      <c r="AL48" s="236"/>
      <c r="AM48" s="123"/>
      <c r="AN48" s="123"/>
      <c r="AO48" s="123"/>
      <c r="AP48" s="123"/>
      <c r="AR48" s="123"/>
      <c r="AS48" s="123"/>
      <c r="AT48" s="123"/>
      <c r="AU48" s="160"/>
    </row>
    <row r="49" spans="1:47" x14ac:dyDescent="0.3">
      <c r="A49" s="42"/>
      <c r="C49" s="202" t="str">
        <f>"(3) REFLECTS FUEL COST RECOVERY INCLUDED IN BASE RATES OF "&amp;TEXT(PRO_BASE_FUEL,"$0.000000;($0.000000)")&amp;"  PER KWH."</f>
        <v>(3) REFLECTS FUEL COST RECOVERY INCLUDED IN BASE RATES OF $0.033780  PER KWH.</v>
      </c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166"/>
      <c r="AH49" s="40"/>
      <c r="AI49" s="40"/>
      <c r="AJ49" s="40"/>
      <c r="AK49" s="166"/>
      <c r="AR49" s="123"/>
      <c r="AS49" s="123"/>
      <c r="AT49" s="123"/>
      <c r="AU49" s="160"/>
    </row>
    <row r="50" spans="1:47" x14ac:dyDescent="0.3">
      <c r="H50" s="42"/>
      <c r="I50" s="42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166"/>
      <c r="AH50" s="40"/>
      <c r="AI50" s="40"/>
      <c r="AJ50" s="40"/>
      <c r="AK50" s="166"/>
      <c r="AR50" s="123"/>
    </row>
    <row r="51" spans="1:47" x14ac:dyDescent="0.3">
      <c r="L51" s="42"/>
      <c r="M51" s="42"/>
      <c r="T51" s="40" t="str">
        <f>NAME</f>
        <v>DUKE ENERGY KENTUCKY, INC.</v>
      </c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166"/>
      <c r="AH51" s="40"/>
      <c r="AI51" s="40"/>
      <c r="AJ51" s="40"/>
      <c r="AK51" s="166"/>
      <c r="AL51" s="40"/>
      <c r="AM51" s="40"/>
      <c r="AN51" s="40"/>
      <c r="AO51" s="40"/>
      <c r="AP51" s="40"/>
      <c r="AQ51" s="166"/>
      <c r="AR51" s="184"/>
    </row>
    <row r="52" spans="1:47" x14ac:dyDescent="0.3">
      <c r="F52" s="123"/>
      <c r="H52" s="123"/>
      <c r="I52" s="123"/>
      <c r="J52" s="188"/>
      <c r="K52" s="188"/>
      <c r="L52" s="210"/>
      <c r="M52" s="326"/>
      <c r="N52" s="160"/>
      <c r="O52" s="160"/>
      <c r="P52" s="123"/>
      <c r="Q52" s="123"/>
      <c r="R52" s="123"/>
      <c r="T52" s="40" t="str">
        <f>CASE_NO</f>
        <v>CASE NO.   2024-00354</v>
      </c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166"/>
      <c r="AH52" s="40"/>
      <c r="AI52" s="40"/>
      <c r="AJ52" s="40"/>
      <c r="AK52" s="166"/>
      <c r="AL52" s="40"/>
      <c r="AM52" s="40"/>
      <c r="AN52" s="40"/>
      <c r="AO52" s="40"/>
      <c r="AP52" s="40"/>
      <c r="AQ52" s="166"/>
      <c r="AR52" s="184"/>
    </row>
    <row r="53" spans="1:47" x14ac:dyDescent="0.3"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210"/>
      <c r="T53" s="40" t="str">
        <f>TITLE</f>
        <v>ANNUALIZED TEST YEAR REVENUES AT REHEARING ORDER CALCULATED VS. MOST CURRENT RATES</v>
      </c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166"/>
      <c r="AH53" s="40"/>
      <c r="AI53" s="40"/>
      <c r="AJ53" s="40"/>
      <c r="AK53" s="166"/>
      <c r="AL53" s="40"/>
      <c r="AM53" s="40"/>
      <c r="AN53" s="40"/>
      <c r="AO53" s="40"/>
      <c r="AP53" s="40"/>
      <c r="AQ53" s="166"/>
      <c r="AR53" s="184"/>
    </row>
    <row r="54" spans="1:47" x14ac:dyDescent="0.3"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T54" s="40" t="str">
        <f>DATE</f>
        <v>FOR THE TWELVE MONTHS ENDED June 30, 2026</v>
      </c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166"/>
      <c r="AH54" s="40"/>
      <c r="AI54" s="40"/>
      <c r="AJ54" s="40"/>
      <c r="AK54" s="166"/>
      <c r="AL54" s="40"/>
      <c r="AM54" s="40"/>
      <c r="AN54" s="40"/>
      <c r="AO54" s="40"/>
      <c r="AP54" s="40"/>
      <c r="AQ54" s="166"/>
      <c r="AR54" s="123"/>
    </row>
    <row r="55" spans="1:47" x14ac:dyDescent="0.3">
      <c r="A55" s="42"/>
      <c r="R55" s="42"/>
      <c r="T55" s="40" t="str">
        <f>SERVICE</f>
        <v>(ELECTRIC SERVICE)</v>
      </c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166"/>
      <c r="AH55" s="40"/>
      <c r="AI55" s="40"/>
      <c r="AJ55" s="40"/>
      <c r="AK55" s="166"/>
      <c r="AL55" s="40"/>
      <c r="AM55" s="40"/>
      <c r="AN55" s="40"/>
      <c r="AO55" s="40"/>
      <c r="AP55" s="40"/>
      <c r="AQ55" s="166"/>
      <c r="AR55" s="123"/>
    </row>
    <row r="56" spans="1:47" x14ac:dyDescent="0.3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T56" s="41" t="str">
        <f>DATA_PERIOD</f>
        <v>DATA: ____ BASE PERIOD   __X__FORECASTED PERIOD</v>
      </c>
      <c r="AO56" s="42" t="s">
        <v>158</v>
      </c>
      <c r="AQ56" s="206"/>
    </row>
    <row r="57" spans="1:47" x14ac:dyDescent="0.3">
      <c r="L57" s="44"/>
      <c r="M57" s="44"/>
      <c r="N57" s="44"/>
      <c r="O57" s="44"/>
      <c r="R57" s="44"/>
      <c r="T57" s="41" t="str">
        <f>TYPE</f>
        <v>TYPE OF FILING: _X_ ORIGINAL   ___UPDATED  ___ REVISED</v>
      </c>
      <c r="AO57" s="45" t="str">
        <f>"PAGE 17 OF "&amp;TEXT(Page_Num_2.2,"00")</f>
        <v>PAGE 17 OF 24</v>
      </c>
      <c r="AQ57" s="206"/>
    </row>
    <row r="58" spans="1:47" x14ac:dyDescent="0.3">
      <c r="C58" s="44"/>
      <c r="D58" s="44"/>
      <c r="E58" s="44"/>
      <c r="F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T58" s="42" t="s">
        <v>171</v>
      </c>
      <c r="AO58" s="42" t="s">
        <v>3</v>
      </c>
      <c r="AQ58" s="206"/>
    </row>
    <row r="59" spans="1:47" x14ac:dyDescent="0.3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T59" s="153" t="str">
        <f>TIME</f>
        <v>12 Months Projected with Riders</v>
      </c>
      <c r="AG59" s="206"/>
      <c r="AO59" s="41" t="str">
        <f>WIT</f>
        <v>B. L. Sailers</v>
      </c>
    </row>
    <row r="60" spans="1:47" x14ac:dyDescent="0.3"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T60" s="40" t="s">
        <v>131</v>
      </c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166"/>
      <c r="AH60" s="40"/>
      <c r="AI60" s="40"/>
      <c r="AJ60" s="40"/>
      <c r="AK60" s="166"/>
      <c r="AL60" s="40"/>
      <c r="AM60" s="40"/>
      <c r="AN60" s="40"/>
      <c r="AO60" s="40"/>
      <c r="AP60" s="40"/>
      <c r="AQ60" s="166"/>
    </row>
    <row r="61" spans="1:47" x14ac:dyDescent="0.3">
      <c r="C61" s="42"/>
      <c r="D61" s="42"/>
      <c r="E61" s="42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43"/>
      <c r="AF61" s="43"/>
      <c r="AG61" s="167"/>
      <c r="AH61" s="43"/>
      <c r="AI61" s="43"/>
      <c r="AJ61" s="43"/>
      <c r="AK61" s="167"/>
      <c r="AL61" s="43"/>
      <c r="AM61" s="43"/>
      <c r="AN61" s="135"/>
      <c r="AO61" s="135"/>
      <c r="AP61" s="135"/>
      <c r="AQ61" s="207"/>
    </row>
    <row r="62" spans="1:47" ht="18" customHeight="1" x14ac:dyDescent="0.3">
      <c r="C62" s="42"/>
      <c r="T62" s="191"/>
      <c r="U62" s="191"/>
      <c r="V62" s="191"/>
      <c r="W62" s="191"/>
      <c r="X62" s="191"/>
      <c r="Y62" s="191"/>
      <c r="Z62" s="191"/>
      <c r="AA62" s="191"/>
      <c r="AB62" s="191"/>
      <c r="AC62" s="191"/>
      <c r="AD62" s="191"/>
      <c r="AE62" s="44" t="s">
        <v>8</v>
      </c>
      <c r="AF62" s="44"/>
      <c r="AG62" s="168" t="s">
        <v>7</v>
      </c>
      <c r="AH62" s="44"/>
      <c r="AI62" s="44" t="s">
        <v>9</v>
      </c>
      <c r="AJ62" s="44"/>
      <c r="AK62" s="168" t="s">
        <v>10</v>
      </c>
      <c r="AL62" s="44"/>
      <c r="AN62" s="191"/>
      <c r="AO62" s="272" t="s">
        <v>8</v>
      </c>
      <c r="AP62" s="272"/>
      <c r="AQ62" s="273" t="s">
        <v>11</v>
      </c>
    </row>
    <row r="63" spans="1:47" x14ac:dyDescent="0.3">
      <c r="AC63" s="44" t="s">
        <v>14</v>
      </c>
      <c r="AD63" s="44"/>
      <c r="AE63" s="44" t="s">
        <v>12</v>
      </c>
      <c r="AF63" s="44"/>
      <c r="AG63" s="168" t="s">
        <v>13</v>
      </c>
      <c r="AH63" s="44"/>
      <c r="AI63" s="44" t="s">
        <v>15</v>
      </c>
      <c r="AJ63" s="44"/>
      <c r="AK63" s="168" t="s">
        <v>16</v>
      </c>
      <c r="AL63" s="44"/>
      <c r="AO63" s="44" t="s">
        <v>11</v>
      </c>
      <c r="AP63" s="44"/>
      <c r="AQ63" s="168" t="s">
        <v>9</v>
      </c>
    </row>
    <row r="64" spans="1:47" x14ac:dyDescent="0.3">
      <c r="C64" s="42"/>
      <c r="F64" s="184"/>
      <c r="H64" s="184"/>
      <c r="I64" s="184"/>
      <c r="J64" s="193"/>
      <c r="K64" s="193"/>
      <c r="L64" s="123"/>
      <c r="M64" s="123"/>
      <c r="N64" s="160"/>
      <c r="O64" s="160"/>
      <c r="R64" s="123"/>
      <c r="T64" s="44" t="s">
        <v>17</v>
      </c>
      <c r="V64" s="44" t="s">
        <v>18</v>
      </c>
      <c r="W64" s="44" t="s">
        <v>19</v>
      </c>
      <c r="X64" s="44"/>
      <c r="Y64" s="44" t="s">
        <v>20</v>
      </c>
      <c r="AC64" s="44" t="s">
        <v>8</v>
      </c>
      <c r="AD64" s="44"/>
      <c r="AE64" s="44" t="s">
        <v>842</v>
      </c>
      <c r="AF64" s="44"/>
      <c r="AG64" s="168" t="s">
        <v>842</v>
      </c>
      <c r="AH64" s="44"/>
      <c r="AI64" s="46" t="s">
        <v>965</v>
      </c>
      <c r="AJ64" s="44"/>
      <c r="AK64" s="169" t="s">
        <v>965</v>
      </c>
      <c r="AL64" s="44"/>
      <c r="AM64" s="44" t="s">
        <v>842</v>
      </c>
      <c r="AN64" s="44"/>
      <c r="AO64" s="44" t="s">
        <v>9</v>
      </c>
      <c r="AP64" s="44"/>
      <c r="AQ64" s="168" t="s">
        <v>21</v>
      </c>
    </row>
    <row r="65" spans="3:51" x14ac:dyDescent="0.3">
      <c r="C65" s="42"/>
      <c r="F65" s="184"/>
      <c r="H65" s="184"/>
      <c r="I65" s="184"/>
      <c r="J65" s="193"/>
      <c r="K65" s="193"/>
      <c r="L65" s="123"/>
      <c r="M65" s="123"/>
      <c r="N65" s="160"/>
      <c r="O65" s="160"/>
      <c r="R65" s="123"/>
      <c r="T65" s="44" t="s">
        <v>22</v>
      </c>
      <c r="V65" s="44" t="s">
        <v>23</v>
      </c>
      <c r="W65" s="44" t="s">
        <v>24</v>
      </c>
      <c r="X65" s="44"/>
      <c r="Y65" s="44" t="s">
        <v>25</v>
      </c>
      <c r="AA65" s="44" t="s">
        <v>26</v>
      </c>
      <c r="AB65" s="44"/>
      <c r="AC65" s="46" t="s">
        <v>325</v>
      </c>
      <c r="AD65" s="44"/>
      <c r="AE65" s="44" t="s">
        <v>9</v>
      </c>
      <c r="AF65" s="44"/>
      <c r="AG65" s="168" t="s">
        <v>9</v>
      </c>
      <c r="AH65" s="44"/>
      <c r="AI65" s="141" t="s">
        <v>29</v>
      </c>
      <c r="AJ65" s="141"/>
      <c r="AK65" s="170" t="s">
        <v>30</v>
      </c>
      <c r="AL65" s="44"/>
      <c r="AM65" s="44" t="s">
        <v>324</v>
      </c>
      <c r="AN65" s="44"/>
      <c r="AO65" s="141" t="s">
        <v>31</v>
      </c>
      <c r="AP65" s="141"/>
      <c r="AQ65" s="170" t="s">
        <v>32</v>
      </c>
      <c r="AX65" s="41" t="s">
        <v>301</v>
      </c>
      <c r="AY65" s="41" t="s">
        <v>302</v>
      </c>
    </row>
    <row r="66" spans="3:51" x14ac:dyDescent="0.3">
      <c r="C66" s="42"/>
      <c r="F66" s="184"/>
      <c r="H66" s="184"/>
      <c r="I66" s="184"/>
      <c r="J66" s="193"/>
      <c r="K66" s="193"/>
      <c r="L66" s="123"/>
      <c r="M66" s="123"/>
      <c r="N66" s="160"/>
      <c r="O66" s="160"/>
      <c r="R66" s="123"/>
      <c r="V66" s="141" t="s">
        <v>33</v>
      </c>
      <c r="W66" s="141" t="s">
        <v>34</v>
      </c>
      <c r="X66" s="141"/>
      <c r="Y66" s="141" t="s">
        <v>35</v>
      </c>
      <c r="Z66" s="153"/>
      <c r="AA66" s="141" t="s">
        <v>36</v>
      </c>
      <c r="AB66" s="141"/>
      <c r="AC66" s="141" t="s">
        <v>42</v>
      </c>
      <c r="AD66" s="141"/>
      <c r="AE66" s="141" t="s">
        <v>43</v>
      </c>
      <c r="AF66" s="141"/>
      <c r="AG66" s="170" t="s">
        <v>44</v>
      </c>
      <c r="AH66" s="141"/>
      <c r="AI66" s="141" t="s">
        <v>45</v>
      </c>
      <c r="AJ66" s="141"/>
      <c r="AK66" s="170" t="s">
        <v>46</v>
      </c>
      <c r="AL66" s="141"/>
      <c r="AM66" s="141" t="s">
        <v>40</v>
      </c>
      <c r="AN66" s="141"/>
      <c r="AO66" s="141" t="s">
        <v>47</v>
      </c>
      <c r="AP66" s="141"/>
      <c r="AQ66" s="170" t="s">
        <v>48</v>
      </c>
      <c r="AU66" s="44" t="s">
        <v>405</v>
      </c>
      <c r="AW66" s="41" t="s">
        <v>300</v>
      </c>
      <c r="AX66" s="41" t="s">
        <v>299</v>
      </c>
      <c r="AY66" s="41" t="s">
        <v>299</v>
      </c>
    </row>
    <row r="67" spans="3:51" ht="17.100000000000001" customHeight="1" x14ac:dyDescent="0.3">
      <c r="F67" s="210"/>
      <c r="H67" s="123"/>
      <c r="I67" s="123"/>
      <c r="J67" s="213"/>
      <c r="K67" s="213"/>
      <c r="L67" s="210"/>
      <c r="M67" s="210"/>
      <c r="N67" s="210"/>
      <c r="O67" s="210"/>
      <c r="P67" s="210"/>
      <c r="Q67" s="210"/>
      <c r="R67" s="210"/>
      <c r="T67" s="191"/>
      <c r="U67" s="191"/>
      <c r="V67" s="191"/>
      <c r="W67" s="191"/>
      <c r="X67" s="191"/>
      <c r="Y67" s="191"/>
      <c r="Z67" s="191"/>
      <c r="AA67" s="271" t="s">
        <v>49</v>
      </c>
      <c r="AB67" s="271"/>
      <c r="AC67" s="270" t="s">
        <v>69</v>
      </c>
      <c r="AD67" s="271"/>
      <c r="AE67" s="271" t="s">
        <v>50</v>
      </c>
      <c r="AF67" s="271"/>
      <c r="AG67" s="274" t="s">
        <v>51</v>
      </c>
      <c r="AH67" s="271"/>
      <c r="AI67" s="271" t="s">
        <v>50</v>
      </c>
      <c r="AJ67" s="271"/>
      <c r="AK67" s="274" t="s">
        <v>51</v>
      </c>
      <c r="AL67" s="271"/>
      <c r="AM67" s="271" t="s">
        <v>50</v>
      </c>
      <c r="AN67" s="271"/>
      <c r="AO67" s="271" t="s">
        <v>50</v>
      </c>
      <c r="AP67" s="271"/>
      <c r="AQ67" s="274" t="s">
        <v>51</v>
      </c>
      <c r="AU67" s="44" t="s">
        <v>406</v>
      </c>
    </row>
    <row r="68" spans="3:51" x14ac:dyDescent="0.3">
      <c r="C68" s="42"/>
      <c r="F68" s="123"/>
      <c r="H68" s="123"/>
      <c r="I68" s="123"/>
      <c r="J68" s="213"/>
      <c r="K68" s="213"/>
      <c r="L68" s="123"/>
      <c r="M68" s="123"/>
      <c r="N68" s="160"/>
      <c r="O68" s="160"/>
      <c r="P68" s="123"/>
      <c r="Q68" s="123"/>
      <c r="R68" s="123"/>
      <c r="T68" s="41">
        <v>1</v>
      </c>
      <c r="V68" s="132" t="s">
        <v>86</v>
      </c>
      <c r="W68" s="178" t="s">
        <v>219</v>
      </c>
      <c r="X68" s="42"/>
      <c r="Y68" s="1"/>
      <c r="Z68" s="1"/>
      <c r="AA68" s="1"/>
      <c r="AB68" s="1"/>
      <c r="AC68" s="1"/>
      <c r="AD68" s="1"/>
      <c r="AE68" s="1"/>
      <c r="AF68" s="1"/>
      <c r="AG68" s="175"/>
      <c r="AH68" s="1"/>
      <c r="AI68" s="1"/>
      <c r="AJ68" s="1"/>
      <c r="AK68" s="175"/>
      <c r="AL68" s="1"/>
      <c r="AM68" s="1"/>
      <c r="AN68" s="1"/>
      <c r="AO68" s="1"/>
      <c r="AP68" s="1"/>
      <c r="AQ68" s="175"/>
      <c r="AU68" s="44" t="s">
        <v>407</v>
      </c>
    </row>
    <row r="69" spans="3:51" x14ac:dyDescent="0.3">
      <c r="C69" s="42"/>
      <c r="F69" s="184"/>
      <c r="H69" s="184"/>
      <c r="I69" s="184"/>
      <c r="J69" s="237"/>
      <c r="K69" s="237"/>
      <c r="L69" s="123"/>
      <c r="M69" s="123"/>
      <c r="N69" s="160"/>
      <c r="O69" s="160"/>
      <c r="P69" s="123"/>
      <c r="Q69" s="123"/>
      <c r="R69" s="123"/>
      <c r="S69" s="123"/>
      <c r="Y69" s="1"/>
      <c r="Z69" s="1"/>
      <c r="AA69" s="1"/>
      <c r="AB69" s="1"/>
      <c r="AC69" s="1"/>
      <c r="AD69" s="1"/>
      <c r="AE69" s="1"/>
      <c r="AF69" s="1"/>
      <c r="AG69" s="175"/>
      <c r="AH69" s="1"/>
      <c r="AI69" s="1"/>
      <c r="AJ69" s="1"/>
      <c r="AK69" s="175"/>
      <c r="AL69" s="1"/>
      <c r="AM69" s="1"/>
      <c r="AN69" s="1"/>
      <c r="AO69" s="1"/>
      <c r="AP69" s="1"/>
      <c r="AQ69" s="175"/>
    </row>
    <row r="70" spans="3:51" x14ac:dyDescent="0.3">
      <c r="C70" s="42"/>
      <c r="F70" s="184"/>
      <c r="H70" s="184"/>
      <c r="I70" s="184"/>
      <c r="J70" s="193"/>
      <c r="K70" s="193"/>
      <c r="L70" s="123"/>
      <c r="M70" s="123"/>
      <c r="N70" s="160"/>
      <c r="O70" s="160"/>
      <c r="P70" s="123"/>
      <c r="Q70" s="123"/>
      <c r="R70" s="123"/>
      <c r="T70" s="41">
        <v>2</v>
      </c>
      <c r="V70" s="178" t="s">
        <v>220</v>
      </c>
      <c r="Y70" s="1"/>
      <c r="Z70" s="1"/>
      <c r="AA70" s="1"/>
      <c r="AB70" s="1"/>
      <c r="AC70" s="1"/>
      <c r="AD70" s="1"/>
      <c r="AE70" s="1"/>
      <c r="AF70" s="1"/>
      <c r="AG70" s="175"/>
      <c r="AH70" s="1"/>
      <c r="AI70" s="1"/>
      <c r="AJ70" s="1"/>
      <c r="AK70" s="175"/>
      <c r="AL70" s="1"/>
      <c r="AM70" s="1"/>
      <c r="AN70" s="1"/>
      <c r="AO70" s="1"/>
      <c r="AP70" s="1"/>
      <c r="AQ70" s="175"/>
    </row>
    <row r="71" spans="3:51" x14ac:dyDescent="0.3">
      <c r="C71" s="42"/>
      <c r="F71" s="184"/>
      <c r="H71" s="184"/>
      <c r="I71" s="184"/>
      <c r="J71" s="193"/>
      <c r="K71" s="193"/>
      <c r="L71" s="123"/>
      <c r="M71" s="123"/>
      <c r="N71" s="160"/>
      <c r="O71" s="160"/>
      <c r="P71" s="123"/>
      <c r="Q71" s="123"/>
      <c r="R71" s="123"/>
      <c r="T71" s="41">
        <v>3</v>
      </c>
      <c r="V71" s="178" t="s">
        <v>221</v>
      </c>
      <c r="Y71" s="1"/>
      <c r="Z71" s="1"/>
      <c r="AA71" s="1"/>
      <c r="AB71" s="1"/>
      <c r="AC71" s="1"/>
      <c r="AD71" s="1"/>
      <c r="AE71" s="1"/>
      <c r="AF71" s="1"/>
      <c r="AG71" s="175"/>
      <c r="AH71" s="1"/>
      <c r="AI71" s="1"/>
      <c r="AJ71" s="1"/>
      <c r="AK71" s="175"/>
      <c r="AL71" s="1"/>
      <c r="AM71" s="1"/>
      <c r="AN71" s="1"/>
      <c r="AO71" s="1"/>
      <c r="AP71" s="1"/>
      <c r="AQ71" s="175"/>
    </row>
    <row r="72" spans="3:51" x14ac:dyDescent="0.3">
      <c r="C72" s="42"/>
      <c r="F72" s="123"/>
      <c r="H72" s="123"/>
      <c r="I72" s="123"/>
      <c r="J72" s="213"/>
      <c r="K72" s="213"/>
      <c r="L72" s="123"/>
      <c r="M72" s="123"/>
      <c r="N72" s="160"/>
      <c r="O72" s="160"/>
      <c r="P72" s="123"/>
      <c r="Q72" s="123"/>
      <c r="R72" s="123"/>
      <c r="T72" s="41">
        <v>4</v>
      </c>
      <c r="V72" s="45" t="s">
        <v>88</v>
      </c>
      <c r="Y72" s="3">
        <f>F22</f>
        <v>0</v>
      </c>
      <c r="Z72" s="3"/>
      <c r="AA72" s="3">
        <f>H22</f>
        <v>0</v>
      </c>
      <c r="AB72" s="3"/>
      <c r="AC72" s="238">
        <v>14.51</v>
      </c>
      <c r="AD72" s="258"/>
      <c r="AE72" s="3">
        <f>ROUND((Y72*AC72),0)</f>
        <v>0</v>
      </c>
      <c r="AF72" s="3"/>
      <c r="AG72" s="175">
        <f>ROUND((AE72/AE$95)*100,1)</f>
        <v>0</v>
      </c>
      <c r="AH72" s="4"/>
      <c r="AI72" s="3">
        <f>L22-AE72</f>
        <v>0</v>
      </c>
      <c r="AJ72" s="3"/>
      <c r="AK72" s="175">
        <v>0</v>
      </c>
      <c r="AL72" s="6"/>
      <c r="AM72" s="3">
        <f>ROUND($AM$95/$AA$95*AA72,0)</f>
        <v>0</v>
      </c>
      <c r="AN72" s="3"/>
      <c r="AO72" s="3">
        <f>AE72+AM72</f>
        <v>0</v>
      </c>
      <c r="AP72" s="3"/>
      <c r="AQ72" s="175">
        <v>0</v>
      </c>
      <c r="AU72" s="188">
        <f>AC72-AX72</f>
        <v>12.78</v>
      </c>
      <c r="AW72" s="184">
        <v>616</v>
      </c>
      <c r="AX72" s="41">
        <f>ROUND((AW72/12)*CUR_BASE_FUEL,2)</f>
        <v>1.73</v>
      </c>
      <c r="AY72" s="41">
        <f>ROUND((AW72/12)*PRO_BASE_FUEL,2)</f>
        <v>1.73</v>
      </c>
    </row>
    <row r="73" spans="3:51" x14ac:dyDescent="0.3">
      <c r="C73" s="42"/>
      <c r="F73" s="123"/>
      <c r="H73" s="123"/>
      <c r="I73" s="123"/>
      <c r="J73" s="213"/>
      <c r="K73" s="213"/>
      <c r="L73" s="123"/>
      <c r="M73" s="123"/>
      <c r="N73" s="123"/>
      <c r="O73" s="123"/>
      <c r="P73" s="123"/>
      <c r="Q73" s="123"/>
      <c r="R73" s="123"/>
      <c r="T73" s="41">
        <v>5</v>
      </c>
      <c r="V73" s="45" t="s">
        <v>87</v>
      </c>
      <c r="Y73" s="3">
        <f>F23</f>
        <v>139</v>
      </c>
      <c r="Z73" s="3"/>
      <c r="AA73" s="3">
        <f>H23</f>
        <v>9105</v>
      </c>
      <c r="AB73" s="3"/>
      <c r="AC73" s="188">
        <v>11.56</v>
      </c>
      <c r="AD73" s="5"/>
      <c r="AE73" s="3">
        <f>ROUND((Y73*AC73),0)</f>
        <v>1607</v>
      </c>
      <c r="AF73" s="3"/>
      <c r="AG73" s="175">
        <f>ROUND((AE73/AE$95)*100,1)</f>
        <v>1.7</v>
      </c>
      <c r="AH73" s="4"/>
      <c r="AI73" s="3">
        <f>L23-AE73</f>
        <v>229</v>
      </c>
      <c r="AJ73" s="3"/>
      <c r="AK73" s="175">
        <v>0</v>
      </c>
      <c r="AL73" s="6"/>
      <c r="AM73" s="3">
        <f>ROUND($AM$95/$AA$95*AA73,0)</f>
        <v>32</v>
      </c>
      <c r="AN73" s="3"/>
      <c r="AO73" s="3">
        <f>AE73+AM73</f>
        <v>1639</v>
      </c>
      <c r="AP73" s="3"/>
      <c r="AQ73" s="175">
        <v>0</v>
      </c>
      <c r="AU73" s="188">
        <f>AC73-AX73</f>
        <v>9.3500000000000014</v>
      </c>
      <c r="AW73" s="123">
        <v>786</v>
      </c>
      <c r="AX73" s="41">
        <f>ROUND((AW73/12)*CUR_BASE_FUEL,2)</f>
        <v>2.21</v>
      </c>
      <c r="AY73" s="41">
        <f>ROUND((AW73/12)*PRO_BASE_FUEL,2)</f>
        <v>2.21</v>
      </c>
    </row>
    <row r="74" spans="3:51" x14ac:dyDescent="0.3">
      <c r="C74" s="42"/>
      <c r="F74" s="123"/>
      <c r="H74" s="184"/>
      <c r="I74" s="184"/>
      <c r="J74" s="238"/>
      <c r="K74" s="238"/>
      <c r="L74" s="123"/>
      <c r="M74" s="123"/>
      <c r="N74" s="160"/>
      <c r="O74" s="160"/>
      <c r="P74" s="123"/>
      <c r="Q74" s="123"/>
      <c r="R74" s="123"/>
      <c r="T74" s="41">
        <v>6</v>
      </c>
      <c r="V74" s="178" t="s">
        <v>222</v>
      </c>
      <c r="Y74" s="3"/>
      <c r="Z74" s="3"/>
      <c r="AA74" s="3"/>
      <c r="AB74" s="3"/>
      <c r="AC74" s="188"/>
      <c r="AD74" s="5"/>
      <c r="AE74" s="3"/>
      <c r="AF74" s="3"/>
      <c r="AG74" s="175"/>
      <c r="AH74" s="4"/>
      <c r="AI74" s="3"/>
      <c r="AJ74" s="3"/>
      <c r="AK74" s="175"/>
      <c r="AL74" s="6"/>
      <c r="AM74" s="3"/>
      <c r="AN74" s="3"/>
      <c r="AO74" s="3"/>
      <c r="AP74" s="3"/>
      <c r="AQ74" s="175"/>
      <c r="AW74" s="123"/>
    </row>
    <row r="75" spans="3:51" x14ac:dyDescent="0.3">
      <c r="F75" s="123"/>
      <c r="H75" s="123"/>
      <c r="I75" s="123"/>
      <c r="J75" s="213"/>
      <c r="K75" s="213"/>
      <c r="L75" s="210"/>
      <c r="M75" s="210"/>
      <c r="N75" s="210"/>
      <c r="O75" s="210"/>
      <c r="P75" s="210"/>
      <c r="Q75" s="210"/>
      <c r="R75" s="210"/>
      <c r="T75" s="41">
        <v>7</v>
      </c>
      <c r="V75" s="45" t="s">
        <v>223</v>
      </c>
      <c r="Y75" s="3"/>
      <c r="Z75" s="1"/>
      <c r="AA75" s="1"/>
      <c r="AB75" s="1"/>
      <c r="AC75" s="188"/>
      <c r="AD75" s="5"/>
      <c r="AE75" s="1"/>
      <c r="AF75" s="1"/>
      <c r="AG75" s="175"/>
      <c r="AH75" s="1"/>
      <c r="AI75" s="1"/>
      <c r="AJ75" s="1"/>
      <c r="AK75" s="175"/>
      <c r="AL75" s="1"/>
      <c r="AM75" s="1"/>
      <c r="AN75" s="1"/>
      <c r="AO75" s="1"/>
      <c r="AP75" s="1"/>
      <c r="AQ75" s="175"/>
      <c r="AW75" s="123"/>
    </row>
    <row r="76" spans="3:51" x14ac:dyDescent="0.3">
      <c r="C76" s="42"/>
      <c r="F76" s="123"/>
      <c r="H76" s="123"/>
      <c r="I76" s="123"/>
      <c r="J76" s="219"/>
      <c r="K76" s="219"/>
      <c r="L76" s="123"/>
      <c r="M76" s="123"/>
      <c r="N76" s="160"/>
      <c r="O76" s="160"/>
      <c r="P76" s="123"/>
      <c r="Q76" s="123"/>
      <c r="R76" s="123"/>
      <c r="T76" s="41">
        <v>8</v>
      </c>
      <c r="V76" s="45" t="s">
        <v>224</v>
      </c>
      <c r="Y76" s="3">
        <f>F26</f>
        <v>348</v>
      </c>
      <c r="Z76" s="3"/>
      <c r="AA76" s="3">
        <f>H26</f>
        <v>35235</v>
      </c>
      <c r="AB76" s="3"/>
      <c r="AC76" s="238">
        <v>26.51</v>
      </c>
      <c r="AD76" s="258"/>
      <c r="AE76" s="3">
        <f>ROUND((Y76*AC76),0)</f>
        <v>9225</v>
      </c>
      <c r="AF76" s="3"/>
      <c r="AG76" s="175">
        <f>ROUND((AE76/AE$95)*100,1)</f>
        <v>9.6</v>
      </c>
      <c r="AH76" s="4"/>
      <c r="AI76" s="3">
        <f>L26-AE76</f>
        <v>1316</v>
      </c>
      <c r="AJ76" s="3"/>
      <c r="AK76" s="175">
        <f>ROUND((AI76/AE76)*100,1)</f>
        <v>14.3</v>
      </c>
      <c r="AL76" s="6"/>
      <c r="AM76" s="3">
        <f>ROUND($AM$95/$AA$95*AA76,0)</f>
        <v>123</v>
      </c>
      <c r="AN76" s="3"/>
      <c r="AO76" s="3">
        <f>AE76+AM76</f>
        <v>9348</v>
      </c>
      <c r="AP76" s="3"/>
      <c r="AQ76" s="175">
        <f>ROUND((AI76/AO76)*100,1)</f>
        <v>14.1</v>
      </c>
      <c r="AU76" s="188">
        <f>AC76-AX76</f>
        <v>23.090000000000003</v>
      </c>
      <c r="AW76" s="184">
        <v>1215</v>
      </c>
      <c r="AX76" s="41">
        <f>ROUND((AW76/12)*CUR_BASE_FUEL,2)</f>
        <v>3.42</v>
      </c>
      <c r="AY76" s="41">
        <f>ROUND((AW76/12)*PRO_BASE_FUEL,2)</f>
        <v>3.42</v>
      </c>
    </row>
    <row r="77" spans="3:51" x14ac:dyDescent="0.3">
      <c r="C77" s="42"/>
      <c r="F77" s="123"/>
      <c r="H77" s="123"/>
      <c r="I77" s="123"/>
      <c r="J77" s="219"/>
      <c r="K77" s="219"/>
      <c r="L77" s="123"/>
      <c r="M77" s="123"/>
      <c r="N77" s="160"/>
      <c r="O77" s="160"/>
      <c r="P77" s="123"/>
      <c r="Q77" s="123"/>
      <c r="R77" s="123"/>
      <c r="T77" s="41">
        <v>9</v>
      </c>
      <c r="V77" s="178" t="s">
        <v>225</v>
      </c>
      <c r="Y77" s="3"/>
      <c r="Z77" s="3"/>
      <c r="AA77" s="3"/>
      <c r="AB77" s="3"/>
      <c r="AC77" s="188"/>
      <c r="AD77" s="5"/>
      <c r="AE77" s="1"/>
      <c r="AF77" s="1"/>
      <c r="AG77" s="175"/>
      <c r="AH77" s="4"/>
      <c r="AI77" s="3"/>
      <c r="AJ77" s="3"/>
      <c r="AK77" s="175"/>
      <c r="AL77" s="6"/>
      <c r="AM77" s="3"/>
      <c r="AN77" s="3"/>
      <c r="AO77" s="3"/>
      <c r="AP77" s="3"/>
      <c r="AQ77" s="175"/>
      <c r="AW77" s="184"/>
    </row>
    <row r="78" spans="3:51" x14ac:dyDescent="0.3">
      <c r="C78" s="42"/>
      <c r="F78" s="123"/>
      <c r="H78" s="184"/>
      <c r="I78" s="184"/>
      <c r="J78" s="227"/>
      <c r="K78" s="227"/>
      <c r="L78" s="123"/>
      <c r="M78" s="123"/>
      <c r="N78" s="160"/>
      <c r="O78" s="160"/>
      <c r="P78" s="123"/>
      <c r="Q78" s="123"/>
      <c r="R78" s="123"/>
      <c r="T78" s="41">
        <v>10</v>
      </c>
      <c r="V78" s="42" t="s">
        <v>226</v>
      </c>
      <c r="Y78" s="3">
        <f>F28</f>
        <v>372</v>
      </c>
      <c r="Z78" s="3"/>
      <c r="AA78" s="3">
        <f>H28</f>
        <v>24366</v>
      </c>
      <c r="AB78" s="3"/>
      <c r="AC78" s="238">
        <v>11.46</v>
      </c>
      <c r="AD78" s="258"/>
      <c r="AE78" s="3">
        <f>ROUND((Y78*AC78),0)</f>
        <v>4263</v>
      </c>
      <c r="AF78" s="3"/>
      <c r="AG78" s="175">
        <f>ROUND((AE78/AE$95)*100,1)</f>
        <v>4.4000000000000004</v>
      </c>
      <c r="AH78" s="4"/>
      <c r="AI78" s="3">
        <f>L28-AE78</f>
        <v>606</v>
      </c>
      <c r="AJ78" s="3"/>
      <c r="AK78" s="175">
        <f>ROUND((AI78/AE78)*100,1)</f>
        <v>14.2</v>
      </c>
      <c r="AL78" s="6"/>
      <c r="AM78" s="3">
        <f>ROUND($AM$95/$AA$95*AA78,0)</f>
        <v>85</v>
      </c>
      <c r="AN78" s="3"/>
      <c r="AO78" s="3">
        <f>AE78+AM78</f>
        <v>4348</v>
      </c>
      <c r="AP78" s="3"/>
      <c r="AQ78" s="175">
        <f>ROUND((AI78/AO78)*100,1)</f>
        <v>13.9</v>
      </c>
      <c r="AU78" s="188">
        <f>AC78-AX78</f>
        <v>9.25</v>
      </c>
      <c r="AW78" s="123">
        <v>786</v>
      </c>
      <c r="AX78" s="41">
        <f>ROUND((AW78/12)*CUR_BASE_FUEL,2)</f>
        <v>2.21</v>
      </c>
      <c r="AY78" s="41">
        <f>ROUND((AW78/12)*PRO_BASE_FUEL,2)</f>
        <v>2.21</v>
      </c>
    </row>
    <row r="79" spans="3:51" x14ac:dyDescent="0.3">
      <c r="F79" s="210"/>
      <c r="H79" s="210"/>
      <c r="I79" s="210"/>
      <c r="J79" s="213"/>
      <c r="K79" s="213"/>
      <c r="L79" s="210"/>
      <c r="M79" s="210"/>
      <c r="N79" s="210"/>
      <c r="O79" s="210"/>
      <c r="P79" s="210"/>
      <c r="Q79" s="210"/>
      <c r="R79" s="210"/>
      <c r="T79" s="41">
        <v>11</v>
      </c>
      <c r="V79" s="42" t="s">
        <v>227</v>
      </c>
      <c r="Y79" s="3">
        <f>F29</f>
        <v>6746</v>
      </c>
      <c r="Z79" s="3"/>
      <c r="AA79" s="3">
        <f>H29</f>
        <v>254662</v>
      </c>
      <c r="AB79" s="3"/>
      <c r="AC79" s="188">
        <v>10.58</v>
      </c>
      <c r="AD79" s="5"/>
      <c r="AE79" s="3">
        <f>ROUND((Y79*AC79),0)</f>
        <v>71373</v>
      </c>
      <c r="AF79" s="3"/>
      <c r="AG79" s="175">
        <f>ROUND((AE79/AE$95)*100,1)-0.1</f>
        <v>74.300000000000011</v>
      </c>
      <c r="AH79" s="4"/>
      <c r="AI79" s="3">
        <f>L29-AE79</f>
        <v>10186</v>
      </c>
      <c r="AJ79" s="3"/>
      <c r="AK79" s="175">
        <f>ROUND((AI79/AE79)*100,1)</f>
        <v>14.3</v>
      </c>
      <c r="AL79" s="6"/>
      <c r="AM79" s="3">
        <f>ROUND($AM$95/$AA$95*AA79,0)-1</f>
        <v>887</v>
      </c>
      <c r="AN79" s="3"/>
      <c r="AO79" s="3">
        <f>AE79+AM79</f>
        <v>72260</v>
      </c>
      <c r="AP79" s="3"/>
      <c r="AQ79" s="175">
        <f>ROUND((AI79/AO79)*100,1)</f>
        <v>14.1</v>
      </c>
      <c r="AU79" s="188">
        <f>AC79-AX79</f>
        <v>9.3000000000000007</v>
      </c>
      <c r="AW79" s="123">
        <v>453</v>
      </c>
      <c r="AX79" s="41">
        <f>ROUND((AW79/12)*CUR_BASE_FUEL,2)</f>
        <v>1.28</v>
      </c>
      <c r="AY79" s="41">
        <f>ROUND((AW79/12)*PRO_BASE_FUEL,2)</f>
        <v>1.28</v>
      </c>
    </row>
    <row r="80" spans="3:51" x14ac:dyDescent="0.3">
      <c r="F80" s="210"/>
      <c r="H80" s="210"/>
      <c r="I80" s="210"/>
      <c r="J80" s="213"/>
      <c r="K80" s="213"/>
      <c r="L80" s="210"/>
      <c r="M80" s="210"/>
      <c r="N80" s="210"/>
      <c r="O80" s="210"/>
      <c r="P80" s="210"/>
      <c r="Q80" s="210"/>
      <c r="R80" s="210"/>
      <c r="S80" s="123"/>
      <c r="T80" s="41">
        <v>12</v>
      </c>
      <c r="V80" s="45" t="s">
        <v>218</v>
      </c>
      <c r="Y80" s="3">
        <f>F30</f>
        <v>408</v>
      </c>
      <c r="Z80" s="1"/>
      <c r="AA80" s="3">
        <f>H30</f>
        <v>65076</v>
      </c>
      <c r="AB80" s="1"/>
      <c r="AC80" s="188">
        <v>17.87</v>
      </c>
      <c r="AD80" s="5"/>
      <c r="AE80" s="3">
        <f>ROUND((Y80*AC80),0)</f>
        <v>7291</v>
      </c>
      <c r="AF80" s="1"/>
      <c r="AG80" s="175">
        <f>ROUND((AE80/AE$95)*100,1)</f>
        <v>7.6</v>
      </c>
      <c r="AH80" s="1"/>
      <c r="AI80" s="3">
        <f>L30-AE80</f>
        <v>1040</v>
      </c>
      <c r="AJ80" s="1"/>
      <c r="AK80" s="177">
        <f>ROUND((AI80/AE80)*100,1)</f>
        <v>14.3</v>
      </c>
      <c r="AL80" s="1"/>
      <c r="AM80" s="49">
        <f>ROUND($AM$95/$AA$95*AA80,0)</f>
        <v>227</v>
      </c>
      <c r="AN80" s="1"/>
      <c r="AO80" s="3">
        <f>AE80+AM80</f>
        <v>7518</v>
      </c>
      <c r="AP80" s="1"/>
      <c r="AQ80" s="177">
        <f>ROUND((AI80/AO80)*100,1)</f>
        <v>13.8</v>
      </c>
      <c r="AU80" s="188">
        <f>AC80-AX80</f>
        <v>12.48</v>
      </c>
      <c r="AW80" s="123">
        <v>1914</v>
      </c>
      <c r="AX80" s="41">
        <f>ROUND((AW80/12)*CUR_BASE_FUEL,2)</f>
        <v>5.39</v>
      </c>
      <c r="AY80" s="41">
        <f>ROUND((AW80/12)*PRO_BASE_FUEL,2)</f>
        <v>5.39</v>
      </c>
    </row>
    <row r="81" spans="3:51" ht="20.100000000000001" customHeight="1" x14ac:dyDescent="0.3">
      <c r="C81" s="42"/>
      <c r="F81" s="184"/>
      <c r="H81" s="184"/>
      <c r="I81" s="184"/>
      <c r="J81" s="193"/>
      <c r="K81" s="193"/>
      <c r="L81" s="123"/>
      <c r="M81" s="123"/>
      <c r="N81" s="160"/>
      <c r="O81" s="160"/>
      <c r="R81" s="123"/>
      <c r="T81" s="41">
        <v>13</v>
      </c>
      <c r="V81" s="132" t="s">
        <v>90</v>
      </c>
      <c r="Y81" s="145">
        <f>SUM(Y72:Y80)</f>
        <v>8013</v>
      </c>
      <c r="Z81" s="1"/>
      <c r="AA81" s="145">
        <f>SUM(AA72:AA80)</f>
        <v>388444</v>
      </c>
      <c r="AB81" s="3"/>
      <c r="AC81" s="188"/>
      <c r="AD81" s="5"/>
      <c r="AE81" s="145">
        <f>SUM(AE72:AE80)</f>
        <v>93759</v>
      </c>
      <c r="AF81" s="3"/>
      <c r="AG81" s="180">
        <f>SUM(AG72:AG80)</f>
        <v>97.600000000000009</v>
      </c>
      <c r="AH81" s="6"/>
      <c r="AI81" s="145">
        <f>SUM(AI72:AI80)</f>
        <v>13377</v>
      </c>
      <c r="AJ81" s="3"/>
      <c r="AK81" s="177">
        <f>ROUND((AI81/AE81)*100,1)</f>
        <v>14.3</v>
      </c>
      <c r="AL81" s="6"/>
      <c r="AM81" s="145">
        <f>ROUND($AM$95/$AA$95*AA81,0)</f>
        <v>1354</v>
      </c>
      <c r="AN81" s="3"/>
      <c r="AO81" s="145">
        <f>AE81+AM81</f>
        <v>95113</v>
      </c>
      <c r="AP81" s="3"/>
      <c r="AQ81" s="177">
        <f>ROUND((AI81/AO81)*100,1)</f>
        <v>14.1</v>
      </c>
      <c r="AW81" s="123"/>
    </row>
    <row r="82" spans="3:51" x14ac:dyDescent="0.3">
      <c r="F82" s="210"/>
      <c r="H82" s="123"/>
      <c r="I82" s="123"/>
      <c r="J82" s="213"/>
      <c r="K82" s="213"/>
      <c r="L82" s="210"/>
      <c r="M82" s="210"/>
      <c r="N82" s="210"/>
      <c r="O82" s="210"/>
      <c r="P82" s="210"/>
      <c r="Q82" s="210"/>
      <c r="R82" s="210"/>
      <c r="Y82" s="1"/>
      <c r="Z82" s="1"/>
      <c r="AA82" s="1"/>
      <c r="AB82" s="1"/>
      <c r="AC82" s="188"/>
      <c r="AD82" s="5"/>
      <c r="AE82" s="1"/>
      <c r="AF82" s="1"/>
      <c r="AG82" s="175"/>
      <c r="AH82" s="1"/>
      <c r="AI82" s="1"/>
      <c r="AJ82" s="1"/>
      <c r="AK82" s="175"/>
      <c r="AL82" s="1"/>
      <c r="AM82" s="1"/>
      <c r="AN82" s="1"/>
      <c r="AO82" s="1"/>
      <c r="AP82" s="1"/>
      <c r="AQ82" s="175"/>
    </row>
    <row r="83" spans="3:51" x14ac:dyDescent="0.3">
      <c r="F83" s="210"/>
      <c r="H83" s="123"/>
      <c r="I83" s="123"/>
      <c r="J83" s="213"/>
      <c r="K83" s="213"/>
      <c r="L83" s="210"/>
      <c r="M83" s="210"/>
      <c r="N83" s="210"/>
      <c r="O83" s="210"/>
      <c r="P83" s="210"/>
      <c r="Q83" s="210"/>
      <c r="R83" s="210"/>
      <c r="T83" s="41">
        <v>14</v>
      </c>
      <c r="V83" s="178" t="s">
        <v>228</v>
      </c>
      <c r="Y83" s="1"/>
      <c r="Z83" s="1"/>
      <c r="AA83" s="1"/>
      <c r="AB83" s="1"/>
      <c r="AC83" s="188"/>
      <c r="AD83" s="5"/>
      <c r="AE83" s="1"/>
      <c r="AF83" s="1"/>
      <c r="AG83" s="175"/>
      <c r="AH83" s="1"/>
      <c r="AI83" s="1"/>
      <c r="AJ83" s="1"/>
      <c r="AK83" s="175"/>
      <c r="AL83" s="1"/>
      <c r="AM83" s="1"/>
      <c r="AN83" s="1"/>
      <c r="AO83" s="1"/>
      <c r="AP83" s="1"/>
      <c r="AQ83" s="175"/>
    </row>
    <row r="84" spans="3:51" x14ac:dyDescent="0.3">
      <c r="F84" s="210"/>
      <c r="H84" s="123"/>
      <c r="I84" s="123"/>
      <c r="J84" s="213"/>
      <c r="K84" s="213"/>
      <c r="L84" s="210"/>
      <c r="M84" s="210"/>
      <c r="N84" s="210"/>
      <c r="O84" s="210"/>
      <c r="P84" s="210"/>
      <c r="Q84" s="210"/>
      <c r="R84" s="210"/>
      <c r="T84" s="41">
        <v>15</v>
      </c>
      <c r="V84" s="178" t="s">
        <v>221</v>
      </c>
      <c r="Y84" s="1"/>
      <c r="Z84" s="1"/>
      <c r="AA84" s="1"/>
      <c r="AB84" s="1"/>
      <c r="AC84" s="188"/>
      <c r="AD84" s="5"/>
      <c r="AE84" s="1"/>
      <c r="AF84" s="1"/>
      <c r="AG84" s="175"/>
      <c r="AH84" s="1"/>
      <c r="AI84" s="1"/>
      <c r="AJ84" s="1"/>
      <c r="AK84" s="175"/>
      <c r="AL84" s="1"/>
      <c r="AM84" s="1"/>
      <c r="AN84" s="1"/>
      <c r="AO84" s="1"/>
      <c r="AP84" s="1"/>
      <c r="AQ84" s="175"/>
    </row>
    <row r="85" spans="3:51" x14ac:dyDescent="0.3">
      <c r="F85" s="210"/>
      <c r="H85" s="123"/>
      <c r="I85" s="123"/>
      <c r="J85" s="213"/>
      <c r="K85" s="213"/>
      <c r="L85" s="210"/>
      <c r="M85" s="210"/>
      <c r="N85" s="210"/>
      <c r="O85" s="210"/>
      <c r="P85" s="210"/>
      <c r="Q85" s="210"/>
      <c r="R85" s="210"/>
      <c r="T85" s="41">
        <v>16</v>
      </c>
      <c r="V85" s="45" t="s">
        <v>88</v>
      </c>
      <c r="Y85" s="3">
        <f>F35</f>
        <v>0</v>
      </c>
      <c r="Z85" s="1"/>
      <c r="AA85" s="3">
        <f>H35</f>
        <v>0</v>
      </c>
      <c r="AB85" s="1"/>
      <c r="AC85" s="188">
        <v>8.7899999999999991</v>
      </c>
      <c r="AD85" s="5"/>
      <c r="AE85" s="3">
        <f>ROUND((Y85*AC85),0)</f>
        <v>0</v>
      </c>
      <c r="AF85" s="1"/>
      <c r="AG85" s="175">
        <f>ROUND((AE85/AE$95)*100,1)</f>
        <v>0</v>
      </c>
      <c r="AH85" s="1"/>
      <c r="AI85" s="3">
        <f>L35-AE85</f>
        <v>0</v>
      </c>
      <c r="AJ85" s="1"/>
      <c r="AK85" s="175">
        <v>0</v>
      </c>
      <c r="AL85" s="1"/>
      <c r="AM85" s="3">
        <f>ROUND($AM$95/$AA$95*AA85,0)</f>
        <v>0</v>
      </c>
      <c r="AN85" s="1"/>
      <c r="AO85" s="3">
        <f>AE85+AM85</f>
        <v>0</v>
      </c>
      <c r="AP85" s="1"/>
      <c r="AQ85" s="175">
        <v>0</v>
      </c>
      <c r="AU85" s="188">
        <f>AC85-AX85</f>
        <v>7.0559599999999989</v>
      </c>
      <c r="AW85" s="184">
        <v>616</v>
      </c>
      <c r="AX85" s="41">
        <f>ROUND((AW85/12)*CUR_BASE_FUEL,6)</f>
        <v>1.73404</v>
      </c>
      <c r="AY85" s="41">
        <f>ROUND((AW85/12)*PRO_BASE_FUEL,6)</f>
        <v>1.73404</v>
      </c>
    </row>
    <row r="86" spans="3:51" x14ac:dyDescent="0.3">
      <c r="C86" s="42"/>
      <c r="F86" s="184"/>
      <c r="H86" s="184"/>
      <c r="I86" s="184"/>
      <c r="J86" s="237"/>
      <c r="K86" s="237"/>
      <c r="L86" s="123"/>
      <c r="M86" s="123"/>
      <c r="N86" s="160"/>
      <c r="O86" s="160"/>
      <c r="P86" s="123"/>
      <c r="Q86" s="123"/>
      <c r="R86" s="123"/>
      <c r="S86" s="123"/>
      <c r="T86" s="41">
        <v>17</v>
      </c>
      <c r="V86" s="45" t="s">
        <v>87</v>
      </c>
      <c r="Y86" s="3">
        <f>F36</f>
        <v>60</v>
      </c>
      <c r="Z86" s="1"/>
      <c r="AA86" s="3">
        <f>H36</f>
        <v>3930</v>
      </c>
      <c r="AB86" s="1"/>
      <c r="AC86" s="188">
        <v>11.18</v>
      </c>
      <c r="AD86" s="5"/>
      <c r="AE86" s="3">
        <f>ROUND((Y86*AC86),0)</f>
        <v>671</v>
      </c>
      <c r="AF86" s="1"/>
      <c r="AG86" s="177">
        <f>ROUND((AE86/AE$95)*100,1)</f>
        <v>0.7</v>
      </c>
      <c r="AH86" s="1"/>
      <c r="AI86" s="3">
        <f>L36-AE86</f>
        <v>95</v>
      </c>
      <c r="AJ86" s="1"/>
      <c r="AK86" s="177">
        <v>0</v>
      </c>
      <c r="AL86" s="1"/>
      <c r="AM86" s="49">
        <f>ROUND($AM$95/$AA$95*AA86,0)</f>
        <v>14</v>
      </c>
      <c r="AN86" s="1"/>
      <c r="AO86" s="3">
        <f>AE86+AM86</f>
        <v>685</v>
      </c>
      <c r="AP86" s="1"/>
      <c r="AQ86" s="177">
        <v>0</v>
      </c>
      <c r="AU86" s="188">
        <f>AC86-AX86</f>
        <v>8.9674099999999992</v>
      </c>
      <c r="AW86" s="184">
        <v>786</v>
      </c>
      <c r="AX86" s="41">
        <f>ROUND((AW86/12)*CUR_BASE_FUEL,6)</f>
        <v>2.2125900000000001</v>
      </c>
      <c r="AY86" s="41">
        <f>ROUND((AW86/12)*PRO_BASE_FUEL,6)</f>
        <v>2.2125900000000001</v>
      </c>
    </row>
    <row r="87" spans="3:51" ht="20.100000000000001" customHeight="1" x14ac:dyDescent="0.3">
      <c r="C87" s="42"/>
      <c r="F87" s="184"/>
      <c r="H87" s="184"/>
      <c r="I87" s="184"/>
      <c r="J87" s="193"/>
      <c r="K87" s="193"/>
      <c r="L87" s="123"/>
      <c r="M87" s="123"/>
      <c r="N87" s="160"/>
      <c r="O87" s="160"/>
      <c r="P87" s="123"/>
      <c r="Q87" s="123"/>
      <c r="R87" s="123"/>
      <c r="T87" s="41">
        <v>18</v>
      </c>
      <c r="V87" s="178" t="s">
        <v>229</v>
      </c>
      <c r="Y87" s="145">
        <f>SUM(Y85:Y86)</f>
        <v>60</v>
      </c>
      <c r="Z87" s="1"/>
      <c r="AA87" s="145">
        <f>SUM(AA85:AA86)</f>
        <v>3930</v>
      </c>
      <c r="AB87" s="3"/>
      <c r="AC87" s="258"/>
      <c r="AD87" s="258"/>
      <c r="AE87" s="145">
        <f>SUM(AE85:AE86)</f>
        <v>671</v>
      </c>
      <c r="AF87" s="3"/>
      <c r="AG87" s="175">
        <f>ROUND((AE87/AE$95)*100,1)</f>
        <v>0.7</v>
      </c>
      <c r="AH87" s="4"/>
      <c r="AI87" s="145">
        <f>SUM(AI85:AI86)</f>
        <v>95</v>
      </c>
      <c r="AJ87" s="3"/>
      <c r="AK87" s="177">
        <f>ROUND((AI87/AE87)*100,1)</f>
        <v>14.2</v>
      </c>
      <c r="AL87" s="6"/>
      <c r="AM87" s="145">
        <f>ROUND($AM$95/$AA$95*AA87,0)</f>
        <v>14</v>
      </c>
      <c r="AN87" s="3"/>
      <c r="AO87" s="145">
        <f>SUM(AO85:AO86)</f>
        <v>685</v>
      </c>
      <c r="AP87" s="3"/>
      <c r="AQ87" s="177">
        <f>ROUND((AI87/AO87)*100,1)</f>
        <v>13.9</v>
      </c>
      <c r="AW87" s="3"/>
    </row>
    <row r="88" spans="3:51" ht="20.100000000000001" customHeight="1" x14ac:dyDescent="0.3">
      <c r="C88" s="42"/>
      <c r="F88" s="184"/>
      <c r="H88" s="184"/>
      <c r="I88" s="184"/>
      <c r="J88" s="193"/>
      <c r="K88" s="193"/>
      <c r="L88" s="123"/>
      <c r="M88" s="123"/>
      <c r="N88" s="160"/>
      <c r="O88" s="160"/>
      <c r="P88" s="123"/>
      <c r="Q88" s="123"/>
      <c r="R88" s="123"/>
      <c r="T88" s="41">
        <v>19</v>
      </c>
      <c r="V88" s="178" t="s">
        <v>470</v>
      </c>
      <c r="Y88" s="145">
        <f>Y87+Y81</f>
        <v>8073</v>
      </c>
      <c r="Z88" s="1"/>
      <c r="AA88" s="145">
        <f>AA87+AA81</f>
        <v>392374</v>
      </c>
      <c r="AB88" s="3"/>
      <c r="AC88" s="258"/>
      <c r="AD88" s="258"/>
      <c r="AE88" s="145">
        <f>AE87+AE81</f>
        <v>94430</v>
      </c>
      <c r="AF88" s="3"/>
      <c r="AG88" s="180">
        <f>ROUND((AE88/AE$95)*100,1)</f>
        <v>98.4</v>
      </c>
      <c r="AH88" s="4"/>
      <c r="AI88" s="145">
        <f>AI87+AI81</f>
        <v>13472</v>
      </c>
      <c r="AJ88" s="3"/>
      <c r="AK88" s="180">
        <f>ROUND((AI88/AE88)*100,1)</f>
        <v>14.3</v>
      </c>
      <c r="AL88" s="6"/>
      <c r="AM88" s="145">
        <f>AM87+AM81</f>
        <v>1368</v>
      </c>
      <c r="AN88" s="3"/>
      <c r="AO88" s="145">
        <f>AO87+AO81</f>
        <v>95798</v>
      </c>
      <c r="AP88" s="3"/>
      <c r="AQ88" s="177">
        <f>ROUND((AI88/AO88)*100,1)</f>
        <v>14.1</v>
      </c>
      <c r="AW88" s="3"/>
    </row>
    <row r="89" spans="3:51" ht="15.75" customHeight="1" x14ac:dyDescent="0.3">
      <c r="C89" s="42"/>
      <c r="F89" s="184"/>
      <c r="H89" s="184"/>
      <c r="I89" s="184"/>
      <c r="J89" s="193"/>
      <c r="K89" s="193"/>
      <c r="L89" s="123"/>
      <c r="M89" s="123"/>
      <c r="N89" s="160"/>
      <c r="O89" s="160"/>
      <c r="P89" s="123"/>
      <c r="Q89" s="123"/>
      <c r="R89" s="123"/>
      <c r="V89" s="178"/>
      <c r="Y89" s="3"/>
      <c r="Z89" s="1"/>
      <c r="AA89" s="3"/>
      <c r="AB89" s="3"/>
      <c r="AC89" s="258"/>
      <c r="AD89" s="258"/>
      <c r="AE89" s="3"/>
      <c r="AF89" s="3"/>
      <c r="AG89" s="175"/>
      <c r="AH89" s="4"/>
      <c r="AI89" s="3"/>
      <c r="AJ89" s="3"/>
      <c r="AK89" s="175"/>
      <c r="AL89" s="6"/>
      <c r="AM89" s="3"/>
      <c r="AN89" s="3"/>
      <c r="AO89" s="3"/>
      <c r="AP89" s="3"/>
      <c r="AQ89" s="175"/>
      <c r="AW89" s="3"/>
    </row>
    <row r="90" spans="3:51" ht="15.75" customHeight="1" x14ac:dyDescent="0.3">
      <c r="C90" s="42"/>
      <c r="F90" s="184"/>
      <c r="H90" s="184"/>
      <c r="I90" s="184"/>
      <c r="J90" s="193"/>
      <c r="K90" s="193"/>
      <c r="L90" s="123"/>
      <c r="M90" s="123"/>
      <c r="N90" s="160"/>
      <c r="O90" s="160"/>
      <c r="P90" s="123"/>
      <c r="Q90" s="123"/>
      <c r="R90" s="123"/>
      <c r="T90" s="41">
        <f>A40</f>
        <v>20</v>
      </c>
      <c r="V90" s="132" t="s">
        <v>469</v>
      </c>
      <c r="Y90" s="3"/>
      <c r="Z90" s="1"/>
      <c r="AA90" s="3"/>
      <c r="AB90" s="3"/>
      <c r="AC90" s="258"/>
      <c r="AD90" s="258"/>
      <c r="AE90" s="3"/>
      <c r="AF90" s="3"/>
      <c r="AG90" s="175"/>
      <c r="AH90" s="4"/>
      <c r="AI90" s="3"/>
      <c r="AJ90" s="3"/>
      <c r="AK90" s="175"/>
      <c r="AL90" s="6"/>
      <c r="AM90" s="3"/>
      <c r="AN90" s="3"/>
      <c r="AO90" s="3"/>
      <c r="AP90" s="3"/>
      <c r="AQ90" s="175"/>
      <c r="AW90" s="3"/>
    </row>
    <row r="91" spans="3:51" ht="15.75" customHeight="1" x14ac:dyDescent="0.3">
      <c r="C91" s="42"/>
      <c r="F91" s="184"/>
      <c r="H91" s="184"/>
      <c r="I91" s="184"/>
      <c r="J91" s="193"/>
      <c r="K91" s="193"/>
      <c r="L91" s="123"/>
      <c r="M91" s="123"/>
      <c r="N91" s="160"/>
      <c r="O91" s="160"/>
      <c r="P91" s="123"/>
      <c r="Q91" s="123"/>
      <c r="R91" s="123"/>
      <c r="T91" s="41">
        <f>A41</f>
        <v>21</v>
      </c>
      <c r="V91" s="192" t="str">
        <f>C41</f>
        <v>ENVIRONMENTAL SURCHARGE MECHANISM RIDER (ESM)</v>
      </c>
      <c r="Y91" s="3"/>
      <c r="Z91" s="1"/>
      <c r="AA91" s="3"/>
      <c r="AB91" s="3"/>
      <c r="AC91" s="318">
        <f>CUR_ESM_NonRes</f>
        <v>6.4941608437496566E-3</v>
      </c>
      <c r="AD91" s="258"/>
      <c r="AE91" s="3">
        <f>ROUND((AO88-(CUR_BASE_FUEL*AA88)+AO92)*AC91,0)</f>
        <v>542</v>
      </c>
      <c r="AF91" s="3"/>
      <c r="AG91" s="175">
        <f>ROUND((AE91/AE$95)*100,1)</f>
        <v>0.6</v>
      </c>
      <c r="AH91" s="4"/>
      <c r="AI91" s="3">
        <f>L41-AE91</f>
        <v>20</v>
      </c>
      <c r="AJ91" s="3"/>
      <c r="AK91" s="175">
        <f>IF(AE91=0,0,ROUND((AI91/AE91)*100,1))</f>
        <v>3.7</v>
      </c>
      <c r="AL91" s="6"/>
      <c r="AM91" s="3"/>
      <c r="AN91" s="3"/>
      <c r="AO91" s="3">
        <f>AE91+AM91</f>
        <v>542</v>
      </c>
      <c r="AP91" s="3"/>
      <c r="AQ91" s="175">
        <f>IF(AO91=0,0,ROUND((AI91/AO91)*100,1))</f>
        <v>3.7</v>
      </c>
      <c r="AW91" s="3"/>
    </row>
    <row r="92" spans="3:51" ht="15.75" customHeight="1" x14ac:dyDescent="0.3">
      <c r="C92" s="42"/>
      <c r="F92" s="184"/>
      <c r="H92" s="184"/>
      <c r="I92" s="184"/>
      <c r="J92" s="193"/>
      <c r="K92" s="193"/>
      <c r="L92" s="123"/>
      <c r="M92" s="123"/>
      <c r="N92" s="160"/>
      <c r="O92" s="160"/>
      <c r="P92" s="123"/>
      <c r="Q92" s="123"/>
      <c r="R92" s="123"/>
      <c r="T92" s="41">
        <f>A42</f>
        <v>22</v>
      </c>
      <c r="V92" s="192" t="str">
        <f>C42</f>
        <v>PROFIT SHARING MECHANISM (PSM)</v>
      </c>
      <c r="Y92" s="3"/>
      <c r="Z92" s="1"/>
      <c r="AA92" s="3"/>
      <c r="AB92" s="3"/>
      <c r="AC92" s="198">
        <f>RS_PSM</f>
        <v>2.4750000000000002E-3</v>
      </c>
      <c r="AD92" s="258"/>
      <c r="AE92" s="49">
        <f>ROUND($AA$88*AC92,0)</f>
        <v>971</v>
      </c>
      <c r="AF92" s="3"/>
      <c r="AG92" s="177">
        <f>ROUND((AE92/AE$95)*100,1)</f>
        <v>1</v>
      </c>
      <c r="AH92" s="4"/>
      <c r="AI92" s="3">
        <f>L42-AE92</f>
        <v>0</v>
      </c>
      <c r="AJ92" s="3"/>
      <c r="AK92" s="177">
        <f>ROUND((AI92/AE92)*100,1)</f>
        <v>0</v>
      </c>
      <c r="AL92" s="6"/>
      <c r="AM92" s="3"/>
      <c r="AN92" s="3"/>
      <c r="AO92" s="3">
        <f>AE92+AM92</f>
        <v>971</v>
      </c>
      <c r="AP92" s="3"/>
      <c r="AQ92" s="177">
        <f>ROUND((AI92/AO92)*100,1)</f>
        <v>0</v>
      </c>
      <c r="AW92" s="3"/>
    </row>
    <row r="93" spans="3:51" ht="20.100000000000001" customHeight="1" x14ac:dyDescent="0.3">
      <c r="C93" s="42"/>
      <c r="F93" s="184"/>
      <c r="H93" s="184"/>
      <c r="I93" s="184"/>
      <c r="J93" s="193"/>
      <c r="K93" s="193"/>
      <c r="L93" s="123"/>
      <c r="M93" s="123"/>
      <c r="N93" s="160"/>
      <c r="O93" s="160"/>
      <c r="P93" s="123"/>
      <c r="Q93" s="123"/>
      <c r="R93" s="123"/>
      <c r="T93" s="41">
        <f>A43</f>
        <v>23</v>
      </c>
      <c r="V93" s="132" t="s">
        <v>465</v>
      </c>
      <c r="Y93" s="49"/>
      <c r="Z93" s="1"/>
      <c r="AA93" s="49"/>
      <c r="AB93" s="3"/>
      <c r="AC93" s="258"/>
      <c r="AD93" s="258"/>
      <c r="AE93" s="145">
        <f>SUM(AE91:AE92)</f>
        <v>1513</v>
      </c>
      <c r="AF93" s="3"/>
      <c r="AG93" s="180">
        <f>ROUND((AE93/AE$95)*100,1)</f>
        <v>1.6</v>
      </c>
      <c r="AH93" s="4"/>
      <c r="AI93" s="145">
        <f>SUM(AI91:AI92)</f>
        <v>20</v>
      </c>
      <c r="AJ93" s="3"/>
      <c r="AK93" s="180">
        <f>ROUND((AI93/AE93)*100,1)</f>
        <v>1.3</v>
      </c>
      <c r="AL93" s="6"/>
      <c r="AM93" s="145"/>
      <c r="AN93" s="3"/>
      <c r="AO93" s="145">
        <f>SUM(AO91:AO92)</f>
        <v>1513</v>
      </c>
      <c r="AP93" s="3"/>
      <c r="AQ93" s="177">
        <f>ROUND((AI93/AO93)*100,1)</f>
        <v>1.3</v>
      </c>
      <c r="AW93" s="3"/>
    </row>
    <row r="94" spans="3:51" ht="15.75" customHeight="1" x14ac:dyDescent="0.3">
      <c r="C94" s="42"/>
      <c r="F94" s="184"/>
      <c r="H94" s="184"/>
      <c r="I94" s="184"/>
      <c r="J94" s="193"/>
      <c r="K94" s="193"/>
      <c r="L94" s="123"/>
      <c r="M94" s="123"/>
      <c r="N94" s="160"/>
      <c r="O94" s="160"/>
      <c r="P94" s="123"/>
      <c r="Q94" s="123"/>
      <c r="R94" s="123"/>
      <c r="V94" s="178"/>
      <c r="Y94" s="3"/>
      <c r="Z94" s="1"/>
      <c r="AA94" s="3"/>
      <c r="AB94" s="3"/>
      <c r="AC94" s="258"/>
      <c r="AD94" s="258"/>
      <c r="AE94" s="3"/>
      <c r="AF94" s="3"/>
      <c r="AG94" s="175"/>
      <c r="AH94" s="4"/>
      <c r="AI94" s="3"/>
      <c r="AJ94" s="3"/>
      <c r="AK94" s="175"/>
      <c r="AL94" s="6"/>
      <c r="AM94" s="3"/>
      <c r="AN94" s="3"/>
      <c r="AO94" s="3"/>
      <c r="AP94" s="3"/>
      <c r="AQ94" s="175"/>
      <c r="AW94" s="3"/>
    </row>
    <row r="95" spans="3:51" ht="20.100000000000001" customHeight="1" thickBot="1" x14ac:dyDescent="0.35">
      <c r="C95" s="42"/>
      <c r="F95" s="123"/>
      <c r="H95" s="123"/>
      <c r="I95" s="123"/>
      <c r="J95" s="219"/>
      <c r="K95" s="219"/>
      <c r="L95" s="123"/>
      <c r="M95" s="123"/>
      <c r="N95" s="160"/>
      <c r="O95" s="160"/>
      <c r="P95" s="123"/>
      <c r="Q95" s="123"/>
      <c r="R95" s="123"/>
      <c r="T95" s="41">
        <f>A45</f>
        <v>24</v>
      </c>
      <c r="V95" s="132" t="s">
        <v>471</v>
      </c>
      <c r="Y95" s="151">
        <f>Y88</f>
        <v>8073</v>
      </c>
      <c r="Z95" s="1"/>
      <c r="AA95" s="151">
        <f>AA88</f>
        <v>392374</v>
      </c>
      <c r="AB95" s="3"/>
      <c r="AC95" s="1"/>
      <c r="AD95" s="1"/>
      <c r="AE95" s="151">
        <f>AE88+AE93</f>
        <v>95943</v>
      </c>
      <c r="AF95" s="3"/>
      <c r="AG95" s="187">
        <v>100</v>
      </c>
      <c r="AH95" s="6"/>
      <c r="AI95" s="151">
        <f>AI88+AI93</f>
        <v>13492</v>
      </c>
      <c r="AJ95" s="3"/>
      <c r="AK95" s="187">
        <f>ROUND((AI95/AE95)*100,1)</f>
        <v>14.1</v>
      </c>
      <c r="AL95" s="6"/>
      <c r="AM95" s="265">
        <f>ROUND(AA95*CUR_FAC,0)</f>
        <v>1368</v>
      </c>
      <c r="AN95" s="159"/>
      <c r="AO95" s="151">
        <f>AO88+AO93</f>
        <v>97311</v>
      </c>
      <c r="AP95" s="3"/>
      <c r="AQ95" s="187">
        <f>ROUND((AI95/AO95)*100,1)</f>
        <v>13.9</v>
      </c>
      <c r="AW95" s="3"/>
    </row>
    <row r="96" spans="3:51" ht="16.2" thickTop="1" x14ac:dyDescent="0.3">
      <c r="C96" s="42"/>
      <c r="F96" s="123"/>
      <c r="H96" s="123"/>
      <c r="I96" s="123"/>
      <c r="J96" s="219"/>
      <c r="K96" s="219"/>
      <c r="L96" s="123"/>
      <c r="M96" s="123"/>
      <c r="N96" s="160"/>
      <c r="O96" s="160"/>
      <c r="P96" s="123"/>
      <c r="Q96" s="123"/>
      <c r="R96" s="123"/>
      <c r="Y96" s="1"/>
      <c r="Z96" s="1"/>
      <c r="AA96" s="1"/>
      <c r="AB96" s="1"/>
      <c r="AC96" s="1"/>
      <c r="AD96" s="1"/>
      <c r="AE96" s="1"/>
      <c r="AF96" s="1"/>
      <c r="AG96" s="175"/>
      <c r="AH96" s="1"/>
      <c r="AI96" s="1"/>
      <c r="AJ96" s="1"/>
      <c r="AK96" s="175"/>
      <c r="AL96" s="1"/>
      <c r="AM96" s="1"/>
      <c r="AN96" s="1"/>
      <c r="AO96" s="1"/>
      <c r="AP96" s="1"/>
      <c r="AQ96" s="175"/>
    </row>
    <row r="97" spans="1:40" x14ac:dyDescent="0.3">
      <c r="C97" s="42"/>
      <c r="F97" s="184"/>
      <c r="H97" s="184"/>
      <c r="I97" s="184"/>
      <c r="J97" s="227"/>
      <c r="K97" s="227"/>
      <c r="L97" s="123"/>
      <c r="M97" s="123"/>
      <c r="N97" s="160"/>
      <c r="O97" s="160"/>
      <c r="P97" s="123"/>
      <c r="Q97" s="123"/>
      <c r="R97" s="123"/>
      <c r="V97" s="202" t="s">
        <v>76</v>
      </c>
    </row>
    <row r="98" spans="1:40" x14ac:dyDescent="0.3">
      <c r="C98" s="42"/>
      <c r="F98" s="184"/>
      <c r="H98" s="184"/>
      <c r="I98" s="184"/>
      <c r="J98" s="227"/>
      <c r="K98" s="227"/>
      <c r="L98" s="123"/>
      <c r="M98" s="123"/>
      <c r="N98" s="160"/>
      <c r="O98" s="160"/>
      <c r="P98" s="123"/>
      <c r="Q98" s="123"/>
      <c r="R98" s="123"/>
      <c r="V98" s="202" t="str">
        <f>"(2) REFLECTS FUEL COMPONENT OF "&amp;TEXT(CUR_FAC,"$0.000000;($0.000000)")&amp;" PER KWH."</f>
        <v>(2) REFLECTS FUEL COMPONENT OF $0.003487 PER KWH.</v>
      </c>
    </row>
    <row r="99" spans="1:40" x14ac:dyDescent="0.3">
      <c r="F99" s="210"/>
      <c r="H99" s="210"/>
      <c r="I99" s="210"/>
      <c r="J99" s="213"/>
      <c r="K99" s="213"/>
      <c r="L99" s="210"/>
      <c r="M99" s="210"/>
      <c r="N99" s="210"/>
      <c r="O99" s="210"/>
      <c r="P99" s="210"/>
      <c r="Q99" s="210"/>
      <c r="R99" s="210"/>
      <c r="T99" s="42"/>
      <c r="V99" s="202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00" spans="1:40" x14ac:dyDescent="0.3">
      <c r="C100" s="42"/>
      <c r="F100" s="123"/>
      <c r="H100" s="123"/>
      <c r="I100" s="123"/>
      <c r="J100" s="213"/>
      <c r="K100" s="213"/>
      <c r="L100" s="123"/>
      <c r="M100" s="123"/>
      <c r="N100" s="160"/>
      <c r="O100" s="160"/>
      <c r="P100" s="123"/>
      <c r="Q100" s="123"/>
      <c r="R100" s="123"/>
      <c r="S100" s="123"/>
      <c r="T100" s="42"/>
      <c r="V100" s="123"/>
      <c r="Y100" s="123"/>
      <c r="Z100" s="238"/>
      <c r="AA100" s="123"/>
      <c r="AB100" s="123"/>
      <c r="AC100" s="160"/>
      <c r="AD100" s="160"/>
      <c r="AE100" s="123"/>
      <c r="AF100" s="123"/>
      <c r="AH100" s="236"/>
      <c r="AI100" s="123"/>
      <c r="AJ100" s="123"/>
      <c r="AL100" s="123"/>
      <c r="AM100" s="160"/>
      <c r="AN100" s="160"/>
    </row>
    <row r="101" spans="1:40" x14ac:dyDescent="0.3">
      <c r="F101" s="210"/>
      <c r="H101" s="210"/>
      <c r="I101" s="210"/>
      <c r="J101" s="213"/>
      <c r="K101" s="213"/>
      <c r="L101" s="210"/>
      <c r="M101" s="210"/>
      <c r="N101" s="210"/>
      <c r="O101" s="210"/>
      <c r="P101" s="210"/>
      <c r="Q101" s="210"/>
      <c r="R101" s="210"/>
      <c r="S101" s="123"/>
      <c r="T101" s="42"/>
      <c r="Y101" s="123"/>
      <c r="Z101" s="238"/>
      <c r="AA101" s="123"/>
      <c r="AB101" s="123"/>
      <c r="AC101" s="160"/>
      <c r="AD101" s="160"/>
      <c r="AE101" s="123"/>
      <c r="AF101" s="123"/>
      <c r="AH101" s="236"/>
      <c r="AI101" s="123"/>
      <c r="AJ101" s="123"/>
      <c r="AL101" s="123"/>
      <c r="AM101" s="160"/>
      <c r="AN101" s="160"/>
    </row>
    <row r="102" spans="1:40" x14ac:dyDescent="0.3">
      <c r="C102" s="42"/>
      <c r="V102" s="123"/>
      <c r="Y102" s="123"/>
      <c r="Z102" s="213"/>
      <c r="AA102" s="210"/>
      <c r="AB102" s="210"/>
      <c r="AC102" s="210"/>
      <c r="AD102" s="210"/>
      <c r="AE102" s="210"/>
      <c r="AF102" s="210"/>
      <c r="AI102" s="210"/>
      <c r="AJ102" s="210"/>
      <c r="AK102" s="214"/>
      <c r="AL102" s="210"/>
      <c r="AM102" s="160"/>
      <c r="AN102" s="160"/>
    </row>
    <row r="103" spans="1:40" x14ac:dyDescent="0.3">
      <c r="C103" s="42"/>
      <c r="F103" s="123"/>
      <c r="H103" s="123"/>
      <c r="I103" s="123"/>
      <c r="L103" s="123"/>
      <c r="M103" s="123"/>
      <c r="N103" s="160"/>
      <c r="O103" s="160"/>
      <c r="P103" s="184"/>
      <c r="Q103" s="184"/>
      <c r="R103" s="123"/>
      <c r="T103" s="42"/>
      <c r="V103" s="123"/>
      <c r="Y103" s="123"/>
      <c r="Z103" s="219"/>
      <c r="AA103" s="123"/>
      <c r="AB103" s="123"/>
      <c r="AC103" s="160"/>
      <c r="AD103" s="160"/>
      <c r="AE103" s="123"/>
      <c r="AF103" s="123"/>
      <c r="AH103" s="236"/>
      <c r="AI103" s="123"/>
      <c r="AJ103" s="123"/>
      <c r="AL103" s="123"/>
      <c r="AM103" s="160"/>
      <c r="AN103" s="160"/>
    </row>
    <row r="104" spans="1:40" x14ac:dyDescent="0.3">
      <c r="F104" s="210"/>
      <c r="H104" s="210"/>
      <c r="I104" s="210"/>
      <c r="J104" s="213"/>
      <c r="K104" s="213"/>
      <c r="L104" s="210"/>
      <c r="M104" s="210"/>
      <c r="N104" s="210"/>
      <c r="O104" s="210"/>
      <c r="P104" s="210"/>
      <c r="Q104" s="210"/>
      <c r="R104" s="210"/>
      <c r="V104" s="123"/>
      <c r="Y104" s="123"/>
      <c r="Z104" s="213"/>
      <c r="AA104" s="210"/>
      <c r="AB104" s="210"/>
      <c r="AC104" s="210"/>
      <c r="AD104" s="210"/>
      <c r="AE104" s="210"/>
      <c r="AF104" s="210"/>
      <c r="AI104" s="210"/>
      <c r="AJ104" s="210"/>
      <c r="AK104" s="214"/>
      <c r="AL104" s="210"/>
      <c r="AM104" s="160"/>
      <c r="AN104" s="160"/>
    </row>
    <row r="105" spans="1:40" x14ac:dyDescent="0.3">
      <c r="T105" s="42"/>
      <c r="V105" s="123"/>
      <c r="Y105" s="123"/>
      <c r="Z105" s="219"/>
      <c r="AA105" s="123"/>
      <c r="AB105" s="123"/>
      <c r="AC105" s="160"/>
      <c r="AD105" s="160"/>
      <c r="AE105" s="123"/>
      <c r="AF105" s="123"/>
      <c r="AH105" s="236"/>
      <c r="AI105" s="123"/>
      <c r="AJ105" s="123"/>
      <c r="AL105" s="123"/>
      <c r="AM105" s="160"/>
      <c r="AN105" s="160"/>
    </row>
    <row r="106" spans="1:40" x14ac:dyDescent="0.3">
      <c r="C106" s="42"/>
      <c r="L106" s="123"/>
      <c r="M106" s="123"/>
      <c r="N106" s="123"/>
      <c r="O106" s="123"/>
      <c r="P106" s="123"/>
      <c r="Q106" s="123"/>
      <c r="R106" s="123"/>
      <c r="S106" s="123"/>
      <c r="T106" s="42"/>
      <c r="V106" s="184"/>
      <c r="Y106" s="123"/>
      <c r="Z106" s="227"/>
      <c r="AA106" s="123"/>
      <c r="AB106" s="123"/>
      <c r="AC106" s="160"/>
      <c r="AD106" s="160"/>
      <c r="AE106" s="123"/>
      <c r="AF106" s="123"/>
      <c r="AH106" s="236"/>
      <c r="AI106" s="123"/>
      <c r="AJ106" s="123"/>
      <c r="AL106" s="123"/>
      <c r="AM106" s="160"/>
      <c r="AN106" s="160"/>
    </row>
    <row r="107" spans="1:40" x14ac:dyDescent="0.3">
      <c r="A107" s="42"/>
      <c r="V107" s="210"/>
      <c r="Y107" s="210"/>
      <c r="Z107" s="213"/>
      <c r="AA107" s="210"/>
      <c r="AB107" s="210"/>
      <c r="AC107" s="210"/>
      <c r="AD107" s="210"/>
      <c r="AE107" s="210"/>
      <c r="AF107" s="210"/>
      <c r="AI107" s="210"/>
      <c r="AJ107" s="210"/>
      <c r="AK107" s="214"/>
      <c r="AL107" s="210"/>
      <c r="AM107" s="160"/>
      <c r="AN107" s="160"/>
    </row>
    <row r="108" spans="1:40" x14ac:dyDescent="0.3">
      <c r="T108" s="42"/>
      <c r="V108" s="123"/>
      <c r="Y108" s="123"/>
      <c r="Z108" s="213"/>
      <c r="AA108" s="123"/>
      <c r="AB108" s="123"/>
      <c r="AC108" s="160"/>
      <c r="AD108" s="160"/>
      <c r="AE108" s="123"/>
      <c r="AF108" s="123"/>
      <c r="AH108" s="160"/>
      <c r="AI108" s="123"/>
      <c r="AJ108" s="123"/>
      <c r="AL108" s="123"/>
      <c r="AM108" s="160"/>
      <c r="AN108" s="160"/>
    </row>
    <row r="109" spans="1:40" x14ac:dyDescent="0.3">
      <c r="H109" s="42"/>
      <c r="I109" s="42"/>
      <c r="V109" s="210"/>
      <c r="Y109" s="210"/>
      <c r="Z109" s="213"/>
      <c r="AA109" s="210"/>
      <c r="AB109" s="210"/>
      <c r="AC109" s="210"/>
      <c r="AD109" s="210"/>
      <c r="AE109" s="210"/>
      <c r="AF109" s="210"/>
      <c r="AI109" s="210"/>
      <c r="AJ109" s="210"/>
      <c r="AK109" s="214"/>
      <c r="AL109" s="210"/>
      <c r="AM109" s="160"/>
      <c r="AN109" s="160"/>
    </row>
    <row r="110" spans="1:40" x14ac:dyDescent="0.3">
      <c r="T110" s="42"/>
    </row>
    <row r="111" spans="1:40" x14ac:dyDescent="0.3">
      <c r="L111" s="42"/>
      <c r="M111" s="42"/>
      <c r="AA111" s="42"/>
      <c r="AB111" s="42"/>
    </row>
    <row r="112" spans="1:40" x14ac:dyDescent="0.3">
      <c r="R112" s="42"/>
      <c r="AK112" s="206"/>
      <c r="AL112" s="42"/>
    </row>
    <row r="113" spans="1:40" x14ac:dyDescent="0.3">
      <c r="R113" s="42"/>
      <c r="AK113" s="206"/>
      <c r="AL113" s="42"/>
    </row>
    <row r="114" spans="1:40" x14ac:dyDescent="0.3">
      <c r="A114" s="42"/>
      <c r="R114" s="42"/>
      <c r="AK114" s="206"/>
      <c r="AL114" s="42"/>
    </row>
    <row r="115" spans="1:40" x14ac:dyDescent="0.3">
      <c r="L115" s="42"/>
      <c r="M115" s="42"/>
      <c r="AA115" s="42"/>
      <c r="AB115" s="42"/>
    </row>
    <row r="116" spans="1:40" x14ac:dyDescent="0.3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207"/>
      <c r="AH116" s="135"/>
      <c r="AI116" s="135"/>
      <c r="AJ116" s="135"/>
      <c r="AK116" s="207"/>
      <c r="AL116" s="135"/>
      <c r="AM116" s="135"/>
      <c r="AN116" s="135"/>
    </row>
    <row r="117" spans="1:40" x14ac:dyDescent="0.3">
      <c r="L117" s="44"/>
      <c r="M117" s="44"/>
      <c r="N117" s="44"/>
      <c r="O117" s="44"/>
      <c r="R117" s="44"/>
      <c r="AA117" s="44"/>
      <c r="AB117" s="44"/>
      <c r="AC117" s="44"/>
      <c r="AD117" s="44"/>
      <c r="AE117" s="44"/>
      <c r="AF117" s="44"/>
      <c r="AG117" s="168"/>
      <c r="AH117" s="44"/>
      <c r="AK117" s="168"/>
      <c r="AL117" s="44"/>
      <c r="AM117" s="44"/>
      <c r="AN117" s="44"/>
    </row>
    <row r="118" spans="1:40" x14ac:dyDescent="0.3">
      <c r="L118" s="44"/>
      <c r="M118" s="44"/>
      <c r="N118" s="44"/>
      <c r="O118" s="44"/>
      <c r="R118" s="44"/>
      <c r="Z118" s="44"/>
      <c r="AA118" s="44"/>
      <c r="AB118" s="44"/>
      <c r="AC118" s="44"/>
      <c r="AD118" s="44"/>
      <c r="AE118" s="44"/>
      <c r="AF118" s="44"/>
      <c r="AG118" s="168"/>
      <c r="AH118" s="44"/>
      <c r="AK118" s="168"/>
      <c r="AL118" s="44"/>
      <c r="AM118" s="44"/>
      <c r="AN118" s="44"/>
    </row>
    <row r="119" spans="1:40" x14ac:dyDescent="0.3">
      <c r="A119" s="44"/>
      <c r="C119" s="44"/>
      <c r="D119" s="44"/>
      <c r="E119" s="44"/>
      <c r="F119" s="44"/>
      <c r="J119" s="44"/>
      <c r="K119" s="44"/>
      <c r="L119" s="44"/>
      <c r="M119" s="44"/>
      <c r="N119" s="44"/>
      <c r="O119" s="44"/>
      <c r="P119" s="44"/>
      <c r="Q119" s="44"/>
      <c r="R119" s="44"/>
      <c r="T119" s="44"/>
      <c r="U119" s="44"/>
      <c r="V119" s="44"/>
      <c r="Z119" s="44"/>
      <c r="AA119" s="44"/>
      <c r="AB119" s="44"/>
      <c r="AC119" s="44"/>
      <c r="AD119" s="44"/>
      <c r="AE119" s="44"/>
      <c r="AF119" s="44"/>
      <c r="AG119" s="168"/>
      <c r="AH119" s="44"/>
      <c r="AI119" s="44"/>
      <c r="AJ119" s="44"/>
      <c r="AK119" s="168"/>
      <c r="AL119" s="44"/>
      <c r="AM119" s="44"/>
      <c r="AN119" s="44"/>
    </row>
    <row r="120" spans="1:40" x14ac:dyDescent="0.3">
      <c r="A120" s="44"/>
      <c r="C120" s="44"/>
      <c r="D120" s="44"/>
      <c r="E120" s="44"/>
      <c r="F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T120" s="44"/>
      <c r="U120" s="44"/>
      <c r="V120" s="44"/>
      <c r="Y120" s="44"/>
      <c r="Z120" s="44"/>
      <c r="AA120" s="44"/>
      <c r="AB120" s="44"/>
      <c r="AC120" s="44"/>
      <c r="AD120" s="44"/>
      <c r="AE120" s="44"/>
      <c r="AF120" s="44"/>
      <c r="AG120" s="168"/>
      <c r="AH120" s="44"/>
      <c r="AI120" s="44"/>
      <c r="AJ120" s="44"/>
      <c r="AK120" s="168"/>
      <c r="AL120" s="44"/>
      <c r="AM120" s="44"/>
      <c r="AN120" s="44"/>
    </row>
    <row r="121" spans="1:40" x14ac:dyDescent="0.3">
      <c r="C121" s="44"/>
      <c r="D121" s="44"/>
      <c r="E121" s="44"/>
      <c r="F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T121" s="44"/>
      <c r="U121" s="44"/>
      <c r="V121" s="44"/>
      <c r="Y121" s="44"/>
      <c r="Z121" s="44"/>
      <c r="AA121" s="44"/>
      <c r="AB121" s="44"/>
      <c r="AC121" s="44"/>
      <c r="AD121" s="44"/>
      <c r="AE121" s="44"/>
      <c r="AF121" s="44"/>
      <c r="AG121" s="168"/>
      <c r="AH121" s="44"/>
      <c r="AI121" s="44"/>
      <c r="AJ121" s="44"/>
      <c r="AK121" s="168"/>
      <c r="AL121" s="44"/>
      <c r="AM121" s="44"/>
      <c r="AN121" s="44"/>
    </row>
    <row r="122" spans="1:40" x14ac:dyDescent="0.3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207"/>
      <c r="AH122" s="135"/>
      <c r="AI122" s="135"/>
      <c r="AJ122" s="135"/>
      <c r="AK122" s="207"/>
      <c r="AL122" s="135"/>
      <c r="AM122" s="135"/>
      <c r="AN122" s="135"/>
    </row>
    <row r="123" spans="1:40" x14ac:dyDescent="0.3"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Y123" s="44"/>
      <c r="Z123" s="44"/>
      <c r="AA123" s="44"/>
      <c r="AB123" s="44"/>
      <c r="AC123" s="44"/>
      <c r="AD123" s="44"/>
      <c r="AE123" s="44"/>
      <c r="AF123" s="44"/>
      <c r="AG123" s="168"/>
      <c r="AH123" s="44"/>
      <c r="AI123" s="44"/>
      <c r="AJ123" s="44"/>
      <c r="AK123" s="168"/>
      <c r="AL123" s="44"/>
      <c r="AM123" s="44"/>
      <c r="AN123" s="44"/>
    </row>
    <row r="124" spans="1:40" x14ac:dyDescent="0.3">
      <c r="C124" s="42"/>
      <c r="D124" s="42"/>
      <c r="E124" s="42"/>
      <c r="T124" s="42"/>
      <c r="U124" s="42"/>
    </row>
    <row r="125" spans="1:40" x14ac:dyDescent="0.3">
      <c r="D125" s="42"/>
      <c r="E125" s="42"/>
      <c r="U125" s="42"/>
    </row>
    <row r="127" spans="1:40" x14ac:dyDescent="0.3">
      <c r="C127" s="42"/>
      <c r="F127" s="184"/>
      <c r="H127" s="184"/>
      <c r="I127" s="184"/>
      <c r="J127" s="193"/>
      <c r="K127" s="193"/>
      <c r="L127" s="123"/>
      <c r="M127" s="123"/>
      <c r="N127" s="160"/>
      <c r="O127" s="160"/>
      <c r="R127" s="123"/>
      <c r="T127" s="42"/>
      <c r="V127" s="123"/>
      <c r="Y127" s="184"/>
      <c r="Z127" s="193"/>
      <c r="AA127" s="123"/>
      <c r="AB127" s="123"/>
      <c r="AC127" s="160"/>
      <c r="AD127" s="160"/>
      <c r="AE127" s="123"/>
      <c r="AF127" s="123"/>
      <c r="AG127" s="233"/>
      <c r="AH127" s="234"/>
      <c r="AL127" s="123"/>
      <c r="AM127" s="235"/>
      <c r="AN127" s="235"/>
    </row>
    <row r="128" spans="1:40" x14ac:dyDescent="0.3">
      <c r="C128" s="42"/>
      <c r="F128" s="184"/>
      <c r="H128" s="184"/>
      <c r="I128" s="184"/>
      <c r="J128" s="193"/>
      <c r="K128" s="193"/>
      <c r="L128" s="123"/>
      <c r="M128" s="123"/>
      <c r="N128" s="160"/>
      <c r="O128" s="160"/>
      <c r="R128" s="123"/>
      <c r="T128" s="42"/>
      <c r="V128" s="123"/>
      <c r="Y128" s="184"/>
      <c r="Z128" s="193"/>
      <c r="AA128" s="123"/>
      <c r="AB128" s="123"/>
      <c r="AC128" s="160"/>
      <c r="AD128" s="160"/>
      <c r="AE128" s="123"/>
      <c r="AF128" s="123"/>
      <c r="AH128" s="236"/>
      <c r="AL128" s="123"/>
      <c r="AM128" s="160"/>
      <c r="AN128" s="160"/>
    </row>
    <row r="129" spans="3:40" x14ac:dyDescent="0.3">
      <c r="F129" s="210"/>
      <c r="H129" s="123"/>
      <c r="I129" s="123"/>
      <c r="J129" s="213"/>
      <c r="K129" s="213"/>
      <c r="L129" s="210"/>
      <c r="M129" s="210"/>
      <c r="N129" s="210"/>
      <c r="O129" s="210"/>
      <c r="P129" s="210"/>
      <c r="Q129" s="210"/>
      <c r="R129" s="210"/>
      <c r="V129" s="210"/>
      <c r="Y129" s="123"/>
      <c r="Z129" s="213"/>
      <c r="AA129" s="210"/>
      <c r="AB129" s="210"/>
      <c r="AC129" s="210"/>
      <c r="AD129" s="210"/>
      <c r="AE129" s="210"/>
      <c r="AF129" s="210"/>
      <c r="AI129" s="210"/>
      <c r="AJ129" s="210"/>
      <c r="AK129" s="214"/>
      <c r="AL129" s="210"/>
      <c r="AM129" s="160"/>
      <c r="AN129" s="160"/>
    </row>
    <row r="130" spans="3:40" x14ac:dyDescent="0.3">
      <c r="C130" s="42"/>
      <c r="F130" s="123"/>
      <c r="H130" s="123"/>
      <c r="I130" s="123"/>
      <c r="J130" s="213"/>
      <c r="K130" s="213"/>
      <c r="L130" s="123"/>
      <c r="M130" s="123"/>
      <c r="N130" s="160"/>
      <c r="O130" s="160"/>
      <c r="P130" s="123"/>
      <c r="Q130" s="123"/>
      <c r="R130" s="123"/>
      <c r="T130" s="42"/>
      <c r="V130" s="123"/>
      <c r="Y130" s="123"/>
      <c r="Z130" s="219"/>
      <c r="AA130" s="123"/>
      <c r="AB130" s="123"/>
      <c r="AC130" s="160"/>
      <c r="AD130" s="160"/>
      <c r="AE130" s="123"/>
      <c r="AF130" s="123"/>
      <c r="AH130" s="236"/>
      <c r="AI130" s="123"/>
      <c r="AJ130" s="123"/>
      <c r="AL130" s="123"/>
      <c r="AM130" s="160"/>
      <c r="AN130" s="160"/>
    </row>
    <row r="131" spans="3:40" x14ac:dyDescent="0.3">
      <c r="F131" s="210"/>
      <c r="H131" s="123"/>
      <c r="I131" s="123"/>
      <c r="J131" s="213"/>
      <c r="K131" s="213"/>
      <c r="L131" s="210"/>
      <c r="M131" s="210"/>
      <c r="N131" s="210"/>
      <c r="O131" s="210"/>
      <c r="P131" s="210"/>
      <c r="Q131" s="210"/>
      <c r="R131" s="210"/>
      <c r="V131" s="210"/>
      <c r="Y131" s="123"/>
      <c r="Z131" s="213"/>
      <c r="AA131" s="210"/>
      <c r="AB131" s="210"/>
      <c r="AC131" s="210"/>
      <c r="AD131" s="210"/>
      <c r="AE131" s="210"/>
      <c r="AF131" s="210"/>
      <c r="AI131" s="210"/>
      <c r="AJ131" s="210"/>
      <c r="AK131" s="214"/>
      <c r="AL131" s="210"/>
      <c r="AM131" s="160"/>
      <c r="AN131" s="160"/>
    </row>
    <row r="132" spans="3:40" x14ac:dyDescent="0.3">
      <c r="F132" s="123"/>
      <c r="H132" s="123"/>
      <c r="I132" s="123"/>
      <c r="J132" s="213"/>
      <c r="K132" s="213"/>
      <c r="L132" s="123"/>
      <c r="M132" s="123"/>
      <c r="N132" s="160"/>
      <c r="O132" s="160"/>
      <c r="P132" s="123"/>
      <c r="Q132" s="123"/>
      <c r="R132" s="123"/>
      <c r="V132" s="123"/>
      <c r="Y132" s="123"/>
      <c r="Z132" s="219"/>
      <c r="AA132" s="123"/>
      <c r="AB132" s="123"/>
      <c r="AC132" s="160"/>
      <c r="AD132" s="160"/>
      <c r="AE132" s="123"/>
      <c r="AF132" s="123"/>
      <c r="AH132" s="236"/>
      <c r="AI132" s="123"/>
      <c r="AJ132" s="123"/>
      <c r="AL132" s="123"/>
      <c r="AM132" s="160"/>
      <c r="AN132" s="160"/>
    </row>
    <row r="133" spans="3:40" x14ac:dyDescent="0.3">
      <c r="C133" s="42"/>
      <c r="F133" s="184"/>
      <c r="H133" s="184"/>
      <c r="I133" s="184"/>
      <c r="J133" s="193"/>
      <c r="K133" s="193"/>
      <c r="L133" s="123"/>
      <c r="M133" s="123"/>
      <c r="N133" s="160"/>
      <c r="O133" s="160"/>
      <c r="P133" s="123"/>
      <c r="Q133" s="123"/>
      <c r="R133" s="123"/>
      <c r="T133" s="42"/>
      <c r="V133" s="184"/>
      <c r="Y133" s="123"/>
      <c r="Z133" s="193"/>
      <c r="AA133" s="123"/>
      <c r="AB133" s="123"/>
      <c r="AC133" s="160"/>
      <c r="AD133" s="160"/>
      <c r="AE133" s="123"/>
      <c r="AF133" s="123"/>
      <c r="AG133" s="233"/>
      <c r="AH133" s="234"/>
      <c r="AI133" s="123"/>
      <c r="AJ133" s="123"/>
      <c r="AL133" s="123"/>
      <c r="AM133" s="235"/>
      <c r="AN133" s="235"/>
    </row>
    <row r="134" spans="3:40" x14ac:dyDescent="0.3">
      <c r="C134" s="42"/>
      <c r="F134" s="184"/>
      <c r="H134" s="184"/>
      <c r="I134" s="184"/>
      <c r="J134" s="193"/>
      <c r="K134" s="193"/>
      <c r="L134" s="123"/>
      <c r="M134" s="123"/>
      <c r="N134" s="160"/>
      <c r="O134" s="160"/>
      <c r="P134" s="123"/>
      <c r="Q134" s="123"/>
      <c r="R134" s="123"/>
      <c r="T134" s="42"/>
      <c r="V134" s="184"/>
      <c r="Y134" s="123"/>
      <c r="Z134" s="193"/>
      <c r="AA134" s="123"/>
      <c r="AB134" s="123"/>
      <c r="AC134" s="160"/>
      <c r="AD134" s="160"/>
      <c r="AE134" s="123"/>
      <c r="AF134" s="123"/>
      <c r="AH134" s="236"/>
      <c r="AI134" s="123"/>
      <c r="AJ134" s="123"/>
      <c r="AL134" s="123"/>
      <c r="AM134" s="160"/>
      <c r="AN134" s="160"/>
    </row>
    <row r="135" spans="3:40" x14ac:dyDescent="0.3">
      <c r="F135" s="123"/>
      <c r="H135" s="210"/>
      <c r="I135" s="210"/>
      <c r="J135" s="213"/>
      <c r="K135" s="213"/>
      <c r="L135" s="210"/>
      <c r="M135" s="210"/>
      <c r="N135" s="210"/>
      <c r="O135" s="210"/>
      <c r="P135" s="210"/>
      <c r="Q135" s="210"/>
      <c r="R135" s="210"/>
      <c r="V135" s="123"/>
      <c r="Y135" s="210"/>
      <c r="Z135" s="213"/>
      <c r="AA135" s="210"/>
      <c r="AB135" s="210"/>
      <c r="AC135" s="210"/>
      <c r="AD135" s="210"/>
      <c r="AE135" s="210"/>
      <c r="AF135" s="210"/>
      <c r="AI135" s="210"/>
      <c r="AJ135" s="210"/>
      <c r="AK135" s="214"/>
      <c r="AL135" s="210"/>
      <c r="AM135" s="160"/>
      <c r="AN135" s="160"/>
    </row>
    <row r="136" spans="3:40" x14ac:dyDescent="0.3">
      <c r="C136" s="42"/>
      <c r="F136" s="123"/>
      <c r="H136" s="123"/>
      <c r="I136" s="123"/>
      <c r="J136" s="213"/>
      <c r="K136" s="213"/>
      <c r="L136" s="123"/>
      <c r="M136" s="123"/>
      <c r="N136" s="160"/>
      <c r="O136" s="160"/>
      <c r="P136" s="123"/>
      <c r="Q136" s="123"/>
      <c r="R136" s="123"/>
      <c r="T136" s="42"/>
      <c r="V136" s="123"/>
      <c r="Y136" s="123"/>
      <c r="Z136" s="213"/>
      <c r="AA136" s="123"/>
      <c r="AB136" s="123"/>
      <c r="AC136" s="160"/>
      <c r="AD136" s="160"/>
      <c r="AE136" s="123"/>
      <c r="AF136" s="123"/>
      <c r="AH136" s="236"/>
      <c r="AI136" s="123"/>
      <c r="AJ136" s="123"/>
      <c r="AL136" s="123"/>
      <c r="AM136" s="160"/>
      <c r="AN136" s="160"/>
    </row>
    <row r="137" spans="3:40" x14ac:dyDescent="0.3">
      <c r="F137" s="123"/>
      <c r="H137" s="210"/>
      <c r="I137" s="210"/>
      <c r="J137" s="213"/>
      <c r="K137" s="213"/>
      <c r="L137" s="210"/>
      <c r="M137" s="210"/>
      <c r="N137" s="210"/>
      <c r="O137" s="210"/>
      <c r="P137" s="210"/>
      <c r="Q137" s="210"/>
      <c r="R137" s="210"/>
      <c r="V137" s="123"/>
      <c r="Y137" s="210"/>
      <c r="Z137" s="213"/>
      <c r="AA137" s="210"/>
      <c r="AB137" s="210"/>
      <c r="AC137" s="210"/>
      <c r="AD137" s="210"/>
      <c r="AE137" s="210"/>
      <c r="AF137" s="210"/>
      <c r="AI137" s="210"/>
      <c r="AJ137" s="210"/>
      <c r="AK137" s="214"/>
      <c r="AL137" s="210"/>
      <c r="AM137" s="160"/>
      <c r="AN137" s="160"/>
    </row>
    <row r="138" spans="3:40" x14ac:dyDescent="0.3">
      <c r="F138" s="123"/>
      <c r="H138" s="123"/>
      <c r="I138" s="123"/>
      <c r="J138" s="213"/>
      <c r="K138" s="213"/>
      <c r="L138" s="123"/>
      <c r="M138" s="123"/>
      <c r="N138" s="123"/>
      <c r="O138" s="123"/>
      <c r="P138" s="123"/>
      <c r="Q138" s="123"/>
      <c r="R138" s="123"/>
      <c r="V138" s="123"/>
      <c r="Y138" s="123"/>
      <c r="Z138" s="213"/>
      <c r="AA138" s="123"/>
      <c r="AB138" s="123"/>
      <c r="AC138" s="123"/>
      <c r="AD138" s="123"/>
      <c r="AE138" s="123"/>
      <c r="AF138" s="123"/>
      <c r="AH138" s="236"/>
      <c r="AI138" s="123"/>
      <c r="AJ138" s="123"/>
      <c r="AL138" s="123"/>
      <c r="AM138" s="160"/>
      <c r="AN138" s="160"/>
    </row>
    <row r="139" spans="3:40" x14ac:dyDescent="0.3">
      <c r="C139" s="42"/>
      <c r="F139" s="184"/>
      <c r="H139" s="184"/>
      <c r="I139" s="184"/>
      <c r="J139" s="227"/>
      <c r="K139" s="227"/>
      <c r="L139" s="123"/>
      <c r="M139" s="123"/>
      <c r="N139" s="160"/>
      <c r="O139" s="160"/>
      <c r="P139" s="184"/>
      <c r="Q139" s="184"/>
      <c r="R139" s="123"/>
      <c r="T139" s="42"/>
      <c r="V139" s="184"/>
      <c r="Y139" s="184"/>
      <c r="Z139" s="237"/>
      <c r="AA139" s="123"/>
      <c r="AB139" s="123"/>
      <c r="AC139" s="160"/>
      <c r="AD139" s="160"/>
      <c r="AE139" s="123"/>
      <c r="AF139" s="123"/>
      <c r="AH139" s="236"/>
      <c r="AI139" s="184"/>
      <c r="AJ139" s="184"/>
      <c r="AL139" s="123"/>
      <c r="AM139" s="160"/>
      <c r="AN139" s="160"/>
    </row>
    <row r="140" spans="3:40" x14ac:dyDescent="0.3">
      <c r="C140" s="42"/>
      <c r="F140" s="184"/>
      <c r="H140" s="184"/>
      <c r="I140" s="184"/>
      <c r="J140" s="227"/>
      <c r="K140" s="227"/>
      <c r="L140" s="123"/>
      <c r="M140" s="123"/>
      <c r="N140" s="160"/>
      <c r="O140" s="160"/>
      <c r="P140" s="184"/>
      <c r="Q140" s="184"/>
      <c r="R140" s="123"/>
      <c r="T140" s="42"/>
      <c r="V140" s="184"/>
      <c r="Y140" s="123"/>
      <c r="Z140" s="212"/>
      <c r="AA140" s="123"/>
      <c r="AB140" s="123"/>
      <c r="AC140" s="160"/>
      <c r="AD140" s="160"/>
      <c r="AE140" s="123"/>
      <c r="AF140" s="123"/>
      <c r="AH140" s="236"/>
      <c r="AI140" s="184"/>
      <c r="AJ140" s="184"/>
      <c r="AL140" s="123"/>
      <c r="AM140" s="160"/>
      <c r="AN140" s="160"/>
    </row>
    <row r="141" spans="3:40" x14ac:dyDescent="0.3">
      <c r="C141" s="42"/>
      <c r="F141" s="184"/>
      <c r="H141" s="184"/>
      <c r="I141" s="184"/>
      <c r="J141" s="227"/>
      <c r="K141" s="227"/>
      <c r="L141" s="123"/>
      <c r="M141" s="123"/>
      <c r="N141" s="160"/>
      <c r="O141" s="160"/>
      <c r="P141" s="184"/>
      <c r="Q141" s="184"/>
      <c r="R141" s="123"/>
      <c r="T141" s="42"/>
      <c r="V141" s="184"/>
      <c r="Y141" s="123"/>
      <c r="Z141" s="212"/>
      <c r="AA141" s="123"/>
      <c r="AB141" s="123"/>
      <c r="AC141" s="160"/>
      <c r="AD141" s="160"/>
      <c r="AE141" s="123"/>
      <c r="AF141" s="123"/>
      <c r="AH141" s="236"/>
      <c r="AI141" s="184"/>
      <c r="AJ141" s="184"/>
      <c r="AL141" s="123"/>
      <c r="AM141" s="160"/>
      <c r="AN141" s="160"/>
    </row>
    <row r="142" spans="3:40" x14ac:dyDescent="0.3">
      <c r="F142" s="210"/>
      <c r="H142" s="210"/>
      <c r="I142" s="210"/>
      <c r="J142" s="213"/>
      <c r="K142" s="213"/>
      <c r="L142" s="210"/>
      <c r="M142" s="210"/>
      <c r="N142" s="210"/>
      <c r="O142" s="210"/>
      <c r="P142" s="210"/>
      <c r="Q142" s="210"/>
      <c r="R142" s="210"/>
      <c r="V142" s="210"/>
      <c r="Y142" s="210"/>
      <c r="Z142" s="213"/>
      <c r="AA142" s="210"/>
      <c r="AB142" s="210"/>
      <c r="AC142" s="210"/>
      <c r="AD142" s="210"/>
      <c r="AE142" s="210"/>
      <c r="AF142" s="210"/>
      <c r="AI142" s="210"/>
      <c r="AJ142" s="210"/>
      <c r="AK142" s="214"/>
      <c r="AL142" s="210"/>
      <c r="AM142" s="160"/>
      <c r="AN142" s="160"/>
    </row>
    <row r="143" spans="3:40" x14ac:dyDescent="0.3">
      <c r="C143" s="42"/>
      <c r="F143" s="123"/>
      <c r="H143" s="123"/>
      <c r="I143" s="123"/>
      <c r="J143" s="219"/>
      <c r="K143" s="219"/>
      <c r="L143" s="123"/>
      <c r="M143" s="123"/>
      <c r="N143" s="160"/>
      <c r="O143" s="160"/>
      <c r="P143" s="123"/>
      <c r="Q143" s="123"/>
      <c r="R143" s="123"/>
      <c r="T143" s="42"/>
      <c r="V143" s="123"/>
      <c r="Y143" s="123"/>
      <c r="Z143" s="219"/>
      <c r="AA143" s="123"/>
      <c r="AB143" s="123"/>
      <c r="AC143" s="160"/>
      <c r="AD143" s="160"/>
      <c r="AE143" s="123"/>
      <c r="AF143" s="123"/>
      <c r="AH143" s="236"/>
      <c r="AI143" s="123"/>
      <c r="AJ143" s="123"/>
      <c r="AL143" s="123"/>
      <c r="AM143" s="160"/>
      <c r="AN143" s="160"/>
    </row>
    <row r="144" spans="3:40" x14ac:dyDescent="0.3">
      <c r="F144" s="210"/>
      <c r="H144" s="210"/>
      <c r="I144" s="210"/>
      <c r="J144" s="213"/>
      <c r="K144" s="213"/>
      <c r="L144" s="210"/>
      <c r="M144" s="210"/>
      <c r="N144" s="210"/>
      <c r="O144" s="210"/>
      <c r="P144" s="210"/>
      <c r="Q144" s="210"/>
      <c r="R144" s="210"/>
      <c r="V144" s="210"/>
      <c r="Y144" s="210"/>
      <c r="Z144" s="213"/>
      <c r="AA144" s="210"/>
      <c r="AB144" s="210"/>
      <c r="AC144" s="210"/>
      <c r="AD144" s="210"/>
      <c r="AE144" s="210"/>
      <c r="AF144" s="210"/>
      <c r="AI144" s="210"/>
      <c r="AJ144" s="210"/>
      <c r="AK144" s="214"/>
      <c r="AL144" s="210"/>
      <c r="AM144" s="160"/>
      <c r="AN144" s="160"/>
    </row>
    <row r="145" spans="1:40" x14ac:dyDescent="0.3">
      <c r="C145" s="42"/>
      <c r="F145" s="123"/>
      <c r="H145" s="123"/>
      <c r="I145" s="123"/>
      <c r="J145" s="219"/>
      <c r="K145" s="219"/>
      <c r="L145" s="123"/>
      <c r="M145" s="123"/>
      <c r="N145" s="160"/>
      <c r="O145" s="160"/>
      <c r="P145" s="123"/>
      <c r="Q145" s="123"/>
      <c r="R145" s="123"/>
      <c r="T145" s="42"/>
      <c r="V145" s="123"/>
      <c r="Y145" s="123"/>
      <c r="Z145" s="219"/>
      <c r="AA145" s="123"/>
      <c r="AB145" s="123"/>
      <c r="AC145" s="160"/>
      <c r="AD145" s="160"/>
      <c r="AE145" s="123"/>
      <c r="AF145" s="123"/>
      <c r="AH145" s="236"/>
      <c r="AI145" s="123"/>
      <c r="AJ145" s="123"/>
      <c r="AL145" s="123"/>
      <c r="AM145" s="160"/>
      <c r="AN145" s="160"/>
    </row>
    <row r="146" spans="1:40" x14ac:dyDescent="0.3">
      <c r="C146" s="42"/>
      <c r="F146" s="123"/>
      <c r="H146" s="123"/>
      <c r="I146" s="123"/>
      <c r="J146" s="219"/>
      <c r="K146" s="219"/>
      <c r="L146" s="123"/>
      <c r="M146" s="123"/>
      <c r="N146" s="160"/>
      <c r="O146" s="160"/>
      <c r="P146" s="123"/>
      <c r="Q146" s="123"/>
      <c r="R146" s="123"/>
      <c r="T146" s="42"/>
      <c r="V146" s="123"/>
      <c r="Y146" s="123"/>
      <c r="Z146" s="219"/>
      <c r="AA146" s="123"/>
      <c r="AB146" s="123"/>
      <c r="AC146" s="160"/>
      <c r="AD146" s="160"/>
      <c r="AE146" s="123"/>
      <c r="AF146" s="123"/>
      <c r="AH146" s="236"/>
      <c r="AI146" s="123"/>
      <c r="AJ146" s="123"/>
      <c r="AL146" s="123"/>
      <c r="AM146" s="160"/>
      <c r="AN146" s="160"/>
    </row>
    <row r="147" spans="1:40" x14ac:dyDescent="0.3">
      <c r="F147" s="210"/>
      <c r="H147" s="210"/>
      <c r="I147" s="210"/>
      <c r="J147" s="213"/>
      <c r="K147" s="213"/>
      <c r="L147" s="210"/>
      <c r="M147" s="210"/>
      <c r="N147" s="210"/>
      <c r="O147" s="210"/>
      <c r="P147" s="210"/>
      <c r="Q147" s="210"/>
      <c r="R147" s="210"/>
      <c r="V147" s="210"/>
      <c r="Y147" s="210"/>
      <c r="Z147" s="213"/>
      <c r="AA147" s="210"/>
      <c r="AB147" s="210"/>
      <c r="AC147" s="210"/>
      <c r="AD147" s="210"/>
      <c r="AE147" s="210"/>
      <c r="AF147" s="210"/>
      <c r="AI147" s="210"/>
      <c r="AJ147" s="210"/>
      <c r="AK147" s="214"/>
      <c r="AL147" s="210"/>
      <c r="AM147" s="123"/>
      <c r="AN147" s="123"/>
    </row>
    <row r="148" spans="1:40" x14ac:dyDescent="0.3">
      <c r="F148" s="123"/>
      <c r="H148" s="123"/>
      <c r="I148" s="123"/>
      <c r="J148" s="219"/>
      <c r="K148" s="219"/>
      <c r="L148" s="123"/>
      <c r="M148" s="123"/>
      <c r="N148" s="123"/>
      <c r="O148" s="123"/>
      <c r="P148" s="123"/>
      <c r="Q148" s="123"/>
      <c r="R148" s="123"/>
      <c r="V148" s="123"/>
      <c r="Y148" s="123"/>
      <c r="Z148" s="219"/>
      <c r="AA148" s="123"/>
      <c r="AB148" s="123"/>
      <c r="AC148" s="123"/>
      <c r="AD148" s="123"/>
    </row>
    <row r="149" spans="1:40" x14ac:dyDescent="0.3">
      <c r="C149" s="42"/>
      <c r="F149" s="123"/>
      <c r="H149" s="123"/>
      <c r="I149" s="123"/>
      <c r="J149" s="219"/>
      <c r="K149" s="219"/>
      <c r="L149" s="123"/>
      <c r="M149" s="123"/>
      <c r="N149" s="123"/>
      <c r="O149" s="123"/>
      <c r="P149" s="123"/>
      <c r="Q149" s="123"/>
      <c r="R149" s="123"/>
      <c r="T149" s="42"/>
      <c r="V149" s="123"/>
      <c r="Y149" s="123"/>
      <c r="Z149" s="219"/>
      <c r="AA149" s="123"/>
      <c r="AB149" s="123"/>
      <c r="AC149" s="123"/>
      <c r="AD149" s="123"/>
    </row>
    <row r="150" spans="1:40" x14ac:dyDescent="0.3">
      <c r="A150" s="42"/>
    </row>
    <row r="152" spans="1:40" x14ac:dyDescent="0.3">
      <c r="H152" s="42"/>
      <c r="I152" s="42"/>
      <c r="Y152" s="42"/>
    </row>
    <row r="154" spans="1:40" x14ac:dyDescent="0.3">
      <c r="L154" s="42"/>
      <c r="M154" s="42"/>
      <c r="AA154" s="42"/>
      <c r="AB154" s="42"/>
    </row>
    <row r="155" spans="1:40" x14ac:dyDescent="0.3">
      <c r="R155" s="42"/>
      <c r="AK155" s="206"/>
      <c r="AL155" s="42"/>
    </row>
    <row r="156" spans="1:40" x14ac:dyDescent="0.3">
      <c r="R156" s="42"/>
      <c r="AK156" s="206"/>
      <c r="AL156" s="42"/>
    </row>
    <row r="157" spans="1:40" x14ac:dyDescent="0.3">
      <c r="A157" s="42"/>
      <c r="R157" s="42"/>
      <c r="AK157" s="206"/>
      <c r="AL157" s="42"/>
    </row>
    <row r="158" spans="1:40" x14ac:dyDescent="0.3">
      <c r="L158" s="42"/>
      <c r="M158" s="42"/>
      <c r="AA158" s="42"/>
      <c r="AB158" s="42"/>
    </row>
    <row r="159" spans="1:40" x14ac:dyDescent="0.3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207"/>
      <c r="AH159" s="135"/>
      <c r="AI159" s="135"/>
      <c r="AJ159" s="135"/>
      <c r="AK159" s="207"/>
      <c r="AL159" s="135"/>
      <c r="AM159" s="135"/>
      <c r="AN159" s="135"/>
    </row>
    <row r="160" spans="1:40" x14ac:dyDescent="0.3">
      <c r="L160" s="44"/>
      <c r="M160" s="44"/>
      <c r="N160" s="44"/>
      <c r="O160" s="44"/>
      <c r="R160" s="44"/>
      <c r="AA160" s="44"/>
      <c r="AB160" s="44"/>
      <c r="AC160" s="44"/>
      <c r="AD160" s="44"/>
      <c r="AE160" s="44"/>
      <c r="AF160" s="44"/>
      <c r="AG160" s="168"/>
      <c r="AH160" s="44"/>
      <c r="AK160" s="168"/>
      <c r="AL160" s="44"/>
      <c r="AM160" s="44"/>
      <c r="AN160" s="44"/>
    </row>
    <row r="161" spans="1:40" x14ac:dyDescent="0.3">
      <c r="L161" s="44"/>
      <c r="M161" s="44"/>
      <c r="N161" s="44"/>
      <c r="O161" s="44"/>
      <c r="R161" s="44"/>
      <c r="Z161" s="44"/>
      <c r="AA161" s="44"/>
      <c r="AB161" s="44"/>
      <c r="AC161" s="44"/>
      <c r="AD161" s="44"/>
      <c r="AE161" s="44"/>
      <c r="AF161" s="44"/>
      <c r="AG161" s="168"/>
      <c r="AH161" s="44"/>
      <c r="AK161" s="168"/>
      <c r="AL161" s="44"/>
      <c r="AM161" s="44"/>
      <c r="AN161" s="44"/>
    </row>
    <row r="162" spans="1:40" x14ac:dyDescent="0.3">
      <c r="A162" s="44"/>
      <c r="C162" s="44"/>
      <c r="D162" s="44"/>
      <c r="E162" s="44"/>
      <c r="F162" s="44"/>
      <c r="J162" s="44"/>
      <c r="K162" s="44"/>
      <c r="L162" s="44"/>
      <c r="M162" s="44"/>
      <c r="N162" s="44"/>
      <c r="O162" s="44"/>
      <c r="P162" s="44"/>
      <c r="Q162" s="44"/>
      <c r="R162" s="44"/>
      <c r="T162" s="44"/>
      <c r="U162" s="44"/>
      <c r="V162" s="44"/>
      <c r="Z162" s="44"/>
      <c r="AA162" s="44"/>
      <c r="AB162" s="44"/>
      <c r="AC162" s="44"/>
      <c r="AD162" s="44"/>
      <c r="AE162" s="44"/>
      <c r="AF162" s="44"/>
      <c r="AG162" s="168"/>
      <c r="AH162" s="44"/>
      <c r="AI162" s="44"/>
      <c r="AJ162" s="44"/>
      <c r="AK162" s="168"/>
      <c r="AL162" s="44"/>
      <c r="AM162" s="44"/>
      <c r="AN162" s="44"/>
    </row>
    <row r="163" spans="1:40" x14ac:dyDescent="0.3">
      <c r="A163" s="44"/>
      <c r="C163" s="44"/>
      <c r="D163" s="44"/>
      <c r="E163" s="44"/>
      <c r="F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T163" s="44"/>
      <c r="U163" s="44"/>
      <c r="V163" s="44"/>
      <c r="Y163" s="44"/>
      <c r="Z163" s="44"/>
      <c r="AA163" s="44"/>
      <c r="AB163" s="44"/>
      <c r="AC163" s="44"/>
      <c r="AD163" s="44"/>
      <c r="AE163" s="44"/>
      <c r="AF163" s="44"/>
      <c r="AG163" s="168"/>
      <c r="AH163" s="44"/>
      <c r="AI163" s="44"/>
      <c r="AJ163" s="44"/>
      <c r="AK163" s="168"/>
      <c r="AL163" s="44"/>
      <c r="AM163" s="44"/>
      <c r="AN163" s="44"/>
    </row>
    <row r="164" spans="1:40" x14ac:dyDescent="0.3">
      <c r="C164" s="44"/>
      <c r="D164" s="44"/>
      <c r="E164" s="44"/>
      <c r="F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T164" s="44"/>
      <c r="U164" s="44"/>
      <c r="V164" s="44"/>
      <c r="Y164" s="44"/>
      <c r="Z164" s="44"/>
      <c r="AA164" s="44"/>
      <c r="AB164" s="44"/>
      <c r="AC164" s="44"/>
      <c r="AD164" s="44"/>
      <c r="AE164" s="44"/>
      <c r="AF164" s="44"/>
      <c r="AG164" s="168"/>
      <c r="AH164" s="44"/>
      <c r="AI164" s="44"/>
      <c r="AJ164" s="44"/>
      <c r="AK164" s="168"/>
      <c r="AL164" s="44"/>
      <c r="AM164" s="44"/>
      <c r="AN164" s="44"/>
    </row>
    <row r="165" spans="1:40" x14ac:dyDescent="0.3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207"/>
      <c r="AH165" s="135"/>
      <c r="AI165" s="135"/>
      <c r="AJ165" s="135"/>
      <c r="AK165" s="207"/>
      <c r="AL165" s="135"/>
      <c r="AM165" s="135"/>
      <c r="AN165" s="135"/>
    </row>
    <row r="166" spans="1:40" x14ac:dyDescent="0.3"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Y166" s="44"/>
      <c r="Z166" s="44"/>
      <c r="AA166" s="44"/>
      <c r="AB166" s="44"/>
      <c r="AC166" s="44"/>
      <c r="AD166" s="44"/>
      <c r="AE166" s="44"/>
      <c r="AF166" s="44"/>
      <c r="AG166" s="168"/>
      <c r="AH166" s="44"/>
      <c r="AI166" s="44"/>
      <c r="AJ166" s="44"/>
      <c r="AK166" s="168"/>
      <c r="AL166" s="44"/>
      <c r="AM166" s="44"/>
      <c r="AN166" s="44"/>
    </row>
    <row r="167" spans="1:40" x14ac:dyDescent="0.3">
      <c r="C167" s="42"/>
      <c r="D167" s="42"/>
      <c r="E167" s="42"/>
      <c r="T167" s="42"/>
      <c r="U167" s="42"/>
    </row>
    <row r="169" spans="1:40" x14ac:dyDescent="0.3">
      <c r="C169" s="42"/>
      <c r="F169" s="184"/>
      <c r="H169" s="222"/>
      <c r="I169" s="222"/>
      <c r="J169" s="193"/>
      <c r="K169" s="193"/>
      <c r="L169" s="123"/>
      <c r="M169" s="123"/>
      <c r="R169" s="123"/>
      <c r="T169" s="42"/>
      <c r="V169" s="123"/>
      <c r="Z169" s="193"/>
      <c r="AA169" s="123"/>
      <c r="AB169" s="123"/>
      <c r="AE169" s="123"/>
      <c r="AF169" s="123"/>
      <c r="AG169" s="233"/>
      <c r="AH169" s="234"/>
      <c r="AI169" s="123"/>
      <c r="AJ169" s="123"/>
      <c r="AL169" s="123"/>
      <c r="AM169" s="235"/>
      <c r="AN169" s="235"/>
    </row>
    <row r="170" spans="1:40" x14ac:dyDescent="0.3">
      <c r="F170" s="184"/>
      <c r="H170" s="222"/>
      <c r="I170" s="222"/>
      <c r="J170" s="222"/>
      <c r="K170" s="222"/>
      <c r="R170" s="123"/>
      <c r="V170" s="123"/>
      <c r="Z170" s="222"/>
    </row>
    <row r="171" spans="1:40" x14ac:dyDescent="0.3">
      <c r="C171" s="42"/>
      <c r="F171" s="184"/>
      <c r="H171" s="184"/>
      <c r="I171" s="184"/>
      <c r="J171" s="227"/>
      <c r="K171" s="227"/>
      <c r="L171" s="123"/>
      <c r="M171" s="123"/>
      <c r="N171" s="160"/>
      <c r="O171" s="160"/>
      <c r="P171" s="184"/>
      <c r="Q171" s="184"/>
      <c r="R171" s="123"/>
      <c r="T171" s="42"/>
      <c r="V171" s="123"/>
      <c r="Y171" s="123"/>
      <c r="Z171" s="212"/>
      <c r="AA171" s="123"/>
      <c r="AB171" s="123"/>
      <c r="AC171" s="160"/>
      <c r="AD171" s="160"/>
      <c r="AE171" s="123"/>
      <c r="AF171" s="123"/>
      <c r="AH171" s="236"/>
      <c r="AI171" s="184"/>
      <c r="AJ171" s="184"/>
      <c r="AL171" s="123"/>
      <c r="AM171" s="160"/>
      <c r="AN171" s="160"/>
    </row>
    <row r="172" spans="1:40" x14ac:dyDescent="0.3">
      <c r="F172" s="210"/>
      <c r="H172" s="210"/>
      <c r="I172" s="210"/>
      <c r="J172" s="213"/>
      <c r="K172" s="213"/>
      <c r="L172" s="210"/>
      <c r="M172" s="210"/>
      <c r="N172" s="210"/>
      <c r="O172" s="210"/>
      <c r="P172" s="210"/>
      <c r="Q172" s="210"/>
      <c r="R172" s="210"/>
      <c r="V172" s="210"/>
      <c r="Y172" s="210"/>
      <c r="Z172" s="213"/>
      <c r="AA172" s="210"/>
      <c r="AB172" s="210"/>
      <c r="AC172" s="210"/>
      <c r="AD172" s="210"/>
      <c r="AE172" s="210"/>
      <c r="AF172" s="210"/>
      <c r="AI172" s="210"/>
      <c r="AJ172" s="210"/>
      <c r="AK172" s="214"/>
      <c r="AL172" s="210"/>
    </row>
    <row r="173" spans="1:40" x14ac:dyDescent="0.3">
      <c r="D173" s="42"/>
      <c r="E173" s="42"/>
      <c r="F173" s="123"/>
      <c r="H173" s="123"/>
      <c r="I173" s="123"/>
      <c r="J173" s="219"/>
      <c r="K173" s="219"/>
      <c r="L173" s="123"/>
      <c r="M173" s="123"/>
      <c r="N173" s="160"/>
      <c r="O173" s="160"/>
      <c r="P173" s="123"/>
      <c r="Q173" s="123"/>
      <c r="R173" s="123"/>
      <c r="U173" s="42"/>
      <c r="V173" s="123"/>
      <c r="Y173" s="123"/>
      <c r="Z173" s="219"/>
      <c r="AA173" s="123"/>
      <c r="AB173" s="123"/>
      <c r="AC173" s="160"/>
      <c r="AD173" s="160"/>
      <c r="AE173" s="123"/>
      <c r="AF173" s="123"/>
      <c r="AH173" s="236"/>
      <c r="AI173" s="123"/>
      <c r="AJ173" s="123"/>
      <c r="AL173" s="123"/>
      <c r="AM173" s="160"/>
      <c r="AN173" s="160"/>
    </row>
    <row r="174" spans="1:40" x14ac:dyDescent="0.3">
      <c r="F174" s="210"/>
      <c r="H174" s="210"/>
      <c r="I174" s="210"/>
      <c r="J174" s="213"/>
      <c r="K174" s="213"/>
      <c r="L174" s="210"/>
      <c r="M174" s="210"/>
      <c r="N174" s="210"/>
      <c r="O174" s="210"/>
      <c r="P174" s="210"/>
      <c r="Q174" s="210"/>
      <c r="R174" s="210"/>
      <c r="V174" s="210"/>
      <c r="Y174" s="210"/>
      <c r="Z174" s="213"/>
      <c r="AA174" s="210"/>
      <c r="AB174" s="210"/>
      <c r="AC174" s="210"/>
      <c r="AD174" s="210"/>
      <c r="AE174" s="210"/>
      <c r="AF174" s="210"/>
      <c r="AI174" s="210"/>
      <c r="AJ174" s="210"/>
      <c r="AK174" s="214"/>
      <c r="AL174" s="210"/>
    </row>
    <row r="175" spans="1:40" x14ac:dyDescent="0.3">
      <c r="R175" s="123"/>
    </row>
    <row r="176" spans="1:40" x14ac:dyDescent="0.3">
      <c r="R176" s="123"/>
    </row>
    <row r="177" spans="1:40" x14ac:dyDescent="0.3">
      <c r="R177" s="123"/>
    </row>
    <row r="178" spans="1:40" x14ac:dyDescent="0.3">
      <c r="C178" s="42"/>
      <c r="D178" s="42"/>
      <c r="E178" s="42"/>
      <c r="H178" s="123"/>
      <c r="I178" s="123"/>
      <c r="J178" s="219"/>
      <c r="K178" s="219"/>
      <c r="L178" s="123"/>
      <c r="M178" s="123"/>
      <c r="N178" s="160"/>
      <c r="O178" s="160"/>
      <c r="P178" s="123"/>
      <c r="Q178" s="123"/>
      <c r="R178" s="123"/>
      <c r="T178" s="42"/>
      <c r="U178" s="42"/>
      <c r="Y178" s="123"/>
      <c r="Z178" s="219"/>
      <c r="AA178" s="123"/>
      <c r="AB178" s="123"/>
      <c r="AC178" s="160"/>
      <c r="AD178" s="160"/>
    </row>
    <row r="179" spans="1:40" x14ac:dyDescent="0.3">
      <c r="H179" s="123"/>
      <c r="I179" s="123"/>
      <c r="J179" s="219"/>
      <c r="K179" s="219"/>
      <c r="L179" s="123"/>
      <c r="M179" s="123"/>
      <c r="N179" s="160"/>
      <c r="O179" s="160"/>
      <c r="P179" s="123"/>
      <c r="Q179" s="123"/>
      <c r="R179" s="123"/>
      <c r="Y179" s="123"/>
      <c r="Z179" s="219"/>
      <c r="AA179" s="123"/>
      <c r="AB179" s="123"/>
      <c r="AC179" s="160"/>
      <c r="AD179" s="160"/>
    </row>
    <row r="180" spans="1:40" x14ac:dyDescent="0.3">
      <c r="C180" s="42"/>
      <c r="F180" s="184"/>
      <c r="H180" s="184"/>
      <c r="I180" s="184"/>
      <c r="J180" s="240"/>
      <c r="K180" s="240"/>
      <c r="L180" s="184"/>
      <c r="M180" s="184"/>
      <c r="N180" s="160"/>
      <c r="O180" s="160"/>
      <c r="P180" s="123"/>
      <c r="Q180" s="123"/>
      <c r="R180" s="123"/>
      <c r="T180" s="42"/>
      <c r="V180" s="123"/>
      <c r="Y180" s="123"/>
      <c r="Z180" s="240"/>
      <c r="AA180" s="123"/>
      <c r="AB180" s="123"/>
      <c r="AC180" s="160"/>
      <c r="AD180" s="160"/>
      <c r="AE180" s="123"/>
      <c r="AF180" s="123"/>
      <c r="AH180" s="236"/>
      <c r="AI180" s="123"/>
      <c r="AJ180" s="123"/>
      <c r="AL180" s="123"/>
      <c r="AM180" s="160"/>
      <c r="AN180" s="160"/>
    </row>
    <row r="181" spans="1:40" x14ac:dyDescent="0.3">
      <c r="F181" s="184"/>
      <c r="H181" s="222"/>
      <c r="I181" s="222"/>
      <c r="J181" s="222"/>
      <c r="K181" s="222"/>
      <c r="R181" s="123"/>
      <c r="V181" s="123"/>
      <c r="Z181" s="222"/>
    </row>
    <row r="182" spans="1:40" x14ac:dyDescent="0.3">
      <c r="C182" s="42"/>
      <c r="F182" s="184"/>
      <c r="H182" s="184"/>
      <c r="I182" s="184"/>
      <c r="J182" s="193"/>
      <c r="K182" s="193"/>
      <c r="L182" s="123"/>
      <c r="M182" s="123"/>
      <c r="N182" s="160"/>
      <c r="O182" s="160"/>
      <c r="P182" s="123"/>
      <c r="Q182" s="123"/>
      <c r="R182" s="123"/>
      <c r="T182" s="42"/>
      <c r="V182" s="123"/>
      <c r="Y182" s="123"/>
      <c r="Z182" s="193"/>
      <c r="AA182" s="123"/>
      <c r="AB182" s="123"/>
      <c r="AC182" s="160"/>
      <c r="AD182" s="160"/>
      <c r="AE182" s="123"/>
      <c r="AF182" s="123"/>
      <c r="AH182" s="236"/>
      <c r="AI182" s="123"/>
      <c r="AJ182" s="123"/>
      <c r="AL182" s="123"/>
      <c r="AM182" s="160"/>
      <c r="AN182" s="160"/>
    </row>
    <row r="183" spans="1:40" x14ac:dyDescent="0.3">
      <c r="F183" s="184"/>
      <c r="H183" s="222"/>
      <c r="I183" s="222"/>
      <c r="J183" s="222"/>
      <c r="K183" s="222"/>
      <c r="R183" s="123"/>
      <c r="V183" s="123"/>
      <c r="Z183" s="222"/>
    </row>
    <row r="184" spans="1:40" x14ac:dyDescent="0.3">
      <c r="C184" s="42"/>
      <c r="F184" s="184"/>
      <c r="H184" s="184"/>
      <c r="I184" s="184"/>
      <c r="J184" s="227"/>
      <c r="K184" s="227"/>
      <c r="L184" s="123"/>
      <c r="M184" s="123"/>
      <c r="N184" s="160"/>
      <c r="O184" s="160"/>
      <c r="P184" s="123"/>
      <c r="Q184" s="123"/>
      <c r="R184" s="123"/>
      <c r="T184" s="42"/>
      <c r="V184" s="123"/>
      <c r="Y184" s="123"/>
      <c r="Z184" s="212"/>
      <c r="AA184" s="123"/>
      <c r="AB184" s="123"/>
      <c r="AC184" s="160"/>
      <c r="AD184" s="160"/>
      <c r="AE184" s="123"/>
      <c r="AF184" s="123"/>
      <c r="AH184" s="236"/>
      <c r="AI184" s="123"/>
      <c r="AJ184" s="123"/>
      <c r="AL184" s="123"/>
      <c r="AM184" s="160"/>
      <c r="AN184" s="160"/>
    </row>
    <row r="185" spans="1:40" x14ac:dyDescent="0.3">
      <c r="F185" s="210"/>
      <c r="H185" s="210"/>
      <c r="I185" s="210"/>
      <c r="J185" s="213"/>
      <c r="K185" s="213"/>
      <c r="L185" s="210"/>
      <c r="M185" s="210"/>
      <c r="N185" s="210"/>
      <c r="O185" s="210"/>
      <c r="P185" s="210"/>
      <c r="Q185" s="210"/>
      <c r="R185" s="210"/>
      <c r="S185" s="123"/>
      <c r="V185" s="210"/>
      <c r="Y185" s="210"/>
      <c r="Z185" s="213"/>
      <c r="AA185" s="210"/>
      <c r="AB185" s="210"/>
      <c r="AC185" s="210"/>
      <c r="AD185" s="210"/>
      <c r="AE185" s="210"/>
      <c r="AF185" s="210"/>
      <c r="AI185" s="210"/>
      <c r="AJ185" s="210"/>
      <c r="AK185" s="214"/>
      <c r="AL185" s="210"/>
    </row>
    <row r="186" spans="1:40" x14ac:dyDescent="0.3">
      <c r="D186" s="42"/>
      <c r="E186" s="42"/>
      <c r="F186" s="123"/>
      <c r="H186" s="123"/>
      <c r="I186" s="123"/>
      <c r="J186" s="219"/>
      <c r="K186" s="219"/>
      <c r="L186" s="123"/>
      <c r="M186" s="123"/>
      <c r="N186" s="160"/>
      <c r="O186" s="160"/>
      <c r="P186" s="184"/>
      <c r="Q186" s="184"/>
      <c r="R186" s="123"/>
      <c r="S186" s="123"/>
      <c r="U186" s="42"/>
      <c r="V186" s="123"/>
      <c r="Y186" s="123"/>
      <c r="Z186" s="219"/>
      <c r="AA186" s="123"/>
      <c r="AB186" s="123"/>
      <c r="AC186" s="160"/>
      <c r="AD186" s="160"/>
      <c r="AE186" s="123"/>
      <c r="AF186" s="123"/>
      <c r="AH186" s="236"/>
      <c r="AI186" s="184"/>
      <c r="AJ186" s="184"/>
      <c r="AL186" s="123"/>
      <c r="AM186" s="160"/>
      <c r="AN186" s="160"/>
    </row>
    <row r="187" spans="1:40" x14ac:dyDescent="0.3">
      <c r="F187" s="210"/>
      <c r="H187" s="210"/>
      <c r="I187" s="210"/>
      <c r="J187" s="213"/>
      <c r="K187" s="213"/>
      <c r="L187" s="210"/>
      <c r="M187" s="210"/>
      <c r="N187" s="210"/>
      <c r="O187" s="210"/>
      <c r="P187" s="210"/>
      <c r="Q187" s="210"/>
      <c r="R187" s="210"/>
      <c r="S187" s="123"/>
      <c r="V187" s="210"/>
      <c r="Y187" s="210"/>
      <c r="Z187" s="213"/>
      <c r="AA187" s="210"/>
      <c r="AB187" s="210"/>
      <c r="AC187" s="210"/>
      <c r="AD187" s="210"/>
      <c r="AE187" s="210"/>
      <c r="AF187" s="210"/>
      <c r="AI187" s="210"/>
      <c r="AJ187" s="210"/>
      <c r="AK187" s="214"/>
      <c r="AL187" s="210"/>
    </row>
    <row r="188" spans="1:40" x14ac:dyDescent="0.3">
      <c r="R188" s="123"/>
    </row>
    <row r="189" spans="1:40" x14ac:dyDescent="0.3">
      <c r="F189" s="123"/>
      <c r="H189" s="123"/>
      <c r="I189" s="123"/>
      <c r="J189" s="219"/>
      <c r="K189" s="219"/>
      <c r="L189" s="123"/>
      <c r="M189" s="123"/>
      <c r="N189" s="123"/>
      <c r="O189" s="123"/>
      <c r="P189" s="123"/>
      <c r="Q189" s="123"/>
      <c r="R189" s="123"/>
      <c r="V189" s="123"/>
      <c r="Y189" s="123"/>
      <c r="Z189" s="219"/>
      <c r="AA189" s="123"/>
      <c r="AB189" s="123"/>
      <c r="AC189" s="123"/>
      <c r="AD189" s="123"/>
    </row>
    <row r="190" spans="1:40" x14ac:dyDescent="0.3">
      <c r="C190" s="42"/>
      <c r="F190" s="123"/>
      <c r="H190" s="123"/>
      <c r="I190" s="123"/>
      <c r="J190" s="219"/>
      <c r="K190" s="219"/>
      <c r="L190" s="123"/>
      <c r="M190" s="123"/>
      <c r="N190" s="123"/>
      <c r="O190" s="123"/>
      <c r="P190" s="123"/>
      <c r="Q190" s="123"/>
      <c r="R190" s="123"/>
      <c r="T190" s="42"/>
      <c r="V190" s="123"/>
      <c r="Y190" s="123"/>
      <c r="Z190" s="219"/>
      <c r="AA190" s="123"/>
      <c r="AB190" s="123"/>
      <c r="AC190" s="123"/>
      <c r="AD190" s="123"/>
    </row>
    <row r="191" spans="1:40" x14ac:dyDescent="0.3">
      <c r="C191" s="42"/>
      <c r="T191" s="42"/>
    </row>
    <row r="192" spans="1:40" x14ac:dyDescent="0.3">
      <c r="A192" s="42"/>
    </row>
    <row r="195" spans="1:40" x14ac:dyDescent="0.3">
      <c r="H195" s="42"/>
      <c r="I195" s="42"/>
      <c r="Y195" s="42"/>
    </row>
    <row r="197" spans="1:40" x14ac:dyDescent="0.3">
      <c r="L197" s="42"/>
      <c r="M197" s="42"/>
      <c r="AA197" s="42"/>
      <c r="AB197" s="42"/>
    </row>
    <row r="198" spans="1:40" x14ac:dyDescent="0.3">
      <c r="R198" s="42"/>
      <c r="AK198" s="206"/>
      <c r="AL198" s="42"/>
    </row>
    <row r="199" spans="1:40" x14ac:dyDescent="0.3">
      <c r="R199" s="42"/>
      <c r="AK199" s="206"/>
      <c r="AL199" s="42"/>
    </row>
    <row r="200" spans="1:40" x14ac:dyDescent="0.3">
      <c r="A200" s="42"/>
      <c r="R200" s="42"/>
      <c r="AK200" s="206"/>
      <c r="AL200" s="42"/>
    </row>
    <row r="201" spans="1:40" x14ac:dyDescent="0.3">
      <c r="L201" s="42"/>
      <c r="M201" s="42"/>
      <c r="AA201" s="42"/>
      <c r="AB201" s="42"/>
    </row>
    <row r="202" spans="1:40" x14ac:dyDescent="0.3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207"/>
      <c r="AH202" s="135"/>
      <c r="AI202" s="135"/>
      <c r="AJ202" s="135"/>
      <c r="AK202" s="207"/>
      <c r="AL202" s="135"/>
      <c r="AM202" s="135"/>
      <c r="AN202" s="135"/>
    </row>
    <row r="203" spans="1:40" x14ac:dyDescent="0.3">
      <c r="L203" s="44"/>
      <c r="M203" s="44"/>
      <c r="N203" s="44"/>
      <c r="O203" s="44"/>
      <c r="R203" s="44"/>
      <c r="AA203" s="44"/>
      <c r="AB203" s="44"/>
      <c r="AC203" s="44"/>
      <c r="AD203" s="44"/>
      <c r="AE203" s="44"/>
      <c r="AF203" s="44"/>
      <c r="AG203" s="168"/>
      <c r="AH203" s="44"/>
      <c r="AK203" s="168"/>
      <c r="AL203" s="44"/>
      <c r="AM203" s="44"/>
      <c r="AN203" s="44"/>
    </row>
    <row r="204" spans="1:40" x14ac:dyDescent="0.3">
      <c r="L204" s="44"/>
      <c r="M204" s="44"/>
      <c r="N204" s="44"/>
      <c r="O204" s="44"/>
      <c r="R204" s="44"/>
      <c r="Z204" s="44"/>
      <c r="AA204" s="44"/>
      <c r="AB204" s="44"/>
      <c r="AC204" s="44"/>
      <c r="AD204" s="44"/>
      <c r="AE204" s="44"/>
      <c r="AF204" s="44"/>
      <c r="AG204" s="168"/>
      <c r="AH204" s="44"/>
      <c r="AK204" s="168"/>
      <c r="AL204" s="44"/>
      <c r="AM204" s="44"/>
      <c r="AN204" s="44"/>
    </row>
    <row r="205" spans="1:40" x14ac:dyDescent="0.3">
      <c r="A205" s="44"/>
      <c r="C205" s="44"/>
      <c r="D205" s="44"/>
      <c r="E205" s="44"/>
      <c r="F205" s="44"/>
      <c r="J205" s="44"/>
      <c r="K205" s="44"/>
      <c r="L205" s="44"/>
      <c r="M205" s="44"/>
      <c r="N205" s="44"/>
      <c r="O205" s="44"/>
      <c r="P205" s="44"/>
      <c r="Q205" s="44"/>
      <c r="R205" s="44"/>
      <c r="T205" s="44"/>
      <c r="U205" s="44"/>
      <c r="V205" s="44"/>
      <c r="Z205" s="44"/>
      <c r="AA205" s="44"/>
      <c r="AB205" s="44"/>
      <c r="AC205" s="44"/>
      <c r="AD205" s="44"/>
      <c r="AE205" s="44"/>
      <c r="AF205" s="44"/>
      <c r="AG205" s="168"/>
      <c r="AH205" s="44"/>
      <c r="AI205" s="44"/>
      <c r="AJ205" s="44"/>
      <c r="AK205" s="168"/>
      <c r="AL205" s="44"/>
      <c r="AM205" s="44"/>
      <c r="AN205" s="44"/>
    </row>
    <row r="206" spans="1:40" x14ac:dyDescent="0.3">
      <c r="A206" s="44"/>
      <c r="C206" s="44"/>
      <c r="D206" s="44"/>
      <c r="E206" s="44"/>
      <c r="F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T206" s="44"/>
      <c r="U206" s="44"/>
      <c r="V206" s="44"/>
      <c r="Y206" s="44"/>
      <c r="Z206" s="44"/>
      <c r="AA206" s="44"/>
      <c r="AB206" s="44"/>
      <c r="AC206" s="44"/>
      <c r="AD206" s="44"/>
      <c r="AE206" s="44"/>
      <c r="AF206" s="44"/>
      <c r="AG206" s="168"/>
      <c r="AH206" s="44"/>
      <c r="AI206" s="44"/>
      <c r="AJ206" s="44"/>
      <c r="AK206" s="168"/>
      <c r="AL206" s="44"/>
      <c r="AM206" s="44"/>
      <c r="AN206" s="44"/>
    </row>
    <row r="207" spans="1:40" x14ac:dyDescent="0.3">
      <c r="C207" s="44"/>
      <c r="D207" s="44"/>
      <c r="E207" s="44"/>
      <c r="F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T207" s="44"/>
      <c r="U207" s="44"/>
      <c r="V207" s="44"/>
      <c r="Y207" s="44"/>
      <c r="Z207" s="44"/>
      <c r="AA207" s="44"/>
      <c r="AB207" s="44"/>
      <c r="AC207" s="44"/>
      <c r="AD207" s="44"/>
      <c r="AE207" s="44"/>
      <c r="AF207" s="44"/>
      <c r="AG207" s="168"/>
      <c r="AH207" s="44"/>
      <c r="AI207" s="44"/>
      <c r="AJ207" s="44"/>
      <c r="AK207" s="168"/>
      <c r="AL207" s="44"/>
      <c r="AM207" s="44"/>
      <c r="AN207" s="44"/>
    </row>
    <row r="208" spans="1:40" x14ac:dyDescent="0.3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207"/>
      <c r="AH208" s="135"/>
      <c r="AI208" s="135"/>
      <c r="AJ208" s="135"/>
      <c r="AK208" s="207"/>
      <c r="AL208" s="135"/>
      <c r="AM208" s="135"/>
      <c r="AN208" s="135"/>
    </row>
    <row r="209" spans="3:40" x14ac:dyDescent="0.3"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Y209" s="44"/>
      <c r="Z209" s="44"/>
      <c r="AA209" s="44"/>
      <c r="AB209" s="44"/>
      <c r="AC209" s="44"/>
      <c r="AD209" s="44"/>
      <c r="AE209" s="44"/>
      <c r="AF209" s="44"/>
      <c r="AG209" s="168"/>
      <c r="AH209" s="44"/>
      <c r="AI209" s="44"/>
      <c r="AJ209" s="44"/>
      <c r="AK209" s="168"/>
      <c r="AL209" s="44"/>
      <c r="AM209" s="44"/>
      <c r="AN209" s="44"/>
    </row>
    <row r="210" spans="3:40" x14ac:dyDescent="0.3">
      <c r="C210" s="42"/>
      <c r="D210" s="42"/>
      <c r="E210" s="42"/>
      <c r="T210" s="42"/>
      <c r="U210" s="42"/>
    </row>
    <row r="211" spans="3:40" x14ac:dyDescent="0.3">
      <c r="D211" s="42"/>
      <c r="E211" s="42"/>
      <c r="U211" s="42"/>
    </row>
    <row r="213" spans="3:40" x14ac:dyDescent="0.3">
      <c r="C213" s="42"/>
      <c r="F213" s="123"/>
      <c r="J213" s="209"/>
      <c r="K213" s="209"/>
      <c r="L213" s="123"/>
      <c r="M213" s="123"/>
      <c r="R213" s="123"/>
      <c r="T213" s="42"/>
      <c r="V213" s="123"/>
      <c r="Z213" s="209"/>
      <c r="AA213" s="123"/>
      <c r="AB213" s="123"/>
      <c r="AL213" s="123"/>
    </row>
    <row r="214" spans="3:40" x14ac:dyDescent="0.3">
      <c r="F214" s="123"/>
      <c r="R214" s="123"/>
      <c r="V214" s="123"/>
      <c r="AL214" s="123"/>
    </row>
    <row r="215" spans="3:40" x14ac:dyDescent="0.3">
      <c r="C215" s="42"/>
      <c r="F215" s="184"/>
      <c r="H215" s="184"/>
      <c r="I215" s="184"/>
      <c r="J215" s="193"/>
      <c r="K215" s="193"/>
      <c r="L215" s="123"/>
      <c r="M215" s="123"/>
      <c r="N215" s="160"/>
      <c r="O215" s="160"/>
      <c r="P215" s="123"/>
      <c r="Q215" s="123"/>
      <c r="R215" s="123"/>
      <c r="T215" s="42"/>
      <c r="V215" s="123"/>
      <c r="Y215" s="123"/>
      <c r="Z215" s="193"/>
      <c r="AA215" s="123"/>
      <c r="AB215" s="123"/>
      <c r="AC215" s="160"/>
      <c r="AD215" s="160"/>
      <c r="AE215" s="123"/>
      <c r="AF215" s="123"/>
      <c r="AH215" s="236"/>
      <c r="AI215" s="123"/>
      <c r="AJ215" s="123"/>
      <c r="AL215" s="123"/>
      <c r="AM215" s="160"/>
      <c r="AN215" s="160"/>
    </row>
    <row r="216" spans="3:40" x14ac:dyDescent="0.3">
      <c r="C216" s="42"/>
      <c r="F216" s="184"/>
      <c r="H216" s="222"/>
      <c r="I216" s="222"/>
      <c r="J216" s="193"/>
      <c r="K216" s="193"/>
      <c r="L216" s="123"/>
      <c r="M216" s="123"/>
      <c r="N216" s="160"/>
      <c r="O216" s="160"/>
      <c r="P216" s="123"/>
      <c r="Q216" s="123"/>
      <c r="R216" s="123"/>
      <c r="T216" s="42"/>
      <c r="V216" s="123"/>
      <c r="Y216" s="123"/>
      <c r="Z216" s="193"/>
      <c r="AA216" s="123"/>
      <c r="AB216" s="123"/>
      <c r="AC216" s="160"/>
      <c r="AD216" s="160"/>
      <c r="AE216" s="123"/>
      <c r="AF216" s="123"/>
      <c r="AH216" s="236"/>
      <c r="AI216" s="123"/>
      <c r="AJ216" s="123"/>
      <c r="AL216" s="123"/>
      <c r="AM216" s="160"/>
      <c r="AN216" s="160"/>
    </row>
    <row r="217" spans="3:40" x14ac:dyDescent="0.3">
      <c r="F217" s="210"/>
      <c r="H217" s="123"/>
      <c r="I217" s="123"/>
      <c r="J217" s="213"/>
      <c r="K217" s="213"/>
      <c r="L217" s="210"/>
      <c r="M217" s="210"/>
      <c r="N217" s="210"/>
      <c r="O217" s="210"/>
      <c r="P217" s="210"/>
      <c r="Q217" s="210"/>
      <c r="R217" s="210"/>
      <c r="V217" s="210"/>
      <c r="Y217" s="123"/>
      <c r="Z217" s="213"/>
      <c r="AA217" s="210"/>
      <c r="AB217" s="210"/>
      <c r="AC217" s="210"/>
      <c r="AD217" s="210"/>
      <c r="AE217" s="210"/>
      <c r="AF217" s="210"/>
      <c r="AI217" s="210"/>
      <c r="AJ217" s="210"/>
      <c r="AK217" s="214"/>
      <c r="AL217" s="210"/>
    </row>
    <row r="218" spans="3:40" x14ac:dyDescent="0.3">
      <c r="C218" s="42"/>
      <c r="F218" s="123"/>
      <c r="H218" s="123"/>
      <c r="I218" s="123"/>
      <c r="J218" s="219"/>
      <c r="K218" s="219"/>
      <c r="L218" s="123"/>
      <c r="M218" s="123"/>
      <c r="N218" s="160"/>
      <c r="O218" s="160"/>
      <c r="P218" s="123"/>
      <c r="Q218" s="123"/>
      <c r="R218" s="123"/>
      <c r="T218" s="42"/>
      <c r="V218" s="123"/>
      <c r="Y218" s="123"/>
      <c r="Z218" s="219"/>
      <c r="AA218" s="123"/>
      <c r="AB218" s="123"/>
      <c r="AC218" s="160"/>
      <c r="AD218" s="160"/>
      <c r="AE218" s="123"/>
      <c r="AF218" s="123"/>
      <c r="AH218" s="236"/>
      <c r="AI218" s="123"/>
      <c r="AJ218" s="123"/>
      <c r="AL218" s="123"/>
      <c r="AM218" s="160"/>
      <c r="AN218" s="160"/>
    </row>
    <row r="219" spans="3:40" x14ac:dyDescent="0.3">
      <c r="F219" s="210"/>
      <c r="H219" s="123"/>
      <c r="I219" s="123"/>
      <c r="J219" s="213"/>
      <c r="K219" s="213"/>
      <c r="L219" s="210"/>
      <c r="M219" s="210"/>
      <c r="N219" s="210"/>
      <c r="O219" s="210"/>
      <c r="P219" s="210"/>
      <c r="Q219" s="210"/>
      <c r="R219" s="210"/>
      <c r="V219" s="210"/>
      <c r="Y219" s="123"/>
      <c r="Z219" s="213"/>
      <c r="AA219" s="210"/>
      <c r="AB219" s="210"/>
      <c r="AC219" s="210"/>
      <c r="AD219" s="210"/>
      <c r="AE219" s="210"/>
      <c r="AF219" s="210"/>
      <c r="AI219" s="210"/>
      <c r="AJ219" s="210"/>
      <c r="AK219" s="214"/>
      <c r="AL219" s="210"/>
    </row>
    <row r="220" spans="3:40" x14ac:dyDescent="0.3">
      <c r="F220" s="123"/>
      <c r="R220" s="123"/>
      <c r="V220" s="123"/>
      <c r="AL220" s="123"/>
    </row>
    <row r="221" spans="3:40" x14ac:dyDescent="0.3">
      <c r="C221" s="42"/>
      <c r="F221" s="123"/>
      <c r="R221" s="123"/>
      <c r="T221" s="42"/>
      <c r="V221" s="123"/>
      <c r="AL221" s="123"/>
    </row>
    <row r="222" spans="3:40" x14ac:dyDescent="0.3">
      <c r="F222" s="123"/>
      <c r="R222" s="123"/>
      <c r="V222" s="123"/>
      <c r="AL222" s="123"/>
    </row>
    <row r="223" spans="3:40" x14ac:dyDescent="0.3">
      <c r="C223" s="42"/>
      <c r="F223" s="123"/>
      <c r="H223" s="184"/>
      <c r="I223" s="184"/>
      <c r="J223" s="227"/>
      <c r="K223" s="227"/>
      <c r="L223" s="123"/>
      <c r="M223" s="123"/>
      <c r="N223" s="160"/>
      <c r="O223" s="160"/>
      <c r="P223" s="184"/>
      <c r="Q223" s="184"/>
      <c r="R223" s="123"/>
      <c r="T223" s="42"/>
      <c r="V223" s="123"/>
      <c r="Y223" s="123"/>
      <c r="Z223" s="212"/>
      <c r="AA223" s="123"/>
      <c r="AB223" s="123"/>
      <c r="AC223" s="160"/>
      <c r="AD223" s="160"/>
      <c r="AE223" s="123"/>
      <c r="AF223" s="123"/>
      <c r="AH223" s="236"/>
      <c r="AI223" s="184"/>
      <c r="AJ223" s="184"/>
      <c r="AL223" s="123"/>
      <c r="AM223" s="160"/>
      <c r="AN223" s="160"/>
    </row>
    <row r="224" spans="3:40" x14ac:dyDescent="0.3">
      <c r="H224" s="210"/>
      <c r="I224" s="210"/>
      <c r="J224" s="213"/>
      <c r="K224" s="213"/>
      <c r="L224" s="210"/>
      <c r="M224" s="210"/>
      <c r="N224" s="210"/>
      <c r="O224" s="210"/>
      <c r="P224" s="210"/>
      <c r="Q224" s="210"/>
      <c r="R224" s="210"/>
      <c r="V224" s="210"/>
      <c r="Y224" s="210"/>
      <c r="Z224" s="213"/>
      <c r="AA224" s="210"/>
      <c r="AB224" s="210"/>
      <c r="AC224" s="210"/>
      <c r="AD224" s="210"/>
      <c r="AE224" s="210"/>
      <c r="AF224" s="210"/>
      <c r="AI224" s="210"/>
      <c r="AJ224" s="210"/>
      <c r="AK224" s="214"/>
      <c r="AL224" s="210"/>
    </row>
    <row r="225" spans="1:40" x14ac:dyDescent="0.3">
      <c r="F225" s="210"/>
    </row>
    <row r="226" spans="1:40" x14ac:dyDescent="0.3">
      <c r="C226" s="42"/>
      <c r="F226" s="123"/>
      <c r="H226" s="123"/>
      <c r="I226" s="123"/>
      <c r="J226" s="209"/>
      <c r="K226" s="209"/>
      <c r="L226" s="123"/>
      <c r="M226" s="123"/>
      <c r="N226" s="160"/>
      <c r="O226" s="160"/>
      <c r="P226" s="123"/>
      <c r="Q226" s="123"/>
      <c r="R226" s="123"/>
      <c r="T226" s="42"/>
      <c r="V226" s="123"/>
      <c r="Y226" s="123"/>
      <c r="Z226" s="209"/>
      <c r="AA226" s="123"/>
      <c r="AB226" s="123"/>
      <c r="AC226" s="160"/>
      <c r="AD226" s="160"/>
      <c r="AE226" s="123"/>
      <c r="AF226" s="123"/>
      <c r="AH226" s="236"/>
      <c r="AI226" s="123"/>
      <c r="AJ226" s="123"/>
      <c r="AL226" s="123"/>
      <c r="AM226" s="160"/>
      <c r="AN226" s="160"/>
    </row>
    <row r="227" spans="1:40" x14ac:dyDescent="0.3">
      <c r="F227" s="210"/>
      <c r="H227" s="210"/>
      <c r="I227" s="210"/>
      <c r="J227" s="213"/>
      <c r="K227" s="213"/>
      <c r="L227" s="210"/>
      <c r="M227" s="210"/>
      <c r="N227" s="210"/>
      <c r="O227" s="210"/>
      <c r="P227" s="210"/>
      <c r="Q227" s="210"/>
      <c r="R227" s="210"/>
      <c r="V227" s="210"/>
      <c r="Y227" s="210"/>
      <c r="Z227" s="213"/>
      <c r="AA227" s="210"/>
      <c r="AB227" s="210"/>
      <c r="AC227" s="210"/>
      <c r="AD227" s="210"/>
      <c r="AE227" s="210"/>
      <c r="AF227" s="210"/>
      <c r="AI227" s="210"/>
      <c r="AJ227" s="210"/>
      <c r="AK227" s="214"/>
      <c r="AL227" s="210"/>
    </row>
    <row r="228" spans="1:40" x14ac:dyDescent="0.3">
      <c r="R228" s="123"/>
      <c r="AH228" s="123"/>
    </row>
    <row r="229" spans="1:40" x14ac:dyDescent="0.3">
      <c r="F229" s="123"/>
      <c r="H229" s="123"/>
      <c r="I229" s="123"/>
      <c r="J229" s="219"/>
      <c r="K229" s="219"/>
      <c r="L229" s="123"/>
      <c r="M229" s="123"/>
      <c r="N229" s="123"/>
      <c r="O229" s="123"/>
      <c r="P229" s="123"/>
      <c r="Q229" s="123"/>
      <c r="R229" s="123"/>
      <c r="V229" s="123"/>
      <c r="Y229" s="123"/>
      <c r="Z229" s="219"/>
      <c r="AA229" s="123"/>
      <c r="AB229" s="123"/>
      <c r="AC229" s="123"/>
      <c r="AD229" s="123"/>
      <c r="AE229" s="123"/>
      <c r="AF229" s="123"/>
      <c r="AH229" s="123"/>
    </row>
    <row r="230" spans="1:40" x14ac:dyDescent="0.3">
      <c r="C230" s="42"/>
      <c r="F230" s="123"/>
      <c r="H230" s="123"/>
      <c r="I230" s="123"/>
      <c r="J230" s="219"/>
      <c r="K230" s="219"/>
      <c r="L230" s="123"/>
      <c r="M230" s="123"/>
      <c r="N230" s="123"/>
      <c r="O230" s="123"/>
      <c r="P230" s="123"/>
      <c r="Q230" s="123"/>
      <c r="R230" s="123"/>
      <c r="T230" s="42"/>
      <c r="V230" s="123"/>
      <c r="Y230" s="123"/>
      <c r="Z230" s="219"/>
      <c r="AA230" s="123"/>
      <c r="AB230" s="123"/>
      <c r="AC230" s="123"/>
      <c r="AD230" s="123"/>
      <c r="AE230" s="123"/>
      <c r="AF230" s="123"/>
      <c r="AH230" s="123"/>
    </row>
    <row r="231" spans="1:40" x14ac:dyDescent="0.3">
      <c r="A231" s="42"/>
    </row>
    <row r="234" spans="1:40" x14ac:dyDescent="0.3">
      <c r="H234" s="42"/>
      <c r="I234" s="42"/>
      <c r="Y234" s="42"/>
    </row>
    <row r="236" spans="1:40" x14ac:dyDescent="0.3">
      <c r="L236" s="42"/>
      <c r="M236" s="42"/>
      <c r="AA236" s="42"/>
      <c r="AB236" s="42"/>
    </row>
    <row r="237" spans="1:40" x14ac:dyDescent="0.3">
      <c r="R237" s="42"/>
      <c r="AK237" s="206"/>
      <c r="AL237" s="42"/>
    </row>
    <row r="238" spans="1:40" x14ac:dyDescent="0.3">
      <c r="R238" s="42"/>
      <c r="AK238" s="206"/>
      <c r="AL238" s="42"/>
    </row>
    <row r="239" spans="1:40" x14ac:dyDescent="0.3">
      <c r="A239" s="42"/>
      <c r="R239" s="42"/>
      <c r="AK239" s="206"/>
      <c r="AL239" s="42"/>
    </row>
    <row r="240" spans="1:40" x14ac:dyDescent="0.3">
      <c r="L240" s="42"/>
      <c r="M240" s="42"/>
      <c r="AA240" s="42"/>
      <c r="AB240" s="42"/>
    </row>
    <row r="241" spans="1:40" x14ac:dyDescent="0.3">
      <c r="A241" s="135"/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207"/>
      <c r="AH241" s="135"/>
      <c r="AI241" s="135"/>
      <c r="AJ241" s="135"/>
      <c r="AK241" s="207"/>
      <c r="AL241" s="135"/>
      <c r="AM241" s="135"/>
      <c r="AN241" s="135"/>
    </row>
    <row r="242" spans="1:40" x14ac:dyDescent="0.3">
      <c r="L242" s="44"/>
      <c r="M242" s="44"/>
      <c r="N242" s="44"/>
      <c r="O242" s="44"/>
      <c r="R242" s="44"/>
      <c r="AA242" s="44"/>
      <c r="AB242" s="44"/>
      <c r="AC242" s="44"/>
      <c r="AD242" s="44"/>
      <c r="AE242" s="44"/>
      <c r="AF242" s="44"/>
      <c r="AG242" s="168"/>
      <c r="AH242" s="44"/>
      <c r="AK242" s="168"/>
      <c r="AL242" s="44"/>
      <c r="AM242" s="44"/>
      <c r="AN242" s="44"/>
    </row>
    <row r="243" spans="1:40" x14ac:dyDescent="0.3">
      <c r="L243" s="44"/>
      <c r="M243" s="44"/>
      <c r="N243" s="44"/>
      <c r="O243" s="44"/>
      <c r="R243" s="44"/>
      <c r="Z243" s="44"/>
      <c r="AA243" s="44"/>
      <c r="AB243" s="44"/>
      <c r="AC243" s="44"/>
      <c r="AD243" s="44"/>
      <c r="AE243" s="44"/>
      <c r="AF243" s="44"/>
      <c r="AG243" s="168"/>
      <c r="AH243" s="44"/>
      <c r="AK243" s="168"/>
      <c r="AL243" s="44"/>
      <c r="AM243" s="44"/>
      <c r="AN243" s="44"/>
    </row>
    <row r="244" spans="1:40" x14ac:dyDescent="0.3">
      <c r="A244" s="44"/>
      <c r="C244" s="44"/>
      <c r="D244" s="44"/>
      <c r="E244" s="44"/>
      <c r="F244" s="44"/>
      <c r="J244" s="44"/>
      <c r="K244" s="44"/>
      <c r="L244" s="44"/>
      <c r="M244" s="44"/>
      <c r="N244" s="44"/>
      <c r="O244" s="44"/>
      <c r="P244" s="44"/>
      <c r="Q244" s="44"/>
      <c r="R244" s="44"/>
      <c r="T244" s="44"/>
      <c r="U244" s="44"/>
      <c r="V244" s="44"/>
      <c r="Z244" s="44"/>
      <c r="AA244" s="44"/>
      <c r="AB244" s="44"/>
      <c r="AC244" s="44"/>
      <c r="AD244" s="44"/>
      <c r="AE244" s="44"/>
      <c r="AF244" s="44"/>
      <c r="AG244" s="168"/>
      <c r="AH244" s="44"/>
      <c r="AI244" s="44"/>
      <c r="AJ244" s="44"/>
      <c r="AK244" s="168"/>
      <c r="AL244" s="44"/>
      <c r="AM244" s="44"/>
      <c r="AN244" s="44"/>
    </row>
    <row r="245" spans="1:40" x14ac:dyDescent="0.3">
      <c r="A245" s="44"/>
      <c r="C245" s="44"/>
      <c r="D245" s="44"/>
      <c r="E245" s="44"/>
      <c r="F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T245" s="44"/>
      <c r="U245" s="44"/>
      <c r="V245" s="44"/>
      <c r="Y245" s="44"/>
      <c r="Z245" s="44"/>
      <c r="AA245" s="44"/>
      <c r="AB245" s="44"/>
      <c r="AC245" s="44"/>
      <c r="AD245" s="44"/>
      <c r="AE245" s="44"/>
      <c r="AF245" s="44"/>
      <c r="AG245" s="168"/>
      <c r="AH245" s="44"/>
      <c r="AI245" s="44"/>
      <c r="AJ245" s="44"/>
      <c r="AK245" s="168"/>
      <c r="AL245" s="44"/>
      <c r="AM245" s="44"/>
      <c r="AN245" s="44"/>
    </row>
    <row r="246" spans="1:40" x14ac:dyDescent="0.3">
      <c r="C246" s="44"/>
      <c r="D246" s="44"/>
      <c r="E246" s="44"/>
      <c r="F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T246" s="44"/>
      <c r="U246" s="44"/>
      <c r="V246" s="44"/>
      <c r="Y246" s="44"/>
      <c r="Z246" s="44"/>
      <c r="AA246" s="44"/>
      <c r="AB246" s="44"/>
      <c r="AC246" s="44"/>
      <c r="AD246" s="44"/>
      <c r="AE246" s="44"/>
      <c r="AF246" s="44"/>
      <c r="AG246" s="168"/>
      <c r="AH246" s="44"/>
      <c r="AI246" s="44"/>
      <c r="AJ246" s="44"/>
      <c r="AK246" s="168"/>
      <c r="AL246" s="44"/>
      <c r="AM246" s="44"/>
      <c r="AN246" s="44"/>
    </row>
    <row r="247" spans="1:40" x14ac:dyDescent="0.3">
      <c r="A247" s="135"/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207"/>
      <c r="AH247" s="135"/>
      <c r="AI247" s="135"/>
      <c r="AJ247" s="135"/>
      <c r="AK247" s="207"/>
      <c r="AL247" s="135"/>
      <c r="AM247" s="135"/>
      <c r="AN247" s="135"/>
    </row>
    <row r="248" spans="1:40" x14ac:dyDescent="0.3"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Y248" s="44"/>
      <c r="Z248" s="44"/>
      <c r="AA248" s="44"/>
      <c r="AB248" s="44"/>
      <c r="AC248" s="44"/>
      <c r="AD248" s="44"/>
      <c r="AE248" s="44"/>
      <c r="AF248" s="44"/>
      <c r="AG248" s="168"/>
      <c r="AH248" s="44"/>
      <c r="AI248" s="44"/>
      <c r="AJ248" s="44"/>
      <c r="AK248" s="168"/>
      <c r="AL248" s="44"/>
      <c r="AM248" s="44"/>
      <c r="AN248" s="44"/>
    </row>
    <row r="249" spans="1:40" x14ac:dyDescent="0.3">
      <c r="C249" s="42"/>
      <c r="D249" s="42"/>
      <c r="E249" s="42"/>
      <c r="T249" s="42"/>
      <c r="U249" s="42"/>
    </row>
    <row r="250" spans="1:40" x14ac:dyDescent="0.3">
      <c r="C250" s="42"/>
      <c r="T250" s="42"/>
    </row>
    <row r="252" spans="1:40" x14ac:dyDescent="0.3">
      <c r="C252" s="42"/>
      <c r="F252" s="184"/>
      <c r="H252" s="184"/>
      <c r="I252" s="184"/>
      <c r="J252" s="193"/>
      <c r="K252" s="193"/>
      <c r="L252" s="123"/>
      <c r="M252" s="123"/>
      <c r="N252" s="160"/>
      <c r="O252" s="160"/>
      <c r="R252" s="123"/>
      <c r="T252" s="42"/>
      <c r="V252" s="123"/>
      <c r="Y252" s="184"/>
      <c r="Z252" s="193"/>
      <c r="AA252" s="123"/>
      <c r="AB252" s="123"/>
      <c r="AC252" s="160"/>
      <c r="AD252" s="160"/>
      <c r="AE252" s="123"/>
      <c r="AF252" s="123"/>
      <c r="AH252" s="236"/>
      <c r="AL252" s="123"/>
      <c r="AM252" s="160"/>
      <c r="AN252" s="160"/>
    </row>
    <row r="253" spans="1:40" x14ac:dyDescent="0.3">
      <c r="F253" s="210"/>
      <c r="H253" s="123"/>
      <c r="I253" s="123"/>
      <c r="J253" s="213"/>
      <c r="K253" s="213"/>
      <c r="L253" s="210"/>
      <c r="M253" s="210"/>
      <c r="N253" s="210"/>
      <c r="O253" s="210"/>
      <c r="P253" s="210"/>
      <c r="Q253" s="210"/>
      <c r="R253" s="210"/>
      <c r="V253" s="210"/>
      <c r="Y253" s="123"/>
      <c r="Z253" s="213"/>
      <c r="AA253" s="210"/>
      <c r="AB253" s="210"/>
      <c r="AC253" s="210"/>
      <c r="AD253" s="210"/>
      <c r="AE253" s="210"/>
      <c r="AF253" s="210"/>
      <c r="AI253" s="210"/>
      <c r="AJ253" s="210"/>
      <c r="AK253" s="214"/>
      <c r="AL253" s="210"/>
      <c r="AM253" s="160"/>
      <c r="AN253" s="160"/>
    </row>
    <row r="254" spans="1:40" x14ac:dyDescent="0.3">
      <c r="C254" s="42"/>
      <c r="F254" s="184"/>
      <c r="H254" s="184"/>
      <c r="I254" s="184"/>
      <c r="J254" s="237"/>
      <c r="K254" s="237"/>
      <c r="L254" s="123"/>
      <c r="M254" s="123"/>
      <c r="N254" s="160"/>
      <c r="O254" s="160"/>
      <c r="P254" s="123"/>
      <c r="Q254" s="123"/>
      <c r="R254" s="123"/>
      <c r="S254" s="123"/>
      <c r="T254" s="42"/>
      <c r="V254" s="184"/>
      <c r="Y254" s="184"/>
      <c r="Z254" s="237"/>
      <c r="AA254" s="123"/>
      <c r="AB254" s="123"/>
      <c r="AC254" s="160"/>
      <c r="AD254" s="160"/>
      <c r="AE254" s="123"/>
      <c r="AF254" s="123"/>
      <c r="AH254" s="160"/>
      <c r="AI254" s="123"/>
      <c r="AJ254" s="123"/>
      <c r="AL254" s="123"/>
      <c r="AM254" s="160"/>
      <c r="AN254" s="160"/>
    </row>
    <row r="255" spans="1:40" x14ac:dyDescent="0.3">
      <c r="C255" s="42"/>
      <c r="F255" s="184"/>
      <c r="H255" s="184"/>
      <c r="I255" s="184"/>
      <c r="J255" s="193"/>
      <c r="K255" s="193"/>
      <c r="L255" s="123"/>
      <c r="M255" s="123"/>
      <c r="N255" s="160"/>
      <c r="O255" s="160"/>
      <c r="P255" s="123"/>
      <c r="Q255" s="123"/>
      <c r="R255" s="123"/>
      <c r="T255" s="42"/>
      <c r="V255" s="184"/>
      <c r="Y255" s="123"/>
      <c r="Z255" s="193"/>
      <c r="AA255" s="123"/>
      <c r="AB255" s="123"/>
      <c r="AC255" s="160"/>
      <c r="AD255" s="160"/>
      <c r="AE255" s="123"/>
      <c r="AF255" s="123"/>
      <c r="AH255" s="236"/>
      <c r="AI255" s="123"/>
      <c r="AJ255" s="123"/>
      <c r="AL255" s="123"/>
      <c r="AM255" s="160"/>
      <c r="AN255" s="160"/>
    </row>
    <row r="256" spans="1:40" x14ac:dyDescent="0.3">
      <c r="C256" s="42"/>
      <c r="F256" s="184"/>
      <c r="H256" s="184"/>
      <c r="I256" s="184"/>
      <c r="J256" s="193"/>
      <c r="K256" s="193"/>
      <c r="L256" s="123"/>
      <c r="M256" s="123"/>
      <c r="N256" s="160"/>
      <c r="O256" s="160"/>
      <c r="P256" s="123"/>
      <c r="Q256" s="123"/>
      <c r="R256" s="123"/>
      <c r="T256" s="42"/>
      <c r="V256" s="184"/>
      <c r="Y256" s="123"/>
      <c r="Z256" s="193"/>
      <c r="AA256" s="123"/>
      <c r="AB256" s="123"/>
      <c r="AC256" s="160"/>
      <c r="AD256" s="160"/>
      <c r="AE256" s="123"/>
      <c r="AF256" s="123"/>
      <c r="AH256" s="236"/>
      <c r="AI256" s="123"/>
      <c r="AJ256" s="123"/>
      <c r="AL256" s="123"/>
      <c r="AM256" s="160"/>
      <c r="AN256" s="160"/>
    </row>
    <row r="257" spans="3:40" x14ac:dyDescent="0.3">
      <c r="F257" s="210"/>
      <c r="H257" s="210"/>
      <c r="I257" s="210"/>
      <c r="J257" s="213"/>
      <c r="K257" s="213"/>
      <c r="L257" s="210"/>
      <c r="M257" s="210"/>
      <c r="N257" s="210"/>
      <c r="O257" s="210"/>
      <c r="P257" s="210"/>
      <c r="Q257" s="210"/>
      <c r="R257" s="210"/>
      <c r="V257" s="210"/>
      <c r="Y257" s="210"/>
      <c r="Z257" s="213"/>
      <c r="AA257" s="210"/>
      <c r="AB257" s="210"/>
      <c r="AC257" s="210"/>
      <c r="AD257" s="210"/>
      <c r="AE257" s="210"/>
      <c r="AF257" s="210"/>
      <c r="AI257" s="210"/>
      <c r="AJ257" s="210"/>
      <c r="AK257" s="214"/>
      <c r="AL257" s="210"/>
      <c r="AM257" s="160"/>
      <c r="AN257" s="160"/>
    </row>
    <row r="258" spans="3:40" x14ac:dyDescent="0.3">
      <c r="C258" s="42"/>
      <c r="F258" s="123"/>
      <c r="H258" s="123"/>
      <c r="I258" s="123"/>
      <c r="J258" s="219"/>
      <c r="K258" s="219"/>
      <c r="L258" s="123"/>
      <c r="M258" s="123"/>
      <c r="N258" s="160"/>
      <c r="O258" s="160"/>
      <c r="P258" s="123"/>
      <c r="Q258" s="123"/>
      <c r="R258" s="123"/>
      <c r="T258" s="42"/>
      <c r="V258" s="123"/>
      <c r="Y258" s="123"/>
      <c r="Z258" s="219"/>
      <c r="AA258" s="123"/>
      <c r="AB258" s="123"/>
      <c r="AC258" s="160"/>
      <c r="AD258" s="160"/>
      <c r="AE258" s="123"/>
      <c r="AF258" s="123"/>
      <c r="AH258" s="236"/>
      <c r="AI258" s="123"/>
      <c r="AJ258" s="123"/>
      <c r="AL258" s="123"/>
      <c r="AM258" s="160"/>
      <c r="AN258" s="160"/>
    </row>
    <row r="259" spans="3:40" x14ac:dyDescent="0.3">
      <c r="F259" s="210"/>
      <c r="H259" s="210"/>
      <c r="I259" s="210"/>
      <c r="J259" s="213"/>
      <c r="K259" s="213"/>
      <c r="L259" s="210"/>
      <c r="M259" s="210"/>
      <c r="N259" s="210"/>
      <c r="O259" s="210"/>
      <c r="P259" s="210"/>
      <c r="Q259" s="210"/>
      <c r="R259" s="210"/>
      <c r="V259" s="210"/>
      <c r="Y259" s="210"/>
      <c r="Z259" s="213"/>
      <c r="AA259" s="210"/>
      <c r="AB259" s="210"/>
      <c r="AC259" s="210"/>
      <c r="AD259" s="210"/>
      <c r="AE259" s="210"/>
      <c r="AF259" s="210"/>
      <c r="AI259" s="210"/>
      <c r="AJ259" s="210"/>
      <c r="AK259" s="214"/>
      <c r="AL259" s="210"/>
      <c r="AM259" s="160"/>
      <c r="AN259" s="160"/>
    </row>
    <row r="260" spans="3:40" x14ac:dyDescent="0.3">
      <c r="C260" s="42"/>
      <c r="F260" s="123"/>
      <c r="H260" s="123"/>
      <c r="I260" s="123"/>
      <c r="J260" s="219"/>
      <c r="K260" s="219"/>
      <c r="L260" s="123"/>
      <c r="M260" s="123"/>
      <c r="N260" s="160"/>
      <c r="O260" s="160"/>
      <c r="P260" s="123"/>
      <c r="Q260" s="123"/>
      <c r="R260" s="123"/>
      <c r="T260" s="42"/>
      <c r="V260" s="123"/>
      <c r="Y260" s="123"/>
      <c r="Z260" s="219"/>
      <c r="AA260" s="123"/>
      <c r="AB260" s="123"/>
      <c r="AC260" s="160"/>
      <c r="AD260" s="160"/>
      <c r="AE260" s="123"/>
      <c r="AF260" s="123"/>
      <c r="AH260" s="236"/>
      <c r="AI260" s="123"/>
      <c r="AJ260" s="123"/>
      <c r="AL260" s="123"/>
      <c r="AM260" s="160"/>
      <c r="AN260" s="160"/>
    </row>
    <row r="261" spans="3:40" x14ac:dyDescent="0.3">
      <c r="C261" s="42"/>
      <c r="F261" s="123"/>
      <c r="H261" s="184"/>
      <c r="I261" s="184"/>
      <c r="J261" s="227"/>
      <c r="K261" s="227"/>
      <c r="L261" s="123"/>
      <c r="M261" s="123"/>
      <c r="N261" s="160"/>
      <c r="O261" s="160"/>
      <c r="P261" s="123"/>
      <c r="Q261" s="123"/>
      <c r="R261" s="123"/>
      <c r="T261" s="42"/>
      <c r="V261" s="123"/>
      <c r="Y261" s="123"/>
      <c r="Z261" s="212"/>
      <c r="AA261" s="123"/>
      <c r="AB261" s="123"/>
      <c r="AC261" s="160"/>
      <c r="AD261" s="160"/>
      <c r="AE261" s="123"/>
      <c r="AF261" s="123"/>
      <c r="AH261" s="236"/>
      <c r="AI261" s="123"/>
      <c r="AJ261" s="123"/>
      <c r="AL261" s="123"/>
      <c r="AM261" s="160"/>
      <c r="AN261" s="160"/>
    </row>
    <row r="262" spans="3:40" x14ac:dyDescent="0.3">
      <c r="H262" s="210"/>
      <c r="I262" s="210"/>
      <c r="J262" s="213"/>
      <c r="K262" s="213"/>
      <c r="L262" s="210"/>
      <c r="M262" s="210"/>
      <c r="N262" s="210"/>
      <c r="O262" s="210"/>
      <c r="P262" s="210"/>
      <c r="Q262" s="210"/>
      <c r="R262" s="210"/>
      <c r="V262" s="210"/>
      <c r="Y262" s="210"/>
      <c r="Z262" s="213"/>
      <c r="AA262" s="210"/>
      <c r="AB262" s="210"/>
      <c r="AC262" s="210"/>
      <c r="AD262" s="210"/>
      <c r="AE262" s="210"/>
      <c r="AF262" s="210"/>
      <c r="AI262" s="210"/>
      <c r="AJ262" s="210"/>
      <c r="AK262" s="214"/>
      <c r="AL262" s="210"/>
      <c r="AM262" s="160"/>
      <c r="AN262" s="160"/>
    </row>
    <row r="263" spans="3:40" x14ac:dyDescent="0.3">
      <c r="F263" s="210"/>
    </row>
    <row r="264" spans="3:40" x14ac:dyDescent="0.3">
      <c r="C264" s="42"/>
      <c r="F264" s="123"/>
      <c r="H264" s="123"/>
      <c r="I264" s="123"/>
      <c r="J264" s="213"/>
      <c r="K264" s="213"/>
      <c r="L264" s="123"/>
      <c r="M264" s="123"/>
      <c r="N264" s="160"/>
      <c r="O264" s="160"/>
      <c r="P264" s="123"/>
      <c r="Q264" s="123"/>
      <c r="R264" s="123"/>
      <c r="S264" s="123"/>
      <c r="T264" s="42"/>
      <c r="V264" s="123"/>
      <c r="Y264" s="123"/>
      <c r="Z264" s="213"/>
      <c r="AA264" s="123"/>
      <c r="AB264" s="123"/>
      <c r="AC264" s="160"/>
      <c r="AD264" s="160"/>
      <c r="AE264" s="123"/>
      <c r="AF264" s="123"/>
      <c r="AH264" s="160"/>
      <c r="AI264" s="123"/>
      <c r="AJ264" s="123"/>
      <c r="AL264" s="123"/>
      <c r="AM264" s="160"/>
      <c r="AN264" s="160"/>
    </row>
    <row r="265" spans="3:40" x14ac:dyDescent="0.3">
      <c r="F265" s="210"/>
      <c r="H265" s="210"/>
      <c r="I265" s="210"/>
      <c r="J265" s="213"/>
      <c r="K265" s="213"/>
      <c r="L265" s="210"/>
      <c r="M265" s="210"/>
      <c r="N265" s="210"/>
      <c r="O265" s="210"/>
      <c r="P265" s="210"/>
      <c r="Q265" s="210"/>
      <c r="R265" s="210"/>
      <c r="S265" s="123"/>
      <c r="V265" s="210"/>
      <c r="Y265" s="210"/>
      <c r="Z265" s="213"/>
      <c r="AA265" s="210"/>
      <c r="AB265" s="210"/>
      <c r="AC265" s="210"/>
      <c r="AD265" s="210"/>
      <c r="AE265" s="210"/>
      <c r="AF265" s="210"/>
      <c r="AI265" s="210"/>
      <c r="AJ265" s="210"/>
      <c r="AK265" s="214"/>
      <c r="AL265" s="210"/>
      <c r="AM265" s="160"/>
      <c r="AN265" s="160"/>
    </row>
    <row r="266" spans="3:40" x14ac:dyDescent="0.3">
      <c r="C266" s="42"/>
      <c r="H266" s="184"/>
      <c r="I266" s="184"/>
      <c r="J266" s="213"/>
      <c r="K266" s="213"/>
      <c r="L266" s="123"/>
      <c r="M266" s="123"/>
      <c r="N266" s="160"/>
      <c r="O266" s="160"/>
      <c r="P266" s="123"/>
      <c r="Q266" s="123"/>
      <c r="R266" s="123"/>
      <c r="S266" s="123"/>
      <c r="T266" s="42"/>
      <c r="V266" s="184"/>
      <c r="Y266" s="184"/>
      <c r="Z266" s="213"/>
      <c r="AA266" s="123"/>
      <c r="AB266" s="123"/>
      <c r="AC266" s="160"/>
      <c r="AD266" s="160"/>
      <c r="AE266" s="123"/>
      <c r="AF266" s="123"/>
      <c r="AI266" s="123"/>
      <c r="AJ266" s="123"/>
      <c r="AL266" s="123"/>
      <c r="AM266" s="160"/>
      <c r="AN266" s="160"/>
    </row>
    <row r="267" spans="3:40" x14ac:dyDescent="0.3">
      <c r="F267" s="184"/>
    </row>
    <row r="268" spans="3:40" x14ac:dyDescent="0.3">
      <c r="C268" s="42"/>
      <c r="F268" s="184"/>
      <c r="H268" s="184"/>
      <c r="I268" s="184"/>
      <c r="J268" s="193"/>
      <c r="K268" s="193"/>
      <c r="L268" s="123"/>
      <c r="M268" s="123"/>
      <c r="N268" s="160"/>
      <c r="O268" s="160"/>
      <c r="R268" s="123"/>
      <c r="T268" s="42"/>
      <c r="V268" s="123"/>
      <c r="Y268" s="184"/>
      <c r="Z268" s="193"/>
      <c r="AA268" s="123"/>
      <c r="AB268" s="123"/>
      <c r="AC268" s="160"/>
      <c r="AD268" s="160"/>
      <c r="AE268" s="123"/>
      <c r="AF268" s="123"/>
      <c r="AH268" s="236"/>
      <c r="AL268" s="123"/>
      <c r="AM268" s="160"/>
      <c r="AN268" s="160"/>
    </row>
    <row r="269" spans="3:40" x14ac:dyDescent="0.3">
      <c r="F269" s="210"/>
      <c r="H269" s="123"/>
      <c r="I269" s="123"/>
      <c r="J269" s="213"/>
      <c r="K269" s="213"/>
      <c r="L269" s="210"/>
      <c r="M269" s="210"/>
      <c r="N269" s="210"/>
      <c r="O269" s="210"/>
      <c r="P269" s="210"/>
      <c r="Q269" s="210"/>
      <c r="R269" s="210"/>
      <c r="V269" s="210"/>
      <c r="Y269" s="123"/>
      <c r="Z269" s="213"/>
      <c r="AA269" s="210"/>
      <c r="AB269" s="210"/>
      <c r="AC269" s="210"/>
      <c r="AD269" s="210"/>
      <c r="AE269" s="210"/>
      <c r="AF269" s="210"/>
      <c r="AI269" s="210"/>
      <c r="AJ269" s="210"/>
      <c r="AK269" s="214"/>
      <c r="AL269" s="210"/>
      <c r="AM269" s="160"/>
      <c r="AN269" s="160"/>
    </row>
    <row r="270" spans="3:40" x14ac:dyDescent="0.3">
      <c r="C270" s="42"/>
      <c r="F270" s="184"/>
      <c r="H270" s="184"/>
      <c r="I270" s="184"/>
      <c r="J270" s="237"/>
      <c r="K270" s="237"/>
      <c r="L270" s="123"/>
      <c r="M270" s="123"/>
      <c r="N270" s="160"/>
      <c r="O270" s="160"/>
      <c r="P270" s="123"/>
      <c r="Q270" s="123"/>
      <c r="R270" s="123"/>
      <c r="S270" s="123"/>
      <c r="T270" s="42"/>
      <c r="V270" s="184"/>
      <c r="Y270" s="184"/>
      <c r="Z270" s="237"/>
      <c r="AA270" s="123"/>
      <c r="AB270" s="123"/>
      <c r="AC270" s="160"/>
      <c r="AD270" s="160"/>
      <c r="AE270" s="123"/>
      <c r="AF270" s="123"/>
      <c r="AH270" s="160"/>
      <c r="AI270" s="123"/>
      <c r="AJ270" s="123"/>
      <c r="AL270" s="123"/>
      <c r="AM270" s="160"/>
      <c r="AN270" s="160"/>
    </row>
    <row r="271" spans="3:40" x14ac:dyDescent="0.3">
      <c r="C271" s="42"/>
      <c r="F271" s="184"/>
      <c r="H271" s="184"/>
      <c r="I271" s="184"/>
      <c r="J271" s="193"/>
      <c r="K271" s="193"/>
      <c r="L271" s="123"/>
      <c r="M271" s="123"/>
      <c r="N271" s="160"/>
      <c r="O271" s="160"/>
      <c r="P271" s="123"/>
      <c r="Q271" s="123"/>
      <c r="R271" s="123"/>
      <c r="T271" s="42"/>
      <c r="V271" s="184"/>
      <c r="Y271" s="123"/>
      <c r="Z271" s="193"/>
      <c r="AA271" s="123"/>
      <c r="AB271" s="123"/>
      <c r="AC271" s="160"/>
      <c r="AD271" s="160"/>
      <c r="AE271" s="123"/>
      <c r="AF271" s="123"/>
      <c r="AH271" s="236"/>
      <c r="AI271" s="123"/>
      <c r="AJ271" s="123"/>
      <c r="AL271" s="123"/>
      <c r="AM271" s="160"/>
      <c r="AN271" s="160"/>
    </row>
    <row r="272" spans="3:40" x14ac:dyDescent="0.3">
      <c r="C272" s="42"/>
      <c r="F272" s="184"/>
      <c r="H272" s="184"/>
      <c r="I272" s="184"/>
      <c r="J272" s="193"/>
      <c r="K272" s="193"/>
      <c r="L272" s="123"/>
      <c r="M272" s="123"/>
      <c r="N272" s="160"/>
      <c r="O272" s="160"/>
      <c r="P272" s="123"/>
      <c r="Q272" s="123"/>
      <c r="R272" s="123"/>
      <c r="T272" s="42"/>
      <c r="V272" s="184"/>
      <c r="Y272" s="123"/>
      <c r="Z272" s="193"/>
      <c r="AA272" s="123"/>
      <c r="AB272" s="123"/>
      <c r="AC272" s="160"/>
      <c r="AD272" s="160"/>
      <c r="AE272" s="123"/>
      <c r="AF272" s="123"/>
      <c r="AH272" s="236"/>
      <c r="AI272" s="123"/>
      <c r="AJ272" s="123"/>
      <c r="AL272" s="123"/>
      <c r="AM272" s="160"/>
      <c r="AN272" s="160"/>
    </row>
    <row r="273" spans="1:40" x14ac:dyDescent="0.3">
      <c r="F273" s="210"/>
      <c r="H273" s="210"/>
      <c r="I273" s="210"/>
      <c r="J273" s="213"/>
      <c r="K273" s="213"/>
      <c r="L273" s="210"/>
      <c r="M273" s="210"/>
      <c r="N273" s="210"/>
      <c r="O273" s="210"/>
      <c r="P273" s="210"/>
      <c r="Q273" s="210"/>
      <c r="R273" s="210"/>
      <c r="V273" s="210"/>
      <c r="Y273" s="210"/>
      <c r="Z273" s="213"/>
      <c r="AA273" s="210"/>
      <c r="AB273" s="210"/>
      <c r="AC273" s="210"/>
      <c r="AD273" s="210"/>
      <c r="AE273" s="210"/>
      <c r="AF273" s="210"/>
      <c r="AI273" s="210"/>
      <c r="AJ273" s="210"/>
      <c r="AK273" s="214"/>
      <c r="AL273" s="210"/>
      <c r="AM273" s="160"/>
      <c r="AN273" s="160"/>
    </row>
    <row r="274" spans="1:40" x14ac:dyDescent="0.3">
      <c r="C274" s="42"/>
      <c r="F274" s="123"/>
      <c r="H274" s="123"/>
      <c r="I274" s="123"/>
      <c r="J274" s="219"/>
      <c r="K274" s="219"/>
      <c r="L274" s="123"/>
      <c r="M274" s="123"/>
      <c r="N274" s="160"/>
      <c r="O274" s="160"/>
      <c r="P274" s="123"/>
      <c r="Q274" s="123"/>
      <c r="R274" s="123"/>
      <c r="T274" s="42"/>
      <c r="V274" s="123"/>
      <c r="Y274" s="123"/>
      <c r="Z274" s="219"/>
      <c r="AA274" s="123"/>
      <c r="AB274" s="123"/>
      <c r="AC274" s="160"/>
      <c r="AD274" s="160"/>
      <c r="AE274" s="123"/>
      <c r="AF274" s="123"/>
      <c r="AH274" s="236"/>
      <c r="AI274" s="123"/>
      <c r="AJ274" s="123"/>
      <c r="AL274" s="123"/>
      <c r="AM274" s="160"/>
      <c r="AN274" s="160"/>
    </row>
    <row r="275" spans="1:40" x14ac:dyDescent="0.3">
      <c r="F275" s="210"/>
      <c r="H275" s="210"/>
      <c r="I275" s="210"/>
      <c r="J275" s="213"/>
      <c r="K275" s="213"/>
      <c r="L275" s="210"/>
      <c r="M275" s="210"/>
      <c r="N275" s="210"/>
      <c r="O275" s="210"/>
      <c r="P275" s="210"/>
      <c r="Q275" s="210"/>
      <c r="R275" s="210"/>
      <c r="V275" s="210"/>
      <c r="Y275" s="210"/>
      <c r="Z275" s="213"/>
      <c r="AA275" s="210"/>
      <c r="AB275" s="210"/>
      <c r="AC275" s="210"/>
      <c r="AD275" s="210"/>
      <c r="AE275" s="210"/>
      <c r="AF275" s="210"/>
      <c r="AI275" s="210"/>
      <c r="AJ275" s="210"/>
      <c r="AK275" s="214"/>
      <c r="AL275" s="210"/>
      <c r="AM275" s="160"/>
      <c r="AN275" s="160"/>
    </row>
    <row r="276" spans="1:40" x14ac:dyDescent="0.3">
      <c r="C276" s="42"/>
      <c r="F276" s="123"/>
      <c r="H276" s="123"/>
      <c r="I276" s="123"/>
      <c r="J276" s="219"/>
      <c r="K276" s="219"/>
      <c r="L276" s="123"/>
      <c r="M276" s="123"/>
      <c r="N276" s="160"/>
      <c r="O276" s="160"/>
      <c r="P276" s="123"/>
      <c r="Q276" s="123"/>
      <c r="R276" s="123"/>
      <c r="T276" s="42"/>
      <c r="V276" s="123"/>
      <c r="Y276" s="123"/>
      <c r="Z276" s="219"/>
      <c r="AA276" s="123"/>
      <c r="AB276" s="123"/>
      <c r="AC276" s="160"/>
      <c r="AD276" s="160"/>
      <c r="AE276" s="123"/>
      <c r="AF276" s="123"/>
      <c r="AH276" s="236"/>
      <c r="AI276" s="123"/>
      <c r="AJ276" s="123"/>
      <c r="AL276" s="123"/>
      <c r="AM276" s="160"/>
      <c r="AN276" s="160"/>
    </row>
    <row r="277" spans="1:40" x14ac:dyDescent="0.3">
      <c r="C277" s="42"/>
      <c r="F277" s="123"/>
      <c r="H277" s="184"/>
      <c r="I277" s="184"/>
      <c r="J277" s="227"/>
      <c r="K277" s="227"/>
      <c r="L277" s="123"/>
      <c r="M277" s="123"/>
      <c r="N277" s="160"/>
      <c r="O277" s="160"/>
      <c r="P277" s="123"/>
      <c r="Q277" s="123"/>
      <c r="R277" s="123"/>
      <c r="T277" s="42"/>
      <c r="V277" s="123"/>
      <c r="Y277" s="123"/>
      <c r="Z277" s="212"/>
      <c r="AA277" s="123"/>
      <c r="AB277" s="123"/>
      <c r="AC277" s="160"/>
      <c r="AD277" s="160"/>
      <c r="AE277" s="123"/>
      <c r="AF277" s="123"/>
      <c r="AH277" s="236"/>
      <c r="AI277" s="123"/>
      <c r="AJ277" s="123"/>
      <c r="AL277" s="123"/>
      <c r="AM277" s="160"/>
      <c r="AN277" s="160"/>
    </row>
    <row r="278" spans="1:40" x14ac:dyDescent="0.3">
      <c r="H278" s="210"/>
      <c r="I278" s="210"/>
      <c r="J278" s="213"/>
      <c r="K278" s="213"/>
      <c r="L278" s="210"/>
      <c r="M278" s="210"/>
      <c r="N278" s="210"/>
      <c r="O278" s="210"/>
      <c r="P278" s="210"/>
      <c r="Q278" s="210"/>
      <c r="R278" s="210"/>
      <c r="V278" s="210"/>
      <c r="Y278" s="210"/>
      <c r="Z278" s="213"/>
      <c r="AA278" s="210"/>
      <c r="AB278" s="210"/>
      <c r="AC278" s="210"/>
      <c r="AD278" s="210"/>
      <c r="AE278" s="210"/>
      <c r="AF278" s="210"/>
      <c r="AI278" s="210"/>
      <c r="AJ278" s="210"/>
      <c r="AK278" s="214"/>
      <c r="AL278" s="210"/>
      <c r="AM278" s="160"/>
      <c r="AN278" s="160"/>
    </row>
    <row r="279" spans="1:40" x14ac:dyDescent="0.3">
      <c r="F279" s="210"/>
    </row>
    <row r="280" spans="1:40" x14ac:dyDescent="0.3">
      <c r="C280" s="42"/>
      <c r="F280" s="123"/>
      <c r="H280" s="123"/>
      <c r="I280" s="123"/>
      <c r="J280" s="213"/>
      <c r="K280" s="213"/>
      <c r="L280" s="123"/>
      <c r="M280" s="123"/>
      <c r="N280" s="160"/>
      <c r="O280" s="160"/>
      <c r="P280" s="123"/>
      <c r="Q280" s="123"/>
      <c r="R280" s="123"/>
      <c r="S280" s="123"/>
      <c r="T280" s="42"/>
      <c r="V280" s="123"/>
      <c r="Y280" s="123"/>
      <c r="Z280" s="213"/>
      <c r="AA280" s="123"/>
      <c r="AB280" s="123"/>
      <c r="AC280" s="160"/>
      <c r="AD280" s="160"/>
      <c r="AE280" s="123"/>
      <c r="AF280" s="123"/>
      <c r="AH280" s="160"/>
      <c r="AI280" s="123"/>
      <c r="AJ280" s="123"/>
      <c r="AL280" s="123"/>
      <c r="AM280" s="160"/>
      <c r="AN280" s="160"/>
    </row>
    <row r="281" spans="1:40" x14ac:dyDescent="0.3">
      <c r="F281" s="210"/>
      <c r="H281" s="210"/>
      <c r="I281" s="210"/>
      <c r="J281" s="213"/>
      <c r="K281" s="213"/>
      <c r="L281" s="210"/>
      <c r="M281" s="210"/>
      <c r="N281" s="210"/>
      <c r="O281" s="210"/>
      <c r="P281" s="210"/>
      <c r="Q281" s="210"/>
      <c r="R281" s="210"/>
      <c r="S281" s="123"/>
      <c r="V281" s="210"/>
      <c r="Y281" s="210"/>
      <c r="Z281" s="213"/>
      <c r="AA281" s="210"/>
      <c r="AB281" s="210"/>
      <c r="AC281" s="210"/>
      <c r="AD281" s="210"/>
      <c r="AE281" s="210"/>
      <c r="AF281" s="210"/>
      <c r="AI281" s="210"/>
      <c r="AJ281" s="210"/>
      <c r="AK281" s="214"/>
      <c r="AL281" s="210"/>
      <c r="AM281" s="160"/>
      <c r="AN281" s="160"/>
    </row>
    <row r="282" spans="1:40" x14ac:dyDescent="0.3">
      <c r="C282" s="42"/>
      <c r="T282" s="42"/>
    </row>
    <row r="283" spans="1:40" x14ac:dyDescent="0.3">
      <c r="C283" s="42"/>
      <c r="F283" s="123"/>
      <c r="H283" s="123"/>
      <c r="I283" s="123"/>
      <c r="L283" s="123"/>
      <c r="M283" s="123"/>
      <c r="N283" s="160"/>
      <c r="O283" s="160"/>
      <c r="P283" s="184"/>
      <c r="Q283" s="184"/>
      <c r="R283" s="123"/>
      <c r="T283" s="42"/>
      <c r="V283" s="123"/>
      <c r="Y283" s="123"/>
      <c r="AA283" s="123"/>
      <c r="AB283" s="123"/>
      <c r="AC283" s="160"/>
      <c r="AD283" s="160"/>
      <c r="AE283" s="123"/>
      <c r="AF283" s="123"/>
      <c r="AH283" s="160"/>
      <c r="AI283" s="184"/>
      <c r="AJ283" s="184"/>
      <c r="AL283" s="123"/>
      <c r="AM283" s="160"/>
      <c r="AN283" s="160"/>
    </row>
    <row r="284" spans="1:40" x14ac:dyDescent="0.3">
      <c r="H284" s="210"/>
      <c r="I284" s="210"/>
      <c r="J284" s="213"/>
      <c r="K284" s="213"/>
      <c r="L284" s="210"/>
      <c r="M284" s="210"/>
      <c r="N284" s="210"/>
      <c r="O284" s="210"/>
      <c r="P284" s="210"/>
      <c r="Q284" s="210"/>
      <c r="R284" s="210"/>
      <c r="V284" s="210"/>
      <c r="Y284" s="210"/>
      <c r="Z284" s="213"/>
      <c r="AA284" s="210"/>
      <c r="AB284" s="210"/>
      <c r="AC284" s="210"/>
      <c r="AD284" s="210"/>
      <c r="AE284" s="210"/>
      <c r="AF284" s="210"/>
      <c r="AI284" s="210"/>
      <c r="AJ284" s="210"/>
      <c r="AK284" s="214"/>
      <c r="AL284" s="210"/>
    </row>
    <row r="285" spans="1:40" x14ac:dyDescent="0.3">
      <c r="F285" s="210"/>
    </row>
    <row r="286" spans="1:40" x14ac:dyDescent="0.3">
      <c r="C286" s="42"/>
      <c r="L286" s="123"/>
      <c r="M286" s="123"/>
      <c r="N286" s="123"/>
      <c r="O286" s="123"/>
      <c r="P286" s="123"/>
      <c r="Q286" s="123"/>
      <c r="R286" s="123"/>
      <c r="S286" s="123"/>
      <c r="T286" s="42"/>
      <c r="AA286" s="123"/>
      <c r="AB286" s="123"/>
      <c r="AC286" s="123"/>
      <c r="AD286" s="123"/>
      <c r="AI286" s="123"/>
      <c r="AJ286" s="123"/>
      <c r="AL286" s="123"/>
    </row>
    <row r="287" spans="1:40" x14ac:dyDescent="0.3">
      <c r="A287" s="42"/>
    </row>
    <row r="289" spans="1:40" x14ac:dyDescent="0.3">
      <c r="H289" s="42"/>
      <c r="I289" s="42"/>
      <c r="Y289" s="42"/>
    </row>
    <row r="291" spans="1:40" x14ac:dyDescent="0.3">
      <c r="L291" s="42"/>
      <c r="M291" s="42"/>
      <c r="AA291" s="42"/>
      <c r="AB291" s="42"/>
    </row>
    <row r="292" spans="1:40" x14ac:dyDescent="0.3">
      <c r="R292" s="42"/>
      <c r="AK292" s="206"/>
      <c r="AL292" s="42"/>
    </row>
    <row r="293" spans="1:40" x14ac:dyDescent="0.3">
      <c r="R293" s="42"/>
      <c r="AK293" s="206"/>
      <c r="AL293" s="42"/>
    </row>
    <row r="294" spans="1:40" x14ac:dyDescent="0.3">
      <c r="A294" s="42"/>
      <c r="R294" s="42"/>
      <c r="AK294" s="206"/>
      <c r="AL294" s="42"/>
    </row>
    <row r="295" spans="1:40" x14ac:dyDescent="0.3">
      <c r="L295" s="42"/>
      <c r="M295" s="42"/>
      <c r="AA295" s="42"/>
      <c r="AB295" s="42"/>
    </row>
    <row r="296" spans="1:40" x14ac:dyDescent="0.3">
      <c r="A296" s="135"/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207"/>
      <c r="AH296" s="135"/>
      <c r="AI296" s="135"/>
      <c r="AJ296" s="135"/>
      <c r="AK296" s="207"/>
      <c r="AL296" s="135"/>
      <c r="AM296" s="135"/>
      <c r="AN296" s="135"/>
    </row>
    <row r="297" spans="1:40" x14ac:dyDescent="0.3">
      <c r="L297" s="44"/>
      <c r="M297" s="44"/>
      <c r="N297" s="44"/>
      <c r="O297" s="44"/>
      <c r="R297" s="44"/>
      <c r="AA297" s="44"/>
      <c r="AB297" s="44"/>
      <c r="AC297" s="44"/>
      <c r="AD297" s="44"/>
      <c r="AE297" s="44"/>
      <c r="AF297" s="44"/>
      <c r="AG297" s="168"/>
      <c r="AH297" s="44"/>
      <c r="AK297" s="168"/>
      <c r="AL297" s="44"/>
      <c r="AM297" s="44"/>
      <c r="AN297" s="44"/>
    </row>
    <row r="298" spans="1:40" x14ac:dyDescent="0.3">
      <c r="L298" s="44"/>
      <c r="M298" s="44"/>
      <c r="N298" s="44"/>
      <c r="O298" s="44"/>
      <c r="R298" s="44"/>
      <c r="Z298" s="44"/>
      <c r="AA298" s="44"/>
      <c r="AB298" s="44"/>
      <c r="AC298" s="44"/>
      <c r="AD298" s="44"/>
      <c r="AE298" s="44"/>
      <c r="AF298" s="44"/>
      <c r="AG298" s="168"/>
      <c r="AH298" s="44"/>
      <c r="AK298" s="168"/>
      <c r="AL298" s="44"/>
      <c r="AM298" s="44"/>
      <c r="AN298" s="44"/>
    </row>
    <row r="299" spans="1:40" x14ac:dyDescent="0.3">
      <c r="A299" s="44"/>
      <c r="C299" s="44"/>
      <c r="D299" s="44"/>
      <c r="E299" s="44"/>
      <c r="F299" s="44"/>
      <c r="J299" s="44"/>
      <c r="K299" s="44"/>
      <c r="L299" s="44"/>
      <c r="M299" s="44"/>
      <c r="N299" s="44"/>
      <c r="O299" s="44"/>
      <c r="P299" s="44"/>
      <c r="Q299" s="44"/>
      <c r="R299" s="44"/>
      <c r="T299" s="44"/>
      <c r="U299" s="44"/>
      <c r="V299" s="44"/>
      <c r="Z299" s="44"/>
      <c r="AA299" s="44"/>
      <c r="AB299" s="44"/>
      <c r="AC299" s="44"/>
      <c r="AD299" s="44"/>
      <c r="AE299" s="44"/>
      <c r="AF299" s="44"/>
      <c r="AG299" s="168"/>
      <c r="AH299" s="44"/>
      <c r="AI299" s="44"/>
      <c r="AJ299" s="44"/>
      <c r="AK299" s="168"/>
      <c r="AL299" s="44"/>
      <c r="AM299" s="44"/>
      <c r="AN299" s="44"/>
    </row>
    <row r="300" spans="1:40" x14ac:dyDescent="0.3">
      <c r="A300" s="44"/>
      <c r="C300" s="44"/>
      <c r="D300" s="44"/>
      <c r="E300" s="44"/>
      <c r="F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T300" s="44"/>
      <c r="U300" s="44"/>
      <c r="V300" s="44"/>
      <c r="Y300" s="44"/>
      <c r="Z300" s="44"/>
      <c r="AA300" s="44"/>
      <c r="AB300" s="44"/>
      <c r="AC300" s="44"/>
      <c r="AD300" s="44"/>
      <c r="AE300" s="44"/>
      <c r="AF300" s="44"/>
      <c r="AG300" s="168"/>
      <c r="AH300" s="44"/>
      <c r="AI300" s="44"/>
      <c r="AJ300" s="44"/>
      <c r="AK300" s="168"/>
      <c r="AL300" s="44"/>
      <c r="AM300" s="44"/>
      <c r="AN300" s="44"/>
    </row>
    <row r="301" spans="1:40" x14ac:dyDescent="0.3">
      <c r="C301" s="44"/>
      <c r="D301" s="44"/>
      <c r="E301" s="44"/>
      <c r="F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T301" s="44"/>
      <c r="U301" s="44"/>
      <c r="V301" s="44"/>
      <c r="Y301" s="44"/>
      <c r="Z301" s="44"/>
      <c r="AA301" s="44"/>
      <c r="AB301" s="44"/>
      <c r="AC301" s="44"/>
      <c r="AD301" s="44"/>
      <c r="AE301" s="44"/>
      <c r="AF301" s="44"/>
      <c r="AG301" s="168"/>
      <c r="AH301" s="44"/>
      <c r="AI301" s="44"/>
      <c r="AJ301" s="44"/>
      <c r="AK301" s="168"/>
      <c r="AL301" s="44"/>
      <c r="AM301" s="44"/>
      <c r="AN301" s="44"/>
    </row>
    <row r="302" spans="1:40" x14ac:dyDescent="0.3">
      <c r="A302" s="135"/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207"/>
      <c r="AH302" s="135"/>
      <c r="AI302" s="135"/>
      <c r="AJ302" s="135"/>
      <c r="AK302" s="207"/>
      <c r="AL302" s="135"/>
      <c r="AM302" s="135"/>
      <c r="AN302" s="135"/>
    </row>
    <row r="303" spans="1:40" x14ac:dyDescent="0.3"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Y303" s="44"/>
      <c r="Z303" s="44"/>
      <c r="AA303" s="44"/>
      <c r="AB303" s="44"/>
      <c r="AC303" s="44"/>
      <c r="AD303" s="44"/>
      <c r="AE303" s="44"/>
      <c r="AF303" s="44"/>
      <c r="AG303" s="168"/>
      <c r="AH303" s="44"/>
      <c r="AI303" s="44"/>
      <c r="AJ303" s="44"/>
      <c r="AK303" s="168"/>
      <c r="AL303" s="44"/>
      <c r="AM303" s="44"/>
      <c r="AN303" s="44"/>
    </row>
    <row r="304" spans="1:40" x14ac:dyDescent="0.3">
      <c r="C304" s="42"/>
      <c r="D304" s="42"/>
      <c r="E304" s="42"/>
      <c r="T304" s="42"/>
      <c r="U304" s="42"/>
    </row>
    <row r="305" spans="3:40" x14ac:dyDescent="0.3">
      <c r="D305" s="42"/>
      <c r="E305" s="42"/>
      <c r="U305" s="42"/>
    </row>
    <row r="307" spans="3:40" x14ac:dyDescent="0.3">
      <c r="C307" s="42"/>
      <c r="T307" s="42"/>
    </row>
    <row r="308" spans="3:40" x14ac:dyDescent="0.3">
      <c r="C308" s="42"/>
      <c r="F308" s="184"/>
      <c r="H308" s="184"/>
      <c r="I308" s="184"/>
      <c r="J308" s="238"/>
      <c r="K308" s="238"/>
      <c r="L308" s="123"/>
      <c r="M308" s="123"/>
      <c r="N308" s="160"/>
      <c r="O308" s="160"/>
      <c r="P308" s="123"/>
      <c r="Q308" s="123"/>
      <c r="R308" s="123"/>
      <c r="T308" s="42"/>
      <c r="V308" s="184"/>
      <c r="W308" s="123"/>
      <c r="X308" s="123"/>
      <c r="Y308" s="184"/>
      <c r="Z308" s="238"/>
      <c r="AA308" s="123"/>
      <c r="AB308" s="123"/>
      <c r="AC308" s="160"/>
      <c r="AD308" s="160"/>
      <c r="AE308" s="123"/>
      <c r="AF308" s="123"/>
      <c r="AH308" s="236"/>
      <c r="AI308" s="123"/>
      <c r="AJ308" s="123"/>
      <c r="AL308" s="123"/>
      <c r="AM308" s="160"/>
      <c r="AN308" s="160"/>
    </row>
    <row r="309" spans="3:40" x14ac:dyDescent="0.3">
      <c r="C309" s="42"/>
      <c r="F309" s="123"/>
      <c r="H309" s="123"/>
      <c r="I309" s="123"/>
      <c r="J309" s="213"/>
      <c r="K309" s="213"/>
      <c r="L309" s="123"/>
      <c r="M309" s="123"/>
      <c r="N309" s="160"/>
      <c r="O309" s="160"/>
      <c r="P309" s="123"/>
      <c r="Q309" s="123"/>
      <c r="R309" s="123"/>
      <c r="T309" s="42"/>
      <c r="V309" s="184"/>
      <c r="W309" s="123"/>
      <c r="X309" s="123"/>
      <c r="Y309" s="184"/>
      <c r="Z309" s="213"/>
      <c r="AA309" s="123"/>
      <c r="AB309" s="123"/>
      <c r="AC309" s="160"/>
      <c r="AD309" s="160"/>
      <c r="AE309" s="123"/>
      <c r="AF309" s="123"/>
      <c r="AH309" s="236"/>
      <c r="AI309" s="123"/>
      <c r="AJ309" s="123"/>
      <c r="AL309" s="123"/>
      <c r="AM309" s="160"/>
      <c r="AN309" s="160"/>
    </row>
    <row r="310" spans="3:40" x14ac:dyDescent="0.3">
      <c r="C310" s="42"/>
      <c r="F310" s="184"/>
      <c r="H310" s="184"/>
      <c r="I310" s="184"/>
      <c r="J310" s="238"/>
      <c r="K310" s="238"/>
      <c r="L310" s="123"/>
      <c r="M310" s="123"/>
      <c r="N310" s="160"/>
      <c r="O310" s="160"/>
      <c r="P310" s="123"/>
      <c r="Q310" s="123"/>
      <c r="R310" s="123"/>
      <c r="T310" s="42"/>
      <c r="V310" s="184"/>
      <c r="W310" s="123"/>
      <c r="X310" s="123"/>
      <c r="Y310" s="184"/>
      <c r="Z310" s="238"/>
      <c r="AA310" s="123"/>
      <c r="AB310" s="123"/>
      <c r="AC310" s="160"/>
      <c r="AD310" s="160"/>
      <c r="AE310" s="123"/>
      <c r="AF310" s="123"/>
      <c r="AH310" s="236"/>
      <c r="AI310" s="123"/>
      <c r="AJ310" s="123"/>
      <c r="AL310" s="123"/>
      <c r="AM310" s="160"/>
      <c r="AN310" s="160"/>
    </row>
    <row r="311" spans="3:40" x14ac:dyDescent="0.3">
      <c r="C311" s="42"/>
      <c r="F311" s="184"/>
      <c r="H311" s="184"/>
      <c r="I311" s="184"/>
      <c r="J311" s="238"/>
      <c r="K311" s="238"/>
      <c r="L311" s="123"/>
      <c r="M311" s="123"/>
      <c r="N311" s="160"/>
      <c r="O311" s="160"/>
      <c r="P311" s="123"/>
      <c r="Q311" s="123"/>
      <c r="R311" s="123"/>
      <c r="T311" s="42"/>
      <c r="V311" s="184"/>
      <c r="W311" s="123"/>
      <c r="X311" s="123"/>
      <c r="Y311" s="184"/>
      <c r="Z311" s="238"/>
      <c r="AA311" s="123"/>
      <c r="AB311" s="123"/>
      <c r="AC311" s="160"/>
      <c r="AD311" s="160"/>
      <c r="AE311" s="123"/>
      <c r="AF311" s="123"/>
      <c r="AH311" s="236"/>
      <c r="AI311" s="123"/>
      <c r="AJ311" s="123"/>
      <c r="AL311" s="123"/>
      <c r="AM311" s="160"/>
      <c r="AN311" s="160"/>
    </row>
    <row r="312" spans="3:40" x14ac:dyDescent="0.3">
      <c r="C312" s="42"/>
      <c r="F312" s="184"/>
      <c r="H312" s="184"/>
      <c r="I312" s="184"/>
      <c r="J312" s="238"/>
      <c r="K312" s="238"/>
      <c r="L312" s="123"/>
      <c r="M312" s="123"/>
      <c r="N312" s="160"/>
      <c r="O312" s="160"/>
      <c r="P312" s="123"/>
      <c r="Q312" s="123"/>
      <c r="R312" s="123"/>
      <c r="T312" s="42"/>
      <c r="V312" s="184"/>
      <c r="W312" s="123"/>
      <c r="X312" s="123"/>
      <c r="Y312" s="184"/>
      <c r="Z312" s="238"/>
      <c r="AA312" s="123"/>
      <c r="AB312" s="123"/>
      <c r="AC312" s="160"/>
      <c r="AD312" s="160"/>
      <c r="AE312" s="123"/>
      <c r="AF312" s="123"/>
      <c r="AH312" s="236"/>
      <c r="AI312" s="123"/>
      <c r="AJ312" s="123"/>
      <c r="AL312" s="123"/>
      <c r="AM312" s="160"/>
      <c r="AN312" s="160"/>
    </row>
    <row r="313" spans="3:40" x14ac:dyDescent="0.3">
      <c r="C313" s="42"/>
      <c r="F313" s="123"/>
      <c r="H313" s="123"/>
      <c r="I313" s="123"/>
      <c r="J313" s="238"/>
      <c r="K313" s="238"/>
      <c r="L313" s="123"/>
      <c r="M313" s="123"/>
      <c r="N313" s="160"/>
      <c r="O313" s="160"/>
      <c r="P313" s="123"/>
      <c r="Q313" s="123"/>
      <c r="R313" s="123"/>
      <c r="T313" s="42"/>
      <c r="V313" s="184"/>
      <c r="W313" s="123"/>
      <c r="X313" s="123"/>
      <c r="Y313" s="184"/>
      <c r="Z313" s="238"/>
      <c r="AA313" s="123"/>
      <c r="AB313" s="123"/>
      <c r="AC313" s="160"/>
      <c r="AD313" s="160"/>
      <c r="AE313" s="123"/>
      <c r="AF313" s="123"/>
      <c r="AH313" s="236"/>
      <c r="AI313" s="123"/>
      <c r="AJ313" s="123"/>
      <c r="AL313" s="123"/>
      <c r="AM313" s="160"/>
      <c r="AN313" s="160"/>
    </row>
    <row r="314" spans="3:40" x14ac:dyDescent="0.3">
      <c r="C314" s="42"/>
      <c r="F314" s="123"/>
      <c r="H314" s="123"/>
      <c r="I314" s="123"/>
      <c r="J314" s="238"/>
      <c r="K314" s="238"/>
      <c r="L314" s="123"/>
      <c r="M314" s="123"/>
      <c r="N314" s="160"/>
      <c r="O314" s="160"/>
      <c r="P314" s="123"/>
      <c r="Q314" s="123"/>
      <c r="R314" s="123"/>
      <c r="T314" s="42"/>
      <c r="V314" s="184"/>
      <c r="W314" s="123"/>
      <c r="X314" s="123"/>
      <c r="Y314" s="184"/>
      <c r="Z314" s="238"/>
      <c r="AA314" s="123"/>
      <c r="AB314" s="123"/>
      <c r="AC314" s="160"/>
      <c r="AD314" s="160"/>
      <c r="AE314" s="123"/>
      <c r="AF314" s="123"/>
      <c r="AH314" s="236"/>
      <c r="AI314" s="123"/>
      <c r="AJ314" s="123"/>
      <c r="AL314" s="123"/>
      <c r="AM314" s="160"/>
      <c r="AN314" s="160"/>
    </row>
    <row r="315" spans="3:40" x14ac:dyDescent="0.3">
      <c r="F315" s="241"/>
      <c r="H315" s="242"/>
      <c r="I315" s="242"/>
      <c r="J315" s="238"/>
      <c r="K315" s="238"/>
      <c r="L315" s="241"/>
      <c r="M315" s="241"/>
      <c r="N315" s="210"/>
      <c r="O315" s="210"/>
      <c r="P315" s="241"/>
      <c r="Q315" s="241"/>
      <c r="R315" s="241"/>
      <c r="V315" s="241"/>
      <c r="W315" s="123"/>
      <c r="X315" s="123"/>
      <c r="Y315" s="241"/>
      <c r="Z315" s="238"/>
      <c r="AA315" s="241"/>
      <c r="AB315" s="241"/>
      <c r="AC315" s="243"/>
      <c r="AD315" s="243"/>
      <c r="AE315" s="241"/>
      <c r="AF315" s="241"/>
      <c r="AH315" s="236"/>
      <c r="AI315" s="241"/>
      <c r="AJ315" s="241"/>
      <c r="AK315" s="207"/>
      <c r="AL315" s="241"/>
      <c r="AM315" s="160"/>
      <c r="AN315" s="160"/>
    </row>
    <row r="316" spans="3:40" x14ac:dyDescent="0.3">
      <c r="C316" s="42"/>
      <c r="F316" s="123"/>
      <c r="H316" s="123"/>
      <c r="I316" s="123"/>
      <c r="J316" s="238"/>
      <c r="K316" s="238"/>
      <c r="L316" s="123"/>
      <c r="M316" s="123"/>
      <c r="N316" s="236"/>
      <c r="O316" s="236"/>
      <c r="P316" s="123"/>
      <c r="Q316" s="123"/>
      <c r="R316" s="123"/>
      <c r="T316" s="44"/>
      <c r="V316" s="123"/>
      <c r="W316" s="123"/>
      <c r="X316" s="123"/>
      <c r="Y316" s="123"/>
      <c r="Z316" s="238"/>
      <c r="AA316" s="123"/>
      <c r="AB316" s="123"/>
      <c r="AC316" s="236"/>
      <c r="AD316" s="236"/>
      <c r="AE316" s="123"/>
      <c r="AF316" s="123"/>
      <c r="AH316" s="236"/>
      <c r="AI316" s="123"/>
      <c r="AJ316" s="123"/>
      <c r="AL316" s="123"/>
      <c r="AM316" s="160"/>
      <c r="AN316" s="160"/>
    </row>
    <row r="317" spans="3:40" x14ac:dyDescent="0.3">
      <c r="F317" s="135"/>
      <c r="H317" s="135"/>
      <c r="I317" s="135"/>
      <c r="L317" s="135"/>
      <c r="M317" s="135"/>
      <c r="N317" s="243"/>
      <c r="O317" s="243"/>
      <c r="P317" s="241"/>
      <c r="Q317" s="241"/>
      <c r="R317" s="241"/>
      <c r="V317" s="241"/>
      <c r="Y317" s="241"/>
      <c r="Z317" s="213"/>
      <c r="AA317" s="241"/>
      <c r="AB317" s="241"/>
      <c r="AC317" s="241"/>
      <c r="AD317" s="241"/>
      <c r="AE317" s="241"/>
      <c r="AF317" s="241"/>
      <c r="AI317" s="241"/>
      <c r="AJ317" s="241"/>
      <c r="AK317" s="207"/>
      <c r="AL317" s="241"/>
      <c r="AM317" s="243"/>
      <c r="AN317" s="243"/>
    </row>
    <row r="322" spans="1:40" x14ac:dyDescent="0.3">
      <c r="N322" s="123"/>
      <c r="O322" s="123"/>
      <c r="P322" s="123"/>
      <c r="Q322" s="123"/>
      <c r="R322" s="123"/>
      <c r="V322" s="123"/>
      <c r="Y322" s="123"/>
      <c r="Z322" s="219"/>
      <c r="AA322" s="123"/>
      <c r="AB322" s="123"/>
      <c r="AC322" s="160"/>
      <c r="AD322" s="160"/>
      <c r="AE322" s="123"/>
      <c r="AF322" s="123"/>
      <c r="AH322" s="236"/>
      <c r="AI322" s="123"/>
      <c r="AJ322" s="123"/>
      <c r="AL322" s="123"/>
      <c r="AM322" s="160"/>
      <c r="AN322" s="160"/>
    </row>
    <row r="323" spans="1:40" x14ac:dyDescent="0.3">
      <c r="C323" s="42"/>
      <c r="D323" s="42"/>
      <c r="E323" s="42"/>
      <c r="J323" s="188"/>
      <c r="K323" s="188"/>
      <c r="T323" s="42"/>
      <c r="U323" s="42"/>
      <c r="Z323" s="188"/>
      <c r="AE323" s="123"/>
      <c r="AF323" s="123"/>
      <c r="AI323" s="123"/>
      <c r="AJ323" s="123"/>
      <c r="AL323" s="123"/>
      <c r="AM323" s="160"/>
      <c r="AN323" s="160"/>
    </row>
    <row r="324" spans="1:40" x14ac:dyDescent="0.3">
      <c r="D324" s="42"/>
      <c r="E324" s="42"/>
      <c r="F324" s="123"/>
      <c r="H324" s="123"/>
      <c r="I324" s="123"/>
      <c r="J324" s="238"/>
      <c r="K324" s="238"/>
      <c r="L324" s="123"/>
      <c r="M324" s="123"/>
      <c r="N324" s="160"/>
      <c r="O324" s="160"/>
      <c r="P324" s="123"/>
      <c r="Q324" s="123"/>
      <c r="R324" s="123"/>
      <c r="U324" s="42"/>
      <c r="V324" s="123"/>
      <c r="Y324" s="123"/>
      <c r="Z324" s="238"/>
      <c r="AA324" s="123"/>
      <c r="AB324" s="123"/>
      <c r="AC324" s="160"/>
      <c r="AD324" s="160"/>
      <c r="AE324" s="123"/>
      <c r="AF324" s="123"/>
      <c r="AH324" s="236"/>
      <c r="AI324" s="123"/>
      <c r="AJ324" s="123"/>
      <c r="AL324" s="123"/>
      <c r="AM324" s="160"/>
      <c r="AN324" s="160"/>
    </row>
    <row r="325" spans="1:40" x14ac:dyDescent="0.3">
      <c r="F325" s="123"/>
      <c r="H325" s="123"/>
      <c r="I325" s="123"/>
      <c r="J325" s="213"/>
      <c r="K325" s="213"/>
      <c r="L325" s="123"/>
      <c r="M325" s="123"/>
      <c r="N325" s="123"/>
      <c r="O325" s="123"/>
      <c r="P325" s="123"/>
      <c r="Q325" s="123"/>
      <c r="R325" s="123"/>
      <c r="V325" s="123"/>
      <c r="Y325" s="123"/>
      <c r="Z325" s="213"/>
      <c r="AA325" s="123"/>
      <c r="AB325" s="123"/>
      <c r="AC325" s="123"/>
      <c r="AD325" s="123"/>
      <c r="AE325" s="123"/>
      <c r="AF325" s="123"/>
      <c r="AH325" s="236"/>
      <c r="AI325" s="184"/>
      <c r="AJ325" s="184"/>
      <c r="AL325" s="123"/>
      <c r="AM325" s="160"/>
      <c r="AN325" s="160"/>
    </row>
    <row r="326" spans="1:40" x14ac:dyDescent="0.3">
      <c r="C326" s="42"/>
      <c r="F326" s="184"/>
      <c r="H326" s="184"/>
      <c r="I326" s="184"/>
      <c r="J326" s="212"/>
      <c r="K326" s="212"/>
      <c r="L326" s="123"/>
      <c r="M326" s="123"/>
      <c r="N326" s="160"/>
      <c r="O326" s="160"/>
      <c r="P326" s="123"/>
      <c r="Q326" s="123"/>
      <c r="R326" s="123"/>
      <c r="T326" s="42"/>
      <c r="V326" s="184"/>
      <c r="Y326" s="184"/>
      <c r="Z326" s="212"/>
      <c r="AA326" s="123"/>
      <c r="AB326" s="123"/>
      <c r="AC326" s="160"/>
      <c r="AD326" s="160"/>
      <c r="AE326" s="123"/>
      <c r="AF326" s="123"/>
      <c r="AH326" s="236"/>
      <c r="AI326" s="123"/>
      <c r="AJ326" s="123"/>
      <c r="AL326" s="123"/>
      <c r="AM326" s="160"/>
      <c r="AN326" s="160"/>
    </row>
    <row r="327" spans="1:40" x14ac:dyDescent="0.3">
      <c r="F327" s="135"/>
      <c r="H327" s="135"/>
      <c r="I327" s="135"/>
      <c r="L327" s="135"/>
      <c r="M327" s="135"/>
      <c r="N327" s="135"/>
      <c r="O327" s="135"/>
      <c r="P327" s="135"/>
      <c r="Q327" s="135"/>
      <c r="R327" s="135"/>
      <c r="V327" s="135"/>
      <c r="Y327" s="135"/>
      <c r="AA327" s="135"/>
      <c r="AB327" s="135"/>
      <c r="AC327" s="135"/>
      <c r="AD327" s="135"/>
      <c r="AE327" s="135"/>
      <c r="AF327" s="135"/>
      <c r="AG327" s="207"/>
      <c r="AH327" s="135"/>
      <c r="AI327" s="135"/>
      <c r="AJ327" s="135"/>
      <c r="AK327" s="207"/>
      <c r="AL327" s="135"/>
      <c r="AM327" s="135"/>
      <c r="AN327" s="135"/>
    </row>
    <row r="328" spans="1:40" x14ac:dyDescent="0.3">
      <c r="C328" s="44"/>
      <c r="F328" s="184"/>
      <c r="H328" s="184"/>
      <c r="I328" s="184"/>
      <c r="J328" s="193"/>
      <c r="K328" s="193"/>
      <c r="L328" s="184"/>
      <c r="M328" s="184"/>
      <c r="N328" s="160"/>
      <c r="O328" s="160"/>
      <c r="P328" s="184"/>
      <c r="Q328" s="184"/>
      <c r="R328" s="184"/>
      <c r="T328" s="44"/>
      <c r="V328" s="123"/>
      <c r="Y328" s="123"/>
      <c r="Z328" s="219"/>
      <c r="AA328" s="123"/>
      <c r="AB328" s="123"/>
      <c r="AC328" s="160"/>
      <c r="AD328" s="160"/>
      <c r="AH328" s="236"/>
      <c r="AI328" s="123"/>
      <c r="AJ328" s="123"/>
      <c r="AL328" s="123"/>
      <c r="AM328" s="160"/>
      <c r="AN328" s="160"/>
    </row>
    <row r="329" spans="1:40" x14ac:dyDescent="0.3">
      <c r="F329" s="241"/>
      <c r="H329" s="241"/>
      <c r="I329" s="241"/>
      <c r="J329" s="213"/>
      <c r="K329" s="213"/>
      <c r="L329" s="241"/>
      <c r="M329" s="241"/>
      <c r="N329" s="241"/>
      <c r="O329" s="241"/>
      <c r="P329" s="241"/>
      <c r="Q329" s="241"/>
      <c r="R329" s="241"/>
      <c r="V329" s="135"/>
      <c r="Y329" s="135"/>
      <c r="AA329" s="135"/>
      <c r="AB329" s="135"/>
      <c r="AC329" s="135"/>
      <c r="AD329" s="135"/>
      <c r="AE329" s="135"/>
      <c r="AF329" s="135"/>
      <c r="AG329" s="207"/>
      <c r="AH329" s="135"/>
      <c r="AI329" s="135"/>
      <c r="AJ329" s="135"/>
      <c r="AK329" s="207"/>
      <c r="AL329" s="135"/>
      <c r="AM329" s="135"/>
      <c r="AN329" s="135"/>
    </row>
    <row r="330" spans="1:40" x14ac:dyDescent="0.3">
      <c r="F330" s="184"/>
      <c r="H330" s="184"/>
      <c r="I330" s="184"/>
      <c r="J330" s="237"/>
      <c r="K330" s="237"/>
      <c r="L330" s="123"/>
      <c r="M330" s="123"/>
      <c r="N330" s="160"/>
      <c r="O330" s="160"/>
      <c r="P330" s="123"/>
      <c r="Q330" s="123"/>
      <c r="R330" s="123"/>
    </row>
    <row r="331" spans="1:40" x14ac:dyDescent="0.3">
      <c r="A331" s="42"/>
      <c r="F331" s="184"/>
      <c r="H331" s="184"/>
      <c r="I331" s="184"/>
      <c r="J331" s="193"/>
      <c r="K331" s="193"/>
      <c r="L331" s="123"/>
      <c r="M331" s="123"/>
      <c r="N331" s="160"/>
      <c r="O331" s="160"/>
      <c r="P331" s="123"/>
      <c r="Q331" s="123"/>
      <c r="R331" s="123"/>
    </row>
    <row r="332" spans="1:40" x14ac:dyDescent="0.3">
      <c r="F332" s="184"/>
      <c r="H332" s="184"/>
      <c r="I332" s="184"/>
      <c r="J332" s="193"/>
      <c r="K332" s="193"/>
      <c r="L332" s="123"/>
      <c r="M332" s="123"/>
      <c r="N332" s="160"/>
      <c r="O332" s="160"/>
      <c r="P332" s="123"/>
      <c r="Q332" s="123"/>
      <c r="R332" s="123"/>
    </row>
    <row r="333" spans="1:40" x14ac:dyDescent="0.3">
      <c r="A333" s="42"/>
    </row>
    <row r="336" spans="1:40" x14ac:dyDescent="0.3">
      <c r="H336" s="42"/>
      <c r="I336" s="42"/>
      <c r="Y336" s="42"/>
    </row>
    <row r="338" spans="1:40" x14ac:dyDescent="0.3">
      <c r="L338" s="42"/>
      <c r="M338" s="42"/>
      <c r="AA338" s="42"/>
      <c r="AB338" s="42"/>
    </row>
    <row r="339" spans="1:40" x14ac:dyDescent="0.3">
      <c r="R339" s="42"/>
      <c r="AK339" s="206"/>
      <c r="AL339" s="42"/>
    </row>
    <row r="340" spans="1:40" x14ac:dyDescent="0.3">
      <c r="R340" s="42"/>
      <c r="AK340" s="206"/>
      <c r="AL340" s="42"/>
    </row>
    <row r="341" spans="1:40" x14ac:dyDescent="0.3">
      <c r="A341" s="42"/>
      <c r="R341" s="42"/>
      <c r="AK341" s="206"/>
      <c r="AL341" s="42"/>
    </row>
    <row r="342" spans="1:40" x14ac:dyDescent="0.3">
      <c r="L342" s="42"/>
      <c r="M342" s="42"/>
      <c r="AA342" s="42"/>
      <c r="AB342" s="42"/>
    </row>
    <row r="343" spans="1:40" x14ac:dyDescent="0.3">
      <c r="A343" s="135"/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207"/>
      <c r="AH343" s="135"/>
      <c r="AI343" s="135"/>
      <c r="AJ343" s="135"/>
      <c r="AK343" s="207"/>
      <c r="AL343" s="135"/>
      <c r="AM343" s="135"/>
      <c r="AN343" s="135"/>
    </row>
    <row r="344" spans="1:40" x14ac:dyDescent="0.3">
      <c r="L344" s="44"/>
      <c r="M344" s="44"/>
      <c r="N344" s="44"/>
      <c r="O344" s="44"/>
      <c r="R344" s="44"/>
      <c r="AA344" s="44"/>
      <c r="AB344" s="44"/>
      <c r="AC344" s="44"/>
      <c r="AD344" s="44"/>
      <c r="AE344" s="44"/>
      <c r="AF344" s="44"/>
      <c r="AG344" s="168"/>
      <c r="AH344" s="44"/>
      <c r="AK344" s="168"/>
      <c r="AL344" s="44"/>
      <c r="AM344" s="44"/>
      <c r="AN344" s="44"/>
    </row>
    <row r="345" spans="1:40" x14ac:dyDescent="0.3">
      <c r="L345" s="44"/>
      <c r="M345" s="44"/>
      <c r="N345" s="44"/>
      <c r="O345" s="44"/>
      <c r="R345" s="44"/>
      <c r="Z345" s="44"/>
      <c r="AA345" s="44"/>
      <c r="AB345" s="44"/>
      <c r="AC345" s="44"/>
      <c r="AD345" s="44"/>
      <c r="AE345" s="44"/>
      <c r="AF345" s="44"/>
      <c r="AG345" s="168"/>
      <c r="AH345" s="44"/>
      <c r="AK345" s="168"/>
      <c r="AL345" s="44"/>
      <c r="AM345" s="44"/>
      <c r="AN345" s="44"/>
    </row>
    <row r="346" spans="1:40" x14ac:dyDescent="0.3">
      <c r="A346" s="44"/>
      <c r="C346" s="44"/>
      <c r="D346" s="44"/>
      <c r="E346" s="44"/>
      <c r="F346" s="44"/>
      <c r="J346" s="44"/>
      <c r="K346" s="44"/>
      <c r="L346" s="44"/>
      <c r="M346" s="44"/>
      <c r="N346" s="44"/>
      <c r="O346" s="44"/>
      <c r="P346" s="44"/>
      <c r="Q346" s="44"/>
      <c r="R346" s="44"/>
      <c r="T346" s="44"/>
      <c r="U346" s="44"/>
      <c r="V346" s="44"/>
      <c r="Z346" s="44"/>
      <c r="AA346" s="44"/>
      <c r="AB346" s="44"/>
      <c r="AC346" s="44"/>
      <c r="AD346" s="44"/>
      <c r="AE346" s="44"/>
      <c r="AF346" s="44"/>
      <c r="AG346" s="168"/>
      <c r="AH346" s="44"/>
      <c r="AI346" s="44"/>
      <c r="AJ346" s="44"/>
      <c r="AK346" s="168"/>
      <c r="AL346" s="44"/>
      <c r="AM346" s="44"/>
      <c r="AN346" s="44"/>
    </row>
    <row r="347" spans="1:40" x14ac:dyDescent="0.3">
      <c r="A347" s="44"/>
      <c r="C347" s="44"/>
      <c r="D347" s="44"/>
      <c r="E347" s="44"/>
      <c r="F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T347" s="44"/>
      <c r="U347" s="44"/>
      <c r="V347" s="44"/>
      <c r="Y347" s="44"/>
      <c r="Z347" s="44"/>
      <c r="AA347" s="44"/>
      <c r="AB347" s="44"/>
      <c r="AC347" s="44"/>
      <c r="AD347" s="44"/>
      <c r="AE347" s="44"/>
      <c r="AF347" s="44"/>
      <c r="AG347" s="168"/>
      <c r="AH347" s="44"/>
      <c r="AI347" s="44"/>
      <c r="AJ347" s="44"/>
      <c r="AK347" s="168"/>
      <c r="AL347" s="44"/>
      <c r="AM347" s="44"/>
      <c r="AN347" s="44"/>
    </row>
    <row r="348" spans="1:40" x14ac:dyDescent="0.3">
      <c r="C348" s="44"/>
      <c r="D348" s="44"/>
      <c r="E348" s="44"/>
      <c r="F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T348" s="44"/>
      <c r="U348" s="44"/>
      <c r="V348" s="44"/>
      <c r="Y348" s="44"/>
      <c r="Z348" s="44"/>
      <c r="AA348" s="44"/>
      <c r="AB348" s="44"/>
      <c r="AC348" s="44"/>
      <c r="AD348" s="44"/>
      <c r="AE348" s="44"/>
      <c r="AF348" s="44"/>
      <c r="AG348" s="168"/>
      <c r="AH348" s="44"/>
      <c r="AI348" s="44"/>
      <c r="AJ348" s="44"/>
      <c r="AK348" s="168"/>
      <c r="AL348" s="44"/>
      <c r="AM348" s="44"/>
      <c r="AN348" s="44"/>
    </row>
    <row r="349" spans="1:40" x14ac:dyDescent="0.3">
      <c r="A349" s="135"/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207"/>
      <c r="AH349" s="135"/>
      <c r="AI349" s="135"/>
      <c r="AJ349" s="135"/>
      <c r="AK349" s="207"/>
      <c r="AL349" s="135"/>
      <c r="AM349" s="135"/>
      <c r="AN349" s="135"/>
    </row>
    <row r="350" spans="1:40" x14ac:dyDescent="0.3"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Y350" s="44"/>
      <c r="Z350" s="44"/>
      <c r="AA350" s="44"/>
      <c r="AB350" s="44"/>
      <c r="AC350" s="44"/>
      <c r="AD350" s="44"/>
      <c r="AE350" s="44"/>
      <c r="AF350" s="44"/>
      <c r="AG350" s="168"/>
      <c r="AH350" s="44"/>
      <c r="AI350" s="44"/>
      <c r="AJ350" s="44"/>
      <c r="AK350" s="168"/>
      <c r="AL350" s="44"/>
      <c r="AM350" s="44"/>
      <c r="AN350" s="44"/>
    </row>
    <row r="351" spans="1:40" x14ac:dyDescent="0.3">
      <c r="C351" s="42"/>
      <c r="D351" s="42"/>
      <c r="E351" s="42"/>
      <c r="T351" s="42"/>
      <c r="U351" s="42"/>
    </row>
    <row r="353" spans="3:40" x14ac:dyDescent="0.3">
      <c r="C353" s="42"/>
      <c r="T353" s="42"/>
    </row>
    <row r="354" spans="3:40" x14ac:dyDescent="0.3">
      <c r="C354" s="42"/>
      <c r="F354" s="184"/>
      <c r="H354" s="184"/>
      <c r="I354" s="184"/>
      <c r="J354" s="213"/>
      <c r="K354" s="213"/>
      <c r="L354" s="123"/>
      <c r="M354" s="123"/>
      <c r="N354" s="160"/>
      <c r="O354" s="160"/>
      <c r="P354" s="123"/>
      <c r="Q354" s="123"/>
      <c r="R354" s="123"/>
      <c r="T354" s="42"/>
      <c r="V354" s="184"/>
      <c r="Y354" s="184"/>
      <c r="Z354" s="213"/>
      <c r="AA354" s="123"/>
      <c r="AB354" s="123"/>
      <c r="AC354" s="160"/>
      <c r="AD354" s="160"/>
      <c r="AE354" s="123"/>
      <c r="AF354" s="123"/>
      <c r="AH354" s="236"/>
      <c r="AI354" s="123"/>
      <c r="AJ354" s="123"/>
      <c r="AL354" s="123"/>
      <c r="AM354" s="160"/>
      <c r="AN354" s="160"/>
    </row>
    <row r="355" spans="3:40" x14ac:dyDescent="0.3">
      <c r="C355" s="42"/>
      <c r="T355" s="42"/>
    </row>
    <row r="356" spans="3:40" x14ac:dyDescent="0.3">
      <c r="C356" s="42"/>
      <c r="F356" s="184"/>
      <c r="H356" s="184"/>
      <c r="I356" s="184"/>
      <c r="J356" s="238"/>
      <c r="K356" s="238"/>
      <c r="L356" s="123"/>
      <c r="M356" s="123"/>
      <c r="N356" s="160"/>
      <c r="O356" s="160"/>
      <c r="P356" s="123"/>
      <c r="Q356" s="123"/>
      <c r="R356" s="123"/>
      <c r="T356" s="42"/>
      <c r="V356" s="123"/>
      <c r="Y356" s="123"/>
      <c r="Z356" s="238"/>
      <c r="AA356" s="123"/>
      <c r="AB356" s="123"/>
      <c r="AC356" s="160"/>
      <c r="AD356" s="160"/>
      <c r="AE356" s="123"/>
      <c r="AF356" s="123"/>
      <c r="AH356" s="236"/>
      <c r="AI356" s="123"/>
      <c r="AJ356" s="123"/>
      <c r="AL356" s="123"/>
      <c r="AM356" s="160"/>
      <c r="AN356" s="160"/>
    </row>
    <row r="357" spans="3:40" x14ac:dyDescent="0.3">
      <c r="C357" s="42"/>
      <c r="F357" s="184"/>
      <c r="H357" s="184"/>
      <c r="I357" s="184"/>
      <c r="J357" s="238"/>
      <c r="K357" s="238"/>
      <c r="L357" s="123"/>
      <c r="M357" s="123"/>
      <c r="N357" s="160"/>
      <c r="O357" s="160"/>
      <c r="P357" s="123"/>
      <c r="Q357" s="123"/>
      <c r="R357" s="123"/>
      <c r="T357" s="42"/>
      <c r="V357" s="123"/>
      <c r="Y357" s="123"/>
      <c r="Z357" s="238"/>
      <c r="AA357" s="123"/>
      <c r="AB357" s="123"/>
      <c r="AC357" s="160"/>
      <c r="AD357" s="160"/>
      <c r="AE357" s="123"/>
      <c r="AF357" s="123"/>
      <c r="AH357" s="236"/>
      <c r="AI357" s="123"/>
      <c r="AJ357" s="123"/>
      <c r="AL357" s="123"/>
      <c r="AM357" s="160"/>
      <c r="AN357" s="160"/>
    </row>
    <row r="358" spans="3:40" x14ac:dyDescent="0.3">
      <c r="C358" s="42"/>
      <c r="F358" s="184"/>
      <c r="H358" s="184"/>
      <c r="I358" s="184"/>
      <c r="J358" s="238"/>
      <c r="K358" s="238"/>
      <c r="L358" s="123"/>
      <c r="M358" s="123"/>
      <c r="N358" s="160"/>
      <c r="O358" s="160"/>
      <c r="P358" s="123"/>
      <c r="Q358" s="123"/>
      <c r="R358" s="123"/>
      <c r="T358" s="42"/>
      <c r="V358" s="123"/>
      <c r="Y358" s="123"/>
      <c r="Z358" s="238"/>
      <c r="AA358" s="123"/>
      <c r="AB358" s="123"/>
      <c r="AC358" s="160"/>
      <c r="AD358" s="160"/>
      <c r="AE358" s="123"/>
      <c r="AF358" s="123"/>
      <c r="AH358" s="236"/>
      <c r="AI358" s="123"/>
      <c r="AJ358" s="123"/>
      <c r="AL358" s="123"/>
      <c r="AM358" s="160"/>
      <c r="AN358" s="160"/>
    </row>
    <row r="359" spans="3:40" x14ac:dyDescent="0.3">
      <c r="C359" s="42"/>
      <c r="F359" s="184"/>
      <c r="H359" s="184"/>
      <c r="I359" s="184"/>
      <c r="J359" s="238"/>
      <c r="K359" s="238"/>
      <c r="L359" s="123"/>
      <c r="M359" s="123"/>
      <c r="N359" s="160"/>
      <c r="O359" s="160"/>
      <c r="P359" s="123"/>
      <c r="Q359" s="123"/>
      <c r="R359" s="123"/>
      <c r="T359" s="42"/>
      <c r="V359" s="123"/>
      <c r="Y359" s="123"/>
      <c r="Z359" s="238"/>
      <c r="AA359" s="123"/>
      <c r="AB359" s="123"/>
      <c r="AC359" s="160"/>
      <c r="AD359" s="160"/>
      <c r="AE359" s="123"/>
      <c r="AF359" s="123"/>
      <c r="AH359" s="236"/>
      <c r="AI359" s="123"/>
      <c r="AJ359" s="123"/>
      <c r="AL359" s="123"/>
      <c r="AM359" s="160"/>
      <c r="AN359" s="160"/>
    </row>
    <row r="360" spans="3:40" x14ac:dyDescent="0.3">
      <c r="C360" s="42"/>
      <c r="J360" s="188"/>
      <c r="K360" s="188"/>
      <c r="T360" s="42"/>
      <c r="Z360" s="188"/>
    </row>
    <row r="361" spans="3:40" x14ac:dyDescent="0.3">
      <c r="C361" s="42"/>
      <c r="F361" s="184"/>
      <c r="H361" s="184"/>
      <c r="I361" s="184"/>
      <c r="J361" s="238"/>
      <c r="K361" s="238"/>
      <c r="L361" s="123"/>
      <c r="M361" s="123"/>
      <c r="N361" s="160"/>
      <c r="O361" s="160"/>
      <c r="P361" s="123"/>
      <c r="Q361" s="123"/>
      <c r="R361" s="123"/>
      <c r="T361" s="42"/>
      <c r="V361" s="123"/>
      <c r="Y361" s="123"/>
      <c r="Z361" s="238"/>
      <c r="AA361" s="123"/>
      <c r="AB361" s="123"/>
      <c r="AC361" s="160"/>
      <c r="AD361" s="160"/>
      <c r="AE361" s="123"/>
      <c r="AF361" s="123"/>
      <c r="AH361" s="236"/>
      <c r="AI361" s="123"/>
      <c r="AJ361" s="123"/>
      <c r="AL361" s="123"/>
      <c r="AM361" s="160"/>
      <c r="AN361" s="160"/>
    </row>
    <row r="362" spans="3:40" x14ac:dyDescent="0.3">
      <c r="C362" s="42"/>
      <c r="F362" s="184"/>
      <c r="H362" s="184"/>
      <c r="I362" s="184"/>
      <c r="J362" s="238"/>
      <c r="K362" s="238"/>
      <c r="L362" s="123"/>
      <c r="M362" s="123"/>
      <c r="N362" s="160"/>
      <c r="O362" s="160"/>
      <c r="P362" s="123"/>
      <c r="Q362" s="123"/>
      <c r="R362" s="123"/>
      <c r="T362" s="42"/>
      <c r="V362" s="123"/>
      <c r="Y362" s="123"/>
      <c r="Z362" s="238"/>
      <c r="AA362" s="123"/>
      <c r="AB362" s="123"/>
      <c r="AC362" s="160"/>
      <c r="AD362" s="160"/>
      <c r="AE362" s="123"/>
      <c r="AF362" s="123"/>
      <c r="AH362" s="236"/>
      <c r="AI362" s="123"/>
      <c r="AJ362" s="123"/>
      <c r="AL362" s="123"/>
      <c r="AM362" s="160"/>
      <c r="AN362" s="160"/>
    </row>
    <row r="363" spans="3:40" x14ac:dyDescent="0.3">
      <c r="C363" s="42"/>
      <c r="F363" s="184"/>
      <c r="H363" s="184"/>
      <c r="I363" s="184"/>
      <c r="J363" s="238"/>
      <c r="K363" s="238"/>
      <c r="L363" s="123"/>
      <c r="M363" s="123"/>
      <c r="N363" s="160"/>
      <c r="O363" s="160"/>
      <c r="P363" s="123"/>
      <c r="Q363" s="123"/>
      <c r="R363" s="123"/>
      <c r="T363" s="42"/>
      <c r="V363" s="123"/>
      <c r="Y363" s="123"/>
      <c r="Z363" s="238"/>
      <c r="AA363" s="123"/>
      <c r="AB363" s="123"/>
      <c r="AC363" s="160"/>
      <c r="AD363" s="160"/>
      <c r="AE363" s="123"/>
      <c r="AF363" s="123"/>
      <c r="AH363" s="236"/>
      <c r="AI363" s="123"/>
      <c r="AJ363" s="123"/>
      <c r="AL363" s="123"/>
      <c r="AM363" s="160"/>
      <c r="AN363" s="160"/>
    </row>
    <row r="364" spans="3:40" x14ac:dyDescent="0.3">
      <c r="C364" s="42"/>
      <c r="J364" s="188"/>
      <c r="K364" s="188"/>
      <c r="T364" s="42"/>
      <c r="Z364" s="188"/>
    </row>
    <row r="365" spans="3:40" x14ac:dyDescent="0.3">
      <c r="C365" s="42"/>
      <c r="F365" s="184"/>
      <c r="H365" s="184"/>
      <c r="I365" s="184"/>
      <c r="J365" s="238"/>
      <c r="K365" s="238"/>
      <c r="L365" s="123"/>
      <c r="M365" s="123"/>
      <c r="N365" s="160"/>
      <c r="O365" s="160"/>
      <c r="P365" s="123"/>
      <c r="Q365" s="123"/>
      <c r="R365" s="123"/>
      <c r="T365" s="42"/>
      <c r="V365" s="123"/>
      <c r="Y365" s="123"/>
      <c r="Z365" s="238"/>
      <c r="AA365" s="123"/>
      <c r="AB365" s="123"/>
      <c r="AC365" s="160"/>
      <c r="AD365" s="160"/>
      <c r="AE365" s="123"/>
      <c r="AF365" s="123"/>
      <c r="AH365" s="236"/>
      <c r="AI365" s="123"/>
      <c r="AJ365" s="123"/>
      <c r="AL365" s="123"/>
      <c r="AM365" s="160"/>
      <c r="AN365" s="160"/>
    </row>
    <row r="366" spans="3:40" x14ac:dyDescent="0.3">
      <c r="C366" s="42"/>
      <c r="F366" s="184"/>
      <c r="H366" s="184"/>
      <c r="I366" s="184"/>
      <c r="J366" s="238"/>
      <c r="K366" s="238"/>
      <c r="L366" s="123"/>
      <c r="M366" s="123"/>
      <c r="N366" s="160"/>
      <c r="O366" s="160"/>
      <c r="P366" s="123"/>
      <c r="Q366" s="123"/>
      <c r="R366" s="123"/>
      <c r="T366" s="42"/>
      <c r="V366" s="123"/>
      <c r="Y366" s="123"/>
      <c r="Z366" s="238"/>
      <c r="AA366" s="123"/>
      <c r="AB366" s="123"/>
      <c r="AC366" s="160"/>
      <c r="AD366" s="160"/>
      <c r="AE366" s="123"/>
      <c r="AF366" s="123"/>
      <c r="AH366" s="236"/>
      <c r="AI366" s="123"/>
      <c r="AJ366" s="123"/>
      <c r="AL366" s="123"/>
      <c r="AM366" s="160"/>
      <c r="AN366" s="160"/>
    </row>
    <row r="367" spans="3:40" x14ac:dyDescent="0.3">
      <c r="C367" s="42"/>
      <c r="J367" s="188"/>
      <c r="K367" s="188"/>
      <c r="T367" s="42"/>
      <c r="Z367" s="188"/>
    </row>
    <row r="368" spans="3:40" x14ac:dyDescent="0.3">
      <c r="C368" s="42"/>
      <c r="F368" s="184"/>
      <c r="H368" s="184"/>
      <c r="I368" s="184"/>
      <c r="J368" s="238"/>
      <c r="K368" s="238"/>
      <c r="L368" s="123"/>
      <c r="M368" s="123"/>
      <c r="N368" s="160"/>
      <c r="O368" s="160"/>
      <c r="P368" s="123"/>
      <c r="Q368" s="123"/>
      <c r="R368" s="123"/>
      <c r="T368" s="42"/>
      <c r="V368" s="123"/>
      <c r="Y368" s="123"/>
      <c r="Z368" s="238"/>
      <c r="AA368" s="123"/>
      <c r="AB368" s="123"/>
      <c r="AC368" s="160"/>
      <c r="AD368" s="160"/>
      <c r="AE368" s="123"/>
      <c r="AF368" s="123"/>
      <c r="AH368" s="236"/>
      <c r="AI368" s="123"/>
      <c r="AJ368" s="123"/>
      <c r="AL368" s="123"/>
      <c r="AM368" s="160"/>
      <c r="AN368" s="160"/>
    </row>
    <row r="369" spans="3:40" x14ac:dyDescent="0.3">
      <c r="C369" s="42"/>
      <c r="F369" s="184"/>
      <c r="H369" s="184"/>
      <c r="I369" s="184"/>
      <c r="J369" s="238"/>
      <c r="K369" s="238"/>
      <c r="L369" s="123"/>
      <c r="M369" s="123"/>
      <c r="N369" s="160"/>
      <c r="O369" s="160"/>
      <c r="P369" s="123"/>
      <c r="Q369" s="123"/>
      <c r="R369" s="123"/>
      <c r="T369" s="42"/>
      <c r="V369" s="123"/>
      <c r="Y369" s="123"/>
      <c r="Z369" s="238"/>
      <c r="AA369" s="123"/>
      <c r="AB369" s="123"/>
      <c r="AC369" s="160"/>
      <c r="AD369" s="160"/>
      <c r="AE369" s="123"/>
      <c r="AF369" s="123"/>
      <c r="AH369" s="236"/>
      <c r="AI369" s="123"/>
      <c r="AJ369" s="123"/>
      <c r="AL369" s="123"/>
      <c r="AM369" s="160"/>
      <c r="AN369" s="160"/>
    </row>
    <row r="370" spans="3:40" x14ac:dyDescent="0.3">
      <c r="C370" s="42"/>
      <c r="F370" s="184"/>
      <c r="H370" s="184"/>
      <c r="I370" s="184"/>
      <c r="J370" s="238"/>
      <c r="K370" s="238"/>
      <c r="L370" s="123"/>
      <c r="M370" s="123"/>
      <c r="N370" s="160"/>
      <c r="O370" s="160"/>
      <c r="P370" s="123"/>
      <c r="Q370" s="123"/>
      <c r="R370" s="123"/>
      <c r="T370" s="42"/>
      <c r="V370" s="123"/>
      <c r="Y370" s="123"/>
      <c r="Z370" s="238"/>
      <c r="AA370" s="123"/>
      <c r="AB370" s="123"/>
      <c r="AC370" s="160"/>
      <c r="AD370" s="160"/>
      <c r="AE370" s="123"/>
      <c r="AF370" s="123"/>
      <c r="AH370" s="236"/>
      <c r="AI370" s="123"/>
      <c r="AJ370" s="123"/>
      <c r="AL370" s="123"/>
      <c r="AM370" s="160"/>
      <c r="AN370" s="160"/>
    </row>
    <row r="371" spans="3:40" x14ac:dyDescent="0.3">
      <c r="F371" s="210"/>
      <c r="H371" s="210"/>
      <c r="I371" s="210"/>
      <c r="J371" s="238"/>
      <c r="K371" s="238"/>
      <c r="L371" s="210"/>
      <c r="M371" s="210"/>
      <c r="N371" s="210"/>
      <c r="O371" s="210"/>
      <c r="P371" s="210"/>
      <c r="Q371" s="210"/>
      <c r="R371" s="210"/>
      <c r="V371" s="210"/>
      <c r="Y371" s="210"/>
      <c r="Z371" s="238"/>
      <c r="AA371" s="210"/>
      <c r="AB371" s="210"/>
      <c r="AC371" s="210"/>
      <c r="AD371" s="210"/>
      <c r="AE371" s="210"/>
      <c r="AF371" s="210"/>
      <c r="AI371" s="210"/>
      <c r="AJ371" s="210"/>
      <c r="AK371" s="214"/>
      <c r="AL371" s="210"/>
    </row>
    <row r="372" spans="3:40" x14ac:dyDescent="0.3">
      <c r="C372" s="44"/>
      <c r="F372" s="123"/>
      <c r="H372" s="123"/>
      <c r="I372" s="123"/>
      <c r="J372" s="188"/>
      <c r="K372" s="188"/>
      <c r="L372" s="123"/>
      <c r="M372" s="123"/>
      <c r="N372" s="236"/>
      <c r="O372" s="236"/>
      <c r="P372" s="123"/>
      <c r="Q372" s="123"/>
      <c r="R372" s="123"/>
      <c r="T372" s="44"/>
      <c r="V372" s="123"/>
      <c r="Y372" s="123"/>
      <c r="Z372" s="188"/>
      <c r="AA372" s="123"/>
      <c r="AB372" s="123"/>
      <c r="AC372" s="123"/>
      <c r="AD372" s="123"/>
      <c r="AE372" s="123"/>
      <c r="AF372" s="123"/>
      <c r="AH372" s="236"/>
      <c r="AI372" s="123"/>
      <c r="AJ372" s="123"/>
      <c r="AL372" s="123"/>
      <c r="AM372" s="160"/>
      <c r="AN372" s="160"/>
    </row>
    <row r="373" spans="3:40" x14ac:dyDescent="0.3">
      <c r="F373" s="210"/>
      <c r="H373" s="210"/>
      <c r="I373" s="210"/>
      <c r="J373" s="238"/>
      <c r="K373" s="238"/>
      <c r="L373" s="210"/>
      <c r="M373" s="210"/>
      <c r="N373" s="210"/>
      <c r="O373" s="210"/>
      <c r="P373" s="210"/>
      <c r="Q373" s="210"/>
      <c r="R373" s="210"/>
      <c r="V373" s="210"/>
      <c r="Y373" s="210"/>
      <c r="Z373" s="238"/>
      <c r="AA373" s="210"/>
      <c r="AB373" s="210"/>
      <c r="AC373" s="210"/>
      <c r="AD373" s="210"/>
      <c r="AE373" s="210"/>
      <c r="AF373" s="210"/>
      <c r="AI373" s="210"/>
      <c r="AJ373" s="210"/>
      <c r="AK373" s="214"/>
      <c r="AL373" s="210"/>
    </row>
    <row r="374" spans="3:40" x14ac:dyDescent="0.3">
      <c r="C374" s="42"/>
      <c r="J374" s="188"/>
      <c r="K374" s="188"/>
      <c r="T374" s="42"/>
      <c r="Z374" s="188"/>
    </row>
    <row r="375" spans="3:40" x14ac:dyDescent="0.3">
      <c r="C375" s="42"/>
      <c r="J375" s="188"/>
      <c r="K375" s="188"/>
      <c r="T375" s="42"/>
      <c r="Z375" s="188"/>
    </row>
    <row r="376" spans="3:40" x14ac:dyDescent="0.3">
      <c r="C376" s="42"/>
      <c r="F376" s="184"/>
      <c r="H376" s="184"/>
      <c r="I376" s="184"/>
      <c r="J376" s="238"/>
      <c r="K376" s="238"/>
      <c r="L376" s="123"/>
      <c r="M376" s="123"/>
      <c r="N376" s="160"/>
      <c r="O376" s="160"/>
      <c r="P376" s="123"/>
      <c r="Q376" s="123"/>
      <c r="R376" s="123"/>
      <c r="T376" s="42"/>
      <c r="V376" s="123"/>
      <c r="Y376" s="123"/>
      <c r="Z376" s="238"/>
      <c r="AA376" s="123"/>
      <c r="AB376" s="123"/>
      <c r="AC376" s="160"/>
      <c r="AD376" s="160"/>
      <c r="AE376" s="123"/>
      <c r="AF376" s="123"/>
      <c r="AH376" s="236"/>
      <c r="AI376" s="123"/>
      <c r="AJ376" s="123"/>
      <c r="AL376" s="123"/>
      <c r="AM376" s="160"/>
      <c r="AN376" s="160"/>
    </row>
    <row r="377" spans="3:40" x14ac:dyDescent="0.3">
      <c r="C377" s="42"/>
      <c r="F377" s="184"/>
      <c r="H377" s="184"/>
      <c r="I377" s="184"/>
      <c r="J377" s="238"/>
      <c r="K377" s="238"/>
      <c r="L377" s="123"/>
      <c r="M377" s="123"/>
      <c r="N377" s="160"/>
      <c r="O377" s="160"/>
      <c r="P377" s="123"/>
      <c r="Q377" s="123"/>
      <c r="R377" s="123"/>
      <c r="T377" s="42"/>
      <c r="V377" s="123"/>
      <c r="Y377" s="123"/>
      <c r="Z377" s="238"/>
      <c r="AA377" s="123"/>
      <c r="AB377" s="123"/>
      <c r="AC377" s="160"/>
      <c r="AD377" s="160"/>
      <c r="AE377" s="123"/>
      <c r="AF377" s="123"/>
      <c r="AH377" s="236"/>
      <c r="AI377" s="123"/>
      <c r="AJ377" s="123"/>
      <c r="AL377" s="123"/>
      <c r="AM377" s="160"/>
      <c r="AN377" s="160"/>
    </row>
    <row r="378" spans="3:40" x14ac:dyDescent="0.3">
      <c r="C378" s="42"/>
      <c r="F378" s="184"/>
      <c r="H378" s="184"/>
      <c r="I378" s="184"/>
      <c r="J378" s="238"/>
      <c r="K378" s="238"/>
      <c r="L378" s="123"/>
      <c r="M378" s="123"/>
      <c r="N378" s="160"/>
      <c r="O378" s="160"/>
      <c r="P378" s="123"/>
      <c r="Q378" s="123"/>
      <c r="R378" s="123"/>
      <c r="T378" s="42"/>
      <c r="V378" s="123"/>
      <c r="Y378" s="123"/>
      <c r="Z378" s="238"/>
      <c r="AA378" s="123"/>
      <c r="AB378" s="123"/>
      <c r="AC378" s="160"/>
      <c r="AD378" s="160"/>
      <c r="AE378" s="123"/>
      <c r="AF378" s="123"/>
      <c r="AH378" s="236"/>
      <c r="AI378" s="123"/>
      <c r="AJ378" s="123"/>
      <c r="AL378" s="123"/>
      <c r="AM378" s="160"/>
      <c r="AN378" s="160"/>
    </row>
    <row r="379" spans="3:40" x14ac:dyDescent="0.3">
      <c r="C379" s="42"/>
      <c r="F379" s="184"/>
      <c r="H379" s="184"/>
      <c r="I379" s="184"/>
      <c r="J379" s="238"/>
      <c r="K379" s="238"/>
      <c r="L379" s="123"/>
      <c r="M379" s="123"/>
      <c r="N379" s="160"/>
      <c r="O379" s="160"/>
      <c r="P379" s="123"/>
      <c r="Q379" s="123"/>
      <c r="R379" s="123"/>
      <c r="T379" s="42"/>
      <c r="V379" s="123"/>
      <c r="Y379" s="123"/>
      <c r="Z379" s="238"/>
      <c r="AA379" s="123"/>
      <c r="AB379" s="123"/>
      <c r="AC379" s="160"/>
      <c r="AD379" s="160"/>
      <c r="AE379" s="123"/>
      <c r="AF379" s="123"/>
      <c r="AH379" s="236"/>
      <c r="AI379" s="123"/>
      <c r="AJ379" s="123"/>
      <c r="AL379" s="123"/>
      <c r="AM379" s="160"/>
      <c r="AN379" s="160"/>
    </row>
    <row r="380" spans="3:40" x14ac:dyDescent="0.3">
      <c r="C380" s="42"/>
      <c r="F380" s="184"/>
      <c r="H380" s="184"/>
      <c r="I380" s="184"/>
      <c r="J380" s="238"/>
      <c r="K380" s="238"/>
      <c r="L380" s="123"/>
      <c r="M380" s="123"/>
      <c r="N380" s="160"/>
      <c r="O380" s="160"/>
      <c r="P380" s="123"/>
      <c r="Q380" s="123"/>
      <c r="R380" s="123"/>
      <c r="T380" s="42"/>
      <c r="V380" s="123"/>
      <c r="Y380" s="123"/>
      <c r="Z380" s="238"/>
      <c r="AA380" s="123"/>
      <c r="AB380" s="123"/>
      <c r="AC380" s="160"/>
      <c r="AD380" s="160"/>
      <c r="AE380" s="123"/>
      <c r="AF380" s="123"/>
      <c r="AH380" s="236"/>
      <c r="AI380" s="123"/>
      <c r="AJ380" s="123"/>
      <c r="AL380" s="123"/>
      <c r="AM380" s="160"/>
      <c r="AN380" s="160"/>
    </row>
    <row r="381" spans="3:40" x14ac:dyDescent="0.3">
      <c r="C381" s="42"/>
      <c r="F381" s="184"/>
      <c r="H381" s="184"/>
      <c r="I381" s="184"/>
      <c r="J381" s="238"/>
      <c r="K381" s="238"/>
      <c r="L381" s="123"/>
      <c r="M381" s="123"/>
      <c r="N381" s="160"/>
      <c r="O381" s="160"/>
      <c r="P381" s="123"/>
      <c r="Q381" s="123"/>
      <c r="R381" s="123"/>
      <c r="T381" s="42"/>
      <c r="V381" s="123"/>
      <c r="Y381" s="123"/>
      <c r="Z381" s="238"/>
      <c r="AA381" s="123"/>
      <c r="AB381" s="123"/>
      <c r="AC381" s="160"/>
      <c r="AD381" s="160"/>
      <c r="AE381" s="123"/>
      <c r="AF381" s="123"/>
      <c r="AH381" s="236"/>
      <c r="AI381" s="123"/>
      <c r="AJ381" s="123"/>
      <c r="AL381" s="123"/>
      <c r="AM381" s="160"/>
      <c r="AN381" s="160"/>
    </row>
    <row r="382" spans="3:40" x14ac:dyDescent="0.3">
      <c r="C382" s="42"/>
      <c r="F382" s="184"/>
      <c r="H382" s="184"/>
      <c r="I382" s="184"/>
      <c r="J382" s="238"/>
      <c r="K382" s="238"/>
      <c r="L382" s="123"/>
      <c r="M382" s="123"/>
      <c r="N382" s="160"/>
      <c r="O382" s="160"/>
      <c r="P382" s="123"/>
      <c r="Q382" s="123"/>
      <c r="R382" s="123"/>
      <c r="T382" s="42"/>
      <c r="V382" s="123"/>
      <c r="Y382" s="123"/>
      <c r="Z382" s="238"/>
      <c r="AA382" s="123"/>
      <c r="AB382" s="123"/>
      <c r="AC382" s="160"/>
      <c r="AD382" s="160"/>
      <c r="AE382" s="123"/>
      <c r="AF382" s="123"/>
      <c r="AH382" s="236"/>
      <c r="AI382" s="123"/>
      <c r="AJ382" s="123"/>
      <c r="AL382" s="123"/>
      <c r="AM382" s="160"/>
      <c r="AN382" s="160"/>
    </row>
    <row r="383" spans="3:40" x14ac:dyDescent="0.3">
      <c r="C383" s="42"/>
      <c r="J383" s="188"/>
      <c r="K383" s="188"/>
      <c r="T383" s="42"/>
      <c r="Z383" s="188"/>
    </row>
    <row r="384" spans="3:40" x14ac:dyDescent="0.3">
      <c r="C384" s="42"/>
      <c r="F384" s="184"/>
      <c r="H384" s="184"/>
      <c r="I384" s="184"/>
      <c r="J384" s="238"/>
      <c r="K384" s="238"/>
      <c r="L384" s="123"/>
      <c r="M384" s="123"/>
      <c r="N384" s="160"/>
      <c r="O384" s="160"/>
      <c r="P384" s="123"/>
      <c r="Q384" s="123"/>
      <c r="R384" s="123"/>
      <c r="T384" s="42"/>
      <c r="V384" s="123"/>
      <c r="Y384" s="123"/>
      <c r="Z384" s="238"/>
      <c r="AA384" s="123"/>
      <c r="AB384" s="123"/>
      <c r="AC384" s="160"/>
      <c r="AD384" s="160"/>
      <c r="AE384" s="123"/>
      <c r="AF384" s="123"/>
      <c r="AH384" s="236"/>
      <c r="AI384" s="123"/>
      <c r="AJ384" s="123"/>
      <c r="AL384" s="123"/>
      <c r="AM384" s="160"/>
      <c r="AN384" s="160"/>
    </row>
    <row r="385" spans="3:40" x14ac:dyDescent="0.3">
      <c r="C385" s="42"/>
      <c r="F385" s="184"/>
      <c r="H385" s="184"/>
      <c r="I385" s="184"/>
      <c r="J385" s="238"/>
      <c r="K385" s="238"/>
      <c r="L385" s="123"/>
      <c r="M385" s="123"/>
      <c r="N385" s="160"/>
      <c r="O385" s="160"/>
      <c r="P385" s="123"/>
      <c r="Q385" s="123"/>
      <c r="R385" s="123"/>
      <c r="T385" s="42"/>
      <c r="V385" s="123"/>
      <c r="Y385" s="123"/>
      <c r="Z385" s="238"/>
      <c r="AA385" s="123"/>
      <c r="AB385" s="123"/>
      <c r="AC385" s="160"/>
      <c r="AD385" s="160"/>
      <c r="AE385" s="123"/>
      <c r="AF385" s="123"/>
      <c r="AH385" s="236"/>
      <c r="AI385" s="123"/>
      <c r="AJ385" s="123"/>
      <c r="AL385" s="123"/>
      <c r="AM385" s="160"/>
      <c r="AN385" s="160"/>
    </row>
    <row r="386" spans="3:40" x14ac:dyDescent="0.3">
      <c r="C386" s="42"/>
      <c r="F386" s="184"/>
      <c r="H386" s="184"/>
      <c r="I386" s="184"/>
      <c r="J386" s="238"/>
      <c r="K386" s="238"/>
      <c r="L386" s="123"/>
      <c r="M386" s="123"/>
      <c r="N386" s="160"/>
      <c r="O386" s="160"/>
      <c r="P386" s="123"/>
      <c r="Q386" s="123"/>
      <c r="R386" s="123"/>
      <c r="T386" s="42"/>
      <c r="V386" s="123"/>
      <c r="Y386" s="123"/>
      <c r="Z386" s="238"/>
      <c r="AA386" s="123"/>
      <c r="AB386" s="123"/>
      <c r="AC386" s="160"/>
      <c r="AD386" s="160"/>
      <c r="AE386" s="123"/>
      <c r="AF386" s="123"/>
      <c r="AH386" s="236"/>
      <c r="AI386" s="123"/>
      <c r="AJ386" s="123"/>
      <c r="AL386" s="123"/>
      <c r="AM386" s="160"/>
      <c r="AN386" s="160"/>
    </row>
    <row r="387" spans="3:40" x14ac:dyDescent="0.3">
      <c r="C387" s="42"/>
      <c r="F387" s="184"/>
      <c r="H387" s="184"/>
      <c r="I387" s="184"/>
      <c r="J387" s="238"/>
      <c r="K387" s="238"/>
      <c r="L387" s="123"/>
      <c r="M387" s="123"/>
      <c r="N387" s="160"/>
      <c r="O387" s="160"/>
      <c r="P387" s="123"/>
      <c r="Q387" s="123"/>
      <c r="R387" s="123"/>
      <c r="T387" s="42"/>
      <c r="V387" s="123"/>
      <c r="Y387" s="123"/>
      <c r="Z387" s="238"/>
      <c r="AA387" s="123"/>
      <c r="AB387" s="123"/>
      <c r="AC387" s="160"/>
      <c r="AD387" s="160"/>
      <c r="AE387" s="123"/>
      <c r="AF387" s="123"/>
      <c r="AH387" s="236"/>
      <c r="AI387" s="123"/>
      <c r="AJ387" s="123"/>
      <c r="AL387" s="123"/>
      <c r="AM387" s="160"/>
      <c r="AN387" s="160"/>
    </row>
    <row r="388" spans="3:40" x14ac:dyDescent="0.3">
      <c r="C388" s="42"/>
      <c r="J388" s="188"/>
      <c r="K388" s="188"/>
      <c r="T388" s="42"/>
      <c r="Z388" s="188"/>
    </row>
    <row r="389" spans="3:40" x14ac:dyDescent="0.3">
      <c r="C389" s="42"/>
      <c r="F389" s="184"/>
      <c r="H389" s="184"/>
      <c r="I389" s="184"/>
      <c r="J389" s="238"/>
      <c r="K389" s="238"/>
      <c r="L389" s="123"/>
      <c r="M389" s="123"/>
      <c r="N389" s="160"/>
      <c r="O389" s="160"/>
      <c r="P389" s="123"/>
      <c r="Q389" s="123"/>
      <c r="R389" s="123"/>
      <c r="T389" s="42"/>
      <c r="V389" s="123"/>
      <c r="Y389" s="123"/>
      <c r="Z389" s="238"/>
      <c r="AA389" s="123"/>
      <c r="AB389" s="123"/>
      <c r="AC389" s="160"/>
      <c r="AD389" s="160"/>
      <c r="AE389" s="123"/>
      <c r="AF389" s="123"/>
      <c r="AH389" s="236"/>
      <c r="AI389" s="123"/>
      <c r="AJ389" s="123"/>
      <c r="AL389" s="123"/>
      <c r="AM389" s="160"/>
      <c r="AN389" s="160"/>
    </row>
    <row r="390" spans="3:40" x14ac:dyDescent="0.3">
      <c r="C390" s="42"/>
      <c r="F390" s="184"/>
      <c r="H390" s="184"/>
      <c r="I390" s="184"/>
      <c r="J390" s="238"/>
      <c r="K390" s="238"/>
      <c r="L390" s="123"/>
      <c r="M390" s="123"/>
      <c r="N390" s="160"/>
      <c r="O390" s="160"/>
      <c r="P390" s="123"/>
      <c r="Q390" s="123"/>
      <c r="R390" s="123"/>
      <c r="T390" s="42"/>
      <c r="V390" s="123"/>
      <c r="Y390" s="123"/>
      <c r="Z390" s="238"/>
      <c r="AA390" s="123"/>
      <c r="AB390" s="123"/>
      <c r="AC390" s="160"/>
      <c r="AD390" s="160"/>
      <c r="AE390" s="123"/>
      <c r="AF390" s="123"/>
      <c r="AH390" s="236"/>
      <c r="AI390" s="123"/>
      <c r="AJ390" s="123"/>
      <c r="AL390" s="123"/>
      <c r="AM390" s="160"/>
      <c r="AN390" s="160"/>
    </row>
    <row r="391" spans="3:40" x14ac:dyDescent="0.3">
      <c r="C391" s="42"/>
      <c r="F391" s="184"/>
      <c r="H391" s="184"/>
      <c r="I391" s="184"/>
      <c r="J391" s="238"/>
      <c r="K391" s="238"/>
      <c r="L391" s="123"/>
      <c r="M391" s="123"/>
      <c r="N391" s="160"/>
      <c r="O391" s="160"/>
      <c r="P391" s="123"/>
      <c r="Q391" s="123"/>
      <c r="R391" s="123"/>
      <c r="T391" s="42"/>
      <c r="V391" s="123"/>
      <c r="Y391" s="123"/>
      <c r="Z391" s="238"/>
      <c r="AA391" s="123"/>
      <c r="AB391" s="123"/>
      <c r="AC391" s="160"/>
      <c r="AD391" s="160"/>
      <c r="AE391" s="123"/>
      <c r="AF391" s="123"/>
      <c r="AH391" s="236"/>
      <c r="AI391" s="123"/>
      <c r="AJ391" s="123"/>
      <c r="AL391" s="123"/>
      <c r="AM391" s="160"/>
      <c r="AN391" s="160"/>
    </row>
    <row r="392" spans="3:40" x14ac:dyDescent="0.3">
      <c r="C392" s="42"/>
      <c r="F392" s="184"/>
      <c r="H392" s="184"/>
      <c r="I392" s="184"/>
      <c r="J392" s="238"/>
      <c r="K392" s="238"/>
      <c r="L392" s="123"/>
      <c r="M392" s="123"/>
      <c r="N392" s="160"/>
      <c r="O392" s="160"/>
      <c r="P392" s="123"/>
      <c r="Q392" s="123"/>
      <c r="R392" s="123"/>
      <c r="T392" s="42"/>
      <c r="V392" s="123"/>
      <c r="Y392" s="123"/>
      <c r="Z392" s="238"/>
      <c r="AA392" s="123"/>
      <c r="AB392" s="123"/>
      <c r="AC392" s="160"/>
      <c r="AD392" s="160"/>
      <c r="AE392" s="123"/>
      <c r="AF392" s="123"/>
      <c r="AH392" s="236"/>
      <c r="AI392" s="123"/>
      <c r="AJ392" s="123"/>
      <c r="AL392" s="123"/>
      <c r="AM392" s="160"/>
      <c r="AN392" s="160"/>
    </row>
    <row r="393" spans="3:40" x14ac:dyDescent="0.3">
      <c r="C393" s="42"/>
      <c r="F393" s="184"/>
      <c r="H393" s="184"/>
      <c r="I393" s="184"/>
      <c r="J393" s="238"/>
      <c r="K393" s="238"/>
      <c r="L393" s="123"/>
      <c r="M393" s="123"/>
      <c r="N393" s="160"/>
      <c r="O393" s="160"/>
      <c r="P393" s="123"/>
      <c r="Q393" s="123"/>
      <c r="R393" s="123"/>
      <c r="T393" s="42"/>
      <c r="V393" s="123"/>
      <c r="Y393" s="123"/>
      <c r="Z393" s="238"/>
      <c r="AA393" s="123"/>
      <c r="AB393" s="123"/>
      <c r="AC393" s="160"/>
      <c r="AD393" s="160"/>
      <c r="AE393" s="123"/>
      <c r="AF393" s="123"/>
      <c r="AH393" s="236"/>
      <c r="AI393" s="123"/>
      <c r="AJ393" s="123"/>
      <c r="AL393" s="123"/>
      <c r="AM393" s="160"/>
      <c r="AN393" s="160"/>
    </row>
    <row r="394" spans="3:40" x14ac:dyDescent="0.3">
      <c r="F394" s="210"/>
      <c r="H394" s="210"/>
      <c r="I394" s="210"/>
      <c r="J394" s="213"/>
      <c r="K394" s="213"/>
      <c r="L394" s="210"/>
      <c r="M394" s="210"/>
      <c r="N394" s="210"/>
      <c r="O394" s="210"/>
      <c r="P394" s="210"/>
      <c r="Q394" s="210"/>
      <c r="R394" s="210"/>
      <c r="V394" s="210"/>
      <c r="Y394" s="210"/>
      <c r="Z394" s="238"/>
      <c r="AA394" s="210"/>
      <c r="AB394" s="210"/>
      <c r="AC394" s="210"/>
      <c r="AD394" s="210"/>
      <c r="AE394" s="210"/>
      <c r="AF394" s="210"/>
      <c r="AI394" s="210"/>
      <c r="AJ394" s="210"/>
      <c r="AK394" s="214"/>
      <c r="AL394" s="210"/>
    </row>
    <row r="395" spans="3:40" x14ac:dyDescent="0.3">
      <c r="C395" s="42"/>
      <c r="F395" s="123"/>
      <c r="H395" s="123"/>
      <c r="I395" s="123"/>
      <c r="L395" s="123"/>
      <c r="M395" s="123"/>
      <c r="N395" s="236"/>
      <c r="O395" s="236"/>
      <c r="P395" s="123"/>
      <c r="Q395" s="123"/>
      <c r="R395" s="123"/>
      <c r="T395" s="42"/>
      <c r="V395" s="123"/>
      <c r="Y395" s="123"/>
      <c r="AA395" s="123"/>
      <c r="AB395" s="123"/>
      <c r="AC395" s="160"/>
      <c r="AD395" s="160"/>
      <c r="AE395" s="123"/>
      <c r="AF395" s="123"/>
      <c r="AH395" s="236"/>
      <c r="AI395" s="123"/>
      <c r="AJ395" s="123"/>
      <c r="AL395" s="123"/>
      <c r="AM395" s="160"/>
      <c r="AN395" s="160"/>
    </row>
    <row r="396" spans="3:40" x14ac:dyDescent="0.3">
      <c r="F396" s="210"/>
      <c r="H396" s="210"/>
      <c r="I396" s="210"/>
      <c r="J396" s="213"/>
      <c r="K396" s="213"/>
      <c r="L396" s="210"/>
      <c r="M396" s="210"/>
      <c r="N396" s="210"/>
      <c r="O396" s="210"/>
      <c r="P396" s="210"/>
      <c r="Q396" s="210"/>
      <c r="R396" s="210"/>
      <c r="V396" s="210"/>
      <c r="Y396" s="210"/>
      <c r="Z396" s="213"/>
      <c r="AA396" s="210"/>
      <c r="AB396" s="210"/>
      <c r="AC396" s="210"/>
      <c r="AD396" s="210"/>
      <c r="AE396" s="210"/>
      <c r="AF396" s="210"/>
      <c r="AI396" s="210"/>
      <c r="AJ396" s="210"/>
      <c r="AK396" s="214"/>
      <c r="AL396" s="210"/>
    </row>
    <row r="397" spans="3:40" x14ac:dyDescent="0.3">
      <c r="C397" s="42"/>
      <c r="T397" s="42"/>
    </row>
    <row r="398" spans="3:40" x14ac:dyDescent="0.3">
      <c r="C398" s="42"/>
      <c r="F398" s="184"/>
      <c r="H398" s="184"/>
      <c r="I398" s="184"/>
      <c r="J398" s="193"/>
      <c r="K398" s="193"/>
      <c r="L398" s="123"/>
      <c r="M398" s="123"/>
      <c r="N398" s="160"/>
      <c r="O398" s="160"/>
      <c r="P398" s="123"/>
      <c r="Q398" s="123"/>
      <c r="R398" s="123"/>
      <c r="T398" s="42"/>
      <c r="V398" s="123"/>
      <c r="Y398" s="123"/>
      <c r="Z398" s="193"/>
      <c r="AA398" s="123"/>
      <c r="AB398" s="123"/>
      <c r="AC398" s="160"/>
      <c r="AD398" s="160"/>
      <c r="AE398" s="123"/>
      <c r="AF398" s="123"/>
      <c r="AH398" s="236"/>
      <c r="AI398" s="123"/>
      <c r="AJ398" s="123"/>
      <c r="AL398" s="123"/>
      <c r="AM398" s="160"/>
      <c r="AN398" s="160"/>
    </row>
    <row r="399" spans="3:40" x14ac:dyDescent="0.3">
      <c r="C399" s="42"/>
      <c r="F399" s="184"/>
      <c r="H399" s="184"/>
      <c r="I399" s="184"/>
      <c r="J399" s="193"/>
      <c r="K399" s="193"/>
      <c r="L399" s="123"/>
      <c r="M399" s="123"/>
      <c r="N399" s="160"/>
      <c r="O399" s="160"/>
      <c r="P399" s="123"/>
      <c r="Q399" s="123"/>
      <c r="R399" s="123"/>
      <c r="T399" s="42"/>
      <c r="V399" s="123"/>
      <c r="Y399" s="123"/>
      <c r="Z399" s="193"/>
      <c r="AA399" s="123"/>
      <c r="AB399" s="123"/>
      <c r="AC399" s="160"/>
      <c r="AD399" s="160"/>
      <c r="AE399" s="123"/>
      <c r="AF399" s="123"/>
      <c r="AH399" s="236"/>
      <c r="AI399" s="123"/>
      <c r="AJ399" s="123"/>
      <c r="AL399" s="123"/>
      <c r="AM399" s="160"/>
      <c r="AN399" s="160"/>
    </row>
    <row r="400" spans="3:40" x14ac:dyDescent="0.3">
      <c r="F400" s="210"/>
      <c r="H400" s="123"/>
      <c r="I400" s="123"/>
      <c r="J400" s="213"/>
      <c r="K400" s="213"/>
      <c r="L400" s="210"/>
      <c r="M400" s="210"/>
      <c r="N400" s="210"/>
      <c r="O400" s="210"/>
      <c r="P400" s="210"/>
      <c r="Q400" s="210"/>
      <c r="R400" s="210"/>
      <c r="V400" s="210"/>
      <c r="Y400" s="123"/>
      <c r="Z400" s="213"/>
      <c r="AA400" s="210"/>
      <c r="AB400" s="210"/>
      <c r="AC400" s="210"/>
      <c r="AD400" s="210"/>
      <c r="AE400" s="210"/>
      <c r="AF400" s="210"/>
      <c r="AI400" s="210"/>
      <c r="AJ400" s="210"/>
      <c r="AK400" s="214"/>
      <c r="AL400" s="210"/>
    </row>
    <row r="401" spans="1:40" x14ac:dyDescent="0.3">
      <c r="F401" s="123"/>
      <c r="H401" s="123"/>
      <c r="I401" s="123"/>
      <c r="J401" s="213"/>
      <c r="K401" s="213"/>
      <c r="L401" s="123"/>
      <c r="M401" s="123"/>
      <c r="N401" s="123"/>
      <c r="O401" s="123"/>
      <c r="P401" s="123"/>
      <c r="Q401" s="123"/>
      <c r="R401" s="123"/>
      <c r="V401" s="123"/>
      <c r="Y401" s="123"/>
      <c r="Z401" s="213"/>
      <c r="AA401" s="123"/>
      <c r="AB401" s="123"/>
      <c r="AC401" s="123"/>
      <c r="AD401" s="123"/>
      <c r="AE401" s="123"/>
      <c r="AF401" s="123"/>
      <c r="AI401" s="123"/>
      <c r="AJ401" s="123"/>
      <c r="AL401" s="123"/>
    </row>
    <row r="402" spans="1:40" x14ac:dyDescent="0.3">
      <c r="C402" s="42"/>
      <c r="F402" s="123"/>
      <c r="H402" s="123"/>
      <c r="I402" s="123"/>
      <c r="L402" s="123"/>
      <c r="M402" s="123"/>
      <c r="N402" s="160"/>
      <c r="O402" s="160"/>
      <c r="P402" s="123"/>
      <c r="Q402" s="123"/>
      <c r="R402" s="123"/>
      <c r="T402" s="42"/>
      <c r="V402" s="123"/>
      <c r="Y402" s="123"/>
      <c r="AA402" s="123"/>
      <c r="AB402" s="123"/>
      <c r="AC402" s="160"/>
      <c r="AD402" s="160"/>
      <c r="AE402" s="123"/>
      <c r="AF402" s="123"/>
      <c r="AH402" s="236"/>
      <c r="AI402" s="184"/>
      <c r="AJ402" s="184"/>
      <c r="AL402" s="123"/>
      <c r="AM402" s="160"/>
      <c r="AN402" s="160"/>
    </row>
    <row r="403" spans="1:40" x14ac:dyDescent="0.3">
      <c r="H403" s="210"/>
      <c r="I403" s="210"/>
      <c r="J403" s="213"/>
      <c r="K403" s="213"/>
      <c r="L403" s="210"/>
      <c r="M403" s="210"/>
      <c r="N403" s="210"/>
      <c r="O403" s="210"/>
      <c r="P403" s="210"/>
      <c r="Q403" s="210"/>
      <c r="R403" s="210"/>
      <c r="V403" s="210"/>
      <c r="Y403" s="210"/>
      <c r="Z403" s="213"/>
      <c r="AA403" s="210"/>
      <c r="AB403" s="210"/>
      <c r="AC403" s="210"/>
      <c r="AD403" s="210"/>
      <c r="AE403" s="210"/>
      <c r="AF403" s="210"/>
      <c r="AI403" s="210"/>
      <c r="AJ403" s="210"/>
      <c r="AK403" s="214"/>
      <c r="AL403" s="210"/>
    </row>
    <row r="404" spans="1:40" x14ac:dyDescent="0.3">
      <c r="F404" s="210"/>
    </row>
    <row r="405" spans="1:40" x14ac:dyDescent="0.3">
      <c r="A405" s="42"/>
      <c r="T405" s="42"/>
    </row>
    <row r="406" spans="1:40" x14ac:dyDescent="0.3">
      <c r="A406" s="42"/>
      <c r="T406" s="42"/>
    </row>
    <row r="407" spans="1:40" x14ac:dyDescent="0.3">
      <c r="A407" s="42"/>
      <c r="T407" s="42"/>
    </row>
    <row r="408" spans="1:40" x14ac:dyDescent="0.3">
      <c r="A408" s="42"/>
      <c r="T408" s="42"/>
    </row>
    <row r="409" spans="1:40" x14ac:dyDescent="0.3">
      <c r="A409" s="42"/>
      <c r="T409" s="42"/>
    </row>
    <row r="410" spans="1:40" x14ac:dyDescent="0.3">
      <c r="A410" s="42"/>
      <c r="T410" s="42"/>
    </row>
    <row r="411" spans="1:40" x14ac:dyDescent="0.3">
      <c r="A411" s="42"/>
      <c r="T411" s="42"/>
    </row>
    <row r="412" spans="1:40" x14ac:dyDescent="0.3">
      <c r="A412" s="42"/>
      <c r="T412" s="42"/>
    </row>
    <row r="413" spans="1:40" x14ac:dyDescent="0.3">
      <c r="A413" s="42"/>
      <c r="T413" s="42"/>
    </row>
    <row r="415" spans="1:40" x14ac:dyDescent="0.3">
      <c r="A415" s="42"/>
    </row>
    <row r="417" spans="1:40" x14ac:dyDescent="0.3">
      <c r="H417" s="42"/>
      <c r="I417" s="42"/>
      <c r="Y417" s="42"/>
    </row>
    <row r="419" spans="1:40" x14ac:dyDescent="0.3">
      <c r="L419" s="42"/>
      <c r="M419" s="42"/>
      <c r="AA419" s="42"/>
      <c r="AB419" s="42"/>
    </row>
    <row r="420" spans="1:40" x14ac:dyDescent="0.3">
      <c r="R420" s="42"/>
      <c r="AK420" s="206"/>
      <c r="AL420" s="42"/>
    </row>
    <row r="421" spans="1:40" x14ac:dyDescent="0.3">
      <c r="R421" s="42"/>
      <c r="AK421" s="206"/>
      <c r="AL421" s="42"/>
    </row>
    <row r="422" spans="1:40" x14ac:dyDescent="0.3">
      <c r="A422" s="42"/>
      <c r="R422" s="42"/>
      <c r="AK422" s="206"/>
      <c r="AL422" s="42"/>
    </row>
    <row r="423" spans="1:40" x14ac:dyDescent="0.3">
      <c r="L423" s="42"/>
      <c r="M423" s="42"/>
      <c r="AA423" s="42"/>
      <c r="AB423" s="42"/>
    </row>
    <row r="424" spans="1:40" x14ac:dyDescent="0.3">
      <c r="A424" s="135"/>
      <c r="B424" s="135"/>
      <c r="C424" s="135"/>
      <c r="D424" s="135"/>
      <c r="E424" s="135"/>
      <c r="F424" s="135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207"/>
      <c r="AH424" s="135"/>
      <c r="AI424" s="135"/>
      <c r="AJ424" s="135"/>
      <c r="AK424" s="207"/>
      <c r="AL424" s="135"/>
      <c r="AM424" s="135"/>
      <c r="AN424" s="135"/>
    </row>
    <row r="425" spans="1:40" x14ac:dyDescent="0.3">
      <c r="L425" s="44"/>
      <c r="M425" s="44"/>
      <c r="N425" s="44"/>
      <c r="O425" s="44"/>
      <c r="R425" s="44"/>
      <c r="AA425" s="44"/>
      <c r="AB425" s="44"/>
      <c r="AC425" s="44"/>
      <c r="AD425" s="44"/>
      <c r="AE425" s="44"/>
      <c r="AF425" s="44"/>
      <c r="AG425" s="168"/>
      <c r="AH425" s="44"/>
      <c r="AK425" s="168"/>
      <c r="AL425" s="44"/>
      <c r="AM425" s="44"/>
      <c r="AN425" s="44"/>
    </row>
    <row r="426" spans="1:40" x14ac:dyDescent="0.3">
      <c r="L426" s="44"/>
      <c r="M426" s="44"/>
      <c r="N426" s="44"/>
      <c r="O426" s="44"/>
      <c r="R426" s="44"/>
      <c r="Z426" s="44"/>
      <c r="AA426" s="44"/>
      <c r="AB426" s="44"/>
      <c r="AC426" s="44"/>
      <c r="AD426" s="44"/>
      <c r="AE426" s="44"/>
      <c r="AF426" s="44"/>
      <c r="AG426" s="168"/>
      <c r="AH426" s="44"/>
      <c r="AK426" s="168"/>
      <c r="AL426" s="44"/>
      <c r="AM426" s="44"/>
      <c r="AN426" s="44"/>
    </row>
    <row r="427" spans="1:40" x14ac:dyDescent="0.3">
      <c r="A427" s="44"/>
      <c r="C427" s="44"/>
      <c r="D427" s="44"/>
      <c r="E427" s="44"/>
      <c r="F427" s="44"/>
      <c r="J427" s="44"/>
      <c r="K427" s="44"/>
      <c r="L427" s="44"/>
      <c r="M427" s="44"/>
      <c r="N427" s="44"/>
      <c r="O427" s="44"/>
      <c r="P427" s="44"/>
      <c r="Q427" s="44"/>
      <c r="R427" s="44"/>
      <c r="T427" s="44"/>
      <c r="U427" s="44"/>
      <c r="V427" s="44"/>
      <c r="Z427" s="44"/>
      <c r="AA427" s="44"/>
      <c r="AB427" s="44"/>
      <c r="AC427" s="44"/>
      <c r="AD427" s="44"/>
      <c r="AE427" s="44"/>
      <c r="AF427" s="44"/>
      <c r="AG427" s="168"/>
      <c r="AH427" s="44"/>
      <c r="AI427" s="44"/>
      <c r="AJ427" s="44"/>
      <c r="AK427" s="168"/>
      <c r="AL427" s="44"/>
      <c r="AM427" s="44"/>
      <c r="AN427" s="44"/>
    </row>
    <row r="428" spans="1:40" x14ac:dyDescent="0.3">
      <c r="A428" s="44"/>
      <c r="C428" s="44"/>
      <c r="D428" s="44"/>
      <c r="E428" s="44"/>
      <c r="F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T428" s="44"/>
      <c r="U428" s="44"/>
      <c r="V428" s="44"/>
      <c r="Y428" s="44"/>
      <c r="Z428" s="44"/>
      <c r="AA428" s="44"/>
      <c r="AB428" s="44"/>
      <c r="AC428" s="44"/>
      <c r="AD428" s="44"/>
      <c r="AE428" s="44"/>
      <c r="AF428" s="44"/>
      <c r="AG428" s="168"/>
      <c r="AH428" s="44"/>
      <c r="AI428" s="44"/>
      <c r="AJ428" s="44"/>
      <c r="AK428" s="168"/>
      <c r="AL428" s="44"/>
      <c r="AM428" s="44"/>
      <c r="AN428" s="44"/>
    </row>
    <row r="429" spans="1:40" x14ac:dyDescent="0.3">
      <c r="C429" s="44"/>
      <c r="D429" s="44"/>
      <c r="E429" s="44"/>
      <c r="F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T429" s="44"/>
      <c r="U429" s="44"/>
      <c r="V429" s="44"/>
      <c r="Y429" s="44"/>
      <c r="Z429" s="44"/>
      <c r="AA429" s="44"/>
      <c r="AB429" s="44"/>
      <c r="AC429" s="44"/>
      <c r="AD429" s="44"/>
      <c r="AE429" s="44"/>
      <c r="AF429" s="44"/>
      <c r="AG429" s="168"/>
      <c r="AH429" s="44"/>
      <c r="AI429" s="44"/>
      <c r="AJ429" s="44"/>
      <c r="AK429" s="168"/>
      <c r="AL429" s="44"/>
      <c r="AM429" s="44"/>
      <c r="AN429" s="44"/>
    </row>
    <row r="430" spans="1:40" x14ac:dyDescent="0.3">
      <c r="A430" s="135"/>
      <c r="B430" s="135"/>
      <c r="C430" s="135"/>
      <c r="D430" s="135"/>
      <c r="E430" s="135"/>
      <c r="F430" s="135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207"/>
      <c r="AH430" s="135"/>
      <c r="AI430" s="135"/>
      <c r="AJ430" s="135"/>
      <c r="AK430" s="207"/>
      <c r="AL430" s="135"/>
      <c r="AM430" s="135"/>
      <c r="AN430" s="135"/>
    </row>
    <row r="431" spans="1:40" x14ac:dyDescent="0.3"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Y431" s="44"/>
      <c r="Z431" s="44"/>
      <c r="AA431" s="44"/>
      <c r="AB431" s="44"/>
      <c r="AC431" s="44"/>
      <c r="AD431" s="44"/>
      <c r="AE431" s="44"/>
      <c r="AF431" s="44"/>
      <c r="AG431" s="168"/>
      <c r="AH431" s="44"/>
      <c r="AI431" s="44"/>
      <c r="AJ431" s="44"/>
      <c r="AK431" s="168"/>
      <c r="AL431" s="44"/>
      <c r="AM431" s="44"/>
      <c r="AN431" s="44"/>
    </row>
    <row r="432" spans="1:40" x14ac:dyDescent="0.3">
      <c r="C432" s="42"/>
      <c r="D432" s="42"/>
      <c r="E432" s="42"/>
      <c r="T432" s="42"/>
      <c r="U432" s="42"/>
    </row>
    <row r="433" spans="3:40" x14ac:dyDescent="0.3">
      <c r="D433" s="42"/>
      <c r="E433" s="42"/>
      <c r="U433" s="42"/>
    </row>
    <row r="435" spans="3:40" x14ac:dyDescent="0.3">
      <c r="C435" s="42"/>
      <c r="F435" s="123"/>
      <c r="J435" s="209"/>
      <c r="K435" s="209"/>
      <c r="L435" s="123"/>
      <c r="M435" s="123"/>
      <c r="R435" s="123"/>
      <c r="T435" s="42"/>
      <c r="V435" s="123"/>
      <c r="Z435" s="209"/>
      <c r="AA435" s="123"/>
      <c r="AB435" s="123"/>
      <c r="AH435" s="123"/>
      <c r="AL435" s="123"/>
    </row>
    <row r="436" spans="3:40" x14ac:dyDescent="0.3">
      <c r="C436" s="42"/>
      <c r="F436" s="123"/>
      <c r="R436" s="123"/>
      <c r="T436" s="42"/>
      <c r="V436" s="123"/>
      <c r="AH436" s="123"/>
      <c r="AL436" s="123"/>
    </row>
    <row r="437" spans="3:40" x14ac:dyDescent="0.3">
      <c r="AI437" s="123"/>
      <c r="AJ437" s="123"/>
      <c r="AL437" s="123"/>
      <c r="AM437" s="160"/>
      <c r="AN437" s="160"/>
    </row>
    <row r="438" spans="3:40" x14ac:dyDescent="0.3">
      <c r="C438" s="42"/>
      <c r="F438" s="184"/>
      <c r="H438" s="184"/>
      <c r="I438" s="184"/>
      <c r="J438" s="237"/>
      <c r="K438" s="237"/>
      <c r="L438" s="123"/>
      <c r="M438" s="123"/>
      <c r="N438" s="160"/>
      <c r="O438" s="160"/>
      <c r="P438" s="123"/>
      <c r="Q438" s="123"/>
      <c r="R438" s="123"/>
      <c r="T438" s="42"/>
      <c r="V438" s="123"/>
      <c r="Y438" s="123"/>
      <c r="Z438" s="237"/>
      <c r="AA438" s="123"/>
      <c r="AB438" s="123"/>
      <c r="AC438" s="160"/>
      <c r="AD438" s="160"/>
      <c r="AE438" s="123"/>
      <c r="AF438" s="123"/>
      <c r="AH438" s="236"/>
      <c r="AI438" s="123"/>
      <c r="AJ438" s="123"/>
      <c r="AL438" s="123"/>
      <c r="AM438" s="160"/>
      <c r="AN438" s="160"/>
    </row>
    <row r="439" spans="3:40" x14ac:dyDescent="0.3">
      <c r="F439" s="123"/>
      <c r="H439" s="123"/>
      <c r="I439" s="123"/>
      <c r="J439" s="219"/>
      <c r="K439" s="219"/>
      <c r="L439" s="123"/>
      <c r="M439" s="123"/>
      <c r="P439" s="123"/>
      <c r="Q439" s="123"/>
      <c r="R439" s="123"/>
      <c r="V439" s="123"/>
      <c r="Y439" s="123"/>
      <c r="Z439" s="219"/>
      <c r="AA439" s="123"/>
      <c r="AB439" s="123"/>
      <c r="AI439" s="123"/>
      <c r="AJ439" s="123"/>
      <c r="AL439" s="123"/>
      <c r="AM439" s="160"/>
      <c r="AN439" s="160"/>
    </row>
    <row r="440" spans="3:40" x14ac:dyDescent="0.3">
      <c r="F440" s="123"/>
      <c r="R440" s="123"/>
      <c r="V440" s="123"/>
      <c r="AL440" s="123"/>
      <c r="AM440" s="160"/>
      <c r="AN440" s="160"/>
    </row>
    <row r="441" spans="3:40" x14ac:dyDescent="0.3">
      <c r="C441" s="42"/>
      <c r="F441" s="123"/>
      <c r="J441" s="209"/>
      <c r="K441" s="209"/>
      <c r="L441" s="123"/>
      <c r="M441" s="123"/>
      <c r="N441" s="160"/>
      <c r="O441" s="160"/>
      <c r="R441" s="123"/>
      <c r="T441" s="42"/>
      <c r="V441" s="123"/>
      <c r="Z441" s="209"/>
      <c r="AA441" s="123"/>
      <c r="AB441" s="123"/>
      <c r="AC441" s="160"/>
      <c r="AD441" s="160"/>
      <c r="AL441" s="123"/>
      <c r="AM441" s="160"/>
      <c r="AN441" s="160"/>
    </row>
    <row r="442" spans="3:40" x14ac:dyDescent="0.3">
      <c r="C442" s="42"/>
      <c r="F442" s="123"/>
      <c r="H442" s="123"/>
      <c r="I442" s="123"/>
      <c r="J442" s="209"/>
      <c r="K442" s="209"/>
      <c r="L442" s="123"/>
      <c r="M442" s="123"/>
      <c r="N442" s="160"/>
      <c r="O442" s="160"/>
      <c r="P442" s="123"/>
      <c r="Q442" s="123"/>
      <c r="R442" s="123"/>
      <c r="T442" s="42"/>
      <c r="V442" s="123"/>
      <c r="Y442" s="123"/>
      <c r="Z442" s="209"/>
      <c r="AA442" s="123"/>
      <c r="AB442" s="123"/>
      <c r="AC442" s="160"/>
      <c r="AD442" s="160"/>
      <c r="AI442" s="123"/>
      <c r="AJ442" s="123"/>
      <c r="AL442" s="123"/>
      <c r="AM442" s="160"/>
      <c r="AN442" s="160"/>
    </row>
    <row r="443" spans="3:40" x14ac:dyDescent="0.3">
      <c r="C443" s="42"/>
      <c r="T443" s="42"/>
      <c r="AM443" s="160"/>
      <c r="AN443" s="160"/>
    </row>
    <row r="444" spans="3:40" x14ac:dyDescent="0.3">
      <c r="C444" s="42"/>
      <c r="T444" s="42"/>
      <c r="AM444" s="160"/>
      <c r="AN444" s="160"/>
    </row>
    <row r="445" spans="3:40" x14ac:dyDescent="0.3">
      <c r="AM445" s="160"/>
      <c r="AN445" s="160"/>
    </row>
    <row r="446" spans="3:40" x14ac:dyDescent="0.3">
      <c r="C446" s="42"/>
      <c r="F446" s="184"/>
      <c r="H446" s="184"/>
      <c r="I446" s="184"/>
      <c r="J446" s="237"/>
      <c r="K446" s="237"/>
      <c r="L446" s="123"/>
      <c r="M446" s="123"/>
      <c r="N446" s="160"/>
      <c r="O446" s="160"/>
      <c r="P446" s="123"/>
      <c r="Q446" s="123"/>
      <c r="R446" s="123"/>
      <c r="T446" s="42"/>
      <c r="V446" s="123"/>
      <c r="Y446" s="123"/>
      <c r="Z446" s="237"/>
      <c r="AA446" s="123"/>
      <c r="AB446" s="123"/>
      <c r="AC446" s="160"/>
      <c r="AD446" s="160"/>
      <c r="AE446" s="123"/>
      <c r="AF446" s="123"/>
      <c r="AH446" s="236"/>
      <c r="AI446" s="123"/>
      <c r="AJ446" s="123"/>
      <c r="AL446" s="123"/>
      <c r="AM446" s="160"/>
      <c r="AN446" s="160"/>
    </row>
    <row r="447" spans="3:40" x14ac:dyDescent="0.3">
      <c r="F447" s="210"/>
      <c r="H447" s="210"/>
      <c r="I447" s="210"/>
      <c r="J447" s="213"/>
      <c r="K447" s="213"/>
      <c r="L447" s="210"/>
      <c r="M447" s="210"/>
      <c r="N447" s="210"/>
      <c r="O447" s="210"/>
      <c r="P447" s="210"/>
      <c r="Q447" s="210"/>
      <c r="R447" s="210"/>
      <c r="V447" s="210"/>
      <c r="Y447" s="210"/>
      <c r="Z447" s="213"/>
      <c r="AA447" s="210"/>
      <c r="AB447" s="210"/>
      <c r="AC447" s="210"/>
      <c r="AD447" s="210"/>
      <c r="AE447" s="210"/>
      <c r="AF447" s="210"/>
      <c r="AI447" s="210"/>
      <c r="AJ447" s="210"/>
      <c r="AK447" s="214"/>
      <c r="AL447" s="210"/>
      <c r="AM447" s="160"/>
      <c r="AN447" s="160"/>
    </row>
    <row r="448" spans="3:40" x14ac:dyDescent="0.3">
      <c r="H448" s="123"/>
      <c r="I448" s="123"/>
      <c r="Y448" s="123"/>
      <c r="AM448" s="160"/>
      <c r="AN448" s="160"/>
    </row>
    <row r="449" spans="1:40" x14ac:dyDescent="0.3">
      <c r="C449" s="42"/>
      <c r="F449" s="123"/>
      <c r="H449" s="123"/>
      <c r="I449" s="123"/>
      <c r="L449" s="123"/>
      <c r="M449" s="123"/>
      <c r="N449" s="160"/>
      <c r="O449" s="160"/>
      <c r="P449" s="184"/>
      <c r="Q449" s="184"/>
      <c r="R449" s="123"/>
      <c r="T449" s="42"/>
      <c r="V449" s="123"/>
      <c r="Y449" s="123"/>
      <c r="AA449" s="123"/>
      <c r="AB449" s="123"/>
      <c r="AC449" s="160"/>
      <c r="AD449" s="160"/>
      <c r="AE449" s="123"/>
      <c r="AF449" s="123"/>
      <c r="AH449" s="236"/>
      <c r="AI449" s="184"/>
      <c r="AJ449" s="184"/>
      <c r="AL449" s="123"/>
      <c r="AM449" s="160"/>
      <c r="AN449" s="160"/>
    </row>
    <row r="450" spans="1:40" x14ac:dyDescent="0.3">
      <c r="H450" s="210"/>
      <c r="I450" s="210"/>
      <c r="J450" s="213"/>
      <c r="K450" s="213"/>
      <c r="L450" s="210"/>
      <c r="M450" s="210"/>
      <c r="N450" s="210"/>
      <c r="O450" s="210"/>
      <c r="P450" s="210"/>
      <c r="Q450" s="210"/>
      <c r="R450" s="210"/>
      <c r="V450" s="210"/>
      <c r="Y450" s="210"/>
      <c r="Z450" s="213"/>
      <c r="AA450" s="210"/>
      <c r="AB450" s="210"/>
      <c r="AC450" s="210"/>
      <c r="AD450" s="210"/>
      <c r="AE450" s="210"/>
      <c r="AF450" s="210"/>
      <c r="AI450" s="210"/>
      <c r="AJ450" s="210"/>
      <c r="AK450" s="214"/>
      <c r="AL450" s="210"/>
      <c r="AM450" s="160"/>
      <c r="AN450" s="160"/>
    </row>
    <row r="451" spans="1:40" x14ac:dyDescent="0.3">
      <c r="F451" s="210"/>
    </row>
    <row r="452" spans="1:40" x14ac:dyDescent="0.3">
      <c r="F452" s="123"/>
      <c r="H452" s="123"/>
      <c r="I452" s="123"/>
      <c r="J452" s="219"/>
      <c r="K452" s="219"/>
      <c r="L452" s="123"/>
      <c r="M452" s="123"/>
      <c r="N452" s="123"/>
      <c r="O452" s="123"/>
      <c r="P452" s="123"/>
      <c r="Q452" s="123"/>
      <c r="R452" s="123"/>
      <c r="V452" s="123"/>
      <c r="Y452" s="123"/>
      <c r="Z452" s="219"/>
      <c r="AA452" s="123"/>
      <c r="AB452" s="123"/>
      <c r="AC452" s="123"/>
      <c r="AD452" s="123"/>
      <c r="AE452" s="123"/>
      <c r="AF452" s="123"/>
      <c r="AH452" s="123"/>
      <c r="AI452" s="123"/>
      <c r="AJ452" s="123"/>
      <c r="AL452" s="123"/>
    </row>
    <row r="453" spans="1:40" x14ac:dyDescent="0.3">
      <c r="A453" s="42"/>
    </row>
    <row r="455" spans="1:40" x14ac:dyDescent="0.3">
      <c r="H455" s="42"/>
      <c r="I455" s="42"/>
      <c r="Y455" s="42"/>
    </row>
    <row r="457" spans="1:40" x14ac:dyDescent="0.3">
      <c r="L457" s="42"/>
      <c r="M457" s="42"/>
      <c r="AA457" s="42"/>
      <c r="AB457" s="42"/>
    </row>
    <row r="458" spans="1:40" x14ac:dyDescent="0.3">
      <c r="R458" s="42"/>
      <c r="AK458" s="206"/>
      <c r="AL458" s="42"/>
    </row>
    <row r="459" spans="1:40" x14ac:dyDescent="0.3">
      <c r="R459" s="42"/>
      <c r="AK459" s="206"/>
      <c r="AL459" s="42"/>
    </row>
    <row r="460" spans="1:40" x14ac:dyDescent="0.3">
      <c r="A460" s="42"/>
      <c r="R460" s="42"/>
      <c r="AK460" s="206"/>
      <c r="AL460" s="42"/>
    </row>
    <row r="461" spans="1:40" x14ac:dyDescent="0.3">
      <c r="L461" s="42"/>
      <c r="M461" s="42"/>
      <c r="AA461" s="42"/>
      <c r="AB461" s="42"/>
    </row>
    <row r="462" spans="1:40" x14ac:dyDescent="0.3">
      <c r="A462" s="135"/>
      <c r="B462" s="135"/>
      <c r="C462" s="135"/>
      <c r="D462" s="135"/>
      <c r="E462" s="135"/>
      <c r="F462" s="135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207"/>
      <c r="AH462" s="135"/>
      <c r="AI462" s="135"/>
      <c r="AJ462" s="135"/>
      <c r="AK462" s="207"/>
      <c r="AL462" s="135"/>
      <c r="AM462" s="135"/>
      <c r="AN462" s="135"/>
    </row>
    <row r="463" spans="1:40" x14ac:dyDescent="0.3">
      <c r="L463" s="44"/>
      <c r="M463" s="44"/>
      <c r="N463" s="44"/>
      <c r="O463" s="44"/>
      <c r="R463" s="44"/>
      <c r="AA463" s="44"/>
      <c r="AB463" s="44"/>
      <c r="AC463" s="44"/>
      <c r="AD463" s="44"/>
      <c r="AE463" s="44"/>
      <c r="AF463" s="44"/>
      <c r="AG463" s="168"/>
      <c r="AH463" s="44"/>
      <c r="AK463" s="168"/>
      <c r="AL463" s="44"/>
      <c r="AM463" s="44"/>
      <c r="AN463" s="44"/>
    </row>
    <row r="464" spans="1:40" x14ac:dyDescent="0.3">
      <c r="L464" s="44"/>
      <c r="M464" s="44"/>
      <c r="N464" s="44"/>
      <c r="O464" s="44"/>
      <c r="R464" s="44"/>
      <c r="Z464" s="44"/>
      <c r="AA464" s="44"/>
      <c r="AB464" s="44"/>
      <c r="AC464" s="44"/>
      <c r="AD464" s="44"/>
      <c r="AE464" s="44"/>
      <c r="AF464" s="44"/>
      <c r="AG464" s="168"/>
      <c r="AH464" s="44"/>
      <c r="AK464" s="168"/>
      <c r="AL464" s="44"/>
      <c r="AM464" s="44"/>
      <c r="AN464" s="44"/>
    </row>
    <row r="465" spans="1:40" x14ac:dyDescent="0.3">
      <c r="A465" s="44"/>
      <c r="C465" s="44"/>
      <c r="D465" s="44"/>
      <c r="E465" s="44"/>
      <c r="F465" s="44"/>
      <c r="J465" s="44"/>
      <c r="K465" s="44"/>
      <c r="L465" s="44"/>
      <c r="M465" s="44"/>
      <c r="N465" s="44"/>
      <c r="O465" s="44"/>
      <c r="P465" s="44"/>
      <c r="Q465" s="44"/>
      <c r="R465" s="44"/>
      <c r="T465" s="44"/>
      <c r="U465" s="44"/>
      <c r="V465" s="44"/>
      <c r="Z465" s="44"/>
      <c r="AA465" s="44"/>
      <c r="AB465" s="44"/>
      <c r="AC465" s="44"/>
      <c r="AD465" s="44"/>
      <c r="AE465" s="44"/>
      <c r="AF465" s="44"/>
      <c r="AG465" s="168"/>
      <c r="AH465" s="44"/>
      <c r="AI465" s="44"/>
      <c r="AJ465" s="44"/>
      <c r="AK465" s="168"/>
      <c r="AL465" s="44"/>
      <c r="AM465" s="44"/>
      <c r="AN465" s="44"/>
    </row>
    <row r="466" spans="1:40" x14ac:dyDescent="0.3">
      <c r="A466" s="44"/>
      <c r="C466" s="44"/>
      <c r="D466" s="44"/>
      <c r="E466" s="44"/>
      <c r="F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T466" s="44"/>
      <c r="U466" s="44"/>
      <c r="V466" s="44"/>
      <c r="Y466" s="44"/>
      <c r="Z466" s="44"/>
      <c r="AA466" s="44"/>
      <c r="AB466" s="44"/>
      <c r="AC466" s="44"/>
      <c r="AD466" s="44"/>
      <c r="AE466" s="44"/>
      <c r="AF466" s="44"/>
      <c r="AG466" s="168"/>
      <c r="AH466" s="44"/>
      <c r="AI466" s="44"/>
      <c r="AJ466" s="44"/>
      <c r="AK466" s="168"/>
      <c r="AL466" s="44"/>
      <c r="AM466" s="44"/>
      <c r="AN466" s="44"/>
    </row>
    <row r="467" spans="1:40" x14ac:dyDescent="0.3">
      <c r="C467" s="44"/>
      <c r="D467" s="44"/>
      <c r="E467" s="44"/>
      <c r="F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T467" s="44"/>
      <c r="U467" s="44"/>
      <c r="V467" s="44"/>
      <c r="Y467" s="44"/>
      <c r="Z467" s="44"/>
      <c r="AA467" s="44"/>
      <c r="AB467" s="44"/>
      <c r="AC467" s="44"/>
      <c r="AD467" s="44"/>
      <c r="AE467" s="44"/>
      <c r="AF467" s="44"/>
      <c r="AG467" s="168"/>
      <c r="AH467" s="44"/>
      <c r="AI467" s="44"/>
      <c r="AJ467" s="44"/>
      <c r="AK467" s="168"/>
      <c r="AL467" s="44"/>
      <c r="AM467" s="44"/>
      <c r="AN467" s="44"/>
    </row>
    <row r="468" spans="1:40" x14ac:dyDescent="0.3">
      <c r="A468" s="135"/>
      <c r="B468" s="135"/>
      <c r="C468" s="135"/>
      <c r="D468" s="135"/>
      <c r="E468" s="135"/>
      <c r="F468" s="135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207"/>
      <c r="AH468" s="135"/>
      <c r="AI468" s="135"/>
      <c r="AJ468" s="135"/>
      <c r="AK468" s="207"/>
      <c r="AL468" s="135"/>
      <c r="AM468" s="135"/>
      <c r="AN468" s="135"/>
    </row>
    <row r="469" spans="1:40" x14ac:dyDescent="0.3"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Y469" s="44"/>
      <c r="Z469" s="44"/>
      <c r="AA469" s="44"/>
      <c r="AB469" s="44"/>
      <c r="AC469" s="44"/>
      <c r="AD469" s="44"/>
      <c r="AE469" s="44"/>
      <c r="AF469" s="44"/>
      <c r="AG469" s="168"/>
      <c r="AH469" s="44"/>
      <c r="AI469" s="44"/>
      <c r="AJ469" s="44"/>
      <c r="AK469" s="168"/>
      <c r="AL469" s="44"/>
      <c r="AM469" s="44"/>
      <c r="AN469" s="44"/>
    </row>
    <row r="470" spans="1:40" x14ac:dyDescent="0.3">
      <c r="C470" s="42"/>
      <c r="D470" s="42"/>
      <c r="E470" s="42"/>
      <c r="T470" s="42"/>
      <c r="U470" s="42"/>
      <c r="V470" s="123"/>
      <c r="W470" s="123"/>
      <c r="X470" s="123"/>
      <c r="Y470" s="123"/>
      <c r="Z470" s="237"/>
    </row>
    <row r="472" spans="1:40" x14ac:dyDescent="0.3">
      <c r="C472" s="42"/>
      <c r="T472" s="42"/>
      <c r="V472" s="123"/>
      <c r="W472" s="123"/>
      <c r="X472" s="123"/>
      <c r="Y472" s="123"/>
      <c r="Z472" s="237"/>
    </row>
    <row r="473" spans="1:40" x14ac:dyDescent="0.3">
      <c r="C473" s="42"/>
      <c r="F473" s="184"/>
      <c r="H473" s="184"/>
      <c r="I473" s="184"/>
      <c r="J473" s="238"/>
      <c r="K473" s="238"/>
      <c r="L473" s="123"/>
      <c r="M473" s="123"/>
      <c r="N473" s="160"/>
      <c r="O473" s="160"/>
      <c r="P473" s="123"/>
      <c r="Q473" s="123"/>
      <c r="R473" s="123"/>
      <c r="T473" s="42"/>
      <c r="V473" s="123"/>
      <c r="W473" s="123"/>
      <c r="X473" s="123"/>
      <c r="Y473" s="123"/>
      <c r="Z473" s="238"/>
      <c r="AA473" s="123"/>
      <c r="AB473" s="123"/>
      <c r="AC473" s="160"/>
      <c r="AD473" s="160"/>
      <c r="AE473" s="123"/>
      <c r="AF473" s="123"/>
      <c r="AH473" s="236"/>
      <c r="AI473" s="123"/>
      <c r="AJ473" s="123"/>
      <c r="AL473" s="123"/>
      <c r="AM473" s="160"/>
      <c r="AN473" s="160"/>
    </row>
    <row r="474" spans="1:40" x14ac:dyDescent="0.3">
      <c r="C474" s="42"/>
      <c r="F474" s="184"/>
      <c r="H474" s="184"/>
      <c r="I474" s="184"/>
      <c r="J474" s="238"/>
      <c r="K474" s="238"/>
      <c r="L474" s="123"/>
      <c r="M474" s="123"/>
      <c r="N474" s="160"/>
      <c r="O474" s="160"/>
      <c r="P474" s="123"/>
      <c r="Q474" s="123"/>
      <c r="R474" s="123"/>
      <c r="T474" s="42"/>
      <c r="V474" s="123"/>
      <c r="W474" s="123"/>
      <c r="X474" s="123"/>
      <c r="Y474" s="123"/>
      <c r="Z474" s="238"/>
      <c r="AA474" s="123"/>
      <c r="AB474" s="123"/>
      <c r="AC474" s="160"/>
      <c r="AD474" s="160"/>
      <c r="AE474" s="123"/>
      <c r="AF474" s="123"/>
      <c r="AH474" s="236"/>
      <c r="AI474" s="123"/>
      <c r="AJ474" s="123"/>
      <c r="AL474" s="123"/>
      <c r="AM474" s="160"/>
      <c r="AN474" s="160"/>
    </row>
    <row r="475" spans="1:40" x14ac:dyDescent="0.3">
      <c r="C475" s="42"/>
      <c r="F475" s="184"/>
      <c r="H475" s="184"/>
      <c r="I475" s="184"/>
      <c r="J475" s="238"/>
      <c r="K475" s="238"/>
      <c r="L475" s="123"/>
      <c r="M475" s="123"/>
      <c r="N475" s="160"/>
      <c r="O475" s="160"/>
      <c r="P475" s="123"/>
      <c r="Q475" s="123"/>
      <c r="R475" s="123"/>
      <c r="T475" s="42"/>
      <c r="V475" s="123"/>
      <c r="W475" s="123"/>
      <c r="X475" s="123"/>
      <c r="Y475" s="123"/>
      <c r="Z475" s="238"/>
      <c r="AA475" s="123"/>
      <c r="AB475" s="123"/>
      <c r="AC475" s="160"/>
      <c r="AD475" s="160"/>
      <c r="AE475" s="123"/>
      <c r="AF475" s="123"/>
      <c r="AH475" s="236"/>
      <c r="AI475" s="123"/>
      <c r="AJ475" s="123"/>
      <c r="AL475" s="123"/>
      <c r="AM475" s="160"/>
      <c r="AN475" s="160"/>
    </row>
    <row r="476" spans="1:40" x14ac:dyDescent="0.3">
      <c r="C476" s="42"/>
      <c r="F476" s="184"/>
      <c r="H476" s="184"/>
      <c r="I476" s="184"/>
      <c r="J476" s="238"/>
      <c r="K476" s="238"/>
      <c r="L476" s="123"/>
      <c r="M476" s="123"/>
      <c r="N476" s="160"/>
      <c r="O476" s="160"/>
      <c r="P476" s="123"/>
      <c r="Q476" s="123"/>
      <c r="R476" s="123"/>
      <c r="T476" s="42"/>
      <c r="V476" s="123"/>
      <c r="W476" s="123"/>
      <c r="X476" s="123"/>
      <c r="Y476" s="123"/>
      <c r="Z476" s="238"/>
      <c r="AA476" s="123"/>
      <c r="AB476" s="123"/>
      <c r="AC476" s="160"/>
      <c r="AD476" s="160"/>
      <c r="AE476" s="123"/>
      <c r="AF476" s="123"/>
      <c r="AH476" s="236"/>
      <c r="AI476" s="123"/>
      <c r="AJ476" s="123"/>
      <c r="AL476" s="123"/>
      <c r="AM476" s="160"/>
      <c r="AN476" s="160"/>
    </row>
    <row r="477" spans="1:40" x14ac:dyDescent="0.3">
      <c r="J477" s="188"/>
      <c r="K477" s="188"/>
      <c r="V477" s="123"/>
      <c r="W477" s="123"/>
      <c r="X477" s="123"/>
      <c r="Y477" s="123"/>
      <c r="Z477" s="238"/>
    </row>
    <row r="478" spans="1:40" x14ac:dyDescent="0.3">
      <c r="C478" s="42"/>
      <c r="F478" s="184"/>
      <c r="H478" s="184"/>
      <c r="I478" s="184"/>
      <c r="J478" s="238"/>
      <c r="K478" s="238"/>
      <c r="L478" s="123"/>
      <c r="M478" s="123"/>
      <c r="N478" s="160"/>
      <c r="O478" s="160"/>
      <c r="P478" s="123"/>
      <c r="Q478" s="123"/>
      <c r="R478" s="123"/>
      <c r="T478" s="42"/>
      <c r="V478" s="123"/>
      <c r="W478" s="123"/>
      <c r="X478" s="123"/>
      <c r="Y478" s="123"/>
      <c r="Z478" s="238"/>
      <c r="AA478" s="123"/>
      <c r="AB478" s="123"/>
      <c r="AC478" s="160"/>
      <c r="AD478" s="160"/>
      <c r="AE478" s="123"/>
      <c r="AF478" s="123"/>
      <c r="AH478" s="236"/>
      <c r="AI478" s="123"/>
      <c r="AJ478" s="123"/>
      <c r="AL478" s="123"/>
      <c r="AM478" s="236"/>
      <c r="AN478" s="236"/>
    </row>
    <row r="479" spans="1:40" x14ac:dyDescent="0.3">
      <c r="C479" s="42"/>
      <c r="J479" s="188"/>
      <c r="K479" s="188"/>
      <c r="T479" s="42"/>
      <c r="V479" s="123"/>
      <c r="W479" s="123"/>
      <c r="X479" s="123"/>
      <c r="Y479" s="123"/>
      <c r="Z479" s="238"/>
    </row>
    <row r="480" spans="1:40" x14ac:dyDescent="0.3">
      <c r="C480" s="42"/>
      <c r="F480" s="184"/>
      <c r="H480" s="184"/>
      <c r="I480" s="184"/>
      <c r="J480" s="238"/>
      <c r="K480" s="238"/>
      <c r="L480" s="123"/>
      <c r="M480" s="123"/>
      <c r="N480" s="160"/>
      <c r="O480" s="160"/>
      <c r="P480" s="123"/>
      <c r="Q480" s="123"/>
      <c r="R480" s="123"/>
      <c r="T480" s="42"/>
      <c r="V480" s="123"/>
      <c r="W480" s="123"/>
      <c r="X480" s="123"/>
      <c r="Y480" s="123"/>
      <c r="Z480" s="238"/>
      <c r="AA480" s="123"/>
      <c r="AB480" s="123"/>
      <c r="AC480" s="160"/>
      <c r="AD480" s="160"/>
      <c r="AE480" s="123"/>
      <c r="AF480" s="123"/>
      <c r="AH480" s="236"/>
      <c r="AI480" s="123"/>
      <c r="AJ480" s="123"/>
      <c r="AL480" s="123"/>
      <c r="AM480" s="236"/>
      <c r="AN480" s="236"/>
    </row>
    <row r="481" spans="1:40" x14ac:dyDescent="0.3">
      <c r="J481" s="188"/>
      <c r="K481" s="188"/>
      <c r="Z481" s="188"/>
    </row>
    <row r="482" spans="1:40" x14ac:dyDescent="0.3">
      <c r="C482" s="42"/>
      <c r="J482" s="188"/>
      <c r="K482" s="188"/>
      <c r="T482" s="42"/>
      <c r="V482" s="123"/>
      <c r="W482" s="123"/>
      <c r="X482" s="123"/>
      <c r="Y482" s="123"/>
      <c r="Z482" s="238"/>
    </row>
    <row r="483" spans="1:40" x14ac:dyDescent="0.3">
      <c r="C483" s="42"/>
      <c r="F483" s="184"/>
      <c r="H483" s="184"/>
      <c r="I483" s="184"/>
      <c r="J483" s="238"/>
      <c r="K483" s="238"/>
      <c r="L483" s="123"/>
      <c r="M483" s="123"/>
      <c r="N483" s="160"/>
      <c r="O483" s="160"/>
      <c r="P483" s="123"/>
      <c r="Q483" s="123"/>
      <c r="R483" s="123"/>
      <c r="T483" s="42"/>
      <c r="V483" s="123"/>
      <c r="W483" s="123"/>
      <c r="X483" s="123"/>
      <c r="Y483" s="123"/>
      <c r="Z483" s="238"/>
      <c r="AA483" s="123"/>
      <c r="AB483" s="123"/>
      <c r="AC483" s="160"/>
      <c r="AD483" s="160"/>
      <c r="AE483" s="123"/>
      <c r="AF483" s="123"/>
      <c r="AH483" s="236"/>
      <c r="AI483" s="123"/>
      <c r="AJ483" s="123"/>
      <c r="AL483" s="123"/>
      <c r="AM483" s="236"/>
      <c r="AN483" s="236"/>
    </row>
    <row r="484" spans="1:40" x14ac:dyDescent="0.3">
      <c r="C484" s="42"/>
      <c r="F484" s="184"/>
      <c r="H484" s="184"/>
      <c r="I484" s="184"/>
      <c r="J484" s="238"/>
      <c r="K484" s="238"/>
      <c r="L484" s="123"/>
      <c r="M484" s="123"/>
      <c r="N484" s="160"/>
      <c r="O484" s="160"/>
      <c r="P484" s="123"/>
      <c r="Q484" s="123"/>
      <c r="R484" s="123"/>
      <c r="T484" s="42"/>
      <c r="V484" s="123"/>
      <c r="W484" s="123"/>
      <c r="X484" s="123"/>
      <c r="Y484" s="123"/>
      <c r="Z484" s="238"/>
      <c r="AA484" s="123"/>
      <c r="AB484" s="123"/>
      <c r="AC484" s="160"/>
      <c r="AD484" s="160"/>
      <c r="AE484" s="123"/>
      <c r="AF484" s="123"/>
      <c r="AH484" s="236"/>
      <c r="AI484" s="123"/>
      <c r="AJ484" s="123"/>
      <c r="AL484" s="123"/>
      <c r="AM484" s="236"/>
      <c r="AN484" s="236"/>
    </row>
    <row r="485" spans="1:40" x14ac:dyDescent="0.3">
      <c r="F485" s="210"/>
      <c r="H485" s="210"/>
      <c r="I485" s="210"/>
      <c r="J485" s="238"/>
      <c r="K485" s="238"/>
      <c r="L485" s="210"/>
      <c r="M485" s="210"/>
      <c r="N485" s="210"/>
      <c r="O485" s="210"/>
      <c r="P485" s="210"/>
      <c r="Q485" s="210"/>
      <c r="R485" s="210"/>
      <c r="V485" s="210"/>
      <c r="Y485" s="210"/>
      <c r="Z485" s="213"/>
      <c r="AA485" s="210"/>
      <c r="AB485" s="210"/>
      <c r="AC485" s="210"/>
      <c r="AD485" s="210"/>
      <c r="AE485" s="210"/>
      <c r="AF485" s="210"/>
      <c r="AI485" s="210"/>
      <c r="AJ485" s="210"/>
      <c r="AK485" s="214"/>
      <c r="AL485" s="210"/>
    </row>
    <row r="486" spans="1:40" x14ac:dyDescent="0.3">
      <c r="C486" s="42"/>
      <c r="F486" s="123"/>
      <c r="H486" s="123"/>
      <c r="I486" s="123"/>
      <c r="L486" s="123"/>
      <c r="M486" s="123"/>
      <c r="N486" s="160"/>
      <c r="O486" s="160"/>
      <c r="P486" s="184"/>
      <c r="Q486" s="184"/>
      <c r="R486" s="123"/>
      <c r="T486" s="42"/>
      <c r="V486" s="123"/>
      <c r="W486" s="123"/>
      <c r="X486" s="123"/>
      <c r="Y486" s="123"/>
      <c r="Z486" s="237"/>
      <c r="AA486" s="123"/>
      <c r="AB486" s="123"/>
      <c r="AC486" s="160"/>
      <c r="AD486" s="160"/>
      <c r="AE486" s="123"/>
      <c r="AF486" s="123"/>
      <c r="AH486" s="236"/>
      <c r="AI486" s="184"/>
      <c r="AJ486" s="184"/>
      <c r="AL486" s="123"/>
      <c r="AM486" s="236"/>
      <c r="AN486" s="236"/>
    </row>
    <row r="487" spans="1:40" x14ac:dyDescent="0.3">
      <c r="H487" s="210"/>
      <c r="I487" s="210"/>
      <c r="J487" s="213"/>
      <c r="K487" s="213"/>
      <c r="L487" s="210"/>
      <c r="M487" s="210"/>
      <c r="N487" s="210"/>
      <c r="O487" s="210"/>
      <c r="P487" s="210"/>
      <c r="Q487" s="210"/>
      <c r="R487" s="210"/>
      <c r="V487" s="210"/>
      <c r="Y487" s="210"/>
      <c r="Z487" s="213"/>
      <c r="AA487" s="210"/>
      <c r="AB487" s="210"/>
      <c r="AC487" s="210"/>
      <c r="AD487" s="210"/>
      <c r="AE487" s="210"/>
      <c r="AF487" s="210"/>
      <c r="AI487" s="210"/>
      <c r="AJ487" s="210"/>
      <c r="AK487" s="214"/>
      <c r="AL487" s="210"/>
    </row>
    <row r="488" spans="1:40" x14ac:dyDescent="0.3">
      <c r="F488" s="210"/>
    </row>
    <row r="490" spans="1:40" x14ac:dyDescent="0.3">
      <c r="A490" s="42"/>
    </row>
    <row r="492" spans="1:40" x14ac:dyDescent="0.3">
      <c r="H492" s="42"/>
      <c r="I492" s="42"/>
      <c r="Y492" s="42"/>
    </row>
    <row r="494" spans="1:40" x14ac:dyDescent="0.3">
      <c r="L494" s="42"/>
      <c r="M494" s="42"/>
      <c r="AA494" s="42"/>
      <c r="AB494" s="42"/>
    </row>
    <row r="495" spans="1:40" x14ac:dyDescent="0.3">
      <c r="R495" s="42"/>
      <c r="AK495" s="206"/>
      <c r="AL495" s="42"/>
    </row>
    <row r="496" spans="1:40" x14ac:dyDescent="0.3">
      <c r="R496" s="42"/>
      <c r="AK496" s="206"/>
      <c r="AL496" s="42"/>
    </row>
    <row r="497" spans="1:40" x14ac:dyDescent="0.3">
      <c r="A497" s="42"/>
      <c r="R497" s="42"/>
      <c r="AK497" s="206"/>
      <c r="AL497" s="42"/>
    </row>
    <row r="498" spans="1:40" x14ac:dyDescent="0.3">
      <c r="L498" s="42"/>
      <c r="M498" s="42"/>
      <c r="AA498" s="42"/>
      <c r="AB498" s="42"/>
    </row>
    <row r="499" spans="1:40" x14ac:dyDescent="0.3">
      <c r="A499" s="135"/>
      <c r="B499" s="135"/>
      <c r="C499" s="135"/>
      <c r="D499" s="135"/>
      <c r="E499" s="135"/>
      <c r="F499" s="135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207"/>
      <c r="AH499" s="135"/>
      <c r="AI499" s="135"/>
      <c r="AJ499" s="135"/>
      <c r="AK499" s="207"/>
      <c r="AL499" s="135"/>
      <c r="AM499" s="135"/>
      <c r="AN499" s="135"/>
    </row>
    <row r="500" spans="1:40" x14ac:dyDescent="0.3">
      <c r="L500" s="44"/>
      <c r="M500" s="44"/>
      <c r="N500" s="44"/>
      <c r="O500" s="44"/>
      <c r="R500" s="44"/>
      <c r="AA500" s="44"/>
      <c r="AB500" s="44"/>
      <c r="AC500" s="44"/>
      <c r="AD500" s="44"/>
      <c r="AE500" s="44"/>
      <c r="AF500" s="44"/>
      <c r="AG500" s="168"/>
      <c r="AH500" s="44"/>
      <c r="AK500" s="168"/>
      <c r="AL500" s="44"/>
      <c r="AM500" s="44"/>
      <c r="AN500" s="44"/>
    </row>
    <row r="501" spans="1:40" x14ac:dyDescent="0.3">
      <c r="L501" s="44"/>
      <c r="M501" s="44"/>
      <c r="N501" s="44"/>
      <c r="O501" s="44"/>
      <c r="R501" s="44"/>
      <c r="Z501" s="44"/>
      <c r="AA501" s="44"/>
      <c r="AB501" s="44"/>
      <c r="AC501" s="44"/>
      <c r="AD501" s="44"/>
      <c r="AE501" s="44"/>
      <c r="AF501" s="44"/>
      <c r="AG501" s="168"/>
      <c r="AH501" s="44"/>
      <c r="AK501" s="168"/>
      <c r="AL501" s="44"/>
      <c r="AM501" s="44"/>
      <c r="AN501" s="44"/>
    </row>
    <row r="502" spans="1:40" x14ac:dyDescent="0.3">
      <c r="A502" s="44"/>
      <c r="C502" s="44"/>
      <c r="D502" s="44"/>
      <c r="E502" s="44"/>
      <c r="F502" s="44"/>
      <c r="J502" s="44"/>
      <c r="K502" s="44"/>
      <c r="L502" s="44"/>
      <c r="M502" s="44"/>
      <c r="N502" s="44"/>
      <c r="O502" s="44"/>
      <c r="P502" s="44"/>
      <c r="Q502" s="44"/>
      <c r="R502" s="44"/>
      <c r="T502" s="44"/>
      <c r="U502" s="44"/>
      <c r="V502" s="44"/>
      <c r="Z502" s="44"/>
      <c r="AA502" s="44"/>
      <c r="AB502" s="44"/>
      <c r="AC502" s="44"/>
      <c r="AD502" s="44"/>
      <c r="AE502" s="44"/>
      <c r="AF502" s="44"/>
      <c r="AG502" s="168"/>
      <c r="AH502" s="44"/>
      <c r="AI502" s="44"/>
      <c r="AJ502" s="44"/>
      <c r="AK502" s="168"/>
      <c r="AL502" s="44"/>
      <c r="AM502" s="44"/>
      <c r="AN502" s="44"/>
    </row>
    <row r="503" spans="1:40" x14ac:dyDescent="0.3">
      <c r="A503" s="44"/>
      <c r="C503" s="44"/>
      <c r="D503" s="44"/>
      <c r="E503" s="44"/>
      <c r="F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T503" s="44"/>
      <c r="U503" s="44"/>
      <c r="V503" s="44"/>
      <c r="Y503" s="44"/>
      <c r="Z503" s="44"/>
      <c r="AA503" s="44"/>
      <c r="AB503" s="44"/>
      <c r="AC503" s="44"/>
      <c r="AD503" s="44"/>
      <c r="AE503" s="44"/>
      <c r="AF503" s="44"/>
      <c r="AG503" s="168"/>
      <c r="AH503" s="44"/>
      <c r="AI503" s="44"/>
      <c r="AJ503" s="44"/>
      <c r="AK503" s="168"/>
      <c r="AL503" s="44"/>
      <c r="AM503" s="44"/>
      <c r="AN503" s="44"/>
    </row>
    <row r="504" spans="1:40" x14ac:dyDescent="0.3">
      <c r="C504" s="44"/>
      <c r="D504" s="44"/>
      <c r="E504" s="44"/>
      <c r="F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T504" s="44"/>
      <c r="U504" s="44"/>
      <c r="V504" s="44"/>
      <c r="Y504" s="44"/>
      <c r="Z504" s="44"/>
      <c r="AA504" s="44"/>
      <c r="AB504" s="44"/>
      <c r="AC504" s="44"/>
      <c r="AD504" s="44"/>
      <c r="AE504" s="44"/>
      <c r="AF504" s="44"/>
      <c r="AG504" s="168"/>
      <c r="AH504" s="44"/>
      <c r="AI504" s="44"/>
      <c r="AJ504" s="44"/>
      <c r="AK504" s="168"/>
      <c r="AL504" s="44"/>
      <c r="AM504" s="44"/>
      <c r="AN504" s="44"/>
    </row>
    <row r="505" spans="1:40" x14ac:dyDescent="0.3">
      <c r="A505" s="135"/>
      <c r="B505" s="135"/>
      <c r="C505" s="135"/>
      <c r="D505" s="135"/>
      <c r="E505" s="135"/>
      <c r="F505" s="135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207"/>
      <c r="AH505" s="135"/>
      <c r="AI505" s="135"/>
      <c r="AJ505" s="135"/>
      <c r="AK505" s="207"/>
      <c r="AL505" s="135"/>
      <c r="AM505" s="135"/>
      <c r="AN505" s="135"/>
    </row>
    <row r="506" spans="1:40" x14ac:dyDescent="0.3"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Y506" s="44"/>
      <c r="Z506" s="44"/>
      <c r="AA506" s="44"/>
      <c r="AB506" s="44"/>
      <c r="AC506" s="44"/>
      <c r="AD506" s="44"/>
      <c r="AE506" s="44"/>
      <c r="AF506" s="44"/>
      <c r="AG506" s="168"/>
      <c r="AH506" s="44"/>
      <c r="AI506" s="44"/>
      <c r="AJ506" s="44"/>
      <c r="AK506" s="168"/>
      <c r="AL506" s="44"/>
      <c r="AM506" s="44"/>
      <c r="AN506" s="44"/>
    </row>
    <row r="507" spans="1:40" x14ac:dyDescent="0.3">
      <c r="C507" s="42"/>
      <c r="D507" s="42"/>
      <c r="E507" s="42"/>
      <c r="T507" s="42"/>
      <c r="U507" s="42"/>
    </row>
    <row r="509" spans="1:40" x14ac:dyDescent="0.3">
      <c r="C509" s="42"/>
      <c r="T509" s="42"/>
    </row>
    <row r="510" spans="1:40" x14ac:dyDescent="0.3">
      <c r="C510" s="42"/>
      <c r="T510" s="42"/>
    </row>
    <row r="511" spans="1:40" x14ac:dyDescent="0.3">
      <c r="C511" s="42"/>
      <c r="F511" s="184"/>
      <c r="H511" s="184"/>
      <c r="I511" s="184"/>
      <c r="J511" s="238"/>
      <c r="K511" s="238"/>
      <c r="L511" s="123"/>
      <c r="M511" s="123"/>
      <c r="N511" s="160"/>
      <c r="O511" s="160"/>
      <c r="P511" s="123"/>
      <c r="Q511" s="123"/>
      <c r="R511" s="123"/>
      <c r="T511" s="42"/>
      <c r="V511" s="123"/>
      <c r="W511" s="123"/>
      <c r="X511" s="123"/>
      <c r="Y511" s="123"/>
      <c r="Z511" s="238"/>
      <c r="AA511" s="123"/>
      <c r="AB511" s="123"/>
      <c r="AC511" s="160"/>
      <c r="AD511" s="160"/>
      <c r="AE511" s="123"/>
      <c r="AF511" s="123"/>
      <c r="AH511" s="236"/>
      <c r="AI511" s="123"/>
      <c r="AJ511" s="123"/>
      <c r="AL511" s="123"/>
      <c r="AM511" s="236"/>
      <c r="AN511" s="236"/>
    </row>
    <row r="512" spans="1:40" x14ac:dyDescent="0.3">
      <c r="C512" s="42"/>
      <c r="F512" s="123"/>
      <c r="H512" s="123"/>
      <c r="I512" s="123"/>
      <c r="J512" s="188"/>
      <c r="K512" s="188"/>
      <c r="L512" s="123"/>
      <c r="M512" s="123"/>
      <c r="N512" s="160"/>
      <c r="O512" s="160"/>
      <c r="P512" s="123"/>
      <c r="Q512" s="123"/>
      <c r="R512" s="123"/>
      <c r="T512" s="42"/>
      <c r="V512" s="123"/>
      <c r="W512" s="123"/>
      <c r="X512" s="123"/>
      <c r="Y512" s="123"/>
      <c r="Z512" s="188"/>
      <c r="AA512" s="123"/>
      <c r="AB512" s="123"/>
      <c r="AC512" s="160"/>
      <c r="AD512" s="160"/>
      <c r="AE512" s="123"/>
      <c r="AF512" s="123"/>
      <c r="AH512" s="236"/>
      <c r="AI512" s="123"/>
      <c r="AJ512" s="123"/>
      <c r="AL512" s="123"/>
      <c r="AM512" s="236"/>
      <c r="AN512" s="236"/>
    </row>
    <row r="513" spans="3:40" x14ac:dyDescent="0.3">
      <c r="C513" s="42"/>
      <c r="F513" s="123"/>
      <c r="H513" s="123"/>
      <c r="I513" s="123"/>
      <c r="J513" s="188"/>
      <c r="K513" s="188"/>
      <c r="L513" s="123"/>
      <c r="M513" s="123"/>
      <c r="N513" s="160"/>
      <c r="O513" s="160"/>
      <c r="P513" s="123"/>
      <c r="Q513" s="123"/>
      <c r="R513" s="123"/>
      <c r="T513" s="42"/>
      <c r="V513" s="123"/>
      <c r="W513" s="123"/>
      <c r="X513" s="123"/>
      <c r="Y513" s="123"/>
      <c r="Z513" s="188"/>
      <c r="AA513" s="123"/>
      <c r="AB513" s="123"/>
      <c r="AC513" s="160"/>
      <c r="AD513" s="160"/>
      <c r="AE513" s="123"/>
      <c r="AF513" s="123"/>
      <c r="AH513" s="236"/>
      <c r="AI513" s="123"/>
      <c r="AJ513" s="123"/>
      <c r="AL513" s="123"/>
      <c r="AM513" s="236"/>
      <c r="AN513" s="236"/>
    </row>
    <row r="514" spans="3:40" x14ac:dyDescent="0.3">
      <c r="C514" s="42"/>
      <c r="F514" s="123"/>
      <c r="H514" s="123"/>
      <c r="I514" s="123"/>
      <c r="J514" s="188"/>
      <c r="K514" s="188"/>
      <c r="T514" s="42"/>
      <c r="V514" s="123"/>
      <c r="Z514" s="188"/>
    </row>
    <row r="515" spans="3:40" x14ac:dyDescent="0.3">
      <c r="C515" s="42"/>
      <c r="F515" s="184"/>
      <c r="H515" s="184"/>
      <c r="I515" s="184"/>
      <c r="J515" s="238"/>
      <c r="K515" s="238"/>
      <c r="L515" s="123"/>
      <c r="M515" s="123"/>
      <c r="N515" s="160"/>
      <c r="O515" s="160"/>
      <c r="P515" s="123"/>
      <c r="Q515" s="123"/>
      <c r="R515" s="123"/>
      <c r="T515" s="42"/>
      <c r="V515" s="123"/>
      <c r="W515" s="123"/>
      <c r="X515" s="123"/>
      <c r="Y515" s="123"/>
      <c r="Z515" s="238"/>
      <c r="AA515" s="123"/>
      <c r="AB515" s="123"/>
      <c r="AC515" s="160"/>
      <c r="AD515" s="160"/>
      <c r="AE515" s="123"/>
      <c r="AF515" s="123"/>
      <c r="AH515" s="236"/>
      <c r="AI515" s="123"/>
      <c r="AJ515" s="123"/>
      <c r="AL515" s="123"/>
      <c r="AM515" s="236"/>
      <c r="AN515" s="236"/>
    </row>
    <row r="516" spans="3:40" x14ac:dyDescent="0.3">
      <c r="C516" s="42"/>
      <c r="F516" s="123"/>
      <c r="H516" s="123"/>
      <c r="I516" s="123"/>
      <c r="J516" s="188"/>
      <c r="K516" s="188"/>
      <c r="T516" s="42"/>
      <c r="V516" s="123"/>
      <c r="W516" s="123"/>
      <c r="X516" s="123"/>
      <c r="Y516" s="123"/>
      <c r="Z516" s="188"/>
      <c r="AC516" s="160"/>
      <c r="AD516" s="160"/>
      <c r="AE516" s="123"/>
      <c r="AF516" s="123"/>
      <c r="AH516" s="236"/>
      <c r="AI516" s="123"/>
      <c r="AJ516" s="123"/>
      <c r="AL516" s="123"/>
      <c r="AM516" s="236"/>
      <c r="AN516" s="236"/>
    </row>
    <row r="517" spans="3:40" x14ac:dyDescent="0.3">
      <c r="C517" s="42"/>
      <c r="F517" s="184"/>
      <c r="H517" s="184"/>
      <c r="I517" s="184"/>
      <c r="J517" s="238"/>
      <c r="K517" s="238"/>
      <c r="L517" s="123"/>
      <c r="M517" s="123"/>
      <c r="N517" s="160"/>
      <c r="O517" s="160"/>
      <c r="P517" s="123"/>
      <c r="Q517" s="123"/>
      <c r="R517" s="123"/>
      <c r="T517" s="42"/>
      <c r="V517" s="123"/>
      <c r="W517" s="123"/>
      <c r="X517" s="123"/>
      <c r="Y517" s="123"/>
      <c r="Z517" s="238"/>
      <c r="AA517" s="123"/>
      <c r="AB517" s="123"/>
      <c r="AC517" s="160"/>
      <c r="AD517" s="160"/>
      <c r="AE517" s="123"/>
      <c r="AF517" s="123"/>
      <c r="AH517" s="236"/>
      <c r="AI517" s="123"/>
      <c r="AJ517" s="123"/>
      <c r="AL517" s="123"/>
      <c r="AM517" s="236"/>
      <c r="AN517" s="236"/>
    </row>
    <row r="518" spans="3:40" x14ac:dyDescent="0.3">
      <c r="C518" s="42"/>
      <c r="F518" s="123"/>
      <c r="H518" s="123"/>
      <c r="I518" s="123"/>
      <c r="J518" s="188"/>
      <c r="K518" s="188"/>
      <c r="L518" s="123"/>
      <c r="M518" s="123"/>
      <c r="N518" s="160"/>
      <c r="O518" s="160"/>
      <c r="P518" s="123"/>
      <c r="Q518" s="123"/>
      <c r="R518" s="123"/>
      <c r="T518" s="42"/>
      <c r="V518" s="123"/>
      <c r="W518" s="123"/>
      <c r="X518" s="123"/>
      <c r="Y518" s="123"/>
      <c r="Z518" s="188"/>
      <c r="AA518" s="123"/>
      <c r="AB518" s="123"/>
      <c r="AC518" s="160"/>
      <c r="AD518" s="160"/>
      <c r="AE518" s="123"/>
      <c r="AF518" s="123"/>
      <c r="AH518" s="236"/>
      <c r="AI518" s="123"/>
      <c r="AJ518" s="123"/>
      <c r="AL518" s="123"/>
      <c r="AM518" s="236"/>
      <c r="AN518" s="236"/>
    </row>
    <row r="519" spans="3:40" x14ac:dyDescent="0.3">
      <c r="F519" s="123"/>
      <c r="H519" s="123"/>
      <c r="I519" s="123"/>
      <c r="J519" s="188"/>
      <c r="K519" s="188"/>
      <c r="Z519" s="188"/>
    </row>
    <row r="520" spans="3:40" x14ac:dyDescent="0.3">
      <c r="C520" s="42"/>
      <c r="F520" s="123"/>
      <c r="H520" s="184"/>
      <c r="I520" s="184"/>
      <c r="J520" s="238"/>
      <c r="K520" s="238"/>
      <c r="L520" s="123"/>
      <c r="M520" s="123"/>
      <c r="N520" s="160"/>
      <c r="O520" s="160"/>
      <c r="P520" s="123"/>
      <c r="Q520" s="123"/>
      <c r="R520" s="123"/>
      <c r="T520" s="42"/>
      <c r="V520" s="123"/>
      <c r="W520" s="123"/>
      <c r="X520" s="123"/>
      <c r="Y520" s="123"/>
      <c r="Z520" s="238"/>
      <c r="AA520" s="123"/>
      <c r="AB520" s="123"/>
      <c r="AC520" s="160"/>
      <c r="AD520" s="160"/>
      <c r="AE520" s="123"/>
      <c r="AF520" s="123"/>
      <c r="AH520" s="236"/>
      <c r="AI520" s="123"/>
      <c r="AJ520" s="123"/>
      <c r="AL520" s="123"/>
      <c r="AM520" s="236"/>
      <c r="AN520" s="236"/>
    </row>
    <row r="521" spans="3:40" x14ac:dyDescent="0.3">
      <c r="F521" s="210"/>
      <c r="H521" s="210"/>
      <c r="I521" s="210"/>
      <c r="J521" s="238"/>
      <c r="K521" s="238"/>
      <c r="L521" s="210"/>
      <c r="M521" s="210"/>
      <c r="N521" s="210"/>
      <c r="O521" s="210"/>
      <c r="P521" s="210"/>
      <c r="Q521" s="210"/>
      <c r="R521" s="210"/>
      <c r="V521" s="210"/>
      <c r="Y521" s="210"/>
      <c r="Z521" s="238"/>
      <c r="AA521" s="210"/>
      <c r="AB521" s="210"/>
      <c r="AC521" s="210"/>
      <c r="AD521" s="210"/>
      <c r="AE521" s="210"/>
      <c r="AF521" s="210"/>
      <c r="AI521" s="210"/>
      <c r="AJ521" s="210"/>
      <c r="AK521" s="214"/>
      <c r="AL521" s="210"/>
    </row>
    <row r="522" spans="3:40" x14ac:dyDescent="0.3">
      <c r="C522" s="42"/>
      <c r="F522" s="123"/>
      <c r="H522" s="123"/>
      <c r="I522" s="123"/>
      <c r="J522" s="188"/>
      <c r="K522" s="188"/>
      <c r="L522" s="123"/>
      <c r="M522" s="123"/>
      <c r="P522" s="123"/>
      <c r="Q522" s="123"/>
      <c r="R522" s="123"/>
      <c r="T522" s="42"/>
      <c r="V522" s="123"/>
      <c r="Y522" s="123"/>
      <c r="Z522" s="188"/>
      <c r="AA522" s="123"/>
      <c r="AB522" s="123"/>
      <c r="AC522" s="236"/>
      <c r="AD522" s="236"/>
      <c r="AE522" s="123"/>
      <c r="AF522" s="123"/>
      <c r="AH522" s="236"/>
      <c r="AI522" s="123"/>
      <c r="AJ522" s="123"/>
      <c r="AL522" s="123"/>
      <c r="AM522" s="236"/>
      <c r="AN522" s="236"/>
    </row>
    <row r="523" spans="3:40" x14ac:dyDescent="0.3">
      <c r="F523" s="210"/>
      <c r="H523" s="210"/>
      <c r="I523" s="210"/>
      <c r="J523" s="238"/>
      <c r="K523" s="238"/>
      <c r="L523" s="210"/>
      <c r="M523" s="210"/>
      <c r="N523" s="210"/>
      <c r="O523" s="210"/>
      <c r="P523" s="210"/>
      <c r="Q523" s="210"/>
      <c r="R523" s="210"/>
      <c r="V523" s="210"/>
      <c r="Y523" s="210"/>
      <c r="Z523" s="238"/>
      <c r="AA523" s="210"/>
      <c r="AB523" s="210"/>
      <c r="AC523" s="210"/>
      <c r="AD523" s="210"/>
      <c r="AE523" s="210"/>
      <c r="AF523" s="210"/>
      <c r="AI523" s="210"/>
      <c r="AJ523" s="210"/>
      <c r="AK523" s="214"/>
      <c r="AL523" s="210"/>
    </row>
    <row r="524" spans="3:40" x14ac:dyDescent="0.3">
      <c r="J524" s="188"/>
      <c r="K524" s="188"/>
      <c r="Z524" s="188"/>
    </row>
    <row r="525" spans="3:40" x14ac:dyDescent="0.3">
      <c r="C525" s="42"/>
      <c r="J525" s="188"/>
      <c r="K525" s="188"/>
      <c r="T525" s="42"/>
      <c r="Z525" s="188"/>
    </row>
    <row r="526" spans="3:40" x14ac:dyDescent="0.3">
      <c r="C526" s="42"/>
      <c r="J526" s="188"/>
      <c r="K526" s="188"/>
      <c r="T526" s="42"/>
      <c r="Z526" s="188"/>
    </row>
    <row r="527" spans="3:40" x14ac:dyDescent="0.3">
      <c r="C527" s="42"/>
      <c r="F527" s="184"/>
      <c r="H527" s="184"/>
      <c r="I527" s="184"/>
      <c r="J527" s="238"/>
      <c r="K527" s="238"/>
      <c r="L527" s="123"/>
      <c r="M527" s="123"/>
      <c r="N527" s="160"/>
      <c r="O527" s="160"/>
      <c r="P527" s="123"/>
      <c r="Q527" s="123"/>
      <c r="R527" s="123"/>
      <c r="T527" s="42"/>
      <c r="V527" s="123"/>
      <c r="W527" s="123"/>
      <c r="X527" s="123"/>
      <c r="Y527" s="123"/>
      <c r="Z527" s="238"/>
      <c r="AA527" s="123"/>
      <c r="AB527" s="123"/>
      <c r="AC527" s="160"/>
      <c r="AD527" s="160"/>
      <c r="AE527" s="123"/>
      <c r="AF527" s="123"/>
      <c r="AH527" s="236"/>
      <c r="AI527" s="123"/>
      <c r="AJ527" s="123"/>
      <c r="AL527" s="123"/>
      <c r="AM527" s="236"/>
      <c r="AN527" s="236"/>
    </row>
    <row r="528" spans="3:40" x14ac:dyDescent="0.3">
      <c r="C528" s="42"/>
      <c r="J528" s="188"/>
      <c r="K528" s="188"/>
      <c r="T528" s="42"/>
      <c r="Z528" s="188"/>
    </row>
    <row r="529" spans="1:40" x14ac:dyDescent="0.3">
      <c r="C529" s="42"/>
      <c r="F529" s="184"/>
      <c r="H529" s="184"/>
      <c r="I529" s="184"/>
      <c r="J529" s="238"/>
      <c r="K529" s="238"/>
      <c r="L529" s="123"/>
      <c r="M529" s="123"/>
      <c r="N529" s="160"/>
      <c r="O529" s="160"/>
      <c r="P529" s="123"/>
      <c r="Q529" s="123"/>
      <c r="R529" s="123"/>
      <c r="T529" s="42"/>
      <c r="V529" s="123"/>
      <c r="W529" s="123"/>
      <c r="X529" s="123"/>
      <c r="Y529" s="123"/>
      <c r="Z529" s="238"/>
      <c r="AA529" s="123"/>
      <c r="AB529" s="123"/>
      <c r="AC529" s="160"/>
      <c r="AD529" s="160"/>
      <c r="AE529" s="123"/>
      <c r="AF529" s="123"/>
      <c r="AH529" s="236"/>
      <c r="AI529" s="123"/>
      <c r="AJ529" s="123"/>
      <c r="AL529" s="123"/>
      <c r="AM529" s="236"/>
      <c r="AN529" s="236"/>
    </row>
    <row r="530" spans="1:40" x14ac:dyDescent="0.3">
      <c r="F530" s="210"/>
      <c r="H530" s="210"/>
      <c r="I530" s="210"/>
      <c r="J530" s="238"/>
      <c r="K530" s="238"/>
      <c r="L530" s="210"/>
      <c r="M530" s="210"/>
      <c r="N530" s="210"/>
      <c r="O530" s="210"/>
      <c r="P530" s="210"/>
      <c r="Q530" s="210"/>
      <c r="R530" s="210"/>
      <c r="V530" s="210"/>
      <c r="Y530" s="210"/>
      <c r="Z530" s="238"/>
      <c r="AA530" s="210"/>
      <c r="AB530" s="210"/>
      <c r="AC530" s="210"/>
      <c r="AD530" s="210"/>
      <c r="AE530" s="210"/>
      <c r="AF530" s="210"/>
      <c r="AI530" s="210"/>
      <c r="AJ530" s="210"/>
      <c r="AK530" s="214"/>
      <c r="AL530" s="210"/>
    </row>
    <row r="531" spans="1:40" x14ac:dyDescent="0.3">
      <c r="C531" s="42"/>
      <c r="F531" s="123"/>
      <c r="H531" s="123"/>
      <c r="I531" s="123"/>
      <c r="J531" s="188"/>
      <c r="K531" s="188"/>
      <c r="L531" s="123"/>
      <c r="M531" s="123"/>
      <c r="N531" s="236"/>
      <c r="O531" s="236"/>
      <c r="P531" s="123"/>
      <c r="Q531" s="123"/>
      <c r="R531" s="123"/>
      <c r="T531" s="42"/>
      <c r="V531" s="123"/>
      <c r="Y531" s="123"/>
      <c r="Z531" s="188"/>
      <c r="AA531" s="123"/>
      <c r="AB531" s="123"/>
      <c r="AC531" s="236"/>
      <c r="AD531" s="236"/>
      <c r="AE531" s="123"/>
      <c r="AF531" s="123"/>
      <c r="AH531" s="236"/>
      <c r="AI531" s="123"/>
      <c r="AJ531" s="123"/>
      <c r="AL531" s="123"/>
      <c r="AM531" s="236"/>
      <c r="AN531" s="236"/>
    </row>
    <row r="532" spans="1:40" x14ac:dyDescent="0.3">
      <c r="F532" s="210"/>
      <c r="H532" s="210"/>
      <c r="I532" s="210"/>
      <c r="J532" s="238"/>
      <c r="K532" s="238"/>
      <c r="L532" s="210"/>
      <c r="M532" s="210"/>
      <c r="N532" s="210"/>
      <c r="O532" s="210"/>
      <c r="P532" s="210"/>
      <c r="Q532" s="210"/>
      <c r="R532" s="210"/>
      <c r="V532" s="210"/>
      <c r="Y532" s="210"/>
      <c r="Z532" s="213"/>
      <c r="AA532" s="210"/>
      <c r="AB532" s="210"/>
      <c r="AC532" s="210"/>
      <c r="AD532" s="210"/>
      <c r="AE532" s="210"/>
      <c r="AF532" s="210"/>
      <c r="AI532" s="210"/>
      <c r="AJ532" s="210"/>
      <c r="AK532" s="214"/>
      <c r="AL532" s="210"/>
    </row>
    <row r="533" spans="1:40" x14ac:dyDescent="0.3">
      <c r="J533" s="188"/>
      <c r="K533" s="188"/>
    </row>
    <row r="534" spans="1:40" x14ac:dyDescent="0.3">
      <c r="C534" s="42"/>
      <c r="F534" s="123"/>
      <c r="H534" s="123"/>
      <c r="I534" s="123"/>
      <c r="J534" s="188"/>
      <c r="K534" s="188"/>
      <c r="L534" s="123"/>
      <c r="M534" s="123"/>
      <c r="N534" s="160"/>
      <c r="O534" s="160"/>
      <c r="P534" s="184"/>
      <c r="Q534" s="184"/>
      <c r="R534" s="123"/>
      <c r="T534" s="42"/>
      <c r="V534" s="123"/>
      <c r="Y534" s="123"/>
      <c r="AA534" s="123"/>
      <c r="AB534" s="123"/>
      <c r="AC534" s="236"/>
      <c r="AD534" s="236"/>
      <c r="AE534" s="123"/>
      <c r="AF534" s="123"/>
      <c r="AH534" s="236"/>
      <c r="AI534" s="184"/>
      <c r="AJ534" s="184"/>
      <c r="AL534" s="123"/>
      <c r="AM534" s="236"/>
      <c r="AN534" s="236"/>
    </row>
    <row r="535" spans="1:40" x14ac:dyDescent="0.3">
      <c r="H535" s="210"/>
      <c r="I535" s="210"/>
      <c r="J535" s="238"/>
      <c r="K535" s="238"/>
      <c r="L535" s="210"/>
      <c r="M535" s="210"/>
      <c r="N535" s="210"/>
      <c r="O535" s="210"/>
      <c r="P535" s="210"/>
      <c r="Q535" s="210"/>
      <c r="R535" s="210"/>
      <c r="V535" s="210"/>
      <c r="Y535" s="210"/>
      <c r="Z535" s="213"/>
      <c r="AA535" s="210"/>
      <c r="AB535" s="210"/>
      <c r="AC535" s="210"/>
      <c r="AD535" s="210"/>
      <c r="AE535" s="210"/>
      <c r="AF535" s="210"/>
      <c r="AI535" s="210"/>
      <c r="AJ535" s="210"/>
      <c r="AK535" s="214"/>
      <c r="AL535" s="210"/>
    </row>
    <row r="536" spans="1:40" x14ac:dyDescent="0.3">
      <c r="F536" s="210"/>
    </row>
    <row r="538" spans="1:40" x14ac:dyDescent="0.3">
      <c r="A538" s="42"/>
    </row>
    <row r="540" spans="1:40" x14ac:dyDescent="0.3">
      <c r="H540" s="42"/>
      <c r="I540" s="42"/>
      <c r="Y540" s="42"/>
    </row>
    <row r="542" spans="1:40" x14ac:dyDescent="0.3">
      <c r="L542" s="42"/>
      <c r="M542" s="42"/>
      <c r="AA542" s="42"/>
      <c r="AB542" s="42"/>
    </row>
    <row r="543" spans="1:40" x14ac:dyDescent="0.3">
      <c r="R543" s="42"/>
      <c r="AK543" s="206"/>
      <c r="AL543" s="42"/>
    </row>
    <row r="544" spans="1:40" x14ac:dyDescent="0.3">
      <c r="R544" s="42"/>
      <c r="AK544" s="206"/>
      <c r="AL544" s="42"/>
    </row>
    <row r="545" spans="1:40" x14ac:dyDescent="0.3">
      <c r="A545" s="42"/>
      <c r="R545" s="42"/>
      <c r="AK545" s="206"/>
      <c r="AL545" s="42"/>
    </row>
    <row r="546" spans="1:40" x14ac:dyDescent="0.3">
      <c r="L546" s="42"/>
      <c r="M546" s="42"/>
      <c r="AA546" s="42"/>
      <c r="AB546" s="42"/>
    </row>
    <row r="547" spans="1:40" x14ac:dyDescent="0.3">
      <c r="A547" s="135"/>
      <c r="B547" s="135"/>
      <c r="C547" s="135"/>
      <c r="D547" s="135"/>
      <c r="E547" s="135"/>
      <c r="F547" s="135"/>
      <c r="G547" s="135"/>
      <c r="H547" s="135"/>
      <c r="I547" s="135"/>
      <c r="J547" s="135"/>
      <c r="K547" s="135"/>
      <c r="L547" s="135"/>
      <c r="M547" s="135"/>
      <c r="N547" s="135"/>
      <c r="O547" s="135"/>
      <c r="P547" s="135"/>
      <c r="Q547" s="135"/>
      <c r="R547" s="135"/>
      <c r="T547" s="135"/>
      <c r="U547" s="135"/>
      <c r="V547" s="135"/>
      <c r="W547" s="135"/>
      <c r="X547" s="135"/>
      <c r="Y547" s="135"/>
      <c r="Z547" s="135"/>
      <c r="AA547" s="135"/>
      <c r="AB547" s="135"/>
      <c r="AC547" s="135"/>
      <c r="AD547" s="135"/>
      <c r="AE547" s="135"/>
      <c r="AF547" s="135"/>
      <c r="AG547" s="207"/>
      <c r="AH547" s="135"/>
      <c r="AI547" s="135"/>
      <c r="AJ547" s="135"/>
      <c r="AK547" s="207"/>
      <c r="AL547" s="135"/>
      <c r="AM547" s="135"/>
      <c r="AN547" s="135"/>
    </row>
    <row r="548" spans="1:40" x14ac:dyDescent="0.3">
      <c r="L548" s="44"/>
      <c r="M548" s="44"/>
      <c r="N548" s="44"/>
      <c r="O548" s="44"/>
      <c r="R548" s="44"/>
      <c r="AA548" s="44"/>
      <c r="AB548" s="44"/>
      <c r="AC548" s="44"/>
      <c r="AD548" s="44"/>
      <c r="AE548" s="44"/>
      <c r="AF548" s="44"/>
      <c r="AG548" s="168"/>
      <c r="AH548" s="44"/>
      <c r="AK548" s="168"/>
      <c r="AL548" s="44"/>
      <c r="AM548" s="44"/>
      <c r="AN548" s="44"/>
    </row>
    <row r="549" spans="1:40" x14ac:dyDescent="0.3">
      <c r="L549" s="44"/>
      <c r="M549" s="44"/>
      <c r="N549" s="44"/>
      <c r="O549" s="44"/>
      <c r="R549" s="44"/>
      <c r="Z549" s="44"/>
      <c r="AA549" s="44"/>
      <c r="AB549" s="44"/>
      <c r="AC549" s="44"/>
      <c r="AD549" s="44"/>
      <c r="AE549" s="44"/>
      <c r="AF549" s="44"/>
      <c r="AG549" s="168"/>
      <c r="AH549" s="44"/>
      <c r="AK549" s="168"/>
      <c r="AL549" s="44"/>
      <c r="AM549" s="44"/>
      <c r="AN549" s="44"/>
    </row>
    <row r="550" spans="1:40" x14ac:dyDescent="0.3">
      <c r="A550" s="44"/>
      <c r="C550" s="44"/>
      <c r="D550" s="44"/>
      <c r="E550" s="44"/>
      <c r="F550" s="44"/>
      <c r="J550" s="44"/>
      <c r="K550" s="44"/>
      <c r="L550" s="44"/>
      <c r="M550" s="44"/>
      <c r="N550" s="44"/>
      <c r="O550" s="44"/>
      <c r="P550" s="44"/>
      <c r="Q550" s="44"/>
      <c r="R550" s="44"/>
      <c r="T550" s="44"/>
      <c r="U550" s="44"/>
      <c r="V550" s="44"/>
      <c r="Z550" s="44"/>
      <c r="AA550" s="44"/>
      <c r="AB550" s="44"/>
      <c r="AC550" s="44"/>
      <c r="AD550" s="44"/>
      <c r="AE550" s="44"/>
      <c r="AF550" s="44"/>
      <c r="AG550" s="168"/>
      <c r="AH550" s="44"/>
      <c r="AI550" s="44"/>
      <c r="AJ550" s="44"/>
      <c r="AK550" s="168"/>
      <c r="AL550" s="44"/>
      <c r="AM550" s="44"/>
      <c r="AN550" s="44"/>
    </row>
    <row r="551" spans="1:40" x14ac:dyDescent="0.3">
      <c r="A551" s="44"/>
      <c r="C551" s="44"/>
      <c r="D551" s="44"/>
      <c r="E551" s="44"/>
      <c r="F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T551" s="44"/>
      <c r="U551" s="44"/>
      <c r="V551" s="44"/>
      <c r="Y551" s="44"/>
      <c r="Z551" s="44"/>
      <c r="AA551" s="44"/>
      <c r="AB551" s="44"/>
      <c r="AC551" s="44"/>
      <c r="AD551" s="44"/>
      <c r="AE551" s="44"/>
      <c r="AF551" s="44"/>
      <c r="AG551" s="168"/>
      <c r="AH551" s="44"/>
      <c r="AI551" s="44"/>
      <c r="AJ551" s="44"/>
      <c r="AK551" s="168"/>
      <c r="AL551" s="44"/>
      <c r="AM551" s="44"/>
      <c r="AN551" s="44"/>
    </row>
    <row r="552" spans="1:40" x14ac:dyDescent="0.3">
      <c r="C552" s="44"/>
      <c r="D552" s="44"/>
      <c r="E552" s="44"/>
      <c r="F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T552" s="44"/>
      <c r="U552" s="44"/>
      <c r="V552" s="44"/>
      <c r="Y552" s="44"/>
      <c r="Z552" s="44"/>
      <c r="AA552" s="44"/>
      <c r="AB552" s="44"/>
      <c r="AC552" s="44"/>
      <c r="AD552" s="44"/>
      <c r="AE552" s="44"/>
      <c r="AF552" s="44"/>
      <c r="AG552" s="168"/>
      <c r="AH552" s="44"/>
      <c r="AI552" s="44"/>
      <c r="AJ552" s="44"/>
      <c r="AK552" s="168"/>
      <c r="AL552" s="44"/>
      <c r="AM552" s="44"/>
      <c r="AN552" s="44"/>
    </row>
    <row r="553" spans="1:40" x14ac:dyDescent="0.3">
      <c r="A553" s="135"/>
      <c r="B553" s="135"/>
      <c r="C553" s="135"/>
      <c r="D553" s="135"/>
      <c r="E553" s="135"/>
      <c r="F553" s="135"/>
      <c r="G553" s="135"/>
      <c r="H553" s="135"/>
      <c r="I553" s="135"/>
      <c r="J553" s="135"/>
      <c r="K553" s="135"/>
      <c r="L553" s="135"/>
      <c r="M553" s="135"/>
      <c r="N553" s="135"/>
      <c r="O553" s="135"/>
      <c r="P553" s="135"/>
      <c r="Q553" s="135"/>
      <c r="R553" s="135"/>
      <c r="T553" s="135"/>
      <c r="U553" s="135"/>
      <c r="V553" s="135"/>
      <c r="W553" s="135"/>
      <c r="X553" s="135"/>
      <c r="Y553" s="135"/>
      <c r="Z553" s="135"/>
      <c r="AA553" s="135"/>
      <c r="AB553" s="135"/>
      <c r="AC553" s="135"/>
      <c r="AD553" s="135"/>
      <c r="AE553" s="135"/>
      <c r="AF553" s="135"/>
      <c r="AG553" s="207"/>
      <c r="AH553" s="135"/>
      <c r="AI553" s="135"/>
      <c r="AJ553" s="135"/>
      <c r="AK553" s="207"/>
      <c r="AL553" s="135"/>
      <c r="AM553" s="135"/>
      <c r="AN553" s="135"/>
    </row>
    <row r="554" spans="1:40" x14ac:dyDescent="0.3"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Y554" s="44"/>
      <c r="Z554" s="44"/>
      <c r="AA554" s="44"/>
      <c r="AB554" s="44"/>
      <c r="AC554" s="44"/>
      <c r="AD554" s="44"/>
      <c r="AE554" s="44"/>
      <c r="AF554" s="44"/>
      <c r="AG554" s="168"/>
      <c r="AH554" s="44"/>
      <c r="AI554" s="44"/>
      <c r="AJ554" s="44"/>
      <c r="AK554" s="168"/>
      <c r="AL554" s="44"/>
      <c r="AM554" s="44"/>
      <c r="AN554" s="44"/>
    </row>
    <row r="555" spans="1:40" x14ac:dyDescent="0.3">
      <c r="C555" s="42"/>
      <c r="D555" s="42"/>
      <c r="E555" s="42"/>
      <c r="T555" s="42"/>
      <c r="U555" s="42"/>
    </row>
    <row r="557" spans="1:40" x14ac:dyDescent="0.3">
      <c r="C557" s="42"/>
      <c r="D557" s="42"/>
      <c r="E557" s="42"/>
      <c r="T557" s="42"/>
      <c r="U557" s="42"/>
    </row>
    <row r="558" spans="1:40" x14ac:dyDescent="0.3">
      <c r="C558" s="42"/>
      <c r="T558" s="42"/>
    </row>
    <row r="559" spans="1:40" x14ac:dyDescent="0.3">
      <c r="C559" s="42"/>
      <c r="T559" s="42"/>
    </row>
    <row r="560" spans="1:40" x14ac:dyDescent="0.3">
      <c r="C560" s="42"/>
      <c r="H560" s="184"/>
      <c r="I560" s="184"/>
      <c r="J560" s="238"/>
      <c r="K560" s="238"/>
      <c r="L560" s="123"/>
      <c r="M560" s="123"/>
      <c r="N560" s="160"/>
      <c r="O560" s="160"/>
      <c r="P560" s="123"/>
      <c r="Q560" s="123"/>
      <c r="R560" s="123"/>
      <c r="T560" s="42"/>
      <c r="V560" s="123"/>
      <c r="W560" s="123"/>
      <c r="X560" s="123"/>
      <c r="Y560" s="123"/>
      <c r="Z560" s="238"/>
      <c r="AA560" s="123"/>
      <c r="AB560" s="123"/>
      <c r="AC560" s="160"/>
      <c r="AD560" s="160"/>
      <c r="AE560" s="123"/>
      <c r="AF560" s="123"/>
      <c r="AH560" s="236"/>
      <c r="AI560" s="123"/>
      <c r="AJ560" s="123"/>
      <c r="AL560" s="123"/>
      <c r="AM560" s="160"/>
      <c r="AN560" s="160"/>
    </row>
    <row r="561" spans="3:40" x14ac:dyDescent="0.3">
      <c r="C561" s="42"/>
      <c r="F561" s="184"/>
      <c r="J561" s="188"/>
      <c r="K561" s="188"/>
      <c r="T561" s="42"/>
      <c r="V561" s="123"/>
      <c r="W561" s="123"/>
      <c r="X561" s="123"/>
      <c r="Y561" s="123"/>
      <c r="Z561" s="238"/>
    </row>
    <row r="562" spans="3:40" x14ac:dyDescent="0.3">
      <c r="C562" s="42"/>
      <c r="H562" s="184"/>
      <c r="I562" s="184"/>
      <c r="J562" s="238"/>
      <c r="K562" s="238"/>
      <c r="L562" s="123"/>
      <c r="M562" s="123"/>
      <c r="N562" s="160"/>
      <c r="O562" s="160"/>
      <c r="P562" s="123"/>
      <c r="Q562" s="123"/>
      <c r="R562" s="123"/>
      <c r="T562" s="42"/>
      <c r="V562" s="123"/>
      <c r="W562" s="123"/>
      <c r="X562" s="123"/>
      <c r="Y562" s="123"/>
      <c r="Z562" s="238"/>
      <c r="AA562" s="123"/>
      <c r="AB562" s="123"/>
      <c r="AC562" s="160"/>
      <c r="AD562" s="160"/>
      <c r="AE562" s="123"/>
      <c r="AF562" s="123"/>
      <c r="AH562" s="236"/>
      <c r="AI562" s="123"/>
      <c r="AJ562" s="123"/>
      <c r="AL562" s="123"/>
      <c r="AM562" s="160"/>
      <c r="AN562" s="160"/>
    </row>
    <row r="563" spans="3:40" x14ac:dyDescent="0.3">
      <c r="C563" s="42"/>
      <c r="F563" s="184"/>
      <c r="J563" s="188"/>
      <c r="K563" s="188"/>
      <c r="T563" s="42"/>
      <c r="V563" s="123"/>
      <c r="W563" s="123"/>
      <c r="X563" s="123"/>
      <c r="Y563" s="123"/>
      <c r="Z563" s="238"/>
    </row>
    <row r="564" spans="3:40" x14ac:dyDescent="0.3">
      <c r="C564" s="42"/>
      <c r="H564" s="184"/>
      <c r="I564" s="184"/>
      <c r="J564" s="238"/>
      <c r="K564" s="238"/>
      <c r="L564" s="123"/>
      <c r="M564" s="123"/>
      <c r="N564" s="160"/>
      <c r="O564" s="160"/>
      <c r="P564" s="123"/>
      <c r="Q564" s="123"/>
      <c r="R564" s="123"/>
      <c r="T564" s="42"/>
      <c r="V564" s="123"/>
      <c r="W564" s="123"/>
      <c r="X564" s="123"/>
      <c r="Y564" s="123"/>
      <c r="Z564" s="238"/>
      <c r="AA564" s="123"/>
      <c r="AB564" s="123"/>
      <c r="AC564" s="160"/>
      <c r="AD564" s="160"/>
      <c r="AE564" s="123"/>
      <c r="AF564" s="123"/>
      <c r="AH564" s="236"/>
      <c r="AI564" s="123"/>
      <c r="AJ564" s="123"/>
      <c r="AL564" s="123"/>
      <c r="AM564" s="160"/>
      <c r="AN564" s="160"/>
    </row>
    <row r="565" spans="3:40" x14ac:dyDescent="0.3">
      <c r="C565" s="42"/>
      <c r="F565" s="184"/>
      <c r="J565" s="188"/>
      <c r="K565" s="188"/>
      <c r="T565" s="42"/>
      <c r="V565" s="123"/>
      <c r="W565" s="123"/>
      <c r="X565" s="123"/>
      <c r="Y565" s="123"/>
      <c r="Z565" s="238"/>
    </row>
    <row r="566" spans="3:40" x14ac:dyDescent="0.3">
      <c r="C566" s="42"/>
      <c r="H566" s="184"/>
      <c r="I566" s="184"/>
      <c r="J566" s="238"/>
      <c r="K566" s="238"/>
      <c r="L566" s="123"/>
      <c r="M566" s="123"/>
      <c r="N566" s="160"/>
      <c r="O566" s="160"/>
      <c r="P566" s="123"/>
      <c r="Q566" s="123"/>
      <c r="R566" s="123"/>
      <c r="T566" s="42"/>
      <c r="V566" s="123"/>
      <c r="W566" s="123"/>
      <c r="X566" s="123"/>
      <c r="Y566" s="123"/>
      <c r="Z566" s="238"/>
      <c r="AA566" s="123"/>
      <c r="AB566" s="123"/>
      <c r="AC566" s="160"/>
      <c r="AD566" s="160"/>
      <c r="AE566" s="123"/>
      <c r="AF566" s="123"/>
      <c r="AH566" s="236"/>
      <c r="AI566" s="123"/>
      <c r="AJ566" s="123"/>
      <c r="AL566" s="123"/>
      <c r="AM566" s="160"/>
      <c r="AN566" s="160"/>
    </row>
    <row r="567" spans="3:40" x14ac:dyDescent="0.3">
      <c r="C567" s="42"/>
      <c r="F567" s="184"/>
      <c r="J567" s="188"/>
      <c r="K567" s="188"/>
      <c r="T567" s="42"/>
      <c r="V567" s="123"/>
      <c r="W567" s="123"/>
      <c r="X567" s="123"/>
      <c r="Y567" s="123"/>
      <c r="Z567" s="238"/>
    </row>
    <row r="568" spans="3:40" x14ac:dyDescent="0.3">
      <c r="C568" s="42"/>
      <c r="H568" s="184"/>
      <c r="I568" s="184"/>
      <c r="J568" s="238"/>
      <c r="K568" s="238"/>
      <c r="L568" s="123"/>
      <c r="M568" s="123"/>
      <c r="N568" s="160"/>
      <c r="O568" s="160"/>
      <c r="P568" s="123"/>
      <c r="Q568" s="123"/>
      <c r="R568" s="123"/>
      <c r="T568" s="42"/>
      <c r="V568" s="123"/>
      <c r="W568" s="123"/>
      <c r="X568" s="123"/>
      <c r="Y568" s="123"/>
      <c r="Z568" s="238"/>
      <c r="AA568" s="123"/>
      <c r="AB568" s="123"/>
      <c r="AC568" s="160"/>
      <c r="AD568" s="160"/>
      <c r="AE568" s="123"/>
      <c r="AF568" s="123"/>
      <c r="AH568" s="236"/>
      <c r="AI568" s="123"/>
      <c r="AJ568" s="123"/>
      <c r="AL568" s="123"/>
      <c r="AM568" s="160"/>
      <c r="AN568" s="160"/>
    </row>
    <row r="569" spans="3:40" x14ac:dyDescent="0.3">
      <c r="C569" s="42"/>
      <c r="F569" s="184"/>
      <c r="J569" s="188"/>
      <c r="K569" s="188"/>
      <c r="T569" s="42"/>
      <c r="V569" s="123"/>
      <c r="W569" s="123"/>
      <c r="X569" s="123"/>
      <c r="Y569" s="123"/>
      <c r="Z569" s="238"/>
    </row>
    <row r="570" spans="3:40" x14ac:dyDescent="0.3">
      <c r="C570" s="42"/>
      <c r="H570" s="184"/>
      <c r="I570" s="184"/>
      <c r="J570" s="238"/>
      <c r="K570" s="238"/>
      <c r="L570" s="123"/>
      <c r="M570" s="123"/>
      <c r="N570" s="160"/>
      <c r="O570" s="160"/>
      <c r="P570" s="123"/>
      <c r="Q570" s="123"/>
      <c r="R570" s="123"/>
      <c r="T570" s="42"/>
      <c r="V570" s="123"/>
      <c r="W570" s="123"/>
      <c r="X570" s="123"/>
      <c r="Y570" s="123"/>
      <c r="Z570" s="238"/>
      <c r="AA570" s="123"/>
      <c r="AB570" s="123"/>
      <c r="AC570" s="160"/>
      <c r="AD570" s="160"/>
      <c r="AE570" s="123"/>
      <c r="AF570" s="123"/>
      <c r="AH570" s="236"/>
      <c r="AI570" s="123"/>
      <c r="AJ570" s="123"/>
      <c r="AL570" s="123"/>
      <c r="AM570" s="160"/>
      <c r="AN570" s="160"/>
    </row>
    <row r="571" spans="3:40" x14ac:dyDescent="0.3">
      <c r="F571" s="184"/>
      <c r="H571" s="210"/>
      <c r="I571" s="210"/>
      <c r="J571" s="238"/>
      <c r="K571" s="238"/>
      <c r="L571" s="210"/>
      <c r="M571" s="210"/>
      <c r="N571" s="210"/>
      <c r="O571" s="210"/>
      <c r="P571" s="210"/>
      <c r="Q571" s="210"/>
      <c r="R571" s="210"/>
      <c r="V571" s="210"/>
      <c r="Y571" s="210"/>
      <c r="Z571" s="238"/>
      <c r="AA571" s="210"/>
      <c r="AB571" s="210"/>
      <c r="AC571" s="210"/>
      <c r="AD571" s="210"/>
      <c r="AE571" s="210"/>
      <c r="AF571" s="210"/>
      <c r="AI571" s="210"/>
      <c r="AJ571" s="210"/>
      <c r="AK571" s="214"/>
      <c r="AL571" s="210"/>
      <c r="AM571" s="160"/>
      <c r="AN571" s="160"/>
    </row>
    <row r="572" spans="3:40" x14ac:dyDescent="0.3">
      <c r="C572" s="42"/>
      <c r="F572" s="210"/>
      <c r="H572" s="123"/>
      <c r="I572" s="123"/>
      <c r="J572" s="188"/>
      <c r="K572" s="188"/>
      <c r="L572" s="123"/>
      <c r="M572" s="123"/>
      <c r="N572" s="160"/>
      <c r="O572" s="160"/>
      <c r="P572" s="184"/>
      <c r="Q572" s="184"/>
      <c r="R572" s="123"/>
      <c r="T572" s="42"/>
      <c r="V572" s="123"/>
      <c r="W572" s="123"/>
      <c r="X572" s="123"/>
      <c r="Y572" s="123"/>
      <c r="Z572" s="238"/>
      <c r="AA572" s="123"/>
      <c r="AB572" s="123"/>
      <c r="AC572" s="160"/>
      <c r="AD572" s="160"/>
      <c r="AE572" s="123"/>
      <c r="AF572" s="123"/>
      <c r="AH572" s="236"/>
      <c r="AI572" s="184"/>
      <c r="AJ572" s="184"/>
      <c r="AL572" s="123"/>
      <c r="AM572" s="160"/>
      <c r="AN572" s="160"/>
    </row>
    <row r="573" spans="3:40" x14ac:dyDescent="0.3">
      <c r="F573" s="123"/>
      <c r="H573" s="210"/>
      <c r="I573" s="210"/>
      <c r="J573" s="238"/>
      <c r="K573" s="238"/>
      <c r="L573" s="210"/>
      <c r="M573" s="210"/>
      <c r="N573" s="210"/>
      <c r="O573" s="210"/>
      <c r="P573" s="210"/>
      <c r="Q573" s="210"/>
      <c r="R573" s="210"/>
      <c r="V573" s="210"/>
      <c r="Y573" s="210"/>
      <c r="Z573" s="238"/>
      <c r="AA573" s="210"/>
      <c r="AB573" s="210"/>
      <c r="AC573" s="210"/>
      <c r="AD573" s="210"/>
      <c r="AE573" s="210"/>
      <c r="AF573" s="210"/>
      <c r="AI573" s="210"/>
      <c r="AJ573" s="210"/>
      <c r="AK573" s="214"/>
      <c r="AL573" s="210"/>
    </row>
    <row r="574" spans="3:40" x14ac:dyDescent="0.3">
      <c r="C574" s="42"/>
      <c r="D574" s="42"/>
      <c r="E574" s="42"/>
      <c r="F574" s="210"/>
      <c r="J574" s="188"/>
      <c r="K574" s="188"/>
      <c r="T574" s="42"/>
      <c r="U574" s="42"/>
      <c r="V574" s="123"/>
      <c r="W574" s="123"/>
      <c r="X574" s="123"/>
      <c r="Y574" s="123"/>
      <c r="Z574" s="238"/>
    </row>
    <row r="575" spans="3:40" x14ac:dyDescent="0.3">
      <c r="C575" s="42"/>
      <c r="J575" s="188"/>
      <c r="K575" s="188"/>
      <c r="T575" s="42"/>
      <c r="V575" s="123"/>
      <c r="W575" s="123"/>
      <c r="X575" s="123"/>
      <c r="Y575" s="123"/>
      <c r="Z575" s="238"/>
    </row>
    <row r="576" spans="3:40" x14ac:dyDescent="0.3">
      <c r="C576" s="42"/>
      <c r="J576" s="188"/>
      <c r="K576" s="188"/>
      <c r="T576" s="42"/>
      <c r="V576" s="123"/>
      <c r="W576" s="123"/>
      <c r="X576" s="123"/>
      <c r="Y576" s="123"/>
      <c r="Z576" s="238"/>
    </row>
    <row r="577" spans="3:40" x14ac:dyDescent="0.3">
      <c r="C577" s="42"/>
      <c r="H577" s="184"/>
      <c r="I577" s="184"/>
      <c r="J577" s="238"/>
      <c r="K577" s="238"/>
      <c r="L577" s="123"/>
      <c r="M577" s="123"/>
      <c r="N577" s="160"/>
      <c r="O577" s="160"/>
      <c r="P577" s="123"/>
      <c r="Q577" s="123"/>
      <c r="R577" s="123"/>
      <c r="T577" s="42"/>
      <c r="V577" s="123"/>
      <c r="W577" s="123"/>
      <c r="X577" s="123"/>
      <c r="Y577" s="123"/>
      <c r="Z577" s="238"/>
      <c r="AA577" s="123"/>
      <c r="AB577" s="123"/>
      <c r="AC577" s="160"/>
      <c r="AD577" s="160"/>
      <c r="AE577" s="123"/>
      <c r="AF577" s="123"/>
      <c r="AH577" s="236"/>
      <c r="AI577" s="123"/>
      <c r="AJ577" s="123"/>
      <c r="AL577" s="123"/>
      <c r="AM577" s="160"/>
      <c r="AN577" s="160"/>
    </row>
    <row r="578" spans="3:40" x14ac:dyDescent="0.3">
      <c r="C578" s="42"/>
      <c r="F578" s="184"/>
      <c r="J578" s="188"/>
      <c r="K578" s="188"/>
      <c r="T578" s="42"/>
      <c r="V578" s="123"/>
      <c r="W578" s="123"/>
      <c r="X578" s="123"/>
      <c r="Y578" s="123"/>
      <c r="Z578" s="238"/>
    </row>
    <row r="579" spans="3:40" x14ac:dyDescent="0.3">
      <c r="C579" s="42"/>
      <c r="H579" s="184"/>
      <c r="I579" s="184"/>
      <c r="J579" s="238"/>
      <c r="K579" s="238"/>
      <c r="L579" s="123"/>
      <c r="M579" s="123"/>
      <c r="N579" s="160"/>
      <c r="O579" s="160"/>
      <c r="P579" s="123"/>
      <c r="Q579" s="123"/>
      <c r="R579" s="123"/>
      <c r="T579" s="42"/>
      <c r="V579" s="123"/>
      <c r="W579" s="123"/>
      <c r="X579" s="123"/>
      <c r="Y579" s="123"/>
      <c r="Z579" s="238"/>
      <c r="AA579" s="123"/>
      <c r="AB579" s="123"/>
      <c r="AC579" s="160"/>
      <c r="AD579" s="160"/>
      <c r="AE579" s="123"/>
      <c r="AF579" s="123"/>
      <c r="AH579" s="236"/>
      <c r="AI579" s="123"/>
      <c r="AJ579" s="123"/>
      <c r="AL579" s="123"/>
      <c r="AM579" s="160"/>
      <c r="AN579" s="160"/>
    </row>
    <row r="580" spans="3:40" x14ac:dyDescent="0.3">
      <c r="F580" s="184"/>
      <c r="H580" s="210"/>
      <c r="I580" s="210"/>
      <c r="J580" s="238"/>
      <c r="K580" s="238"/>
      <c r="L580" s="210"/>
      <c r="M580" s="210"/>
      <c r="N580" s="210"/>
      <c r="O580" s="210"/>
      <c r="P580" s="210"/>
      <c r="Q580" s="210"/>
      <c r="R580" s="210"/>
      <c r="V580" s="210"/>
      <c r="Y580" s="210"/>
      <c r="Z580" s="213"/>
      <c r="AA580" s="210"/>
      <c r="AB580" s="210"/>
      <c r="AC580" s="210"/>
      <c r="AD580" s="210"/>
      <c r="AE580" s="210"/>
      <c r="AF580" s="210"/>
      <c r="AI580" s="210"/>
      <c r="AJ580" s="210"/>
      <c r="AK580" s="214"/>
      <c r="AL580" s="210"/>
    </row>
    <row r="581" spans="3:40" x14ac:dyDescent="0.3">
      <c r="C581" s="42"/>
      <c r="F581" s="210"/>
      <c r="H581" s="123"/>
      <c r="I581" s="123"/>
      <c r="L581" s="123"/>
      <c r="M581" s="123"/>
      <c r="N581" s="160"/>
      <c r="O581" s="160"/>
      <c r="P581" s="184"/>
      <c r="Q581" s="184"/>
      <c r="R581" s="123"/>
      <c r="T581" s="42"/>
      <c r="V581" s="123"/>
      <c r="W581" s="123"/>
      <c r="X581" s="123"/>
      <c r="Y581" s="123"/>
      <c r="Z581" s="237"/>
      <c r="AA581" s="123"/>
      <c r="AB581" s="123"/>
      <c r="AC581" s="160"/>
      <c r="AD581" s="160"/>
      <c r="AE581" s="123"/>
      <c r="AF581" s="123"/>
      <c r="AH581" s="236"/>
      <c r="AI581" s="184"/>
      <c r="AJ581" s="184"/>
      <c r="AL581" s="123"/>
      <c r="AM581" s="160"/>
      <c r="AN581" s="160"/>
    </row>
    <row r="582" spans="3:40" x14ac:dyDescent="0.3">
      <c r="F582" s="123"/>
      <c r="H582" s="210"/>
      <c r="I582" s="210"/>
      <c r="J582" s="213"/>
      <c r="K582" s="213"/>
      <c r="L582" s="210"/>
      <c r="M582" s="210"/>
      <c r="N582" s="210"/>
      <c r="O582" s="210"/>
      <c r="P582" s="210"/>
      <c r="Q582" s="210"/>
      <c r="R582" s="210"/>
      <c r="V582" s="210"/>
      <c r="Y582" s="210"/>
      <c r="Z582" s="213"/>
      <c r="AA582" s="210"/>
      <c r="AB582" s="210"/>
      <c r="AC582" s="210"/>
      <c r="AD582" s="210"/>
      <c r="AE582" s="210"/>
      <c r="AF582" s="210"/>
      <c r="AI582" s="210"/>
      <c r="AJ582" s="210"/>
      <c r="AK582" s="214"/>
      <c r="AL582" s="210"/>
    </row>
    <row r="583" spans="3:40" x14ac:dyDescent="0.3">
      <c r="C583" s="42"/>
      <c r="D583" s="42"/>
      <c r="E583" s="42"/>
      <c r="F583" s="210"/>
      <c r="T583" s="42"/>
      <c r="U583" s="42"/>
      <c r="V583" s="123"/>
      <c r="W583" s="123"/>
      <c r="X583" s="123"/>
      <c r="Y583" s="123"/>
      <c r="Z583" s="237"/>
    </row>
    <row r="584" spans="3:40" x14ac:dyDescent="0.3">
      <c r="C584" s="42"/>
      <c r="T584" s="42"/>
      <c r="V584" s="123"/>
      <c r="W584" s="123"/>
      <c r="X584" s="123"/>
      <c r="Y584" s="123"/>
      <c r="Z584" s="237"/>
    </row>
    <row r="585" spans="3:40" x14ac:dyDescent="0.3">
      <c r="C585" s="42"/>
      <c r="H585" s="184"/>
      <c r="I585" s="184"/>
      <c r="J585" s="237"/>
      <c r="K585" s="237"/>
      <c r="L585" s="123"/>
      <c r="M585" s="123"/>
      <c r="N585" s="160"/>
      <c r="O585" s="160"/>
      <c r="P585" s="123"/>
      <c r="Q585" s="123"/>
      <c r="R585" s="123"/>
      <c r="T585" s="42"/>
      <c r="V585" s="123"/>
      <c r="W585" s="123"/>
      <c r="X585" s="123"/>
      <c r="Y585" s="123"/>
      <c r="Z585" s="237"/>
      <c r="AA585" s="123"/>
      <c r="AB585" s="123"/>
      <c r="AC585" s="160"/>
      <c r="AD585" s="160"/>
      <c r="AE585" s="123"/>
      <c r="AF585" s="123"/>
      <c r="AH585" s="236"/>
      <c r="AI585" s="123"/>
      <c r="AJ585" s="123"/>
      <c r="AL585" s="123"/>
      <c r="AM585" s="160"/>
      <c r="AN585" s="160"/>
    </row>
    <row r="586" spans="3:40" x14ac:dyDescent="0.3">
      <c r="C586" s="42"/>
      <c r="F586" s="184"/>
      <c r="T586" s="42"/>
      <c r="V586" s="123"/>
      <c r="W586" s="123"/>
      <c r="X586" s="123"/>
      <c r="Y586" s="123"/>
      <c r="Z586" s="237"/>
    </row>
    <row r="587" spans="3:40" x14ac:dyDescent="0.3">
      <c r="C587" s="42"/>
      <c r="H587" s="184"/>
      <c r="I587" s="184"/>
      <c r="J587" s="237"/>
      <c r="K587" s="237"/>
      <c r="L587" s="123"/>
      <c r="M587" s="123"/>
      <c r="N587" s="160"/>
      <c r="O587" s="160"/>
      <c r="P587" s="123"/>
      <c r="Q587" s="123"/>
      <c r="R587" s="123"/>
      <c r="T587" s="42"/>
      <c r="V587" s="123"/>
      <c r="W587" s="123"/>
      <c r="X587" s="123"/>
      <c r="Y587" s="123"/>
      <c r="Z587" s="237"/>
      <c r="AA587" s="123"/>
      <c r="AB587" s="123"/>
      <c r="AC587" s="160"/>
      <c r="AD587" s="160"/>
      <c r="AE587" s="123"/>
      <c r="AF587" s="123"/>
      <c r="AH587" s="236"/>
      <c r="AI587" s="123"/>
      <c r="AJ587" s="123"/>
      <c r="AL587" s="123"/>
      <c r="AM587" s="160"/>
      <c r="AN587" s="160"/>
    </row>
    <row r="588" spans="3:40" x14ac:dyDescent="0.3">
      <c r="C588" s="42"/>
      <c r="F588" s="184"/>
      <c r="T588" s="42"/>
      <c r="V588" s="123"/>
      <c r="W588" s="123"/>
      <c r="X588" s="123"/>
      <c r="Y588" s="123"/>
      <c r="Z588" s="237"/>
    </row>
    <row r="589" spans="3:40" x14ac:dyDescent="0.3">
      <c r="C589" s="42"/>
      <c r="H589" s="184"/>
      <c r="I589" s="184"/>
      <c r="J589" s="237"/>
      <c r="K589" s="237"/>
      <c r="L589" s="123"/>
      <c r="M589" s="123"/>
      <c r="N589" s="160"/>
      <c r="O589" s="160"/>
      <c r="P589" s="123"/>
      <c r="Q589" s="123"/>
      <c r="R589" s="123"/>
      <c r="T589" s="42"/>
      <c r="V589" s="123"/>
      <c r="W589" s="123"/>
      <c r="X589" s="123"/>
      <c r="Y589" s="123"/>
      <c r="Z589" s="237"/>
      <c r="AA589" s="123"/>
      <c r="AB589" s="123"/>
      <c r="AC589" s="160"/>
      <c r="AD589" s="160"/>
      <c r="AE589" s="123"/>
      <c r="AF589" s="123"/>
      <c r="AH589" s="236"/>
      <c r="AI589" s="123"/>
      <c r="AJ589" s="123"/>
      <c r="AL589" s="123"/>
      <c r="AM589" s="160"/>
      <c r="AN589" s="160"/>
    </row>
    <row r="590" spans="3:40" x14ac:dyDescent="0.3">
      <c r="C590" s="42"/>
      <c r="F590" s="184"/>
      <c r="T590" s="42"/>
      <c r="V590" s="123"/>
      <c r="W590" s="123"/>
      <c r="X590" s="123"/>
      <c r="Y590" s="123"/>
      <c r="Z590" s="237"/>
    </row>
    <row r="591" spans="3:40" x14ac:dyDescent="0.3">
      <c r="C591" s="42"/>
      <c r="H591" s="184"/>
      <c r="I591" s="184"/>
      <c r="J591" s="237"/>
      <c r="K591" s="237"/>
      <c r="L591" s="123"/>
      <c r="M591" s="123"/>
      <c r="N591" s="160"/>
      <c r="O591" s="160"/>
      <c r="P591" s="123"/>
      <c r="Q591" s="123"/>
      <c r="R591" s="123"/>
      <c r="T591" s="42"/>
      <c r="V591" s="123"/>
      <c r="W591" s="123"/>
      <c r="X591" s="123"/>
      <c r="Y591" s="123"/>
      <c r="Z591" s="237"/>
      <c r="AA591" s="123"/>
      <c r="AB591" s="123"/>
      <c r="AC591" s="160"/>
      <c r="AD591" s="160"/>
      <c r="AE591" s="123"/>
      <c r="AF591" s="123"/>
      <c r="AH591" s="236"/>
      <c r="AI591" s="123"/>
      <c r="AJ591" s="123"/>
      <c r="AL591" s="123"/>
      <c r="AM591" s="160"/>
      <c r="AN591" s="160"/>
    </row>
    <row r="592" spans="3:40" x14ac:dyDescent="0.3">
      <c r="F592" s="184"/>
      <c r="H592" s="210"/>
      <c r="I592" s="210"/>
      <c r="J592" s="213"/>
      <c r="K592" s="213"/>
      <c r="L592" s="210"/>
      <c r="M592" s="210"/>
      <c r="N592" s="210"/>
      <c r="O592" s="210"/>
      <c r="P592" s="210"/>
      <c r="Q592" s="210"/>
      <c r="R592" s="210"/>
      <c r="V592" s="210"/>
      <c r="Y592" s="210"/>
      <c r="Z592" s="213"/>
      <c r="AA592" s="210"/>
      <c r="AB592" s="210"/>
      <c r="AC592" s="210"/>
      <c r="AD592" s="210"/>
      <c r="AE592" s="210"/>
      <c r="AF592" s="210"/>
      <c r="AI592" s="210"/>
      <c r="AJ592" s="210"/>
      <c r="AK592" s="214"/>
      <c r="AL592" s="210"/>
    </row>
    <row r="593" spans="1:40" x14ac:dyDescent="0.3">
      <c r="C593" s="42"/>
      <c r="F593" s="210"/>
      <c r="H593" s="123"/>
      <c r="I593" s="123"/>
      <c r="L593" s="123"/>
      <c r="M593" s="123"/>
      <c r="N593" s="160"/>
      <c r="O593" s="160"/>
      <c r="P593" s="184"/>
      <c r="Q593" s="184"/>
      <c r="R593" s="123"/>
      <c r="T593" s="42"/>
      <c r="V593" s="123"/>
      <c r="W593" s="123"/>
      <c r="X593" s="123"/>
      <c r="Y593" s="123"/>
      <c r="Z593" s="237"/>
      <c r="AA593" s="123"/>
      <c r="AB593" s="123"/>
      <c r="AC593" s="160"/>
      <c r="AD593" s="160"/>
      <c r="AE593" s="123"/>
      <c r="AF593" s="123"/>
      <c r="AH593" s="236"/>
      <c r="AI593" s="184"/>
      <c r="AJ593" s="184"/>
      <c r="AL593" s="123"/>
      <c r="AM593" s="160"/>
      <c r="AN593" s="160"/>
    </row>
    <row r="594" spans="1:40" x14ac:dyDescent="0.3">
      <c r="F594" s="123"/>
      <c r="H594" s="210"/>
      <c r="I594" s="210"/>
      <c r="J594" s="213"/>
      <c r="K594" s="213"/>
      <c r="L594" s="210"/>
      <c r="M594" s="210"/>
      <c r="N594" s="210"/>
      <c r="O594" s="210"/>
      <c r="P594" s="210"/>
      <c r="Q594" s="210"/>
      <c r="R594" s="210"/>
      <c r="V594" s="210"/>
      <c r="Y594" s="210"/>
      <c r="Z594" s="213"/>
      <c r="AA594" s="210"/>
      <c r="AB594" s="210"/>
      <c r="AC594" s="210"/>
      <c r="AD594" s="210"/>
      <c r="AE594" s="210"/>
      <c r="AF594" s="210"/>
      <c r="AI594" s="210"/>
      <c r="AJ594" s="210"/>
      <c r="AK594" s="214"/>
      <c r="AL594" s="210"/>
    </row>
    <row r="595" spans="1:40" x14ac:dyDescent="0.3">
      <c r="C595" s="42"/>
      <c r="F595" s="210"/>
      <c r="H595" s="123"/>
      <c r="I595" s="123"/>
      <c r="L595" s="123"/>
      <c r="M595" s="123"/>
      <c r="N595" s="160"/>
      <c r="O595" s="160"/>
      <c r="P595" s="123"/>
      <c r="Q595" s="123"/>
      <c r="R595" s="123"/>
      <c r="T595" s="42"/>
      <c r="V595" s="123"/>
      <c r="W595" s="123"/>
      <c r="X595" s="123"/>
      <c r="Y595" s="123"/>
      <c r="AA595" s="123"/>
      <c r="AB595" s="123"/>
      <c r="AC595" s="160"/>
      <c r="AD595" s="160"/>
      <c r="AE595" s="123"/>
      <c r="AF595" s="123"/>
      <c r="AH595" s="236"/>
      <c r="AI595" s="123"/>
      <c r="AJ595" s="123"/>
      <c r="AL595" s="123"/>
      <c r="AM595" s="236"/>
      <c r="AN595" s="236"/>
    </row>
    <row r="596" spans="1:40" x14ac:dyDescent="0.3">
      <c r="F596" s="123"/>
      <c r="H596" s="210"/>
      <c r="I596" s="210"/>
      <c r="J596" s="213"/>
      <c r="K596" s="213"/>
      <c r="L596" s="210"/>
      <c r="M596" s="210"/>
      <c r="N596" s="210"/>
      <c r="O596" s="210"/>
      <c r="P596" s="210"/>
      <c r="Q596" s="210"/>
      <c r="R596" s="210"/>
      <c r="V596" s="210"/>
      <c r="Y596" s="210"/>
      <c r="Z596" s="213"/>
      <c r="AA596" s="210"/>
      <c r="AB596" s="210"/>
      <c r="AC596" s="210"/>
      <c r="AD596" s="210"/>
      <c r="AE596" s="210"/>
      <c r="AF596" s="210"/>
      <c r="AI596" s="210"/>
      <c r="AJ596" s="210"/>
      <c r="AK596" s="214"/>
      <c r="AL596" s="210"/>
    </row>
    <row r="598" spans="1:40" x14ac:dyDescent="0.3">
      <c r="F598" s="210"/>
    </row>
    <row r="599" spans="1:40" x14ac:dyDescent="0.3">
      <c r="A599" s="42"/>
    </row>
    <row r="601" spans="1:40" x14ac:dyDescent="0.3">
      <c r="H601" s="42"/>
      <c r="I601" s="42"/>
      <c r="Y601" s="42"/>
    </row>
    <row r="603" spans="1:40" x14ac:dyDescent="0.3">
      <c r="L603" s="42"/>
      <c r="M603" s="42"/>
      <c r="AA603" s="42"/>
      <c r="AB603" s="42"/>
    </row>
    <row r="604" spans="1:40" x14ac:dyDescent="0.3">
      <c r="R604" s="42"/>
      <c r="AK604" s="206"/>
      <c r="AL604" s="42"/>
    </row>
    <row r="605" spans="1:40" x14ac:dyDescent="0.3">
      <c r="R605" s="42"/>
      <c r="AK605" s="206"/>
      <c r="AL605" s="42"/>
    </row>
    <row r="606" spans="1:40" x14ac:dyDescent="0.3">
      <c r="A606" s="42"/>
      <c r="R606" s="42"/>
      <c r="AK606" s="206"/>
      <c r="AL606" s="42"/>
    </row>
    <row r="607" spans="1:40" x14ac:dyDescent="0.3">
      <c r="L607" s="42"/>
      <c r="M607" s="42"/>
      <c r="AA607" s="42"/>
      <c r="AB607" s="42"/>
    </row>
    <row r="608" spans="1:40" x14ac:dyDescent="0.3">
      <c r="A608" s="135"/>
      <c r="B608" s="135"/>
      <c r="C608" s="135"/>
      <c r="D608" s="135"/>
      <c r="E608" s="135"/>
      <c r="G608" s="135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T608" s="135"/>
      <c r="U608" s="135"/>
      <c r="V608" s="135"/>
      <c r="W608" s="135"/>
      <c r="X608" s="135"/>
      <c r="Y608" s="135"/>
      <c r="Z608" s="135"/>
      <c r="AA608" s="135"/>
      <c r="AB608" s="135"/>
      <c r="AC608" s="135"/>
      <c r="AD608" s="135"/>
      <c r="AE608" s="135"/>
      <c r="AF608" s="135"/>
      <c r="AG608" s="207"/>
      <c r="AH608" s="135"/>
      <c r="AI608" s="135"/>
      <c r="AJ608" s="135"/>
      <c r="AK608" s="207"/>
      <c r="AL608" s="135"/>
      <c r="AM608" s="135"/>
      <c r="AN608" s="135"/>
    </row>
    <row r="609" spans="1:40" x14ac:dyDescent="0.3">
      <c r="F609" s="135"/>
      <c r="L609" s="44"/>
      <c r="M609" s="44"/>
      <c r="N609" s="44"/>
      <c r="O609" s="44"/>
      <c r="R609" s="44"/>
      <c r="AA609" s="44"/>
      <c r="AB609" s="44"/>
      <c r="AC609" s="44"/>
      <c r="AD609" s="44"/>
      <c r="AE609" s="44"/>
      <c r="AF609" s="44"/>
      <c r="AG609" s="168"/>
      <c r="AH609" s="44"/>
      <c r="AK609" s="168"/>
      <c r="AL609" s="44"/>
      <c r="AM609" s="44"/>
      <c r="AN609" s="44"/>
    </row>
    <row r="610" spans="1:40" x14ac:dyDescent="0.3">
      <c r="L610" s="44"/>
      <c r="M610" s="44"/>
      <c r="N610" s="44"/>
      <c r="O610" s="44"/>
      <c r="R610" s="44"/>
      <c r="Z610" s="44"/>
      <c r="AA610" s="44"/>
      <c r="AB610" s="44"/>
      <c r="AC610" s="44"/>
      <c r="AD610" s="44"/>
      <c r="AE610" s="44"/>
      <c r="AF610" s="44"/>
      <c r="AG610" s="168"/>
      <c r="AH610" s="44"/>
      <c r="AK610" s="168"/>
      <c r="AL610" s="44"/>
      <c r="AM610" s="44"/>
      <c r="AN610" s="44"/>
    </row>
    <row r="611" spans="1:40" x14ac:dyDescent="0.3">
      <c r="A611" s="44"/>
      <c r="C611" s="44"/>
      <c r="D611" s="44"/>
      <c r="E611" s="44"/>
      <c r="J611" s="44"/>
      <c r="K611" s="44"/>
      <c r="L611" s="44"/>
      <c r="M611" s="44"/>
      <c r="N611" s="44"/>
      <c r="O611" s="44"/>
      <c r="P611" s="44"/>
      <c r="Q611" s="44"/>
      <c r="R611" s="44"/>
      <c r="T611" s="44"/>
      <c r="U611" s="44"/>
      <c r="V611" s="44"/>
      <c r="Z611" s="44"/>
      <c r="AA611" s="44"/>
      <c r="AB611" s="44"/>
      <c r="AC611" s="44"/>
      <c r="AD611" s="44"/>
      <c r="AE611" s="44"/>
      <c r="AF611" s="44"/>
      <c r="AG611" s="168"/>
      <c r="AH611" s="44"/>
      <c r="AI611" s="44"/>
      <c r="AJ611" s="44"/>
      <c r="AK611" s="168"/>
      <c r="AL611" s="44"/>
      <c r="AM611" s="44"/>
      <c r="AN611" s="44"/>
    </row>
    <row r="612" spans="1:40" x14ac:dyDescent="0.3">
      <c r="A612" s="44"/>
      <c r="C612" s="44"/>
      <c r="D612" s="44"/>
      <c r="E612" s="44"/>
      <c r="F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T612" s="44"/>
      <c r="U612" s="44"/>
      <c r="V612" s="44"/>
      <c r="Y612" s="44"/>
      <c r="Z612" s="44"/>
      <c r="AA612" s="44"/>
      <c r="AB612" s="44"/>
      <c r="AC612" s="44"/>
      <c r="AD612" s="44"/>
      <c r="AE612" s="44"/>
      <c r="AF612" s="44"/>
      <c r="AG612" s="168"/>
      <c r="AH612" s="44"/>
      <c r="AI612" s="44"/>
      <c r="AJ612" s="44"/>
      <c r="AK612" s="168"/>
      <c r="AL612" s="44"/>
      <c r="AM612" s="44"/>
      <c r="AN612" s="44"/>
    </row>
    <row r="613" spans="1:40" x14ac:dyDescent="0.3">
      <c r="C613" s="44"/>
      <c r="D613" s="44"/>
      <c r="E613" s="44"/>
      <c r="F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T613" s="44"/>
      <c r="U613" s="44"/>
      <c r="V613" s="44"/>
      <c r="Y613" s="44"/>
      <c r="Z613" s="44"/>
      <c r="AA613" s="44"/>
      <c r="AB613" s="44"/>
      <c r="AC613" s="44"/>
      <c r="AD613" s="44"/>
      <c r="AE613" s="44"/>
      <c r="AF613" s="44"/>
      <c r="AG613" s="168"/>
      <c r="AH613" s="44"/>
      <c r="AI613" s="44"/>
      <c r="AJ613" s="44"/>
      <c r="AK613" s="168"/>
      <c r="AL613" s="44"/>
      <c r="AM613" s="44"/>
      <c r="AN613" s="44"/>
    </row>
    <row r="614" spans="1:40" x14ac:dyDescent="0.3">
      <c r="A614" s="135"/>
      <c r="B614" s="135"/>
      <c r="C614" s="135"/>
      <c r="D614" s="135"/>
      <c r="E614" s="135"/>
      <c r="F614" s="44"/>
      <c r="G614" s="135"/>
      <c r="H614" s="135"/>
      <c r="I614" s="135"/>
      <c r="J614" s="135"/>
      <c r="K614" s="135"/>
      <c r="L614" s="135"/>
      <c r="M614" s="135"/>
      <c r="N614" s="135"/>
      <c r="O614" s="135"/>
      <c r="P614" s="135"/>
      <c r="Q614" s="135"/>
      <c r="R614" s="135"/>
      <c r="T614" s="135"/>
      <c r="U614" s="135"/>
      <c r="V614" s="135"/>
      <c r="W614" s="135"/>
      <c r="X614" s="135"/>
      <c r="Y614" s="135"/>
      <c r="Z614" s="135"/>
      <c r="AA614" s="135"/>
      <c r="AB614" s="135"/>
      <c r="AC614" s="135"/>
      <c r="AD614" s="135"/>
      <c r="AE614" s="135"/>
      <c r="AF614" s="135"/>
      <c r="AG614" s="207"/>
      <c r="AH614" s="135"/>
      <c r="AI614" s="135"/>
      <c r="AJ614" s="135"/>
      <c r="AK614" s="207"/>
      <c r="AL614" s="135"/>
      <c r="AM614" s="135"/>
      <c r="AN614" s="135"/>
    </row>
    <row r="615" spans="1:40" x14ac:dyDescent="0.3">
      <c r="F615" s="135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Y615" s="44"/>
      <c r="Z615" s="44"/>
      <c r="AA615" s="44"/>
      <c r="AB615" s="44"/>
      <c r="AC615" s="44"/>
      <c r="AD615" s="44"/>
      <c r="AE615" s="44"/>
      <c r="AF615" s="44"/>
      <c r="AG615" s="168"/>
      <c r="AH615" s="44"/>
      <c r="AI615" s="44"/>
      <c r="AJ615" s="44"/>
      <c r="AK615" s="168"/>
      <c r="AL615" s="44"/>
      <c r="AM615" s="44"/>
      <c r="AN615" s="44"/>
    </row>
    <row r="616" spans="1:40" x14ac:dyDescent="0.3">
      <c r="C616" s="42"/>
      <c r="D616" s="42"/>
      <c r="E616" s="42"/>
      <c r="H616" s="123"/>
      <c r="I616" s="123"/>
      <c r="J616" s="219"/>
      <c r="K616" s="219"/>
      <c r="L616" s="123"/>
      <c r="M616" s="123"/>
      <c r="N616" s="219"/>
      <c r="O616" s="219"/>
      <c r="P616" s="123"/>
      <c r="Q616" s="123"/>
      <c r="R616" s="123"/>
      <c r="T616" s="42"/>
      <c r="U616" s="42"/>
      <c r="V616" s="123"/>
      <c r="Y616" s="123"/>
      <c r="Z616" s="219"/>
      <c r="AA616" s="123"/>
      <c r="AB616" s="123"/>
      <c r="AC616" s="219"/>
      <c r="AD616" s="219"/>
      <c r="AE616" s="123"/>
      <c r="AF616" s="123"/>
      <c r="AH616" s="236"/>
      <c r="AI616" s="123"/>
      <c r="AJ616" s="123"/>
      <c r="AL616" s="123"/>
      <c r="AM616" s="160"/>
      <c r="AN616" s="160"/>
    </row>
    <row r="617" spans="1:40" x14ac:dyDescent="0.3">
      <c r="F617" s="123"/>
      <c r="H617" s="210"/>
      <c r="I617" s="210"/>
      <c r="J617" s="213"/>
      <c r="K617" s="213"/>
      <c r="L617" s="210"/>
      <c r="M617" s="210"/>
      <c r="N617" s="210"/>
      <c r="O617" s="210"/>
      <c r="P617" s="210"/>
      <c r="Q617" s="210"/>
      <c r="R617" s="210"/>
      <c r="V617" s="210"/>
      <c r="Y617" s="210"/>
      <c r="Z617" s="213"/>
      <c r="AA617" s="210"/>
      <c r="AB617" s="210"/>
      <c r="AC617" s="210"/>
      <c r="AD617" s="210"/>
      <c r="AE617" s="210"/>
      <c r="AF617" s="210"/>
      <c r="AI617" s="210"/>
      <c r="AJ617" s="210"/>
      <c r="AK617" s="214"/>
      <c r="AL617" s="210"/>
      <c r="AM617" s="160"/>
      <c r="AN617" s="160"/>
    </row>
    <row r="618" spans="1:40" x14ac:dyDescent="0.3">
      <c r="C618" s="42"/>
      <c r="F618" s="210"/>
      <c r="H618" s="123"/>
      <c r="I618" s="123"/>
      <c r="J618" s="219"/>
      <c r="K618" s="219"/>
      <c r="L618" s="123"/>
      <c r="M618" s="123"/>
      <c r="N618" s="219"/>
      <c r="O618" s="219"/>
      <c r="P618" s="123"/>
      <c r="Q618" s="123"/>
      <c r="R618" s="123"/>
      <c r="T618" s="42"/>
      <c r="V618" s="123"/>
      <c r="Y618" s="123"/>
      <c r="Z618" s="219"/>
      <c r="AA618" s="123"/>
      <c r="AB618" s="123"/>
      <c r="AC618" s="219"/>
      <c r="AD618" s="219"/>
      <c r="AE618" s="123"/>
      <c r="AF618" s="123"/>
      <c r="AH618" s="236"/>
      <c r="AI618" s="123"/>
      <c r="AJ618" s="123"/>
      <c r="AL618" s="123"/>
      <c r="AM618" s="160"/>
      <c r="AN618" s="160"/>
    </row>
    <row r="619" spans="1:40" x14ac:dyDescent="0.3">
      <c r="F619" s="123"/>
      <c r="H619" s="123"/>
      <c r="I619" s="123"/>
      <c r="J619" s="219"/>
      <c r="K619" s="219"/>
      <c r="L619" s="123"/>
      <c r="M619" s="123"/>
      <c r="N619" s="219"/>
      <c r="O619" s="219"/>
      <c r="P619" s="123"/>
      <c r="Q619" s="123"/>
      <c r="R619" s="123"/>
      <c r="V619" s="123"/>
      <c r="Y619" s="123"/>
      <c r="Z619" s="219"/>
      <c r="AA619" s="123"/>
      <c r="AB619" s="123"/>
      <c r="AC619" s="219"/>
      <c r="AD619" s="219"/>
      <c r="AH619" s="236"/>
      <c r="AI619" s="123"/>
      <c r="AJ619" s="123"/>
      <c r="AL619" s="123"/>
      <c r="AM619" s="160"/>
      <c r="AN619" s="160"/>
    </row>
    <row r="620" spans="1:40" x14ac:dyDescent="0.3">
      <c r="C620" s="42"/>
      <c r="D620" s="42"/>
      <c r="E620" s="42"/>
      <c r="F620" s="123"/>
      <c r="H620" s="123"/>
      <c r="I620" s="123"/>
      <c r="J620" s="219"/>
      <c r="K620" s="219"/>
      <c r="L620" s="123"/>
      <c r="M620" s="123"/>
      <c r="N620" s="219"/>
      <c r="O620" s="219"/>
      <c r="P620" s="123"/>
      <c r="Q620" s="123"/>
      <c r="R620" s="123"/>
      <c r="T620" s="42"/>
      <c r="U620" s="42"/>
      <c r="V620" s="123"/>
      <c r="Y620" s="123"/>
      <c r="Z620" s="219"/>
      <c r="AA620" s="123"/>
      <c r="AB620" s="123"/>
      <c r="AC620" s="219"/>
      <c r="AD620" s="219"/>
      <c r="AE620" s="123"/>
      <c r="AF620" s="123"/>
      <c r="AH620" s="236"/>
      <c r="AI620" s="123"/>
      <c r="AJ620" s="123"/>
      <c r="AL620" s="123"/>
      <c r="AM620" s="160"/>
      <c r="AN620" s="160"/>
    </row>
    <row r="621" spans="1:40" x14ac:dyDescent="0.3">
      <c r="C621" s="42"/>
      <c r="D621" s="42"/>
      <c r="E621" s="42"/>
      <c r="F621" s="123"/>
      <c r="H621" s="123"/>
      <c r="I621" s="123"/>
      <c r="J621" s="219"/>
      <c r="K621" s="219"/>
      <c r="L621" s="123"/>
      <c r="M621" s="123"/>
      <c r="N621" s="219"/>
      <c r="O621" s="219"/>
      <c r="P621" s="123"/>
      <c r="Q621" s="123"/>
      <c r="R621" s="123"/>
      <c r="T621" s="42"/>
      <c r="U621" s="42"/>
      <c r="V621" s="123"/>
      <c r="Y621" s="123"/>
      <c r="Z621" s="219"/>
      <c r="AA621" s="123"/>
      <c r="AB621" s="123"/>
      <c r="AC621" s="219"/>
      <c r="AD621" s="219"/>
      <c r="AE621" s="123"/>
      <c r="AF621" s="123"/>
      <c r="AH621" s="236"/>
      <c r="AI621" s="123"/>
      <c r="AJ621" s="123"/>
      <c r="AL621" s="123"/>
      <c r="AM621" s="160"/>
      <c r="AN621" s="160"/>
    </row>
    <row r="622" spans="1:40" x14ac:dyDescent="0.3">
      <c r="C622" s="42"/>
      <c r="D622" s="42"/>
      <c r="E622" s="42"/>
      <c r="F622" s="123"/>
      <c r="H622" s="123"/>
      <c r="I622" s="123"/>
      <c r="J622" s="219"/>
      <c r="K622" s="219"/>
      <c r="L622" s="123"/>
      <c r="M622" s="123"/>
      <c r="N622" s="219"/>
      <c r="O622" s="219"/>
      <c r="P622" s="123"/>
      <c r="Q622" s="123"/>
      <c r="R622" s="123"/>
      <c r="T622" s="42"/>
      <c r="U622" s="42"/>
      <c r="V622" s="123"/>
      <c r="Y622" s="123"/>
      <c r="Z622" s="219"/>
      <c r="AA622" s="123"/>
      <c r="AB622" s="123"/>
      <c r="AC622" s="219"/>
      <c r="AD622" s="219"/>
      <c r="AE622" s="123"/>
      <c r="AF622" s="123"/>
      <c r="AH622" s="236"/>
      <c r="AI622" s="123"/>
      <c r="AJ622" s="123"/>
      <c r="AL622" s="123"/>
      <c r="AM622" s="160"/>
      <c r="AN622" s="160"/>
    </row>
    <row r="623" spans="1:40" x14ac:dyDescent="0.3">
      <c r="C623" s="42"/>
      <c r="D623" s="42"/>
      <c r="E623" s="42"/>
      <c r="F623" s="123"/>
      <c r="H623" s="123"/>
      <c r="I623" s="123"/>
      <c r="J623" s="219"/>
      <c r="K623" s="219"/>
      <c r="L623" s="123"/>
      <c r="M623" s="123"/>
      <c r="N623" s="219"/>
      <c r="O623" s="219"/>
      <c r="P623" s="123"/>
      <c r="Q623" s="123"/>
      <c r="R623" s="123"/>
      <c r="T623" s="42"/>
      <c r="U623" s="42"/>
      <c r="V623" s="123"/>
      <c r="Y623" s="123"/>
      <c r="Z623" s="219"/>
      <c r="AA623" s="123"/>
      <c r="AB623" s="123"/>
      <c r="AC623" s="219"/>
      <c r="AD623" s="219"/>
      <c r="AE623" s="123"/>
      <c r="AF623" s="123"/>
      <c r="AH623" s="236"/>
      <c r="AI623" s="123"/>
      <c r="AJ623" s="123"/>
      <c r="AL623" s="123"/>
      <c r="AM623" s="160"/>
      <c r="AN623" s="160"/>
    </row>
    <row r="624" spans="1:40" x14ac:dyDescent="0.3">
      <c r="C624" s="42"/>
      <c r="D624" s="42"/>
      <c r="E624" s="42"/>
      <c r="F624" s="123"/>
      <c r="H624" s="123"/>
      <c r="I624" s="123"/>
      <c r="J624" s="219"/>
      <c r="K624" s="219"/>
      <c r="L624" s="123"/>
      <c r="M624" s="123"/>
      <c r="N624" s="219"/>
      <c r="O624" s="219"/>
      <c r="P624" s="123"/>
      <c r="Q624" s="123"/>
      <c r="R624" s="123"/>
      <c r="T624" s="42"/>
      <c r="U624" s="42"/>
      <c r="V624" s="123"/>
      <c r="Y624" s="123"/>
      <c r="Z624" s="219"/>
      <c r="AA624" s="123"/>
      <c r="AB624" s="123"/>
      <c r="AC624" s="219"/>
      <c r="AD624" s="219"/>
      <c r="AE624" s="123"/>
      <c r="AF624" s="123"/>
      <c r="AH624" s="236"/>
      <c r="AI624" s="123"/>
      <c r="AJ624" s="123"/>
      <c r="AL624" s="123"/>
      <c r="AM624" s="160"/>
      <c r="AN624" s="160"/>
    </row>
    <row r="625" spans="3:40" x14ac:dyDescent="0.3">
      <c r="C625" s="42"/>
      <c r="D625" s="42"/>
      <c r="E625" s="42"/>
      <c r="F625" s="123"/>
      <c r="H625" s="123"/>
      <c r="I625" s="123"/>
      <c r="J625" s="219"/>
      <c r="K625" s="219"/>
      <c r="L625" s="123"/>
      <c r="M625" s="123"/>
      <c r="N625" s="219"/>
      <c r="O625" s="219"/>
      <c r="P625" s="123"/>
      <c r="Q625" s="123"/>
      <c r="R625" s="123"/>
      <c r="T625" s="42"/>
      <c r="U625" s="42"/>
      <c r="V625" s="123"/>
      <c r="Y625" s="123"/>
      <c r="Z625" s="219"/>
      <c r="AA625" s="123"/>
      <c r="AB625" s="123"/>
      <c r="AC625" s="219"/>
      <c r="AD625" s="219"/>
      <c r="AE625" s="123"/>
      <c r="AF625" s="123"/>
      <c r="AH625" s="236"/>
      <c r="AI625" s="123"/>
      <c r="AJ625" s="123"/>
      <c r="AL625" s="123"/>
      <c r="AM625" s="160"/>
      <c r="AN625" s="160"/>
    </row>
    <row r="626" spans="3:40" x14ac:dyDescent="0.3">
      <c r="F626" s="123"/>
      <c r="H626" s="210"/>
      <c r="I626" s="210"/>
      <c r="J626" s="213"/>
      <c r="K626" s="213"/>
      <c r="L626" s="210"/>
      <c r="M626" s="210"/>
      <c r="N626" s="210"/>
      <c r="O626" s="210"/>
      <c r="P626" s="210"/>
      <c r="Q626" s="210"/>
      <c r="R626" s="210"/>
      <c r="V626" s="210"/>
      <c r="Y626" s="210"/>
      <c r="Z626" s="213"/>
      <c r="AA626" s="210"/>
      <c r="AB626" s="210"/>
      <c r="AC626" s="210"/>
      <c r="AD626" s="210"/>
      <c r="AE626" s="210"/>
      <c r="AF626" s="210"/>
      <c r="AI626" s="210"/>
      <c r="AJ626" s="210"/>
      <c r="AK626" s="214"/>
      <c r="AL626" s="210"/>
      <c r="AM626" s="160"/>
      <c r="AN626" s="160"/>
    </row>
    <row r="627" spans="3:40" x14ac:dyDescent="0.3">
      <c r="C627" s="42"/>
      <c r="F627" s="210"/>
      <c r="H627" s="123"/>
      <c r="I627" s="123"/>
      <c r="J627" s="219"/>
      <c r="K627" s="219"/>
      <c r="L627" s="123"/>
      <c r="M627" s="123"/>
      <c r="N627" s="219"/>
      <c r="O627" s="219"/>
      <c r="P627" s="123"/>
      <c r="Q627" s="123"/>
      <c r="R627" s="123"/>
      <c r="T627" s="42"/>
      <c r="V627" s="123"/>
      <c r="Y627" s="123"/>
      <c r="Z627" s="219"/>
      <c r="AA627" s="123"/>
      <c r="AB627" s="123"/>
      <c r="AC627" s="219"/>
      <c r="AD627" s="219"/>
      <c r="AE627" s="123"/>
      <c r="AF627" s="123"/>
      <c r="AH627" s="236"/>
      <c r="AI627" s="123"/>
      <c r="AJ627" s="123"/>
      <c r="AL627" s="123"/>
      <c r="AM627" s="160"/>
      <c r="AN627" s="160"/>
    </row>
    <row r="628" spans="3:40" x14ac:dyDescent="0.3">
      <c r="F628" s="123"/>
      <c r="H628" s="123"/>
      <c r="I628" s="123"/>
      <c r="J628" s="219"/>
      <c r="K628" s="219"/>
      <c r="L628" s="123"/>
      <c r="M628" s="123"/>
      <c r="N628" s="219"/>
      <c r="O628" s="219"/>
      <c r="P628" s="123"/>
      <c r="Q628" s="123"/>
      <c r="R628" s="123"/>
      <c r="V628" s="123"/>
      <c r="Y628" s="123"/>
      <c r="Z628" s="219"/>
      <c r="AA628" s="123"/>
      <c r="AB628" s="123"/>
      <c r="AC628" s="219"/>
      <c r="AD628" s="219"/>
      <c r="AH628" s="236"/>
      <c r="AI628" s="123"/>
      <c r="AJ628" s="123"/>
      <c r="AL628" s="123"/>
      <c r="AM628" s="160"/>
      <c r="AN628" s="160"/>
    </row>
    <row r="629" spans="3:40" x14ac:dyDescent="0.3">
      <c r="C629" s="42"/>
      <c r="D629" s="42"/>
      <c r="E629" s="42"/>
      <c r="F629" s="123"/>
      <c r="H629" s="123"/>
      <c r="I629" s="123"/>
      <c r="J629" s="219"/>
      <c r="K629" s="219"/>
      <c r="L629" s="123"/>
      <c r="M629" s="123"/>
      <c r="N629" s="219"/>
      <c r="O629" s="219"/>
      <c r="P629" s="123"/>
      <c r="Q629" s="123"/>
      <c r="R629" s="123"/>
      <c r="T629" s="42"/>
      <c r="U629" s="42"/>
      <c r="V629" s="123"/>
      <c r="Y629" s="123"/>
      <c r="Z629" s="219"/>
      <c r="AA629" s="123"/>
      <c r="AB629" s="123"/>
      <c r="AC629" s="219"/>
      <c r="AD629" s="219"/>
      <c r="AE629" s="123"/>
      <c r="AF629" s="123"/>
      <c r="AH629" s="236"/>
      <c r="AI629" s="123"/>
      <c r="AJ629" s="123"/>
      <c r="AL629" s="123"/>
      <c r="AM629" s="160"/>
      <c r="AN629" s="160"/>
    </row>
    <row r="630" spans="3:40" x14ac:dyDescent="0.3">
      <c r="F630" s="123"/>
      <c r="H630" s="210"/>
      <c r="I630" s="210"/>
      <c r="J630" s="213"/>
      <c r="K630" s="213"/>
      <c r="L630" s="210"/>
      <c r="M630" s="210"/>
      <c r="N630" s="210"/>
      <c r="O630" s="210"/>
      <c r="P630" s="210"/>
      <c r="Q630" s="210"/>
      <c r="R630" s="210"/>
      <c r="V630" s="210"/>
      <c r="Y630" s="210"/>
      <c r="Z630" s="213"/>
      <c r="AA630" s="210"/>
      <c r="AB630" s="210"/>
      <c r="AC630" s="210"/>
      <c r="AD630" s="210"/>
      <c r="AE630" s="210"/>
      <c r="AF630" s="210"/>
      <c r="AI630" s="210"/>
      <c r="AJ630" s="210"/>
      <c r="AK630" s="214"/>
      <c r="AL630" s="210"/>
      <c r="AM630" s="160"/>
      <c r="AN630" s="160"/>
    </row>
    <row r="631" spans="3:40" x14ac:dyDescent="0.3">
      <c r="C631" s="42"/>
      <c r="F631" s="210"/>
      <c r="H631" s="123"/>
      <c r="I631" s="123"/>
      <c r="J631" s="219"/>
      <c r="K631" s="219"/>
      <c r="L631" s="123"/>
      <c r="M631" s="123"/>
      <c r="N631" s="219"/>
      <c r="O631" s="219"/>
      <c r="P631" s="123"/>
      <c r="Q631" s="123"/>
      <c r="R631" s="123"/>
      <c r="T631" s="42"/>
      <c r="V631" s="123"/>
      <c r="Y631" s="123"/>
      <c r="Z631" s="219"/>
      <c r="AA631" s="123"/>
      <c r="AB631" s="123"/>
      <c r="AC631" s="219"/>
      <c r="AD631" s="219"/>
      <c r="AE631" s="123"/>
      <c r="AF631" s="123"/>
      <c r="AH631" s="236"/>
      <c r="AI631" s="123"/>
      <c r="AJ631" s="123"/>
      <c r="AL631" s="123"/>
      <c r="AM631" s="160"/>
      <c r="AN631" s="160"/>
    </row>
    <row r="632" spans="3:40" x14ac:dyDescent="0.3">
      <c r="F632" s="123"/>
      <c r="H632" s="123"/>
      <c r="I632" s="123"/>
      <c r="J632" s="219"/>
      <c r="K632" s="219"/>
      <c r="L632" s="123"/>
      <c r="M632" s="123"/>
      <c r="N632" s="219"/>
      <c r="O632" s="219"/>
      <c r="P632" s="123"/>
      <c r="Q632" s="123"/>
      <c r="R632" s="123"/>
      <c r="V632" s="123"/>
      <c r="Y632" s="123"/>
      <c r="Z632" s="219"/>
      <c r="AA632" s="123"/>
      <c r="AB632" s="123"/>
      <c r="AC632" s="219"/>
      <c r="AD632" s="219"/>
      <c r="AH632" s="236"/>
      <c r="AI632" s="123"/>
      <c r="AJ632" s="123"/>
      <c r="AL632" s="123"/>
      <c r="AM632" s="160"/>
      <c r="AN632" s="160"/>
    </row>
    <row r="633" spans="3:40" x14ac:dyDescent="0.3">
      <c r="C633" s="42"/>
      <c r="D633" s="42"/>
      <c r="E633" s="42"/>
      <c r="F633" s="123"/>
      <c r="H633" s="123"/>
      <c r="I633" s="123"/>
      <c r="J633" s="219"/>
      <c r="K633" s="219"/>
      <c r="L633" s="123"/>
      <c r="M633" s="123"/>
      <c r="N633" s="219"/>
      <c r="O633" s="219"/>
      <c r="P633" s="123"/>
      <c r="Q633" s="123"/>
      <c r="R633" s="123"/>
      <c r="T633" s="42"/>
      <c r="U633" s="42"/>
      <c r="V633" s="123"/>
      <c r="Y633" s="123"/>
      <c r="Z633" s="219"/>
      <c r="AA633" s="123"/>
      <c r="AB633" s="123"/>
      <c r="AC633" s="219"/>
      <c r="AD633" s="219"/>
      <c r="AE633" s="123"/>
      <c r="AF633" s="123"/>
      <c r="AH633" s="236"/>
      <c r="AI633" s="123"/>
      <c r="AJ633" s="123"/>
      <c r="AL633" s="123"/>
      <c r="AM633" s="160"/>
      <c r="AN633" s="160"/>
    </row>
    <row r="634" spans="3:40" x14ac:dyDescent="0.3">
      <c r="C634" s="42"/>
      <c r="D634" s="42"/>
      <c r="E634" s="42"/>
      <c r="F634" s="123"/>
      <c r="G634" s="123"/>
      <c r="H634" s="123"/>
      <c r="I634" s="123"/>
      <c r="J634" s="219"/>
      <c r="K634" s="219"/>
      <c r="L634" s="123"/>
      <c r="M634" s="123"/>
      <c r="N634" s="219"/>
      <c r="O634" s="219"/>
      <c r="P634" s="123"/>
      <c r="Q634" s="123"/>
      <c r="R634" s="123"/>
      <c r="T634" s="42"/>
      <c r="U634" s="42"/>
      <c r="V634" s="123"/>
      <c r="W634" s="123"/>
      <c r="X634" s="123"/>
      <c r="Y634" s="123"/>
      <c r="Z634" s="219"/>
      <c r="AA634" s="123"/>
      <c r="AB634" s="123"/>
      <c r="AC634" s="219"/>
      <c r="AD634" s="219"/>
      <c r="AE634" s="123"/>
      <c r="AF634" s="123"/>
      <c r="AH634" s="236"/>
      <c r="AI634" s="123"/>
      <c r="AJ634" s="123"/>
      <c r="AL634" s="123"/>
      <c r="AM634" s="160"/>
      <c r="AN634" s="160"/>
    </row>
    <row r="635" spans="3:40" x14ac:dyDescent="0.3">
      <c r="C635" s="42"/>
      <c r="D635" s="42"/>
      <c r="E635" s="42"/>
      <c r="F635" s="123"/>
      <c r="G635" s="123"/>
      <c r="H635" s="123"/>
      <c r="I635" s="123"/>
      <c r="J635" s="219"/>
      <c r="K635" s="219"/>
      <c r="L635" s="123"/>
      <c r="M635" s="123"/>
      <c r="N635" s="219"/>
      <c r="O635" s="219"/>
      <c r="P635" s="123"/>
      <c r="Q635" s="123"/>
      <c r="R635" s="123"/>
      <c r="T635" s="42"/>
      <c r="U635" s="42"/>
      <c r="V635" s="123"/>
      <c r="W635" s="123"/>
      <c r="X635" s="123"/>
      <c r="Y635" s="123"/>
      <c r="Z635" s="219"/>
      <c r="AA635" s="123"/>
      <c r="AB635" s="123"/>
      <c r="AC635" s="219"/>
      <c r="AD635" s="219"/>
      <c r="AE635" s="123"/>
      <c r="AF635" s="123"/>
      <c r="AH635" s="236"/>
      <c r="AI635" s="123"/>
      <c r="AJ635" s="123"/>
      <c r="AL635" s="123"/>
      <c r="AM635" s="160"/>
      <c r="AN635" s="160"/>
    </row>
    <row r="636" spans="3:40" x14ac:dyDescent="0.3">
      <c r="C636" s="42"/>
      <c r="D636" s="42"/>
      <c r="E636" s="42"/>
      <c r="F636" s="123"/>
      <c r="H636" s="123"/>
      <c r="I636" s="123"/>
      <c r="J636" s="219"/>
      <c r="K636" s="219"/>
      <c r="L636" s="123"/>
      <c r="M636" s="123"/>
      <c r="N636" s="219"/>
      <c r="O636" s="219"/>
      <c r="P636" s="123"/>
      <c r="Q636" s="123"/>
      <c r="R636" s="123"/>
      <c r="T636" s="42"/>
      <c r="U636" s="42"/>
      <c r="V636" s="123"/>
      <c r="Y636" s="123"/>
      <c r="Z636" s="219"/>
      <c r="AA636" s="123"/>
      <c r="AB636" s="123"/>
      <c r="AC636" s="219"/>
      <c r="AD636" s="219"/>
      <c r="AE636" s="123"/>
      <c r="AF636" s="123"/>
      <c r="AH636" s="236"/>
      <c r="AI636" s="123"/>
      <c r="AJ636" s="123"/>
      <c r="AL636" s="123"/>
      <c r="AM636" s="160"/>
      <c r="AN636" s="160"/>
    </row>
    <row r="637" spans="3:40" x14ac:dyDescent="0.3">
      <c r="C637" s="42"/>
      <c r="D637" s="42"/>
      <c r="E637" s="42"/>
      <c r="F637" s="123"/>
      <c r="H637" s="123"/>
      <c r="I637" s="123"/>
      <c r="J637" s="219"/>
      <c r="K637" s="219"/>
      <c r="L637" s="123"/>
      <c r="M637" s="123"/>
      <c r="N637" s="219"/>
      <c r="O637" s="219"/>
      <c r="P637" s="123"/>
      <c r="Q637" s="123"/>
      <c r="R637" s="123"/>
      <c r="T637" s="42"/>
      <c r="U637" s="42"/>
      <c r="V637" s="123"/>
      <c r="Y637" s="123"/>
      <c r="Z637" s="219"/>
      <c r="AA637" s="123"/>
      <c r="AB637" s="123"/>
      <c r="AC637" s="219"/>
      <c r="AD637" s="219"/>
      <c r="AE637" s="123"/>
      <c r="AF637" s="123"/>
      <c r="AH637" s="236"/>
      <c r="AI637" s="123"/>
      <c r="AJ637" s="123"/>
      <c r="AL637" s="123"/>
      <c r="AM637" s="160"/>
      <c r="AN637" s="160"/>
    </row>
    <row r="638" spans="3:40" x14ac:dyDescent="0.3">
      <c r="C638" s="42"/>
      <c r="D638" s="42"/>
      <c r="E638" s="42"/>
      <c r="F638" s="123"/>
      <c r="H638" s="123"/>
      <c r="I638" s="123"/>
      <c r="J638" s="219"/>
      <c r="K638" s="219"/>
      <c r="L638" s="123"/>
      <c r="M638" s="123"/>
      <c r="N638" s="219"/>
      <c r="O638" s="219"/>
      <c r="P638" s="123"/>
      <c r="Q638" s="123"/>
      <c r="R638" s="123"/>
      <c r="T638" s="42"/>
      <c r="U638" s="42"/>
      <c r="V638" s="123"/>
      <c r="Y638" s="123"/>
      <c r="Z638" s="219"/>
      <c r="AA638" s="123"/>
      <c r="AB638" s="123"/>
      <c r="AC638" s="219"/>
      <c r="AD638" s="219"/>
      <c r="AE638" s="123"/>
      <c r="AF638" s="123"/>
      <c r="AH638" s="236"/>
      <c r="AI638" s="123"/>
      <c r="AJ638" s="123"/>
      <c r="AL638" s="123"/>
      <c r="AM638" s="160"/>
      <c r="AN638" s="160"/>
    </row>
    <row r="639" spans="3:40" x14ac:dyDescent="0.3">
      <c r="C639" s="42"/>
      <c r="D639" s="42"/>
      <c r="E639" s="42"/>
      <c r="F639" s="123"/>
      <c r="H639" s="123"/>
      <c r="I639" s="123"/>
      <c r="J639" s="219"/>
      <c r="K639" s="219"/>
      <c r="L639" s="123"/>
      <c r="M639" s="123"/>
      <c r="N639" s="219"/>
      <c r="O639" s="219"/>
      <c r="P639" s="123"/>
      <c r="Q639" s="123"/>
      <c r="R639" s="123"/>
      <c r="T639" s="42"/>
      <c r="U639" s="42"/>
      <c r="V639" s="123"/>
      <c r="Y639" s="123"/>
      <c r="Z639" s="219"/>
      <c r="AA639" s="123"/>
      <c r="AB639" s="123"/>
      <c r="AC639" s="219"/>
      <c r="AD639" s="219"/>
      <c r="AE639" s="123"/>
      <c r="AF639" s="123"/>
      <c r="AH639" s="236"/>
      <c r="AI639" s="123"/>
      <c r="AJ639" s="123"/>
      <c r="AL639" s="123"/>
      <c r="AM639" s="160"/>
      <c r="AN639" s="160"/>
    </row>
    <row r="640" spans="3:40" x14ac:dyDescent="0.3">
      <c r="F640" s="123"/>
      <c r="H640" s="210"/>
      <c r="I640" s="210"/>
      <c r="J640" s="213"/>
      <c r="K640" s="213"/>
      <c r="L640" s="210"/>
      <c r="M640" s="210"/>
      <c r="N640" s="210"/>
      <c r="O640" s="210"/>
      <c r="P640" s="210"/>
      <c r="Q640" s="210"/>
      <c r="R640" s="210"/>
      <c r="V640" s="210"/>
      <c r="Y640" s="210"/>
      <c r="Z640" s="213"/>
      <c r="AA640" s="210"/>
      <c r="AB640" s="210"/>
      <c r="AC640" s="210"/>
      <c r="AD640" s="210"/>
      <c r="AE640" s="210"/>
      <c r="AF640" s="210"/>
      <c r="AI640" s="210"/>
      <c r="AJ640" s="210"/>
      <c r="AK640" s="214"/>
      <c r="AL640" s="210"/>
      <c r="AM640" s="160"/>
      <c r="AN640" s="160"/>
    </row>
    <row r="641" spans="3:40" x14ac:dyDescent="0.3">
      <c r="C641" s="42"/>
      <c r="F641" s="210"/>
      <c r="H641" s="123"/>
      <c r="I641" s="123"/>
      <c r="J641" s="219"/>
      <c r="K641" s="219"/>
      <c r="L641" s="123"/>
      <c r="M641" s="123"/>
      <c r="N641" s="219"/>
      <c r="O641" s="219"/>
      <c r="P641" s="123"/>
      <c r="Q641" s="123"/>
      <c r="R641" s="123"/>
      <c r="T641" s="42"/>
      <c r="V641" s="123"/>
      <c r="Y641" s="123"/>
      <c r="Z641" s="219"/>
      <c r="AA641" s="123"/>
      <c r="AB641" s="123"/>
      <c r="AC641" s="219"/>
      <c r="AD641" s="219"/>
      <c r="AE641" s="123"/>
      <c r="AF641" s="123"/>
      <c r="AH641" s="236"/>
      <c r="AI641" s="123"/>
      <c r="AJ641" s="123"/>
      <c r="AL641" s="123"/>
      <c r="AM641" s="160"/>
      <c r="AN641" s="160"/>
    </row>
    <row r="642" spans="3:40" x14ac:dyDescent="0.3">
      <c r="F642" s="123"/>
      <c r="V642" s="123"/>
      <c r="Y642" s="123"/>
      <c r="Z642" s="213"/>
      <c r="AA642" s="123"/>
      <c r="AB642" s="123"/>
      <c r="AC642" s="123"/>
      <c r="AD642" s="123"/>
      <c r="AE642" s="123"/>
      <c r="AF642" s="123"/>
      <c r="AI642" s="123"/>
      <c r="AJ642" s="123"/>
      <c r="AL642" s="123"/>
      <c r="AM642" s="160"/>
      <c r="AN642" s="160"/>
    </row>
    <row r="643" spans="3:40" x14ac:dyDescent="0.3">
      <c r="C643" s="42"/>
      <c r="D643" s="42"/>
      <c r="E643" s="42"/>
      <c r="L643" s="123"/>
      <c r="M643" s="123"/>
      <c r="N643" s="219"/>
      <c r="O643" s="219"/>
      <c r="R643" s="123"/>
      <c r="T643" s="42"/>
      <c r="U643" s="42"/>
      <c r="AA643" s="123"/>
      <c r="AB643" s="123"/>
      <c r="AC643" s="219"/>
      <c r="AD643" s="219"/>
      <c r="AE643" s="123"/>
      <c r="AF643" s="123"/>
      <c r="AH643" s="236"/>
      <c r="AL643" s="123"/>
      <c r="AM643" s="160"/>
      <c r="AN643" s="160"/>
    </row>
    <row r="644" spans="3:40" x14ac:dyDescent="0.3">
      <c r="D644" s="42"/>
      <c r="E644" s="42"/>
      <c r="H644" s="184"/>
      <c r="I644" s="184"/>
      <c r="J644" s="219"/>
      <c r="K644" s="219"/>
      <c r="L644" s="123"/>
      <c r="M644" s="123"/>
      <c r="N644" s="219"/>
      <c r="O644" s="219"/>
      <c r="P644" s="184"/>
      <c r="Q644" s="184"/>
      <c r="R644" s="123"/>
      <c r="U644" s="42"/>
      <c r="V644" s="123"/>
      <c r="Y644" s="123"/>
      <c r="Z644" s="219"/>
      <c r="AA644" s="123"/>
      <c r="AB644" s="123"/>
      <c r="AC644" s="219"/>
      <c r="AD644" s="219"/>
      <c r="AE644" s="123"/>
      <c r="AF644" s="123"/>
      <c r="AH644" s="236"/>
      <c r="AI644" s="123"/>
      <c r="AJ644" s="123"/>
      <c r="AL644" s="123"/>
      <c r="AM644" s="160"/>
      <c r="AN644" s="160"/>
    </row>
    <row r="645" spans="3:40" x14ac:dyDescent="0.3">
      <c r="F645" s="184"/>
      <c r="H645" s="210"/>
      <c r="I645" s="210"/>
      <c r="J645" s="213"/>
      <c r="K645" s="213"/>
      <c r="L645" s="210"/>
      <c r="M645" s="210"/>
      <c r="N645" s="210"/>
      <c r="O645" s="210"/>
      <c r="P645" s="210"/>
      <c r="Q645" s="210"/>
      <c r="R645" s="210"/>
      <c r="V645" s="210"/>
      <c r="Y645" s="210"/>
      <c r="Z645" s="213"/>
      <c r="AA645" s="210"/>
      <c r="AB645" s="210"/>
      <c r="AC645" s="210"/>
      <c r="AD645" s="210"/>
      <c r="AE645" s="210"/>
      <c r="AF645" s="210"/>
      <c r="AI645" s="210"/>
      <c r="AJ645" s="210"/>
      <c r="AK645" s="214"/>
      <c r="AL645" s="210"/>
      <c r="AM645" s="160"/>
      <c r="AN645" s="160"/>
    </row>
    <row r="646" spans="3:40" x14ac:dyDescent="0.3">
      <c r="C646" s="42"/>
      <c r="F646" s="210"/>
      <c r="H646" s="123"/>
      <c r="I646" s="123"/>
      <c r="J646" s="219"/>
      <c r="K646" s="219"/>
      <c r="L646" s="123"/>
      <c r="M646" s="123"/>
      <c r="N646" s="219"/>
      <c r="O646" s="219"/>
      <c r="P646" s="123"/>
      <c r="Q646" s="123"/>
      <c r="R646" s="123"/>
      <c r="T646" s="42"/>
      <c r="V646" s="123"/>
      <c r="Y646" s="123"/>
      <c r="Z646" s="219"/>
      <c r="AA646" s="123"/>
      <c r="AB646" s="123"/>
      <c r="AC646" s="219"/>
      <c r="AD646" s="219"/>
      <c r="AE646" s="123"/>
      <c r="AF646" s="123"/>
      <c r="AH646" s="236"/>
      <c r="AI646" s="123"/>
      <c r="AJ646" s="123"/>
      <c r="AL646" s="123"/>
      <c r="AM646" s="160"/>
      <c r="AN646" s="160"/>
    </row>
    <row r="647" spans="3:40" x14ac:dyDescent="0.3">
      <c r="F647" s="123"/>
      <c r="H647" s="123"/>
      <c r="I647" s="123"/>
      <c r="J647" s="219"/>
      <c r="K647" s="219"/>
      <c r="L647" s="123"/>
      <c r="M647" s="123"/>
      <c r="N647" s="219"/>
      <c r="O647" s="219"/>
      <c r="P647" s="123"/>
      <c r="Q647" s="123"/>
      <c r="R647" s="123"/>
      <c r="V647" s="123"/>
      <c r="Y647" s="123"/>
      <c r="Z647" s="219"/>
      <c r="AA647" s="123"/>
      <c r="AB647" s="123"/>
      <c r="AC647" s="219"/>
      <c r="AD647" s="219"/>
      <c r="AH647" s="236"/>
      <c r="AI647" s="123"/>
      <c r="AJ647" s="123"/>
      <c r="AL647" s="123"/>
      <c r="AM647" s="160"/>
      <c r="AN647" s="160"/>
    </row>
    <row r="648" spans="3:40" x14ac:dyDescent="0.3">
      <c r="D648" s="42"/>
      <c r="E648" s="42"/>
      <c r="F648" s="123"/>
      <c r="H648" s="123"/>
      <c r="I648" s="123"/>
      <c r="J648" s="219"/>
      <c r="K648" s="219"/>
      <c r="L648" s="184"/>
      <c r="M648" s="184"/>
      <c r="N648" s="219"/>
      <c r="O648" s="219"/>
      <c r="P648" s="123"/>
      <c r="Q648" s="123"/>
      <c r="R648" s="123"/>
      <c r="U648" s="42"/>
      <c r="V648" s="123"/>
      <c r="Y648" s="123"/>
      <c r="Z648" s="219"/>
      <c r="AA648" s="184"/>
      <c r="AB648" s="184"/>
      <c r="AC648" s="219"/>
      <c r="AD648" s="219"/>
      <c r="AE648" s="123"/>
      <c r="AF648" s="123"/>
      <c r="AH648" s="236"/>
      <c r="AI648" s="123"/>
      <c r="AJ648" s="123"/>
      <c r="AL648" s="123"/>
      <c r="AM648" s="160"/>
      <c r="AN648" s="160"/>
    </row>
    <row r="649" spans="3:40" x14ac:dyDescent="0.3">
      <c r="D649" s="42"/>
      <c r="E649" s="42"/>
      <c r="F649" s="123"/>
      <c r="H649" s="123"/>
      <c r="I649" s="123"/>
      <c r="J649" s="219"/>
      <c r="K649" s="219"/>
      <c r="L649" s="184"/>
      <c r="M649" s="184"/>
      <c r="N649" s="219"/>
      <c r="O649" s="219"/>
      <c r="P649" s="123"/>
      <c r="Q649" s="123"/>
      <c r="R649" s="123"/>
      <c r="U649" s="42"/>
      <c r="V649" s="123"/>
      <c r="Y649" s="123"/>
      <c r="Z649" s="219"/>
      <c r="AA649" s="184"/>
      <c r="AB649" s="184"/>
      <c r="AC649" s="219"/>
      <c r="AD649" s="219"/>
      <c r="AE649" s="123"/>
      <c r="AF649" s="123"/>
      <c r="AH649" s="236"/>
      <c r="AI649" s="123"/>
      <c r="AJ649" s="123"/>
      <c r="AL649" s="123"/>
      <c r="AM649" s="160"/>
      <c r="AN649" s="160"/>
    </row>
    <row r="650" spans="3:40" x14ac:dyDescent="0.3">
      <c r="D650" s="42"/>
      <c r="E650" s="42"/>
      <c r="F650" s="123"/>
      <c r="H650" s="123"/>
      <c r="I650" s="123"/>
      <c r="J650" s="219"/>
      <c r="K650" s="219"/>
      <c r="L650" s="184"/>
      <c r="M650" s="184"/>
      <c r="N650" s="219"/>
      <c r="O650" s="219"/>
      <c r="P650" s="123"/>
      <c r="Q650" s="123"/>
      <c r="R650" s="123"/>
      <c r="U650" s="42"/>
      <c r="V650" s="123"/>
      <c r="Y650" s="123"/>
      <c r="Z650" s="219"/>
      <c r="AA650" s="184"/>
      <c r="AB650" s="184"/>
      <c r="AC650" s="219"/>
      <c r="AD650" s="219"/>
      <c r="AE650" s="123"/>
      <c r="AF650" s="123"/>
      <c r="AH650" s="236"/>
      <c r="AI650" s="123"/>
      <c r="AJ650" s="123"/>
      <c r="AL650" s="123"/>
      <c r="AM650" s="160"/>
      <c r="AN650" s="160"/>
    </row>
    <row r="651" spans="3:40" x14ac:dyDescent="0.3">
      <c r="F651" s="123"/>
      <c r="H651" s="210"/>
      <c r="I651" s="210"/>
      <c r="J651" s="213"/>
      <c r="K651" s="213"/>
      <c r="L651" s="210"/>
      <c r="M651" s="210"/>
      <c r="N651" s="210"/>
      <c r="O651" s="210"/>
      <c r="P651" s="210"/>
      <c r="Q651" s="210"/>
      <c r="R651" s="210"/>
      <c r="V651" s="210"/>
      <c r="Y651" s="210"/>
      <c r="Z651" s="213"/>
      <c r="AA651" s="210"/>
      <c r="AB651" s="210"/>
      <c r="AC651" s="210"/>
      <c r="AD651" s="210"/>
      <c r="AE651" s="210"/>
      <c r="AF651" s="210"/>
      <c r="AI651" s="210"/>
      <c r="AJ651" s="210"/>
      <c r="AK651" s="214"/>
      <c r="AL651" s="210"/>
      <c r="AM651" s="160"/>
      <c r="AN651" s="160"/>
    </row>
    <row r="652" spans="3:40" x14ac:dyDescent="0.3">
      <c r="C652" s="42"/>
      <c r="F652" s="210"/>
      <c r="H652" s="123"/>
      <c r="I652" s="123"/>
      <c r="J652" s="219"/>
      <c r="K652" s="219"/>
      <c r="L652" s="123"/>
      <c r="M652" s="123"/>
      <c r="N652" s="219"/>
      <c r="O652" s="219"/>
      <c r="P652" s="123"/>
      <c r="Q652" s="123"/>
      <c r="R652" s="123"/>
      <c r="T652" s="42"/>
      <c r="V652" s="123"/>
      <c r="Y652" s="123"/>
      <c r="Z652" s="219"/>
      <c r="AA652" s="123"/>
      <c r="AB652" s="123"/>
      <c r="AC652" s="219"/>
      <c r="AD652" s="219"/>
      <c r="AE652" s="123"/>
      <c r="AF652" s="123"/>
      <c r="AH652" s="236"/>
      <c r="AI652" s="123"/>
      <c r="AJ652" s="123"/>
      <c r="AL652" s="123"/>
      <c r="AM652" s="160"/>
      <c r="AN652" s="160"/>
    </row>
    <row r="653" spans="3:40" x14ac:dyDescent="0.3">
      <c r="F653" s="123"/>
      <c r="H653" s="123"/>
      <c r="I653" s="123"/>
      <c r="J653" s="219"/>
      <c r="K653" s="219"/>
      <c r="L653" s="123"/>
      <c r="M653" s="123"/>
      <c r="N653" s="219"/>
      <c r="O653" s="219"/>
      <c r="P653" s="123"/>
      <c r="Q653" s="123"/>
      <c r="R653" s="123"/>
      <c r="V653" s="123"/>
      <c r="Y653" s="123"/>
      <c r="Z653" s="219"/>
      <c r="AA653" s="123"/>
      <c r="AB653" s="123"/>
      <c r="AC653" s="219"/>
      <c r="AD653" s="219"/>
      <c r="AH653" s="236"/>
      <c r="AI653" s="123"/>
      <c r="AJ653" s="123"/>
      <c r="AL653" s="123"/>
      <c r="AM653" s="160"/>
      <c r="AN653" s="160"/>
    </row>
    <row r="654" spans="3:40" x14ac:dyDescent="0.3">
      <c r="C654" s="42"/>
      <c r="F654" s="123"/>
      <c r="H654" s="123"/>
      <c r="I654" s="123"/>
      <c r="J654" s="219"/>
      <c r="K654" s="219"/>
      <c r="L654" s="123"/>
      <c r="M654" s="123"/>
      <c r="N654" s="219"/>
      <c r="O654" s="219"/>
      <c r="P654" s="123"/>
      <c r="Q654" s="123"/>
      <c r="R654" s="123"/>
      <c r="T654" s="42"/>
      <c r="V654" s="123"/>
      <c r="Y654" s="123"/>
      <c r="Z654" s="219"/>
      <c r="AA654" s="123"/>
      <c r="AB654" s="123"/>
      <c r="AC654" s="219"/>
      <c r="AD654" s="219"/>
      <c r="AE654" s="123"/>
      <c r="AF654" s="123"/>
      <c r="AH654" s="236"/>
      <c r="AI654" s="123"/>
      <c r="AJ654" s="123"/>
      <c r="AL654" s="123"/>
      <c r="AM654" s="160"/>
      <c r="AN654" s="160"/>
    </row>
    <row r="655" spans="3:40" x14ac:dyDescent="0.3">
      <c r="F655" s="123"/>
      <c r="H655" s="210"/>
      <c r="I655" s="210"/>
      <c r="J655" s="213"/>
      <c r="K655" s="213"/>
      <c r="L655" s="210"/>
      <c r="M655" s="210"/>
      <c r="N655" s="210"/>
      <c r="O655" s="210"/>
      <c r="P655" s="210"/>
      <c r="Q655" s="210"/>
      <c r="R655" s="210"/>
      <c r="V655" s="210"/>
      <c r="Y655" s="210"/>
      <c r="Z655" s="213"/>
      <c r="AA655" s="210"/>
      <c r="AB655" s="210"/>
      <c r="AC655" s="210"/>
      <c r="AD655" s="210"/>
      <c r="AE655" s="210"/>
      <c r="AF655" s="210"/>
      <c r="AI655" s="210"/>
      <c r="AJ655" s="210"/>
      <c r="AK655" s="214"/>
      <c r="AL655" s="210"/>
    </row>
    <row r="657" spans="1:20" x14ac:dyDescent="0.3">
      <c r="C657" s="42"/>
      <c r="F657" s="210"/>
      <c r="L657" s="123"/>
      <c r="M657" s="123"/>
      <c r="P657" s="123"/>
      <c r="Q657" s="123"/>
      <c r="R657" s="123"/>
      <c r="T657" s="42"/>
    </row>
    <row r="658" spans="1:20" x14ac:dyDescent="0.3">
      <c r="A658" s="42"/>
      <c r="L658" s="123"/>
      <c r="M658" s="123"/>
      <c r="P658" s="123"/>
      <c r="Q658" s="123"/>
      <c r="R658" s="123"/>
    </row>
    <row r="659" spans="1:20" x14ac:dyDescent="0.3">
      <c r="L659" s="123"/>
      <c r="M659" s="123"/>
      <c r="P659" s="123"/>
      <c r="Q659" s="123"/>
      <c r="R659" s="123"/>
    </row>
    <row r="660" spans="1:20" x14ac:dyDescent="0.3">
      <c r="L660" s="123"/>
      <c r="M660" s="123"/>
      <c r="P660" s="123"/>
      <c r="Q660" s="123"/>
      <c r="R660" s="123"/>
    </row>
    <row r="661" spans="1:20" x14ac:dyDescent="0.3">
      <c r="L661" s="123"/>
      <c r="M661" s="123"/>
      <c r="P661" s="123"/>
      <c r="Q661" s="123"/>
      <c r="R661" s="123"/>
    </row>
    <row r="662" spans="1:20" x14ac:dyDescent="0.3">
      <c r="L662" s="123"/>
      <c r="M662" s="123"/>
      <c r="P662" s="123"/>
      <c r="Q662" s="123"/>
      <c r="R662" s="123"/>
    </row>
    <row r="663" spans="1:20" x14ac:dyDescent="0.3">
      <c r="L663" s="123"/>
      <c r="M663" s="123"/>
      <c r="P663" s="123"/>
      <c r="Q663" s="123"/>
      <c r="R663" s="123"/>
    </row>
    <row r="696" spans="49:49" x14ac:dyDescent="0.3">
      <c r="AW696" s="123"/>
    </row>
    <row r="697" spans="49:49" x14ac:dyDescent="0.3">
      <c r="AW697" s="123"/>
    </row>
    <row r="698" spans="49:49" x14ac:dyDescent="0.3">
      <c r="AW698" s="123"/>
    </row>
    <row r="699" spans="49:49" x14ac:dyDescent="0.3">
      <c r="AW699" s="123"/>
    </row>
    <row r="700" spans="49:49" x14ac:dyDescent="0.3">
      <c r="AW700" s="123"/>
    </row>
    <row r="701" spans="49:49" x14ac:dyDescent="0.3">
      <c r="AW701" s="123"/>
    </row>
    <row r="704" spans="49:49" x14ac:dyDescent="0.3">
      <c r="AW704" s="123"/>
    </row>
    <row r="705" spans="49:49" x14ac:dyDescent="0.3">
      <c r="AW705" s="123"/>
    </row>
    <row r="706" spans="49:49" x14ac:dyDescent="0.3">
      <c r="AW706" s="123"/>
    </row>
    <row r="707" spans="49:49" x14ac:dyDescent="0.3">
      <c r="AW707" s="123"/>
    </row>
    <row r="708" spans="49:49" x14ac:dyDescent="0.3">
      <c r="AW708" s="123"/>
    </row>
    <row r="709" spans="49:49" x14ac:dyDescent="0.3">
      <c r="AW709" s="123"/>
    </row>
    <row r="710" spans="49:49" x14ac:dyDescent="0.3">
      <c r="AW710" s="123"/>
    </row>
    <row r="711" spans="49:49" x14ac:dyDescent="0.3">
      <c r="AW711" s="123"/>
    </row>
    <row r="714" spans="49:49" x14ac:dyDescent="0.3">
      <c r="AW714" s="123"/>
    </row>
    <row r="715" spans="49:49" x14ac:dyDescent="0.3">
      <c r="AW715" s="123"/>
    </row>
    <row r="718" spans="49:49" x14ac:dyDescent="0.3">
      <c r="AW718" s="123"/>
    </row>
    <row r="719" spans="49:49" x14ac:dyDescent="0.3">
      <c r="AW719" s="123"/>
    </row>
    <row r="720" spans="49:49" x14ac:dyDescent="0.3">
      <c r="AW720" s="123"/>
    </row>
    <row r="721" spans="45:57" x14ac:dyDescent="0.3">
      <c r="AW721" s="123"/>
    </row>
    <row r="729" spans="45:57" x14ac:dyDescent="0.3">
      <c r="AY729" s="42"/>
    </row>
    <row r="730" spans="45:57" x14ac:dyDescent="0.3">
      <c r="AY730" s="42"/>
    </row>
    <row r="731" spans="45:57" x14ac:dyDescent="0.3">
      <c r="BD731" s="42"/>
    </row>
    <row r="732" spans="45:57" x14ac:dyDescent="0.3">
      <c r="BD732" s="42"/>
    </row>
    <row r="733" spans="45:57" x14ac:dyDescent="0.3">
      <c r="AS733" s="42"/>
      <c r="BD733" s="42"/>
    </row>
    <row r="735" spans="45:57" x14ac:dyDescent="0.3">
      <c r="AS735" s="135"/>
      <c r="AT735" s="135"/>
      <c r="AU735" s="135"/>
      <c r="AV735" s="135"/>
      <c r="AW735" s="135"/>
      <c r="AX735" s="135"/>
      <c r="AY735" s="135"/>
      <c r="AZ735" s="135"/>
      <c r="BA735" s="135"/>
      <c r="BB735" s="135"/>
      <c r="BC735" s="135"/>
      <c r="BD735" s="135"/>
      <c r="BE735" s="135"/>
    </row>
    <row r="736" spans="45:57" x14ac:dyDescent="0.3">
      <c r="AX736" s="42"/>
    </row>
    <row r="737" spans="45:69" x14ac:dyDescent="0.3">
      <c r="AX737" s="135"/>
      <c r="AY737" s="135"/>
      <c r="AZ737" s="135"/>
      <c r="BA737" s="135"/>
      <c r="BC737" s="44"/>
      <c r="BD737" s="44"/>
    </row>
    <row r="738" spans="45:69" x14ac:dyDescent="0.3">
      <c r="AV738" s="44"/>
      <c r="AW738" s="44"/>
      <c r="AZ738" s="44"/>
      <c r="BA738" s="44"/>
      <c r="BC738" s="44"/>
      <c r="BD738" s="44"/>
      <c r="BE738" s="44"/>
      <c r="BG738" s="135"/>
      <c r="BH738" s="42"/>
      <c r="BK738" s="135"/>
      <c r="BM738" s="135"/>
      <c r="BN738" s="42"/>
      <c r="BQ738" s="135"/>
    </row>
    <row r="739" spans="45:69" x14ac:dyDescent="0.3"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H739" s="44"/>
      <c r="BI739" s="44"/>
      <c r="BJ739" s="44"/>
      <c r="BN739" s="44"/>
      <c r="BO739" s="44"/>
      <c r="BP739" s="44"/>
    </row>
    <row r="740" spans="45:69" x14ac:dyDescent="0.3">
      <c r="AS740" s="44"/>
      <c r="AU740" s="42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G740" s="44"/>
      <c r="BH740" s="44"/>
      <c r="BI740" s="44"/>
      <c r="BJ740" s="44"/>
      <c r="BK740" s="44"/>
      <c r="BM740" s="44"/>
      <c r="BN740" s="44"/>
      <c r="BO740" s="44"/>
      <c r="BP740" s="44"/>
      <c r="BQ740" s="44"/>
    </row>
    <row r="741" spans="45:69" x14ac:dyDescent="0.3">
      <c r="AS741" s="44"/>
      <c r="AU741" s="42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G741" s="44"/>
      <c r="BH741" s="44"/>
      <c r="BI741" s="44"/>
      <c r="BJ741" s="44"/>
      <c r="BK741" s="44"/>
      <c r="BM741" s="44"/>
      <c r="BN741" s="44"/>
      <c r="BO741" s="44"/>
      <c r="BP741" s="44"/>
      <c r="BQ741" s="44"/>
    </row>
    <row r="742" spans="45:69" x14ac:dyDescent="0.3">
      <c r="AS742" s="135"/>
      <c r="AT742" s="135"/>
      <c r="AU742" s="135"/>
      <c r="AV742" s="135"/>
      <c r="AW742" s="135"/>
      <c r="AX742" s="135"/>
      <c r="AY742" s="135"/>
      <c r="AZ742" s="135"/>
      <c r="BA742" s="135"/>
      <c r="BB742" s="135"/>
      <c r="BC742" s="135"/>
      <c r="BD742" s="135"/>
      <c r="BE742" s="135"/>
      <c r="BG742" s="135"/>
      <c r="BH742" s="135"/>
      <c r="BI742" s="135"/>
      <c r="BJ742" s="135"/>
      <c r="BK742" s="135"/>
      <c r="BM742" s="135"/>
      <c r="BN742" s="135"/>
      <c r="BO742" s="135"/>
      <c r="BP742" s="135"/>
      <c r="BQ742" s="135"/>
    </row>
    <row r="743" spans="45:69" x14ac:dyDescent="0.3"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</row>
    <row r="744" spans="45:69" x14ac:dyDescent="0.3">
      <c r="AU744" s="42"/>
      <c r="AV744" s="44"/>
      <c r="AY744" s="219"/>
    </row>
    <row r="745" spans="45:69" x14ac:dyDescent="0.3">
      <c r="AV745" s="44"/>
      <c r="AW745" s="123"/>
      <c r="AX745" s="188"/>
      <c r="AY745" s="188"/>
      <c r="AZ745" s="188"/>
      <c r="BA745" s="160"/>
      <c r="BB745" s="188"/>
      <c r="BC745" s="219"/>
      <c r="BD745" s="219"/>
      <c r="BE745" s="160"/>
      <c r="BG745" s="188"/>
      <c r="BH745" s="188"/>
      <c r="BI745" s="188"/>
      <c r="BJ745" s="188"/>
      <c r="BK745" s="188"/>
      <c r="BM745" s="188"/>
      <c r="BN745" s="188"/>
      <c r="BO745" s="188"/>
      <c r="BP745" s="188"/>
      <c r="BQ745" s="188"/>
    </row>
    <row r="746" spans="45:69" x14ac:dyDescent="0.3">
      <c r="AV746" s="44"/>
      <c r="AW746" s="123"/>
      <c r="AX746" s="188"/>
      <c r="AY746" s="188"/>
      <c r="AZ746" s="188"/>
      <c r="BA746" s="160"/>
      <c r="BB746" s="188"/>
      <c r="BC746" s="219"/>
      <c r="BD746" s="219"/>
      <c r="BE746" s="160"/>
      <c r="BG746" s="188"/>
      <c r="BH746" s="188"/>
      <c r="BI746" s="188"/>
      <c r="BJ746" s="188"/>
      <c r="BK746" s="188"/>
      <c r="BM746" s="188"/>
      <c r="BN746" s="188"/>
      <c r="BO746" s="188"/>
      <c r="BP746" s="188"/>
      <c r="BQ746" s="188"/>
    </row>
    <row r="747" spans="45:69" x14ac:dyDescent="0.3">
      <c r="AV747" s="44"/>
      <c r="AW747" s="123"/>
      <c r="AX747" s="188"/>
      <c r="AY747" s="188"/>
      <c r="AZ747" s="188"/>
      <c r="BA747" s="160"/>
      <c r="BB747" s="188"/>
      <c r="BC747" s="219"/>
      <c r="BD747" s="219"/>
      <c r="BE747" s="160"/>
      <c r="BG747" s="188"/>
      <c r="BH747" s="188"/>
      <c r="BI747" s="188"/>
      <c r="BJ747" s="188"/>
      <c r="BK747" s="188"/>
      <c r="BM747" s="188"/>
      <c r="BN747" s="188"/>
      <c r="BO747" s="188"/>
      <c r="BP747" s="188"/>
      <c r="BQ747" s="188"/>
    </row>
    <row r="748" spans="45:69" x14ac:dyDescent="0.3">
      <c r="AV748" s="44"/>
      <c r="AW748" s="123"/>
      <c r="AX748" s="188"/>
      <c r="AY748" s="188"/>
      <c r="AZ748" s="188"/>
      <c r="BA748" s="160"/>
      <c r="BB748" s="188"/>
      <c r="BC748" s="219"/>
      <c r="BD748" s="219"/>
      <c r="BE748" s="160"/>
      <c r="BG748" s="188"/>
      <c r="BH748" s="188"/>
      <c r="BI748" s="188"/>
      <c r="BJ748" s="188"/>
      <c r="BK748" s="188"/>
      <c r="BM748" s="188"/>
      <c r="BN748" s="188"/>
      <c r="BO748" s="188"/>
      <c r="BP748" s="188"/>
      <c r="BQ748" s="188"/>
    </row>
    <row r="749" spans="45:69" x14ac:dyDescent="0.3">
      <c r="AV749" s="44"/>
      <c r="AW749" s="123"/>
      <c r="AX749" s="188"/>
      <c r="AY749" s="188"/>
      <c r="AZ749" s="188"/>
      <c r="BA749" s="160"/>
      <c r="BB749" s="188"/>
      <c r="BC749" s="219"/>
      <c r="BD749" s="219"/>
      <c r="BE749" s="160"/>
      <c r="BG749" s="188"/>
      <c r="BH749" s="188"/>
      <c r="BI749" s="188"/>
      <c r="BJ749" s="188"/>
      <c r="BK749" s="188"/>
      <c r="BM749" s="188"/>
      <c r="BN749" s="188"/>
      <c r="BO749" s="188"/>
      <c r="BP749" s="188"/>
      <c r="BQ749" s="188"/>
    </row>
    <row r="750" spans="45:69" x14ac:dyDescent="0.3">
      <c r="AV750" s="44"/>
      <c r="AW750" s="123"/>
      <c r="AX750" s="188"/>
      <c r="AY750" s="188"/>
      <c r="AZ750" s="188"/>
      <c r="BA750" s="160"/>
      <c r="BB750" s="188"/>
      <c r="BC750" s="219"/>
      <c r="BD750" s="219"/>
      <c r="BE750" s="160"/>
      <c r="BG750" s="188"/>
      <c r="BH750" s="188"/>
      <c r="BI750" s="188"/>
      <c r="BJ750" s="188"/>
      <c r="BK750" s="188"/>
      <c r="BM750" s="188"/>
      <c r="BN750" s="188"/>
      <c r="BO750" s="188"/>
      <c r="BP750" s="188"/>
      <c r="BQ750" s="188"/>
    </row>
    <row r="751" spans="45:69" x14ac:dyDescent="0.3">
      <c r="AV751" s="44"/>
      <c r="AW751" s="123"/>
      <c r="AX751" s="188"/>
      <c r="AY751" s="188"/>
      <c r="AZ751" s="188"/>
      <c r="BA751" s="160"/>
      <c r="BB751" s="188"/>
      <c r="BC751" s="219"/>
      <c r="BD751" s="219"/>
      <c r="BE751" s="160"/>
      <c r="BG751" s="188"/>
      <c r="BH751" s="188"/>
      <c r="BI751" s="188"/>
      <c r="BJ751" s="188"/>
      <c r="BK751" s="188"/>
      <c r="BM751" s="188"/>
      <c r="BN751" s="188"/>
      <c r="BO751" s="188"/>
      <c r="BP751" s="188"/>
      <c r="BQ751" s="188"/>
    </row>
    <row r="752" spans="45:69" x14ac:dyDescent="0.3">
      <c r="AY752" s="219"/>
      <c r="AZ752" s="188"/>
      <c r="BA752" s="160"/>
      <c r="BB752" s="188"/>
      <c r="BC752" s="219"/>
      <c r="BD752" s="219"/>
      <c r="BE752" s="160"/>
      <c r="BK752" s="188"/>
      <c r="BQ752" s="188"/>
    </row>
    <row r="753" spans="45:69" x14ac:dyDescent="0.3">
      <c r="AV753" s="44"/>
      <c r="AY753" s="219"/>
      <c r="AZ753" s="188"/>
      <c r="BA753" s="160"/>
      <c r="BB753" s="188"/>
      <c r="BC753" s="219"/>
      <c r="BD753" s="219"/>
      <c r="BE753" s="160"/>
      <c r="BK753" s="188"/>
      <c r="BQ753" s="188"/>
    </row>
    <row r="754" spans="45:69" x14ac:dyDescent="0.3">
      <c r="AV754" s="44"/>
      <c r="AW754" s="123"/>
      <c r="AX754" s="188"/>
      <c r="AY754" s="188"/>
      <c r="AZ754" s="188"/>
      <c r="BA754" s="160"/>
      <c r="BB754" s="188"/>
      <c r="BC754" s="219"/>
      <c r="BD754" s="219"/>
      <c r="BE754" s="160"/>
      <c r="BG754" s="188"/>
      <c r="BH754" s="188"/>
      <c r="BI754" s="188"/>
      <c r="BJ754" s="188"/>
      <c r="BK754" s="188"/>
      <c r="BM754" s="188"/>
      <c r="BN754" s="188"/>
      <c r="BO754" s="188"/>
      <c r="BP754" s="188"/>
      <c r="BQ754" s="188"/>
    </row>
    <row r="755" spans="45:69" x14ac:dyDescent="0.3">
      <c r="AV755" s="44"/>
      <c r="AW755" s="123"/>
      <c r="AX755" s="188"/>
      <c r="AY755" s="188"/>
      <c r="AZ755" s="188"/>
      <c r="BA755" s="160"/>
      <c r="BB755" s="188"/>
      <c r="BC755" s="219"/>
      <c r="BD755" s="219"/>
      <c r="BE755" s="160"/>
      <c r="BG755" s="188"/>
      <c r="BH755" s="188"/>
      <c r="BI755" s="188"/>
      <c r="BJ755" s="188"/>
      <c r="BK755" s="188"/>
      <c r="BM755" s="188"/>
      <c r="BN755" s="188"/>
      <c r="BO755" s="188"/>
      <c r="BP755" s="188"/>
      <c r="BQ755" s="188"/>
    </row>
    <row r="756" spans="45:69" x14ac:dyDescent="0.3">
      <c r="AV756" s="44"/>
      <c r="AW756" s="123"/>
      <c r="AX756" s="188"/>
      <c r="AY756" s="188"/>
      <c r="AZ756" s="188"/>
      <c r="BA756" s="160"/>
      <c r="BB756" s="188"/>
      <c r="BC756" s="219"/>
      <c r="BD756" s="219"/>
      <c r="BE756" s="160"/>
      <c r="BG756" s="188"/>
      <c r="BH756" s="188"/>
      <c r="BI756" s="188"/>
      <c r="BJ756" s="188"/>
      <c r="BK756" s="188"/>
      <c r="BM756" s="188"/>
      <c r="BN756" s="188"/>
      <c r="BO756" s="188"/>
      <c r="BP756" s="188"/>
      <c r="BQ756" s="188"/>
    </row>
    <row r="757" spans="45:69" x14ac:dyDescent="0.3">
      <c r="AV757" s="44"/>
      <c r="AW757" s="123"/>
      <c r="AX757" s="188"/>
      <c r="AY757" s="188"/>
      <c r="AZ757" s="188"/>
      <c r="BA757" s="160"/>
      <c r="BB757" s="188"/>
      <c r="BC757" s="219"/>
      <c r="BD757" s="219"/>
      <c r="BE757" s="160"/>
      <c r="BG757" s="188"/>
      <c r="BH757" s="188"/>
      <c r="BI757" s="188"/>
      <c r="BJ757" s="188"/>
      <c r="BK757" s="188"/>
      <c r="BM757" s="188"/>
      <c r="BN757" s="188"/>
      <c r="BO757" s="188"/>
      <c r="BP757" s="188"/>
      <c r="BQ757" s="188"/>
    </row>
    <row r="758" spans="45:69" x14ac:dyDescent="0.3">
      <c r="AV758" s="44"/>
      <c r="AW758" s="123"/>
      <c r="AX758" s="188"/>
      <c r="AY758" s="188"/>
      <c r="AZ758" s="188"/>
      <c r="BA758" s="160"/>
      <c r="BB758" s="188"/>
      <c r="BC758" s="219"/>
      <c r="BD758" s="219"/>
      <c r="BE758" s="160"/>
      <c r="BG758" s="188"/>
      <c r="BH758" s="188"/>
      <c r="BI758" s="188"/>
      <c r="BJ758" s="188"/>
      <c r="BK758" s="188"/>
      <c r="BM758" s="188"/>
      <c r="BN758" s="188"/>
      <c r="BO758" s="188"/>
      <c r="BP758" s="188"/>
      <c r="BQ758" s="188"/>
    </row>
    <row r="759" spans="45:69" x14ac:dyDescent="0.3">
      <c r="AV759" s="44"/>
      <c r="AW759" s="123"/>
      <c r="AX759" s="188"/>
      <c r="AY759" s="188"/>
      <c r="AZ759" s="188"/>
      <c r="BA759" s="160"/>
      <c r="BB759" s="188"/>
      <c r="BC759" s="219"/>
      <c r="BD759" s="219"/>
      <c r="BE759" s="160"/>
      <c r="BG759" s="188"/>
      <c r="BH759" s="188"/>
      <c r="BI759" s="188"/>
      <c r="BJ759" s="188"/>
      <c r="BK759" s="188"/>
      <c r="BM759" s="188"/>
      <c r="BN759" s="188"/>
      <c r="BO759" s="188"/>
      <c r="BP759" s="188"/>
      <c r="BQ759" s="188"/>
    </row>
    <row r="760" spans="45:69" x14ac:dyDescent="0.3">
      <c r="AV760" s="44"/>
      <c r="AW760" s="123"/>
      <c r="AX760" s="188"/>
      <c r="AY760" s="188"/>
      <c r="AZ760" s="188"/>
      <c r="BA760" s="160"/>
      <c r="BB760" s="188"/>
      <c r="BC760" s="219"/>
      <c r="BD760" s="219"/>
      <c r="BE760" s="160"/>
      <c r="BG760" s="188"/>
      <c r="BH760" s="188"/>
      <c r="BI760" s="188"/>
      <c r="BJ760" s="188"/>
      <c r="BK760" s="188"/>
      <c r="BM760" s="188"/>
      <c r="BN760" s="188"/>
      <c r="BO760" s="188"/>
      <c r="BP760" s="188"/>
      <c r="BQ760" s="188"/>
    </row>
    <row r="761" spans="45:69" x14ac:dyDescent="0.3">
      <c r="AV761" s="44"/>
      <c r="AW761" s="123"/>
      <c r="AX761" s="188"/>
      <c r="AY761" s="188"/>
      <c r="AZ761" s="188"/>
      <c r="BA761" s="160"/>
      <c r="BB761" s="188"/>
      <c r="BC761" s="219"/>
      <c r="BD761" s="219"/>
      <c r="BE761" s="160"/>
      <c r="BG761" s="188"/>
      <c r="BH761" s="188"/>
      <c r="BI761" s="188"/>
      <c r="BJ761" s="188"/>
      <c r="BK761" s="188"/>
      <c r="BM761" s="188"/>
      <c r="BN761" s="188"/>
      <c r="BO761" s="188"/>
      <c r="BP761" s="188"/>
      <c r="BQ761" s="188"/>
    </row>
    <row r="762" spans="45:69" x14ac:dyDescent="0.3">
      <c r="AY762" s="219"/>
      <c r="AZ762" s="188"/>
      <c r="BA762" s="160"/>
      <c r="BB762" s="188"/>
      <c r="BC762" s="219"/>
      <c r="BD762" s="219"/>
      <c r="BE762" s="160"/>
      <c r="BK762" s="188"/>
      <c r="BQ762" s="188"/>
    </row>
    <row r="763" spans="45:69" x14ac:dyDescent="0.3">
      <c r="AU763" s="42"/>
      <c r="AZ763" s="188"/>
      <c r="BB763" s="188"/>
      <c r="BG763" s="188"/>
      <c r="BH763" s="188"/>
      <c r="BJ763" s="188"/>
      <c r="BK763" s="188"/>
    </row>
    <row r="764" spans="45:69" x14ac:dyDescent="0.3">
      <c r="AZ764" s="188"/>
      <c r="BB764" s="188"/>
    </row>
    <row r="765" spans="45:69" x14ac:dyDescent="0.3">
      <c r="AS765" s="42"/>
      <c r="AZ765" s="188"/>
      <c r="BB765" s="188"/>
      <c r="BI765" s="188"/>
    </row>
    <row r="766" spans="45:69" x14ac:dyDescent="0.3">
      <c r="AZ766" s="188"/>
      <c r="BB766" s="188"/>
    </row>
    <row r="767" spans="45:69" x14ac:dyDescent="0.3">
      <c r="AY767" s="188"/>
      <c r="BB767" s="188"/>
    </row>
    <row r="768" spans="45:69" x14ac:dyDescent="0.3">
      <c r="AY768" s="42"/>
      <c r="AZ768" s="188"/>
      <c r="BB768" s="188"/>
    </row>
    <row r="769" spans="45:75" x14ac:dyDescent="0.3">
      <c r="AY769" s="42"/>
      <c r="AZ769" s="188"/>
      <c r="BB769" s="188"/>
    </row>
    <row r="770" spans="45:75" x14ac:dyDescent="0.3">
      <c r="AZ770" s="188"/>
      <c r="BB770" s="188"/>
      <c r="BD770" s="42"/>
    </row>
    <row r="771" spans="45:75" x14ac:dyDescent="0.3">
      <c r="AZ771" s="188"/>
      <c r="BB771" s="188"/>
      <c r="BD771" s="42"/>
    </row>
    <row r="772" spans="45:75" x14ac:dyDescent="0.3">
      <c r="AS772" s="42"/>
      <c r="AZ772" s="188"/>
      <c r="BB772" s="188"/>
      <c r="BD772" s="42"/>
    </row>
    <row r="773" spans="45:75" x14ac:dyDescent="0.3">
      <c r="AZ773" s="188"/>
      <c r="BB773" s="188"/>
    </row>
    <row r="774" spans="45:75" x14ac:dyDescent="0.3">
      <c r="AS774" s="135"/>
      <c r="AT774" s="135"/>
      <c r="AU774" s="135"/>
      <c r="AV774" s="135"/>
      <c r="AW774" s="135"/>
      <c r="AX774" s="135"/>
      <c r="AY774" s="135"/>
      <c r="AZ774" s="244"/>
      <c r="BA774" s="135"/>
      <c r="BB774" s="244"/>
      <c r="BC774" s="135"/>
      <c r="BD774" s="135"/>
      <c r="BE774" s="135"/>
    </row>
    <row r="775" spans="45:75" x14ac:dyDescent="0.3">
      <c r="AX775" s="42"/>
      <c r="AZ775" s="188"/>
      <c r="BB775" s="188"/>
    </row>
    <row r="776" spans="45:75" x14ac:dyDescent="0.3">
      <c r="AX776" s="135"/>
      <c r="AY776" s="135"/>
      <c r="AZ776" s="244"/>
      <c r="BA776" s="135"/>
      <c r="BB776" s="188"/>
      <c r="BC776" s="44"/>
      <c r="BD776" s="44"/>
    </row>
    <row r="777" spans="45:75" x14ac:dyDescent="0.3">
      <c r="AV777" s="44"/>
      <c r="AW777" s="44"/>
      <c r="AZ777" s="245"/>
      <c r="BA777" s="44"/>
      <c r="BB777" s="188"/>
      <c r="BC777" s="44"/>
      <c r="BD777" s="44"/>
      <c r="BE777" s="44"/>
      <c r="BG777" s="135"/>
      <c r="BH777" s="135"/>
      <c r="BI777" s="42"/>
      <c r="BM777" s="135"/>
      <c r="BN777" s="135"/>
      <c r="BP777" s="135"/>
      <c r="BQ777" s="135"/>
      <c r="BR777" s="42"/>
      <c r="BV777" s="135"/>
      <c r="BW777" s="135"/>
    </row>
    <row r="778" spans="45:75" x14ac:dyDescent="0.3">
      <c r="AV778" s="44"/>
      <c r="AW778" s="44"/>
      <c r="AX778" s="44"/>
      <c r="AY778" s="44"/>
      <c r="AZ778" s="245"/>
      <c r="BA778" s="44"/>
      <c r="BB778" s="245"/>
      <c r="BC778" s="44"/>
      <c r="BD778" s="44"/>
      <c r="BE778" s="44"/>
      <c r="BH778" s="44"/>
      <c r="BI778" s="44"/>
      <c r="BJ778" s="44"/>
      <c r="BK778" s="44"/>
      <c r="BL778" s="44"/>
      <c r="BM778" s="44"/>
      <c r="BQ778" s="44"/>
      <c r="BR778" s="44"/>
      <c r="BS778" s="44"/>
      <c r="BT778" s="44"/>
      <c r="BU778" s="44"/>
      <c r="BV778" s="44"/>
    </row>
    <row r="779" spans="45:75" x14ac:dyDescent="0.3">
      <c r="AS779" s="44"/>
      <c r="AU779" s="42"/>
      <c r="AV779" s="44"/>
      <c r="AW779" s="44"/>
      <c r="AX779" s="44"/>
      <c r="AY779" s="44"/>
      <c r="AZ779" s="245"/>
      <c r="BA779" s="44"/>
      <c r="BB779" s="245"/>
      <c r="BC779" s="44"/>
      <c r="BD779" s="44"/>
      <c r="BE779" s="44"/>
      <c r="BG779" s="44"/>
      <c r="BH779" s="44"/>
      <c r="BI779" s="44"/>
      <c r="BJ779" s="44"/>
      <c r="BK779" s="44"/>
      <c r="BL779" s="44"/>
      <c r="BM779" s="44"/>
      <c r="BN779" s="44"/>
      <c r="BP779" s="44"/>
      <c r="BQ779" s="44"/>
      <c r="BR779" s="44"/>
      <c r="BS779" s="44"/>
      <c r="BT779" s="44"/>
      <c r="BU779" s="44"/>
      <c r="BV779" s="44"/>
      <c r="BW779" s="44"/>
    </row>
    <row r="780" spans="45:75" x14ac:dyDescent="0.3">
      <c r="AS780" s="44"/>
      <c r="AU780" s="42"/>
      <c r="AV780" s="44"/>
      <c r="AW780" s="44"/>
      <c r="AX780" s="44"/>
      <c r="AY780" s="44"/>
      <c r="AZ780" s="245"/>
      <c r="BA780" s="44"/>
      <c r="BB780" s="245"/>
      <c r="BC780" s="44"/>
      <c r="BD780" s="44"/>
      <c r="BE780" s="44"/>
      <c r="BG780" s="44"/>
      <c r="BH780" s="44"/>
      <c r="BI780" s="44"/>
      <c r="BJ780" s="44"/>
      <c r="BK780" s="44"/>
      <c r="BL780" s="44"/>
      <c r="BM780" s="44"/>
      <c r="BN780" s="44"/>
      <c r="BP780" s="44"/>
      <c r="BQ780" s="44"/>
      <c r="BR780" s="44"/>
      <c r="BS780" s="44"/>
      <c r="BT780" s="44"/>
      <c r="BU780" s="44"/>
      <c r="BV780" s="44"/>
      <c r="BW780" s="44"/>
    </row>
    <row r="781" spans="45:75" x14ac:dyDescent="0.3">
      <c r="AS781" s="135"/>
      <c r="AT781" s="135"/>
      <c r="AU781" s="135"/>
      <c r="AV781" s="135"/>
      <c r="AW781" s="135"/>
      <c r="AX781" s="135"/>
      <c r="AY781" s="135"/>
      <c r="AZ781" s="244"/>
      <c r="BA781" s="135"/>
      <c r="BB781" s="244"/>
      <c r="BC781" s="135"/>
      <c r="BD781" s="135"/>
      <c r="BE781" s="135"/>
      <c r="BG781" s="135"/>
      <c r="BH781" s="135"/>
      <c r="BI781" s="135"/>
      <c r="BJ781" s="135"/>
      <c r="BK781" s="135"/>
      <c r="BL781" s="135"/>
      <c r="BM781" s="135"/>
      <c r="BN781" s="135"/>
      <c r="BP781" s="135"/>
      <c r="BQ781" s="135"/>
      <c r="BR781" s="135"/>
      <c r="BS781" s="135"/>
      <c r="BT781" s="135"/>
      <c r="BU781" s="135"/>
      <c r="BV781" s="135"/>
      <c r="BW781" s="135"/>
    </row>
    <row r="782" spans="45:75" x14ac:dyDescent="0.3">
      <c r="AV782" s="44"/>
      <c r="AW782" s="44"/>
      <c r="AX782" s="44"/>
      <c r="AY782" s="44"/>
      <c r="AZ782" s="245"/>
      <c r="BA782" s="44"/>
      <c r="BB782" s="245"/>
      <c r="BC782" s="44"/>
      <c r="BD782" s="44"/>
      <c r="BE782" s="44"/>
      <c r="BG782" s="188"/>
      <c r="BH782" s="188"/>
      <c r="BI782" s="188"/>
      <c r="BJ782" s="188"/>
      <c r="BK782" s="188"/>
      <c r="BL782" s="188"/>
      <c r="BM782" s="188"/>
      <c r="BN782" s="188"/>
      <c r="BO782" s="188"/>
      <c r="BP782" s="188"/>
      <c r="BQ782" s="188"/>
      <c r="BR782" s="188"/>
      <c r="BS782" s="188"/>
      <c r="BT782" s="188"/>
      <c r="BU782" s="188"/>
      <c r="BV782" s="188"/>
      <c r="BW782" s="188"/>
    </row>
    <row r="783" spans="45:75" x14ac:dyDescent="0.3">
      <c r="AU783" s="42"/>
      <c r="AW783" s="123"/>
      <c r="AX783" s="188"/>
      <c r="AY783" s="188"/>
      <c r="AZ783" s="188"/>
      <c r="BA783" s="236"/>
      <c r="BB783" s="188"/>
      <c r="BC783" s="188"/>
      <c r="BD783" s="188"/>
      <c r="BE783" s="236"/>
      <c r="BG783" s="188"/>
      <c r="BH783" s="188"/>
      <c r="BI783" s="188"/>
      <c r="BJ783" s="188"/>
      <c r="BK783" s="188"/>
      <c r="BL783" s="188"/>
      <c r="BM783" s="188"/>
      <c r="BN783" s="188"/>
      <c r="BO783" s="188"/>
      <c r="BP783" s="188"/>
      <c r="BQ783" s="188"/>
      <c r="BR783" s="188"/>
      <c r="BS783" s="188"/>
      <c r="BT783" s="188"/>
      <c r="BU783" s="188"/>
      <c r="BV783" s="188"/>
      <c r="BW783" s="188"/>
    </row>
    <row r="784" spans="45:75" x14ac:dyDescent="0.3">
      <c r="AW784" s="123"/>
      <c r="AX784" s="188"/>
      <c r="AY784" s="188"/>
      <c r="AZ784" s="188"/>
      <c r="BA784" s="236"/>
      <c r="BB784" s="188"/>
      <c r="BC784" s="188"/>
      <c r="BD784" s="188"/>
      <c r="BE784" s="236"/>
      <c r="BG784" s="188"/>
      <c r="BH784" s="188"/>
      <c r="BI784" s="188"/>
      <c r="BJ784" s="188"/>
      <c r="BK784" s="188"/>
      <c r="BL784" s="188"/>
      <c r="BM784" s="188"/>
      <c r="BN784" s="188"/>
      <c r="BO784" s="188"/>
      <c r="BP784" s="188"/>
      <c r="BQ784" s="188"/>
      <c r="BR784" s="188"/>
      <c r="BS784" s="188"/>
      <c r="BT784" s="188"/>
      <c r="BU784" s="188"/>
      <c r="BV784" s="188"/>
      <c r="BW784" s="188"/>
    </row>
    <row r="785" spans="49:75" x14ac:dyDescent="0.3">
      <c r="AW785" s="123"/>
      <c r="AX785" s="188"/>
      <c r="AY785" s="188"/>
      <c r="AZ785" s="188"/>
      <c r="BA785" s="236"/>
      <c r="BB785" s="188"/>
      <c r="BC785" s="188"/>
      <c r="BD785" s="188"/>
      <c r="BE785" s="236"/>
      <c r="BG785" s="188"/>
      <c r="BH785" s="188"/>
      <c r="BI785" s="188"/>
      <c r="BJ785" s="188"/>
      <c r="BK785" s="188"/>
      <c r="BL785" s="188"/>
      <c r="BM785" s="188"/>
      <c r="BN785" s="188"/>
      <c r="BO785" s="188"/>
      <c r="BP785" s="188"/>
      <c r="BQ785" s="188"/>
      <c r="BR785" s="188"/>
      <c r="BS785" s="188"/>
      <c r="BT785" s="188"/>
      <c r="BU785" s="188"/>
      <c r="BV785" s="188"/>
      <c r="BW785" s="188"/>
    </row>
    <row r="786" spans="49:75" x14ac:dyDescent="0.3">
      <c r="AW786" s="123"/>
      <c r="AX786" s="188"/>
      <c r="AY786" s="188"/>
      <c r="AZ786" s="188"/>
      <c r="BA786" s="236"/>
      <c r="BB786" s="188"/>
      <c r="BC786" s="188"/>
      <c r="BD786" s="188"/>
      <c r="BE786" s="236"/>
      <c r="BG786" s="188"/>
      <c r="BH786" s="188"/>
      <c r="BI786" s="188"/>
      <c r="BJ786" s="188"/>
      <c r="BK786" s="188"/>
      <c r="BL786" s="188"/>
      <c r="BM786" s="188"/>
      <c r="BN786" s="188"/>
      <c r="BO786" s="188"/>
      <c r="BP786" s="188"/>
      <c r="BQ786" s="188"/>
      <c r="BR786" s="188"/>
      <c r="BS786" s="188"/>
      <c r="BT786" s="188"/>
      <c r="BU786" s="188"/>
      <c r="BV786" s="188"/>
      <c r="BW786" s="188"/>
    </row>
    <row r="787" spans="49:75" x14ac:dyDescent="0.3">
      <c r="AW787" s="123"/>
      <c r="AX787" s="188"/>
      <c r="AY787" s="188"/>
      <c r="AZ787" s="188"/>
      <c r="BA787" s="236"/>
      <c r="BB787" s="188"/>
      <c r="BC787" s="188"/>
      <c r="BD787" s="188"/>
      <c r="BE787" s="236"/>
      <c r="BG787" s="188"/>
      <c r="BH787" s="188"/>
      <c r="BI787" s="188"/>
      <c r="BJ787" s="188"/>
      <c r="BK787" s="188"/>
      <c r="BL787" s="188"/>
      <c r="BM787" s="188"/>
      <c r="BN787" s="188"/>
      <c r="BO787" s="188"/>
      <c r="BP787" s="188"/>
      <c r="BQ787" s="188"/>
      <c r="BR787" s="188"/>
      <c r="BS787" s="188"/>
      <c r="BT787" s="188"/>
      <c r="BU787" s="188"/>
      <c r="BV787" s="188"/>
      <c r="BW787" s="188"/>
    </row>
    <row r="788" spans="49:75" x14ac:dyDescent="0.3">
      <c r="AW788" s="123"/>
      <c r="AX788" s="188"/>
      <c r="AY788" s="188"/>
      <c r="AZ788" s="188"/>
      <c r="BA788" s="236"/>
      <c r="BB788" s="188"/>
      <c r="BC788" s="188"/>
      <c r="BD788" s="188"/>
      <c r="BE788" s="236"/>
      <c r="BG788" s="188"/>
      <c r="BH788" s="188"/>
      <c r="BI788" s="188"/>
      <c r="BJ788" s="188"/>
      <c r="BK788" s="188"/>
      <c r="BL788" s="188"/>
      <c r="BM788" s="188"/>
      <c r="BN788" s="188"/>
      <c r="BO788" s="188"/>
      <c r="BP788" s="188"/>
      <c r="BQ788" s="188"/>
      <c r="BR788" s="188"/>
      <c r="BS788" s="188"/>
      <c r="BT788" s="188"/>
      <c r="BU788" s="188"/>
      <c r="BV788" s="188"/>
      <c r="BW788" s="188"/>
    </row>
    <row r="789" spans="49:75" x14ac:dyDescent="0.3">
      <c r="AW789" s="123"/>
      <c r="AX789" s="188"/>
      <c r="AY789" s="188"/>
      <c r="AZ789" s="188"/>
      <c r="BA789" s="236"/>
      <c r="BB789" s="188"/>
      <c r="BC789" s="188"/>
      <c r="BD789" s="188"/>
      <c r="BE789" s="236"/>
      <c r="BG789" s="188"/>
      <c r="BH789" s="188"/>
      <c r="BI789" s="188"/>
      <c r="BJ789" s="188"/>
      <c r="BK789" s="188"/>
      <c r="BL789" s="188"/>
      <c r="BM789" s="188"/>
      <c r="BN789" s="188"/>
      <c r="BO789" s="188"/>
      <c r="BP789" s="188"/>
      <c r="BQ789" s="188"/>
      <c r="BR789" s="188"/>
      <c r="BS789" s="188"/>
      <c r="BT789" s="188"/>
      <c r="BU789" s="188"/>
      <c r="BV789" s="188"/>
      <c r="BW789" s="188"/>
    </row>
    <row r="790" spans="49:75" x14ac:dyDescent="0.3">
      <c r="AW790" s="123"/>
      <c r="AX790" s="188"/>
      <c r="AY790" s="188"/>
      <c r="AZ790" s="188"/>
      <c r="BA790" s="236"/>
      <c r="BB790" s="188"/>
      <c r="BC790" s="188"/>
      <c r="BD790" s="188"/>
      <c r="BE790" s="236"/>
      <c r="BG790" s="188"/>
      <c r="BH790" s="188"/>
      <c r="BI790" s="188"/>
      <c r="BJ790" s="188"/>
      <c r="BK790" s="188"/>
      <c r="BL790" s="188"/>
      <c r="BM790" s="188"/>
      <c r="BN790" s="188"/>
      <c r="BO790" s="188"/>
      <c r="BP790" s="188"/>
      <c r="BQ790" s="188"/>
      <c r="BR790" s="188"/>
      <c r="BS790" s="188"/>
      <c r="BT790" s="188"/>
      <c r="BU790" s="188"/>
      <c r="BV790" s="188"/>
      <c r="BW790" s="188"/>
    </row>
    <row r="791" spans="49:75" x14ac:dyDescent="0.3">
      <c r="AW791" s="123"/>
      <c r="AX791" s="188"/>
      <c r="AY791" s="188"/>
      <c r="AZ791" s="188"/>
      <c r="BA791" s="236"/>
      <c r="BB791" s="188"/>
      <c r="BC791" s="188"/>
      <c r="BD791" s="188"/>
      <c r="BE791" s="236"/>
      <c r="BG791" s="188"/>
      <c r="BH791" s="188"/>
      <c r="BI791" s="188"/>
      <c r="BJ791" s="188"/>
      <c r="BK791" s="188"/>
      <c r="BL791" s="188"/>
      <c r="BM791" s="188"/>
      <c r="BN791" s="188"/>
      <c r="BO791" s="188"/>
      <c r="BP791" s="188"/>
      <c r="BQ791" s="188"/>
      <c r="BR791" s="188"/>
      <c r="BS791" s="188"/>
      <c r="BT791" s="188"/>
      <c r="BU791" s="188"/>
      <c r="BV791" s="188"/>
      <c r="BW791" s="188"/>
    </row>
    <row r="792" spans="49:75" x14ac:dyDescent="0.3">
      <c r="AW792" s="123"/>
      <c r="AX792" s="188"/>
      <c r="AY792" s="188"/>
      <c r="AZ792" s="188"/>
      <c r="BA792" s="236"/>
      <c r="BB792" s="188"/>
      <c r="BC792" s="188"/>
      <c r="BD792" s="188"/>
      <c r="BE792" s="236"/>
      <c r="BG792" s="188"/>
      <c r="BH792" s="188"/>
      <c r="BI792" s="188"/>
      <c r="BJ792" s="188"/>
      <c r="BK792" s="188"/>
      <c r="BL792" s="188"/>
      <c r="BM792" s="188"/>
      <c r="BN792" s="188"/>
      <c r="BO792" s="188"/>
      <c r="BP792" s="188"/>
      <c r="BQ792" s="188"/>
      <c r="BR792" s="188"/>
      <c r="BS792" s="188"/>
      <c r="BT792" s="188"/>
      <c r="BU792" s="188"/>
      <c r="BV792" s="188"/>
      <c r="BW792" s="188"/>
    </row>
    <row r="793" spans="49:75" x14ac:dyDescent="0.3">
      <c r="AW793" s="123"/>
      <c r="AX793" s="188"/>
      <c r="AY793" s="188"/>
      <c r="AZ793" s="188"/>
      <c r="BA793" s="236"/>
      <c r="BB793" s="188"/>
      <c r="BC793" s="188"/>
      <c r="BD793" s="188"/>
      <c r="BE793" s="236"/>
      <c r="BG793" s="188"/>
      <c r="BH793" s="188"/>
      <c r="BI793" s="188"/>
      <c r="BJ793" s="188"/>
      <c r="BK793" s="188"/>
      <c r="BL793" s="188"/>
      <c r="BM793" s="188"/>
      <c r="BN793" s="188"/>
      <c r="BO793" s="188"/>
      <c r="BP793" s="188"/>
      <c r="BQ793" s="188"/>
      <c r="BR793" s="188"/>
      <c r="BS793" s="188"/>
      <c r="BT793" s="188"/>
      <c r="BU793" s="188"/>
      <c r="BV793" s="188"/>
      <c r="BW793" s="188"/>
    </row>
    <row r="794" spans="49:75" x14ac:dyDescent="0.3">
      <c r="AW794" s="123"/>
      <c r="AX794" s="188"/>
      <c r="AY794" s="188"/>
      <c r="AZ794" s="188"/>
      <c r="BA794" s="236"/>
      <c r="BB794" s="188"/>
      <c r="BC794" s="188"/>
      <c r="BD794" s="188"/>
      <c r="BE794" s="236"/>
      <c r="BG794" s="188"/>
      <c r="BH794" s="188"/>
      <c r="BI794" s="188"/>
      <c r="BJ794" s="188"/>
      <c r="BK794" s="188"/>
      <c r="BL794" s="188"/>
      <c r="BM794" s="188"/>
      <c r="BN794" s="188"/>
      <c r="BO794" s="188"/>
      <c r="BP794" s="188"/>
      <c r="BQ794" s="188"/>
      <c r="BR794" s="188"/>
      <c r="BS794" s="188"/>
      <c r="BT794" s="188"/>
      <c r="BU794" s="188"/>
      <c r="BV794" s="188"/>
      <c r="BW794" s="188"/>
    </row>
    <row r="795" spans="49:75" x14ac:dyDescent="0.3">
      <c r="AW795" s="123"/>
      <c r="AX795" s="188"/>
      <c r="AY795" s="188"/>
      <c r="AZ795" s="188"/>
      <c r="BA795" s="236"/>
      <c r="BB795" s="188"/>
      <c r="BC795" s="188"/>
      <c r="BD795" s="188"/>
      <c r="BE795" s="236"/>
      <c r="BG795" s="188"/>
      <c r="BH795" s="188"/>
      <c r="BI795" s="188"/>
      <c r="BJ795" s="188"/>
      <c r="BK795" s="188"/>
      <c r="BL795" s="188"/>
      <c r="BM795" s="188"/>
      <c r="BN795" s="188"/>
      <c r="BO795" s="188"/>
      <c r="BP795" s="188"/>
      <c r="BQ795" s="188"/>
      <c r="BR795" s="188"/>
      <c r="BS795" s="188"/>
      <c r="BT795" s="188"/>
      <c r="BU795" s="188"/>
      <c r="BV795" s="188"/>
      <c r="BW795" s="188"/>
    </row>
    <row r="796" spans="49:75" x14ac:dyDescent="0.3">
      <c r="AW796" s="123"/>
      <c r="AX796" s="188"/>
      <c r="AY796" s="188"/>
      <c r="AZ796" s="188"/>
      <c r="BA796" s="236"/>
      <c r="BB796" s="188"/>
      <c r="BC796" s="188"/>
      <c r="BD796" s="188"/>
      <c r="BE796" s="236"/>
      <c r="BG796" s="188"/>
      <c r="BH796" s="188"/>
      <c r="BI796" s="188"/>
      <c r="BJ796" s="188"/>
      <c r="BK796" s="188"/>
      <c r="BL796" s="188"/>
      <c r="BM796" s="188"/>
      <c r="BN796" s="188"/>
      <c r="BO796" s="188"/>
      <c r="BP796" s="188"/>
      <c r="BQ796" s="188"/>
      <c r="BR796" s="188"/>
      <c r="BS796" s="188"/>
      <c r="BT796" s="188"/>
      <c r="BU796" s="188"/>
      <c r="BV796" s="188"/>
      <c r="BW796" s="188"/>
    </row>
    <row r="797" spans="49:75" x14ac:dyDescent="0.3">
      <c r="AW797" s="123"/>
      <c r="AX797" s="188"/>
      <c r="AY797" s="188"/>
      <c r="AZ797" s="188"/>
      <c r="BA797" s="236"/>
      <c r="BB797" s="188"/>
      <c r="BC797" s="188"/>
      <c r="BD797" s="188"/>
      <c r="BE797" s="236"/>
      <c r="BG797" s="188"/>
      <c r="BH797" s="188"/>
      <c r="BI797" s="188"/>
      <c r="BJ797" s="188"/>
      <c r="BK797" s="188"/>
      <c r="BL797" s="188"/>
      <c r="BM797" s="188"/>
      <c r="BN797" s="188"/>
      <c r="BO797" s="188"/>
      <c r="BP797" s="188"/>
      <c r="BQ797" s="188"/>
      <c r="BR797" s="188"/>
      <c r="BS797" s="188"/>
      <c r="BT797" s="188"/>
      <c r="BU797" s="188"/>
      <c r="BV797" s="188"/>
      <c r="BW797" s="188"/>
    </row>
    <row r="798" spans="49:75" x14ac:dyDescent="0.3">
      <c r="AW798" s="123"/>
      <c r="AX798" s="188"/>
      <c r="AY798" s="188"/>
      <c r="AZ798" s="188"/>
      <c r="BA798" s="236"/>
      <c r="BB798" s="188"/>
      <c r="BC798" s="188"/>
      <c r="BD798" s="188"/>
      <c r="BE798" s="236"/>
      <c r="BG798" s="188"/>
      <c r="BH798" s="188"/>
      <c r="BI798" s="188"/>
      <c r="BJ798" s="188"/>
      <c r="BK798" s="188"/>
      <c r="BL798" s="188"/>
      <c r="BM798" s="188"/>
      <c r="BN798" s="188"/>
      <c r="BO798" s="188"/>
      <c r="BP798" s="188"/>
      <c r="BQ798" s="188"/>
      <c r="BR798" s="188"/>
      <c r="BS798" s="188"/>
      <c r="BT798" s="188"/>
      <c r="BU798" s="188"/>
      <c r="BV798" s="188"/>
      <c r="BW798" s="188"/>
    </row>
    <row r="799" spans="49:75" x14ac:dyDescent="0.3">
      <c r="AW799" s="123"/>
      <c r="AX799" s="188"/>
      <c r="AY799" s="188"/>
      <c r="AZ799" s="188"/>
      <c r="BA799" s="236"/>
      <c r="BB799" s="188"/>
      <c r="BC799" s="188"/>
      <c r="BD799" s="188"/>
      <c r="BE799" s="236"/>
      <c r="BG799" s="188"/>
      <c r="BH799" s="188"/>
      <c r="BI799" s="188"/>
      <c r="BJ799" s="188"/>
      <c r="BK799" s="188"/>
      <c r="BL799" s="188"/>
      <c r="BM799" s="188"/>
      <c r="BN799" s="188"/>
      <c r="BO799" s="188"/>
      <c r="BP799" s="188"/>
      <c r="BQ799" s="188"/>
      <c r="BR799" s="188"/>
      <c r="BS799" s="188"/>
      <c r="BT799" s="188"/>
      <c r="BU799" s="188"/>
      <c r="BV799" s="188"/>
      <c r="BW799" s="188"/>
    </row>
    <row r="800" spans="49:75" x14ac:dyDescent="0.3">
      <c r="AW800" s="123"/>
      <c r="AX800" s="188"/>
      <c r="AY800" s="188"/>
      <c r="AZ800" s="188"/>
      <c r="BA800" s="236"/>
      <c r="BB800" s="188"/>
      <c r="BC800" s="188"/>
      <c r="BD800" s="188"/>
      <c r="BE800" s="236"/>
      <c r="BG800" s="188"/>
      <c r="BH800" s="188"/>
      <c r="BI800" s="188"/>
      <c r="BJ800" s="188"/>
      <c r="BK800" s="188"/>
      <c r="BL800" s="188"/>
      <c r="BM800" s="188"/>
      <c r="BN800" s="188"/>
      <c r="BO800" s="188"/>
      <c r="BP800" s="188"/>
      <c r="BQ800" s="188"/>
      <c r="BR800" s="188"/>
      <c r="BS800" s="188"/>
      <c r="BT800" s="188"/>
      <c r="BU800" s="188"/>
      <c r="BV800" s="188"/>
      <c r="BW800" s="188"/>
    </row>
    <row r="801" spans="45:75" x14ac:dyDescent="0.3">
      <c r="AW801" s="123"/>
      <c r="AX801" s="188"/>
      <c r="AY801" s="188"/>
      <c r="AZ801" s="188"/>
      <c r="BA801" s="236"/>
      <c r="BB801" s="188"/>
      <c r="BC801" s="188"/>
      <c r="BD801" s="188"/>
      <c r="BE801" s="236"/>
      <c r="BG801" s="188"/>
      <c r="BH801" s="188"/>
      <c r="BI801" s="188"/>
      <c r="BJ801" s="188"/>
      <c r="BK801" s="188"/>
      <c r="BL801" s="188"/>
      <c r="BM801" s="188"/>
      <c r="BN801" s="188"/>
      <c r="BO801" s="188"/>
      <c r="BP801" s="188"/>
      <c r="BQ801" s="188"/>
      <c r="BR801" s="188"/>
      <c r="BS801" s="188"/>
      <c r="BT801" s="188"/>
      <c r="BU801" s="188"/>
      <c r="BV801" s="188"/>
      <c r="BW801" s="188"/>
    </row>
    <row r="802" spans="45:75" x14ac:dyDescent="0.3">
      <c r="AW802" s="123"/>
      <c r="AX802" s="188"/>
      <c r="AY802" s="188"/>
      <c r="AZ802" s="188"/>
      <c r="BA802" s="236"/>
      <c r="BB802" s="188"/>
      <c r="BC802" s="188"/>
      <c r="BD802" s="188"/>
      <c r="BE802" s="236"/>
      <c r="BG802" s="188"/>
      <c r="BH802" s="188"/>
      <c r="BI802" s="188"/>
      <c r="BJ802" s="188"/>
      <c r="BK802" s="188"/>
      <c r="BL802" s="188"/>
      <c r="BM802" s="188"/>
      <c r="BN802" s="188"/>
      <c r="BO802" s="188"/>
      <c r="BP802" s="188"/>
      <c r="BQ802" s="188"/>
      <c r="BR802" s="188"/>
      <c r="BS802" s="188"/>
      <c r="BT802" s="188"/>
      <c r="BU802" s="188"/>
      <c r="BV802" s="188"/>
      <c r="BW802" s="188"/>
    </row>
    <row r="803" spans="45:75" x14ac:dyDescent="0.3">
      <c r="AW803" s="123"/>
      <c r="AX803" s="188"/>
      <c r="AY803" s="188"/>
      <c r="AZ803" s="188"/>
      <c r="BA803" s="236"/>
      <c r="BB803" s="188"/>
      <c r="BC803" s="188"/>
      <c r="BD803" s="188"/>
      <c r="BE803" s="236"/>
      <c r="BG803" s="188"/>
      <c r="BH803" s="188"/>
      <c r="BI803" s="188"/>
      <c r="BJ803" s="188"/>
      <c r="BK803" s="188"/>
      <c r="BL803" s="188"/>
      <c r="BM803" s="188"/>
      <c r="BN803" s="188"/>
      <c r="BO803" s="188"/>
      <c r="BP803" s="188"/>
      <c r="BQ803" s="188"/>
      <c r="BR803" s="188"/>
      <c r="BS803" s="188"/>
      <c r="BT803" s="188"/>
      <c r="BU803" s="188"/>
      <c r="BV803" s="188"/>
      <c r="BW803" s="188"/>
    </row>
    <row r="804" spans="45:75" x14ac:dyDescent="0.3">
      <c r="AW804" s="123"/>
      <c r="AX804" s="188"/>
      <c r="AY804" s="188"/>
      <c r="AZ804" s="188"/>
      <c r="BA804" s="236"/>
      <c r="BB804" s="188"/>
      <c r="BC804" s="188"/>
      <c r="BD804" s="188"/>
      <c r="BE804" s="236"/>
      <c r="BG804" s="135"/>
      <c r="BH804" s="135"/>
      <c r="BI804" s="42"/>
      <c r="BM804" s="135"/>
      <c r="BN804" s="135"/>
      <c r="BO804" s="188"/>
      <c r="BP804" s="135"/>
      <c r="BQ804" s="135"/>
      <c r="BR804" s="42"/>
      <c r="BV804" s="135"/>
      <c r="BW804" s="135"/>
    </row>
    <row r="805" spans="45:75" x14ac:dyDescent="0.3">
      <c r="AU805" s="42"/>
      <c r="AV805" s="44"/>
      <c r="AW805" s="123"/>
      <c r="AX805" s="188"/>
      <c r="AY805" s="188"/>
      <c r="AZ805" s="188"/>
      <c r="BA805" s="236"/>
      <c r="BB805" s="188"/>
      <c r="BC805" s="188"/>
      <c r="BD805" s="188"/>
      <c r="BE805" s="236"/>
      <c r="BG805" s="245"/>
      <c r="BH805" s="188"/>
      <c r="BI805" s="188"/>
      <c r="BJ805" s="188"/>
      <c r="BK805" s="245"/>
      <c r="BL805" s="246"/>
      <c r="BM805" s="188"/>
      <c r="BN805" s="245"/>
      <c r="BO805" s="188"/>
      <c r="BP805" s="245"/>
      <c r="BQ805" s="188"/>
      <c r="BR805" s="188"/>
      <c r="BS805" s="188"/>
      <c r="BT805" s="245"/>
      <c r="BU805" s="246"/>
      <c r="BV805" s="188"/>
      <c r="BW805" s="245"/>
    </row>
    <row r="806" spans="45:75" x14ac:dyDescent="0.3">
      <c r="AV806" s="44"/>
      <c r="AW806" s="123"/>
      <c r="AX806" s="188"/>
      <c r="AY806" s="188"/>
      <c r="AZ806" s="188"/>
      <c r="BA806" s="236"/>
      <c r="BB806" s="188"/>
      <c r="BC806" s="188"/>
      <c r="BD806" s="188"/>
      <c r="BE806" s="236"/>
      <c r="BG806" s="188"/>
      <c r="BH806" s="188"/>
      <c r="BI806" s="188"/>
      <c r="BJ806" s="188"/>
      <c r="BK806" s="188"/>
      <c r="BL806" s="246"/>
      <c r="BM806" s="188"/>
      <c r="BN806" s="188"/>
      <c r="BO806" s="188"/>
      <c r="BP806" s="188"/>
      <c r="BQ806" s="188"/>
      <c r="BR806" s="188"/>
      <c r="BS806" s="188"/>
      <c r="BT806" s="188"/>
      <c r="BU806" s="246"/>
      <c r="BV806" s="188"/>
      <c r="BW806" s="188"/>
    </row>
    <row r="807" spans="45:75" x14ac:dyDescent="0.3">
      <c r="AV807" s="44"/>
      <c r="AW807" s="123"/>
      <c r="AX807" s="188"/>
      <c r="AY807" s="188"/>
      <c r="AZ807" s="188"/>
      <c r="BA807" s="236"/>
      <c r="BB807" s="188"/>
      <c r="BC807" s="188"/>
      <c r="BD807" s="188"/>
      <c r="BE807" s="236"/>
      <c r="BG807" s="188"/>
      <c r="BH807" s="188"/>
      <c r="BI807" s="188"/>
      <c r="BJ807" s="188"/>
      <c r="BK807" s="188"/>
      <c r="BL807" s="246"/>
      <c r="BM807" s="188"/>
      <c r="BN807" s="188"/>
      <c r="BO807" s="188"/>
      <c r="BP807" s="188"/>
      <c r="BQ807" s="188"/>
      <c r="BR807" s="188"/>
      <c r="BS807" s="188"/>
      <c r="BT807" s="188"/>
      <c r="BU807" s="246"/>
      <c r="BV807" s="188"/>
      <c r="BW807" s="188"/>
    </row>
    <row r="808" spans="45:75" x14ac:dyDescent="0.3">
      <c r="AV808" s="44"/>
      <c r="AW808" s="123"/>
      <c r="AX808" s="188"/>
      <c r="AY808" s="188"/>
      <c r="AZ808" s="188"/>
      <c r="BA808" s="236"/>
      <c r="BB808" s="188"/>
      <c r="BC808" s="188"/>
      <c r="BD808" s="188"/>
      <c r="BE808" s="236"/>
      <c r="BG808" s="188"/>
      <c r="BH808" s="188"/>
      <c r="BI808" s="188"/>
      <c r="BJ808" s="188"/>
      <c r="BK808" s="188"/>
      <c r="BL808" s="246"/>
      <c r="BM808" s="188"/>
      <c r="BN808" s="188"/>
      <c r="BO808" s="188"/>
      <c r="BP808" s="188"/>
      <c r="BQ808" s="188"/>
      <c r="BR808" s="188"/>
      <c r="BS808" s="188"/>
      <c r="BT808" s="188"/>
      <c r="BU808" s="246"/>
      <c r="BV808" s="188"/>
      <c r="BW808" s="188"/>
    </row>
    <row r="809" spans="45:75" x14ac:dyDescent="0.3">
      <c r="AX809" s="188"/>
      <c r="AY809" s="188"/>
      <c r="AZ809" s="188"/>
      <c r="BA809" s="236"/>
      <c r="BB809" s="188"/>
      <c r="BC809" s="188"/>
      <c r="BD809" s="188"/>
      <c r="BE809" s="236"/>
      <c r="BG809" s="188"/>
      <c r="BH809" s="188"/>
      <c r="BI809" s="188"/>
      <c r="BJ809" s="188"/>
      <c r="BK809" s="188"/>
      <c r="BL809" s="188"/>
      <c r="BM809" s="188"/>
      <c r="BN809" s="188"/>
      <c r="BO809" s="188"/>
      <c r="BP809" s="188"/>
      <c r="BQ809" s="188"/>
      <c r="BR809" s="188"/>
      <c r="BS809" s="188"/>
      <c r="BT809" s="188"/>
      <c r="BU809" s="188"/>
      <c r="BV809" s="188"/>
    </row>
    <row r="810" spans="45:75" x14ac:dyDescent="0.3">
      <c r="AU810" s="42"/>
    </row>
    <row r="811" spans="45:75" x14ac:dyDescent="0.3">
      <c r="AU811" s="42"/>
      <c r="AZ811" s="188"/>
      <c r="BA811" s="236"/>
      <c r="BB811" s="188"/>
      <c r="BC811" s="188"/>
      <c r="BD811" s="188"/>
      <c r="BE811" s="236"/>
      <c r="BG811" s="188"/>
      <c r="BH811" s="188"/>
      <c r="BI811" s="188"/>
      <c r="BJ811" s="188"/>
      <c r="BK811" s="188"/>
      <c r="BL811" s="188"/>
      <c r="BM811" s="188"/>
      <c r="BN811" s="188"/>
      <c r="BO811" s="188"/>
      <c r="BP811" s="188"/>
      <c r="BQ811" s="188"/>
      <c r="BR811" s="188"/>
      <c r="BS811" s="188"/>
      <c r="BT811" s="188"/>
      <c r="BU811" s="188"/>
      <c r="BV811" s="188"/>
    </row>
    <row r="812" spans="45:75" x14ac:dyDescent="0.3">
      <c r="AS812" s="42"/>
      <c r="AZ812" s="188"/>
      <c r="BB812" s="188"/>
    </row>
    <row r="813" spans="45:75" x14ac:dyDescent="0.3">
      <c r="AZ813" s="188"/>
      <c r="BB813" s="188"/>
      <c r="BO813" s="188"/>
      <c r="BP813" s="188"/>
      <c r="BQ813" s="188"/>
      <c r="BR813" s="188"/>
      <c r="BS813" s="188"/>
      <c r="BT813" s="188"/>
      <c r="BU813" s="188"/>
      <c r="BV813" s="188"/>
    </row>
    <row r="814" spans="45:75" x14ac:dyDescent="0.3">
      <c r="AY814" s="188"/>
      <c r="AZ814" s="188"/>
      <c r="BB814" s="188"/>
      <c r="BO814" s="188"/>
      <c r="BP814" s="188"/>
      <c r="BQ814" s="188"/>
      <c r="BR814" s="188"/>
      <c r="BS814" s="188"/>
      <c r="BT814" s="188"/>
      <c r="BU814" s="188"/>
      <c r="BV814" s="188"/>
    </row>
    <row r="815" spans="45:75" x14ac:dyDescent="0.3">
      <c r="AY815" s="42"/>
      <c r="AZ815" s="188"/>
      <c r="BB815" s="188"/>
      <c r="BO815" s="188"/>
      <c r="BP815" s="188"/>
      <c r="BQ815" s="188"/>
      <c r="BR815" s="188"/>
      <c r="BS815" s="188"/>
      <c r="BT815" s="188"/>
      <c r="BU815" s="188"/>
      <c r="BV815" s="188"/>
    </row>
    <row r="816" spans="45:75" x14ac:dyDescent="0.3">
      <c r="AY816" s="42"/>
      <c r="AZ816" s="188"/>
      <c r="BB816" s="188"/>
      <c r="BO816" s="188"/>
      <c r="BP816" s="188"/>
      <c r="BQ816" s="188"/>
      <c r="BR816" s="188"/>
      <c r="BS816" s="188"/>
      <c r="BT816" s="188"/>
      <c r="BU816" s="188"/>
      <c r="BV816" s="188"/>
    </row>
    <row r="817" spans="45:74" x14ac:dyDescent="0.3">
      <c r="AZ817" s="188"/>
      <c r="BB817" s="188"/>
      <c r="BD817" s="42"/>
      <c r="BO817" s="188"/>
      <c r="BP817" s="188"/>
      <c r="BQ817" s="188"/>
      <c r="BR817" s="188"/>
      <c r="BS817" s="188"/>
      <c r="BT817" s="188"/>
      <c r="BU817" s="188"/>
      <c r="BV817" s="188"/>
    </row>
    <row r="818" spans="45:74" x14ac:dyDescent="0.3">
      <c r="AZ818" s="188"/>
      <c r="BB818" s="188"/>
      <c r="BD818" s="42"/>
      <c r="BO818" s="188"/>
      <c r="BP818" s="188"/>
      <c r="BQ818" s="188"/>
      <c r="BR818" s="188"/>
      <c r="BS818" s="188"/>
      <c r="BT818" s="188"/>
      <c r="BU818" s="188"/>
      <c r="BV818" s="188"/>
    </row>
    <row r="819" spans="45:74" x14ac:dyDescent="0.3">
      <c r="AS819" s="42"/>
      <c r="AZ819" s="188"/>
      <c r="BB819" s="188"/>
      <c r="BD819" s="42"/>
      <c r="BO819" s="188"/>
      <c r="BP819" s="188"/>
      <c r="BQ819" s="188"/>
      <c r="BR819" s="188"/>
      <c r="BS819" s="188"/>
      <c r="BT819" s="188"/>
      <c r="BU819" s="188"/>
      <c r="BV819" s="188"/>
    </row>
    <row r="820" spans="45:74" x14ac:dyDescent="0.3">
      <c r="AZ820" s="188"/>
      <c r="BB820" s="188"/>
      <c r="BO820" s="188"/>
      <c r="BP820" s="188"/>
      <c r="BQ820" s="188"/>
      <c r="BR820" s="188"/>
      <c r="BS820" s="188"/>
      <c r="BT820" s="188"/>
      <c r="BU820" s="188"/>
      <c r="BV820" s="188"/>
    </row>
    <row r="821" spans="45:74" x14ac:dyDescent="0.3">
      <c r="AS821" s="135"/>
      <c r="AT821" s="135"/>
      <c r="AU821" s="135"/>
      <c r="AV821" s="135"/>
      <c r="AW821" s="135"/>
      <c r="AX821" s="135"/>
      <c r="AY821" s="135"/>
      <c r="AZ821" s="244"/>
      <c r="BA821" s="135"/>
      <c r="BB821" s="244"/>
      <c r="BC821" s="135"/>
      <c r="BD821" s="135"/>
      <c r="BE821" s="135"/>
      <c r="BO821" s="188"/>
      <c r="BP821" s="188"/>
      <c r="BQ821" s="188"/>
      <c r="BR821" s="188"/>
      <c r="BS821" s="188"/>
      <c r="BT821" s="188"/>
      <c r="BU821" s="188"/>
      <c r="BV821" s="188"/>
    </row>
    <row r="822" spans="45:74" x14ac:dyDescent="0.3">
      <c r="AX822" s="42"/>
      <c r="AZ822" s="188"/>
      <c r="BB822" s="188"/>
      <c r="BO822" s="188"/>
      <c r="BP822" s="188"/>
      <c r="BQ822" s="188"/>
      <c r="BR822" s="188"/>
      <c r="BS822" s="188"/>
      <c r="BT822" s="188"/>
      <c r="BU822" s="188"/>
      <c r="BV822" s="188"/>
    </row>
    <row r="823" spans="45:74" x14ac:dyDescent="0.3">
      <c r="AX823" s="135"/>
      <c r="AY823" s="135"/>
      <c r="AZ823" s="244"/>
      <c r="BA823" s="135"/>
      <c r="BB823" s="188"/>
      <c r="BC823" s="44"/>
      <c r="BD823" s="44"/>
      <c r="BO823" s="188"/>
      <c r="BP823" s="188"/>
      <c r="BQ823" s="188"/>
      <c r="BR823" s="188"/>
      <c r="BS823" s="188"/>
      <c r="BT823" s="188"/>
      <c r="BU823" s="188"/>
      <c r="BV823" s="188"/>
    </row>
    <row r="824" spans="45:74" x14ac:dyDescent="0.3">
      <c r="AV824" s="44"/>
      <c r="AW824" s="44"/>
      <c r="AZ824" s="245"/>
      <c r="BA824" s="44"/>
      <c r="BB824" s="188"/>
      <c r="BC824" s="44"/>
      <c r="BD824" s="44"/>
      <c r="BE824" s="44"/>
      <c r="BG824" s="135"/>
      <c r="BH824" s="42"/>
      <c r="BK824" s="135"/>
      <c r="BM824" s="135"/>
      <c r="BN824" s="42"/>
      <c r="BQ824" s="135"/>
    </row>
    <row r="825" spans="45:74" x14ac:dyDescent="0.3">
      <c r="AV825" s="44"/>
      <c r="AW825" s="44"/>
      <c r="AX825" s="44"/>
      <c r="AY825" s="44"/>
      <c r="AZ825" s="245"/>
      <c r="BA825" s="44"/>
      <c r="BB825" s="245"/>
      <c r="BC825" s="44"/>
      <c r="BD825" s="44"/>
      <c r="BE825" s="44"/>
      <c r="BH825" s="44"/>
      <c r="BI825" s="44"/>
      <c r="BN825" s="44"/>
      <c r="BO825" s="44"/>
    </row>
    <row r="826" spans="45:74" x14ac:dyDescent="0.3">
      <c r="AS826" s="44"/>
      <c r="AU826" s="42"/>
      <c r="AV826" s="44"/>
      <c r="AW826" s="44"/>
      <c r="AX826" s="44"/>
      <c r="AY826" s="44"/>
      <c r="AZ826" s="245"/>
      <c r="BA826" s="44"/>
      <c r="BB826" s="245"/>
      <c r="BC826" s="44"/>
      <c r="BD826" s="44"/>
      <c r="BE826" s="44"/>
      <c r="BG826" s="44"/>
      <c r="BH826" s="44"/>
      <c r="BI826" s="44"/>
      <c r="BJ826" s="44"/>
      <c r="BK826" s="44"/>
      <c r="BM826" s="44"/>
      <c r="BN826" s="44"/>
      <c r="BO826" s="44"/>
      <c r="BP826" s="44"/>
      <c r="BQ826" s="44"/>
    </row>
    <row r="827" spans="45:74" x14ac:dyDescent="0.3">
      <c r="AS827" s="44"/>
      <c r="AU827" s="42"/>
      <c r="AV827" s="44"/>
      <c r="AW827" s="44"/>
      <c r="AX827" s="44"/>
      <c r="AY827" s="44"/>
      <c r="AZ827" s="245"/>
      <c r="BA827" s="44"/>
      <c r="BB827" s="245"/>
      <c r="BC827" s="44"/>
      <c r="BD827" s="44"/>
      <c r="BE827" s="44"/>
      <c r="BG827" s="44"/>
      <c r="BH827" s="44"/>
      <c r="BI827" s="44"/>
      <c r="BJ827" s="44"/>
      <c r="BK827" s="44"/>
      <c r="BM827" s="44"/>
      <c r="BN827" s="44"/>
      <c r="BO827" s="44"/>
      <c r="BP827" s="44"/>
      <c r="BQ827" s="44"/>
    </row>
    <row r="828" spans="45:74" x14ac:dyDescent="0.3">
      <c r="AS828" s="135"/>
      <c r="AT828" s="135"/>
      <c r="AU828" s="135"/>
      <c r="AV828" s="135"/>
      <c r="AW828" s="135"/>
      <c r="AX828" s="135"/>
      <c r="AY828" s="135"/>
      <c r="AZ828" s="244"/>
      <c r="BA828" s="135"/>
      <c r="BB828" s="244"/>
      <c r="BC828" s="135"/>
      <c r="BD828" s="135"/>
      <c r="BE828" s="135"/>
      <c r="BG828" s="135"/>
      <c r="BH828" s="135"/>
      <c r="BI828" s="135"/>
      <c r="BJ828" s="135"/>
      <c r="BK828" s="135"/>
      <c r="BM828" s="135"/>
      <c r="BN828" s="135"/>
      <c r="BO828" s="135"/>
      <c r="BP828" s="135"/>
      <c r="BQ828" s="135"/>
    </row>
    <row r="829" spans="45:74" x14ac:dyDescent="0.3">
      <c r="AV829" s="44"/>
      <c r="AW829" s="44"/>
      <c r="AX829" s="44"/>
      <c r="AY829" s="44"/>
      <c r="AZ829" s="245"/>
      <c r="BA829" s="44"/>
      <c r="BB829" s="245"/>
      <c r="BC829" s="44"/>
      <c r="BD829" s="44"/>
      <c r="BE829" s="44"/>
      <c r="BG829" s="188"/>
      <c r="BH829" s="188"/>
      <c r="BI829" s="188"/>
      <c r="BJ829" s="188"/>
      <c r="BK829" s="188"/>
      <c r="BL829" s="188"/>
      <c r="BM829" s="188"/>
      <c r="BN829" s="188"/>
      <c r="BO829" s="188"/>
      <c r="BP829" s="188"/>
      <c r="BQ829" s="188"/>
    </row>
    <row r="830" spans="45:74" x14ac:dyDescent="0.3">
      <c r="AT830" s="42"/>
      <c r="AV830" s="123"/>
      <c r="AW830" s="123"/>
      <c r="AX830" s="188"/>
      <c r="AY830" s="188"/>
      <c r="AZ830" s="188"/>
      <c r="BA830" s="236"/>
      <c r="BB830" s="188"/>
      <c r="BC830" s="188"/>
      <c r="BD830" s="188"/>
      <c r="BE830" s="236"/>
      <c r="BG830" s="188"/>
      <c r="BH830" s="188"/>
      <c r="BI830" s="188"/>
      <c r="BJ830" s="188"/>
      <c r="BK830" s="188"/>
      <c r="BL830" s="188"/>
      <c r="BM830" s="188"/>
      <c r="BN830" s="188"/>
      <c r="BO830" s="188"/>
      <c r="BP830" s="188"/>
      <c r="BQ830" s="188"/>
      <c r="BR830" s="188"/>
      <c r="BS830" s="188"/>
    </row>
    <row r="831" spans="45:74" x14ac:dyDescent="0.3">
      <c r="AV831" s="123"/>
      <c r="AW831" s="123"/>
      <c r="AX831" s="188"/>
      <c r="AY831" s="188"/>
      <c r="AZ831" s="188"/>
      <c r="BA831" s="236"/>
      <c r="BB831" s="188"/>
      <c r="BC831" s="188"/>
      <c r="BD831" s="188"/>
      <c r="BE831" s="236"/>
      <c r="BG831" s="188"/>
      <c r="BH831" s="188"/>
      <c r="BI831" s="188"/>
      <c r="BJ831" s="188"/>
      <c r="BK831" s="188"/>
      <c r="BL831" s="188"/>
      <c r="BM831" s="188"/>
      <c r="BN831" s="188"/>
      <c r="BO831" s="188"/>
      <c r="BP831" s="188"/>
      <c r="BQ831" s="188"/>
      <c r="BR831" s="188"/>
      <c r="BS831" s="188"/>
    </row>
    <row r="832" spans="45:74" x14ac:dyDescent="0.3">
      <c r="AV832" s="123"/>
      <c r="AW832" s="123"/>
      <c r="AX832" s="188"/>
      <c r="AY832" s="188"/>
      <c r="AZ832" s="188"/>
      <c r="BA832" s="236"/>
      <c r="BB832" s="188"/>
      <c r="BC832" s="188"/>
      <c r="BD832" s="188"/>
      <c r="BE832" s="236"/>
      <c r="BG832" s="188"/>
      <c r="BH832" s="188"/>
      <c r="BI832" s="188"/>
      <c r="BJ832" s="188"/>
      <c r="BK832" s="188"/>
      <c r="BL832" s="188"/>
      <c r="BM832" s="188"/>
      <c r="BN832" s="188"/>
      <c r="BO832" s="188"/>
      <c r="BP832" s="188"/>
      <c r="BQ832" s="188"/>
      <c r="BR832" s="188"/>
      <c r="BS832" s="188"/>
    </row>
    <row r="833" spans="48:71" x14ac:dyDescent="0.3">
      <c r="AV833" s="123"/>
      <c r="AW833" s="123"/>
      <c r="AX833" s="188"/>
      <c r="AY833" s="188"/>
      <c r="AZ833" s="188"/>
      <c r="BA833" s="236"/>
      <c r="BB833" s="188"/>
      <c r="BC833" s="188"/>
      <c r="BD833" s="188"/>
      <c r="BE833" s="236"/>
      <c r="BG833" s="188"/>
      <c r="BH833" s="188"/>
      <c r="BI833" s="188"/>
      <c r="BJ833" s="188"/>
      <c r="BK833" s="188"/>
      <c r="BL833" s="188"/>
      <c r="BM833" s="188"/>
      <c r="BN833" s="188"/>
      <c r="BO833" s="188"/>
      <c r="BP833" s="188"/>
      <c r="BQ833" s="188"/>
      <c r="BR833" s="188"/>
      <c r="BS833" s="188"/>
    </row>
    <row r="834" spans="48:71" x14ac:dyDescent="0.3">
      <c r="AV834" s="123"/>
      <c r="AW834" s="123"/>
      <c r="AX834" s="188"/>
      <c r="AY834" s="188"/>
      <c r="AZ834" s="188"/>
      <c r="BA834" s="236"/>
      <c r="BB834" s="188"/>
      <c r="BC834" s="188"/>
      <c r="BD834" s="188"/>
      <c r="BE834" s="236"/>
      <c r="BG834" s="188"/>
      <c r="BH834" s="188"/>
      <c r="BI834" s="188"/>
      <c r="BJ834" s="188"/>
      <c r="BK834" s="188"/>
      <c r="BL834" s="188"/>
      <c r="BM834" s="188"/>
      <c r="BN834" s="188"/>
      <c r="BO834" s="188"/>
      <c r="BP834" s="188"/>
      <c r="BQ834" s="188"/>
      <c r="BR834" s="188"/>
      <c r="BS834" s="188"/>
    </row>
    <row r="835" spans="48:71" x14ac:dyDescent="0.3">
      <c r="AV835" s="123"/>
      <c r="AW835" s="123"/>
      <c r="AX835" s="188"/>
      <c r="AY835" s="188"/>
      <c r="AZ835" s="188"/>
      <c r="BA835" s="236"/>
      <c r="BB835" s="188"/>
      <c r="BC835" s="188"/>
      <c r="BD835" s="188"/>
      <c r="BE835" s="236"/>
      <c r="BG835" s="188"/>
      <c r="BH835" s="188"/>
      <c r="BI835" s="188"/>
      <c r="BJ835" s="188"/>
      <c r="BK835" s="188"/>
      <c r="BL835" s="188"/>
      <c r="BM835" s="188"/>
      <c r="BN835" s="188"/>
      <c r="BO835" s="188"/>
      <c r="BP835" s="188"/>
      <c r="BQ835" s="188"/>
      <c r="BR835" s="188"/>
      <c r="BS835" s="188"/>
    </row>
    <row r="836" spans="48:71" x14ac:dyDescent="0.3">
      <c r="AV836" s="123"/>
      <c r="AW836" s="123"/>
      <c r="AX836" s="188"/>
      <c r="AY836" s="188"/>
      <c r="AZ836" s="188"/>
      <c r="BA836" s="236"/>
      <c r="BB836" s="188"/>
      <c r="BC836" s="188"/>
      <c r="BD836" s="188"/>
      <c r="BE836" s="236"/>
      <c r="BG836" s="188"/>
      <c r="BH836" s="188"/>
      <c r="BI836" s="188"/>
      <c r="BJ836" s="188"/>
      <c r="BK836" s="188"/>
      <c r="BL836" s="188"/>
      <c r="BM836" s="188"/>
      <c r="BN836" s="188"/>
      <c r="BO836" s="188"/>
      <c r="BP836" s="188"/>
      <c r="BQ836" s="188"/>
      <c r="BR836" s="188"/>
      <c r="BS836" s="188"/>
    </row>
    <row r="837" spans="48:71" x14ac:dyDescent="0.3">
      <c r="AV837" s="123"/>
      <c r="AW837" s="123"/>
      <c r="AX837" s="188"/>
      <c r="AY837" s="188"/>
      <c r="AZ837" s="188"/>
      <c r="BA837" s="236"/>
      <c r="BB837" s="188"/>
      <c r="BC837" s="188"/>
      <c r="BD837" s="188"/>
      <c r="BE837" s="236"/>
      <c r="BG837" s="188"/>
      <c r="BH837" s="188"/>
      <c r="BI837" s="188"/>
      <c r="BJ837" s="188"/>
      <c r="BK837" s="188"/>
      <c r="BL837" s="188"/>
      <c r="BM837" s="188"/>
      <c r="BN837" s="188"/>
      <c r="BO837" s="188"/>
      <c r="BP837" s="188"/>
      <c r="BQ837" s="188"/>
      <c r="BR837" s="188"/>
      <c r="BS837" s="188"/>
    </row>
    <row r="838" spans="48:71" x14ac:dyDescent="0.3">
      <c r="AV838" s="123"/>
      <c r="AW838" s="123"/>
      <c r="AX838" s="188"/>
      <c r="AY838" s="188"/>
      <c r="AZ838" s="188"/>
      <c r="BA838" s="236"/>
      <c r="BB838" s="188"/>
      <c r="BC838" s="188"/>
      <c r="BD838" s="188"/>
      <c r="BE838" s="236"/>
      <c r="BG838" s="188"/>
      <c r="BH838" s="188"/>
      <c r="BI838" s="188"/>
      <c r="BJ838" s="188"/>
      <c r="BK838" s="188"/>
      <c r="BL838" s="188"/>
      <c r="BM838" s="188"/>
      <c r="BN838" s="188"/>
      <c r="BO838" s="188"/>
      <c r="BP838" s="188"/>
      <c r="BQ838" s="188"/>
      <c r="BR838" s="188"/>
      <c r="BS838" s="188"/>
    </row>
    <row r="839" spans="48:71" x14ac:dyDescent="0.3">
      <c r="AV839" s="123"/>
      <c r="AW839" s="123"/>
      <c r="AX839" s="188"/>
      <c r="AY839" s="188"/>
      <c r="AZ839" s="188"/>
      <c r="BA839" s="236"/>
      <c r="BB839" s="188"/>
      <c r="BC839" s="188"/>
      <c r="BD839" s="188"/>
      <c r="BE839" s="236"/>
      <c r="BG839" s="188"/>
      <c r="BH839" s="188"/>
      <c r="BI839" s="188"/>
      <c r="BJ839" s="188"/>
      <c r="BK839" s="188"/>
      <c r="BL839" s="188"/>
      <c r="BM839" s="188"/>
      <c r="BN839" s="188"/>
      <c r="BO839" s="188"/>
      <c r="BP839" s="188"/>
      <c r="BQ839" s="188"/>
      <c r="BR839" s="188"/>
      <c r="BS839" s="188"/>
    </row>
    <row r="840" spans="48:71" x14ac:dyDescent="0.3">
      <c r="AV840" s="123"/>
      <c r="AW840" s="123"/>
      <c r="AX840" s="188"/>
      <c r="AY840" s="188"/>
      <c r="AZ840" s="188"/>
      <c r="BA840" s="236"/>
      <c r="BB840" s="188"/>
      <c r="BC840" s="188"/>
      <c r="BD840" s="188"/>
      <c r="BE840" s="236"/>
      <c r="BG840" s="188"/>
      <c r="BH840" s="188"/>
      <c r="BI840" s="188"/>
      <c r="BJ840" s="188"/>
      <c r="BK840" s="188"/>
      <c r="BL840" s="188"/>
      <c r="BM840" s="188"/>
      <c r="BN840" s="188"/>
      <c r="BO840" s="188"/>
      <c r="BP840" s="188"/>
      <c r="BQ840" s="188"/>
      <c r="BR840" s="188"/>
      <c r="BS840" s="188"/>
    </row>
    <row r="841" spans="48:71" x14ac:dyDescent="0.3">
      <c r="AV841" s="123"/>
      <c r="AW841" s="123"/>
      <c r="AX841" s="188"/>
      <c r="AY841" s="188"/>
      <c r="AZ841" s="188"/>
      <c r="BA841" s="236"/>
      <c r="BB841" s="188"/>
      <c r="BC841" s="188"/>
      <c r="BD841" s="188"/>
      <c r="BE841" s="236"/>
      <c r="BG841" s="188"/>
      <c r="BH841" s="188"/>
      <c r="BI841" s="188"/>
      <c r="BJ841" s="188"/>
      <c r="BK841" s="188"/>
      <c r="BL841" s="188"/>
      <c r="BM841" s="188"/>
      <c r="BN841" s="188"/>
      <c r="BO841" s="188"/>
      <c r="BP841" s="188"/>
      <c r="BQ841" s="188"/>
      <c r="BR841" s="188"/>
      <c r="BS841" s="188"/>
    </row>
    <row r="842" spans="48:71" x14ac:dyDescent="0.3">
      <c r="AV842" s="123"/>
      <c r="AW842" s="123"/>
      <c r="AX842" s="188"/>
      <c r="AY842" s="188"/>
      <c r="AZ842" s="188"/>
      <c r="BA842" s="236"/>
      <c r="BB842" s="188"/>
      <c r="BC842" s="188"/>
      <c r="BD842" s="188"/>
      <c r="BE842" s="236"/>
      <c r="BG842" s="188"/>
      <c r="BH842" s="188"/>
      <c r="BI842" s="188"/>
      <c r="BJ842" s="188"/>
      <c r="BK842" s="188"/>
      <c r="BL842" s="188"/>
      <c r="BM842" s="188"/>
      <c r="BN842" s="188"/>
      <c r="BO842" s="188"/>
      <c r="BP842" s="188"/>
      <c r="BQ842" s="188"/>
      <c r="BR842" s="188"/>
      <c r="BS842" s="188"/>
    </row>
    <row r="843" spans="48:71" x14ac:dyDescent="0.3">
      <c r="AV843" s="123"/>
      <c r="AW843" s="123"/>
      <c r="AX843" s="188"/>
      <c r="AY843" s="188"/>
      <c r="AZ843" s="188"/>
      <c r="BA843" s="236"/>
      <c r="BB843" s="188"/>
      <c r="BC843" s="188"/>
      <c r="BD843" s="188"/>
      <c r="BE843" s="236"/>
      <c r="BG843" s="188"/>
      <c r="BH843" s="188"/>
      <c r="BI843" s="188"/>
      <c r="BJ843" s="188"/>
      <c r="BK843" s="188"/>
      <c r="BL843" s="188"/>
      <c r="BM843" s="188"/>
      <c r="BN843" s="188"/>
      <c r="BO843" s="188"/>
      <c r="BP843" s="188"/>
      <c r="BQ843" s="188"/>
      <c r="BR843" s="188"/>
      <c r="BS843" s="188"/>
    </row>
    <row r="844" spans="48:71" x14ac:dyDescent="0.3">
      <c r="AV844" s="123"/>
      <c r="AW844" s="123"/>
      <c r="AX844" s="188"/>
      <c r="AY844" s="188"/>
      <c r="AZ844" s="188"/>
      <c r="BA844" s="236"/>
      <c r="BB844" s="188"/>
      <c r="BC844" s="188"/>
      <c r="BD844" s="188"/>
      <c r="BE844" s="236"/>
      <c r="BG844" s="188"/>
      <c r="BH844" s="188"/>
      <c r="BI844" s="188"/>
      <c r="BJ844" s="188"/>
      <c r="BK844" s="188"/>
      <c r="BL844" s="188"/>
      <c r="BM844" s="188"/>
      <c r="BN844" s="188"/>
      <c r="BO844" s="188"/>
      <c r="BP844" s="188"/>
      <c r="BQ844" s="188"/>
      <c r="BR844" s="188"/>
      <c r="BS844" s="188"/>
    </row>
    <row r="845" spans="48:71" x14ac:dyDescent="0.3">
      <c r="AV845" s="123"/>
      <c r="AW845" s="123"/>
      <c r="AX845" s="188"/>
      <c r="AY845" s="188"/>
      <c r="AZ845" s="188"/>
      <c r="BA845" s="236"/>
      <c r="BB845" s="188"/>
      <c r="BC845" s="188"/>
      <c r="BD845" s="188"/>
      <c r="BE845" s="236"/>
      <c r="BG845" s="188"/>
      <c r="BH845" s="188"/>
      <c r="BI845" s="188"/>
      <c r="BJ845" s="188"/>
      <c r="BK845" s="188"/>
      <c r="BL845" s="188"/>
      <c r="BM845" s="188"/>
      <c r="BN845" s="188"/>
      <c r="BO845" s="188"/>
      <c r="BP845" s="188"/>
      <c r="BQ845" s="188"/>
      <c r="BR845" s="188"/>
      <c r="BS845" s="188"/>
    </row>
    <row r="846" spans="48:71" x14ac:dyDescent="0.3">
      <c r="AV846" s="123"/>
      <c r="AW846" s="123"/>
      <c r="AX846" s="188"/>
      <c r="AY846" s="188"/>
      <c r="AZ846" s="188"/>
      <c r="BA846" s="236"/>
      <c r="BB846" s="188"/>
      <c r="BC846" s="188"/>
      <c r="BD846" s="188"/>
      <c r="BE846" s="236"/>
      <c r="BG846" s="188"/>
      <c r="BH846" s="188"/>
      <c r="BI846" s="188"/>
      <c r="BJ846" s="188"/>
      <c r="BK846" s="188"/>
      <c r="BL846" s="188"/>
      <c r="BM846" s="188"/>
      <c r="BN846" s="188"/>
      <c r="BO846" s="188"/>
      <c r="BP846" s="188"/>
      <c r="BQ846" s="188"/>
      <c r="BR846" s="188"/>
      <c r="BS846" s="188"/>
    </row>
    <row r="847" spans="48:71" x14ac:dyDescent="0.3">
      <c r="AV847" s="123"/>
      <c r="AW847" s="123"/>
      <c r="AX847" s="188"/>
      <c r="AY847" s="188"/>
      <c r="AZ847" s="188"/>
      <c r="BA847" s="236"/>
      <c r="BB847" s="188"/>
      <c r="BC847" s="188"/>
      <c r="BD847" s="188"/>
      <c r="BE847" s="236"/>
      <c r="BG847" s="188"/>
      <c r="BH847" s="188"/>
      <c r="BI847" s="188"/>
      <c r="BJ847" s="188"/>
      <c r="BK847" s="188"/>
      <c r="BL847" s="188"/>
      <c r="BM847" s="188"/>
      <c r="BN847" s="188"/>
      <c r="BO847" s="188"/>
      <c r="BP847" s="188"/>
      <c r="BQ847" s="188"/>
      <c r="BR847" s="188"/>
      <c r="BS847" s="188"/>
    </row>
    <row r="848" spans="48:71" x14ac:dyDescent="0.3">
      <c r="AZ848" s="188"/>
      <c r="BB848" s="188"/>
      <c r="BC848" s="188"/>
      <c r="BD848" s="188"/>
      <c r="BG848" s="188"/>
      <c r="BH848" s="188"/>
      <c r="BI848" s="188"/>
      <c r="BJ848" s="188"/>
      <c r="BK848" s="188"/>
      <c r="BL848" s="188"/>
      <c r="BM848" s="188"/>
      <c r="BN848" s="188"/>
      <c r="BO848" s="188"/>
      <c r="BP848" s="188"/>
      <c r="BQ848" s="188"/>
      <c r="BR848" s="188"/>
      <c r="BS848" s="188"/>
    </row>
    <row r="849" spans="46:57" x14ac:dyDescent="0.3">
      <c r="AT849" s="42"/>
      <c r="AV849" s="123"/>
      <c r="AW849" s="123"/>
      <c r="AX849" s="188"/>
      <c r="AY849" s="188"/>
      <c r="AZ849" s="188"/>
      <c r="BA849" s="236"/>
      <c r="BB849" s="188"/>
      <c r="BC849" s="188"/>
      <c r="BD849" s="188"/>
      <c r="BE849" s="236"/>
    </row>
    <row r="850" spans="46:57" x14ac:dyDescent="0.3">
      <c r="AV850" s="123"/>
      <c r="AW850" s="123"/>
      <c r="AX850" s="188"/>
      <c r="AY850" s="188"/>
      <c r="AZ850" s="188"/>
      <c r="BA850" s="236"/>
      <c r="BB850" s="188"/>
      <c r="BC850" s="188"/>
      <c r="BD850" s="188"/>
      <c r="BE850" s="236"/>
    </row>
    <row r="851" spans="46:57" x14ac:dyDescent="0.3">
      <c r="AV851" s="123"/>
      <c r="AW851" s="123"/>
      <c r="AX851" s="188"/>
      <c r="AY851" s="188"/>
      <c r="AZ851" s="188"/>
      <c r="BA851" s="236"/>
      <c r="BB851" s="188"/>
      <c r="BC851" s="188"/>
      <c r="BD851" s="188"/>
      <c r="BE851" s="236"/>
    </row>
    <row r="852" spans="46:57" x14ac:dyDescent="0.3">
      <c r="AV852" s="123"/>
      <c r="AW852" s="123"/>
      <c r="AX852" s="188"/>
      <c r="AY852" s="188"/>
      <c r="AZ852" s="188"/>
      <c r="BA852" s="236"/>
      <c r="BB852" s="188"/>
      <c r="BC852" s="188"/>
      <c r="BD852" s="188"/>
      <c r="BE852" s="236"/>
    </row>
    <row r="853" spans="46:57" x14ac:dyDescent="0.3">
      <c r="AV853" s="123"/>
      <c r="AW853" s="123"/>
      <c r="AX853" s="188"/>
      <c r="AY853" s="188"/>
      <c r="AZ853" s="188"/>
      <c r="BA853" s="236"/>
      <c r="BB853" s="188"/>
      <c r="BC853" s="188"/>
      <c r="BD853" s="188"/>
      <c r="BE853" s="236"/>
    </row>
    <row r="854" spans="46:57" x14ac:dyDescent="0.3">
      <c r="AV854" s="123"/>
      <c r="AW854" s="123"/>
      <c r="AX854" s="188"/>
      <c r="AY854" s="188"/>
      <c r="AZ854" s="188"/>
      <c r="BA854" s="236"/>
      <c r="BB854" s="188"/>
      <c r="BC854" s="188"/>
      <c r="BD854" s="188"/>
      <c r="BE854" s="236"/>
    </row>
    <row r="855" spans="46:57" x14ac:dyDescent="0.3">
      <c r="AV855" s="123"/>
      <c r="AW855" s="123"/>
      <c r="AX855" s="188"/>
      <c r="AY855" s="188"/>
      <c r="AZ855" s="188"/>
      <c r="BA855" s="236"/>
      <c r="BB855" s="188"/>
      <c r="BC855" s="188"/>
      <c r="BD855" s="188"/>
      <c r="BE855" s="236"/>
    </row>
    <row r="856" spans="46:57" x14ac:dyDescent="0.3">
      <c r="AV856" s="123"/>
      <c r="AW856" s="123"/>
      <c r="AX856" s="188"/>
      <c r="AY856" s="188"/>
      <c r="AZ856" s="188"/>
      <c r="BA856" s="236"/>
      <c r="BB856" s="188"/>
      <c r="BC856" s="188"/>
      <c r="BD856" s="188"/>
      <c r="BE856" s="236"/>
    </row>
    <row r="857" spans="46:57" x14ac:dyDescent="0.3">
      <c r="AV857" s="123"/>
      <c r="AW857" s="123"/>
      <c r="AX857" s="188"/>
      <c r="AY857" s="188"/>
      <c r="AZ857" s="188"/>
      <c r="BA857" s="236"/>
      <c r="BB857" s="188"/>
      <c r="BC857" s="188"/>
      <c r="BD857" s="188"/>
      <c r="BE857" s="236"/>
    </row>
    <row r="858" spans="46:57" x14ac:dyDescent="0.3">
      <c r="AV858" s="123"/>
      <c r="AW858" s="123"/>
      <c r="AX858" s="188"/>
      <c r="AY858" s="188"/>
      <c r="AZ858" s="188"/>
      <c r="BA858" s="236"/>
      <c r="BB858" s="188"/>
      <c r="BC858" s="188"/>
      <c r="BD858" s="188"/>
      <c r="BE858" s="236"/>
    </row>
    <row r="859" spans="46:57" x14ac:dyDescent="0.3">
      <c r="AV859" s="123"/>
      <c r="AW859" s="123"/>
      <c r="AX859" s="188"/>
      <c r="AY859" s="188"/>
      <c r="AZ859" s="188"/>
      <c r="BA859" s="236"/>
      <c r="BB859" s="188"/>
      <c r="BC859" s="188"/>
      <c r="BD859" s="188"/>
      <c r="BE859" s="236"/>
    </row>
    <row r="860" spans="46:57" x14ac:dyDescent="0.3">
      <c r="AV860" s="123"/>
      <c r="AW860" s="123"/>
      <c r="AX860" s="188"/>
      <c r="AY860" s="188"/>
      <c r="AZ860" s="188"/>
      <c r="BA860" s="236"/>
      <c r="BB860" s="188"/>
      <c r="BC860" s="188"/>
      <c r="BD860" s="188"/>
      <c r="BE860" s="236"/>
    </row>
    <row r="861" spans="46:57" x14ac:dyDescent="0.3">
      <c r="AV861" s="123"/>
      <c r="AW861" s="123"/>
      <c r="AX861" s="188"/>
      <c r="AY861" s="188"/>
      <c r="AZ861" s="188"/>
      <c r="BA861" s="236"/>
      <c r="BB861" s="188"/>
      <c r="BC861" s="188"/>
      <c r="BD861" s="188"/>
      <c r="BE861" s="236"/>
    </row>
    <row r="862" spans="46:57" x14ac:dyDescent="0.3">
      <c r="AV862" s="123"/>
      <c r="AW862" s="123"/>
      <c r="AX862" s="188"/>
      <c r="AY862" s="188"/>
      <c r="AZ862" s="188"/>
      <c r="BA862" s="236"/>
      <c r="BB862" s="188"/>
      <c r="BC862" s="188"/>
      <c r="BD862" s="188"/>
      <c r="BE862" s="236"/>
    </row>
    <row r="863" spans="46:57" x14ac:dyDescent="0.3">
      <c r="AV863" s="123"/>
      <c r="AW863" s="123"/>
      <c r="AX863" s="188"/>
      <c r="AY863" s="188"/>
      <c r="AZ863" s="188"/>
      <c r="BA863" s="236"/>
      <c r="BB863" s="188"/>
      <c r="BC863" s="188"/>
      <c r="BD863" s="188"/>
      <c r="BE863" s="236"/>
    </row>
    <row r="864" spans="46:57" x14ac:dyDescent="0.3">
      <c r="AV864" s="123"/>
      <c r="AW864" s="123"/>
      <c r="AX864" s="188"/>
      <c r="AY864" s="188"/>
      <c r="AZ864" s="188"/>
      <c r="BA864" s="236"/>
      <c r="BB864" s="188"/>
      <c r="BC864" s="188"/>
      <c r="BD864" s="188"/>
      <c r="BE864" s="236"/>
    </row>
    <row r="865" spans="45:57" x14ac:dyDescent="0.3">
      <c r="AV865" s="123"/>
      <c r="AW865" s="123"/>
      <c r="AX865" s="188"/>
      <c r="AY865" s="188"/>
      <c r="AZ865" s="188"/>
      <c r="BA865" s="236"/>
      <c r="BB865" s="188"/>
      <c r="BC865" s="188"/>
      <c r="BD865" s="188"/>
      <c r="BE865" s="236"/>
    </row>
    <row r="866" spans="45:57" x14ac:dyDescent="0.3">
      <c r="AV866" s="123"/>
      <c r="AW866" s="123"/>
      <c r="AX866" s="188"/>
      <c r="AY866" s="188"/>
      <c r="AZ866" s="188"/>
      <c r="BA866" s="236"/>
      <c r="BB866" s="188"/>
      <c r="BC866" s="188"/>
      <c r="BD866" s="188"/>
      <c r="BE866" s="236"/>
    </row>
    <row r="867" spans="45:57" x14ac:dyDescent="0.3">
      <c r="BB867" s="188"/>
    </row>
    <row r="868" spans="45:57" x14ac:dyDescent="0.3">
      <c r="AU868" s="42"/>
      <c r="BB868" s="188"/>
    </row>
    <row r="869" spans="45:57" x14ac:dyDescent="0.3">
      <c r="AU869" s="42"/>
    </row>
    <row r="870" spans="45:57" x14ac:dyDescent="0.3">
      <c r="AU870" s="42"/>
      <c r="BB870" s="188"/>
    </row>
    <row r="871" spans="45:57" x14ac:dyDescent="0.3">
      <c r="AS871" s="42"/>
      <c r="AZ871" s="188"/>
      <c r="BB871" s="188"/>
    </row>
    <row r="872" spans="45:57" x14ac:dyDescent="0.3">
      <c r="AZ872" s="188"/>
      <c r="BB872" s="188"/>
    </row>
    <row r="873" spans="45:57" x14ac:dyDescent="0.3">
      <c r="AY873" s="188"/>
      <c r="AZ873" s="188"/>
      <c r="BB873" s="188"/>
    </row>
    <row r="874" spans="45:57" x14ac:dyDescent="0.3">
      <c r="AY874" s="42"/>
      <c r="AZ874" s="188"/>
      <c r="BB874" s="188"/>
    </row>
    <row r="875" spans="45:57" x14ac:dyDescent="0.3">
      <c r="AY875" s="42"/>
      <c r="AZ875" s="188"/>
      <c r="BB875" s="188"/>
    </row>
    <row r="876" spans="45:57" x14ac:dyDescent="0.3">
      <c r="AZ876" s="188"/>
      <c r="BB876" s="188"/>
      <c r="BD876" s="42"/>
    </row>
    <row r="877" spans="45:57" x14ac:dyDescent="0.3">
      <c r="AZ877" s="188"/>
      <c r="BB877" s="188"/>
      <c r="BD877" s="42"/>
    </row>
    <row r="878" spans="45:57" x14ac:dyDescent="0.3">
      <c r="AS878" s="42"/>
      <c r="AZ878" s="188"/>
      <c r="BB878" s="188"/>
      <c r="BD878" s="42"/>
    </row>
    <row r="879" spans="45:57" x14ac:dyDescent="0.3">
      <c r="AZ879" s="188"/>
      <c r="BB879" s="188"/>
    </row>
    <row r="880" spans="45:57" x14ac:dyDescent="0.3">
      <c r="AS880" s="135"/>
      <c r="AT880" s="135"/>
      <c r="AU880" s="135"/>
      <c r="AV880" s="135"/>
      <c r="AW880" s="135"/>
      <c r="AX880" s="135"/>
      <c r="AY880" s="135"/>
      <c r="AZ880" s="244"/>
      <c r="BA880" s="135"/>
      <c r="BB880" s="244"/>
      <c r="BC880" s="135"/>
      <c r="BD880" s="135"/>
      <c r="BE880" s="135"/>
    </row>
    <row r="881" spans="45:57" x14ac:dyDescent="0.3">
      <c r="AX881" s="42"/>
      <c r="AZ881" s="188"/>
      <c r="BB881" s="188"/>
    </row>
    <row r="882" spans="45:57" x14ac:dyDescent="0.3">
      <c r="AX882" s="135"/>
      <c r="AY882" s="135"/>
      <c r="AZ882" s="244"/>
      <c r="BA882" s="135"/>
      <c r="BB882" s="188"/>
      <c r="BC882" s="44"/>
      <c r="BD882" s="44"/>
    </row>
    <row r="883" spans="45:57" x14ac:dyDescent="0.3">
      <c r="AV883" s="44"/>
      <c r="AW883" s="44"/>
      <c r="AZ883" s="245"/>
      <c r="BA883" s="44"/>
      <c r="BB883" s="188"/>
      <c r="BC883" s="44"/>
      <c r="BD883" s="44"/>
      <c r="BE883" s="44"/>
    </row>
    <row r="884" spans="45:57" x14ac:dyDescent="0.3">
      <c r="AV884" s="44"/>
      <c r="AW884" s="44"/>
      <c r="AX884" s="44"/>
      <c r="AY884" s="44"/>
      <c r="AZ884" s="245"/>
      <c r="BA884" s="44"/>
      <c r="BB884" s="245"/>
      <c r="BC884" s="44"/>
      <c r="BD884" s="44"/>
      <c r="BE884" s="44"/>
    </row>
    <row r="885" spans="45:57" x14ac:dyDescent="0.3">
      <c r="AS885" s="44"/>
      <c r="AU885" s="42"/>
      <c r="AV885" s="44"/>
      <c r="AW885" s="44"/>
      <c r="AX885" s="44"/>
      <c r="AY885" s="44"/>
      <c r="AZ885" s="245"/>
      <c r="BA885" s="44"/>
      <c r="BB885" s="245"/>
      <c r="BC885" s="44"/>
      <c r="BD885" s="44"/>
      <c r="BE885" s="44"/>
    </row>
    <row r="886" spans="45:57" x14ac:dyDescent="0.3">
      <c r="AS886" s="44"/>
      <c r="AU886" s="42"/>
      <c r="AV886" s="44"/>
      <c r="AW886" s="44"/>
      <c r="AX886" s="44"/>
      <c r="AY886" s="44"/>
      <c r="AZ886" s="245"/>
      <c r="BA886" s="44"/>
      <c r="BB886" s="245"/>
      <c r="BC886" s="44"/>
      <c r="BD886" s="44"/>
      <c r="BE886" s="44"/>
    </row>
    <row r="887" spans="45:57" x14ac:dyDescent="0.3">
      <c r="AS887" s="135"/>
      <c r="AT887" s="135"/>
      <c r="AU887" s="135"/>
      <c r="AV887" s="135"/>
      <c r="AW887" s="135"/>
      <c r="AX887" s="135"/>
      <c r="AY887" s="135"/>
      <c r="AZ887" s="244"/>
      <c r="BA887" s="135"/>
      <c r="BB887" s="244"/>
      <c r="BC887" s="135"/>
      <c r="BD887" s="135"/>
      <c r="BE887" s="135"/>
    </row>
    <row r="888" spans="45:57" x14ac:dyDescent="0.3">
      <c r="AV888" s="44"/>
      <c r="AW888" s="44"/>
      <c r="AX888" s="44"/>
      <c r="AY888" s="44"/>
      <c r="AZ888" s="245"/>
      <c r="BA888" s="44"/>
      <c r="BB888" s="245"/>
      <c r="BC888" s="44"/>
      <c r="BD888" s="44"/>
      <c r="BE888" s="44"/>
    </row>
    <row r="889" spans="45:57" x14ac:dyDescent="0.3">
      <c r="AT889" s="42"/>
      <c r="AV889" s="123"/>
      <c r="AW889" s="123"/>
      <c r="AX889" s="188"/>
      <c r="AY889" s="188"/>
      <c r="AZ889" s="188"/>
      <c r="BA889" s="236"/>
      <c r="BB889" s="188"/>
      <c r="BC889" s="188"/>
      <c r="BD889" s="188"/>
      <c r="BE889" s="236"/>
    </row>
    <row r="890" spans="45:57" x14ac:dyDescent="0.3">
      <c r="AV890" s="123"/>
      <c r="AW890" s="123"/>
      <c r="AX890" s="188"/>
      <c r="AY890" s="188"/>
      <c r="AZ890" s="188"/>
      <c r="BA890" s="236"/>
      <c r="BB890" s="188"/>
      <c r="BC890" s="188"/>
      <c r="BD890" s="188"/>
      <c r="BE890" s="236"/>
    </row>
    <row r="891" spans="45:57" x14ac:dyDescent="0.3">
      <c r="AV891" s="123"/>
      <c r="AW891" s="123"/>
      <c r="AX891" s="188"/>
      <c r="AY891" s="188"/>
      <c r="AZ891" s="188"/>
      <c r="BA891" s="236"/>
      <c r="BB891" s="188"/>
      <c r="BC891" s="188"/>
      <c r="BD891" s="188"/>
      <c r="BE891" s="236"/>
    </row>
    <row r="892" spans="45:57" x14ac:dyDescent="0.3">
      <c r="AV892" s="123"/>
      <c r="AW892" s="123"/>
      <c r="AX892" s="188"/>
      <c r="AY892" s="188"/>
      <c r="AZ892" s="188"/>
      <c r="BA892" s="236"/>
      <c r="BB892" s="188"/>
      <c r="BC892" s="188"/>
      <c r="BD892" s="188"/>
      <c r="BE892" s="236"/>
    </row>
    <row r="893" spans="45:57" x14ac:dyDescent="0.3">
      <c r="AV893" s="123"/>
      <c r="AW893" s="123"/>
      <c r="AX893" s="188"/>
      <c r="AY893" s="188"/>
      <c r="AZ893" s="188"/>
      <c r="BA893" s="236"/>
      <c r="BB893" s="188"/>
      <c r="BC893" s="188"/>
      <c r="BD893" s="188"/>
      <c r="BE893" s="236"/>
    </row>
    <row r="894" spans="45:57" x14ac:dyDescent="0.3">
      <c r="AV894" s="123"/>
      <c r="AW894" s="123"/>
      <c r="AX894" s="188"/>
      <c r="AY894" s="188"/>
      <c r="AZ894" s="188"/>
      <c r="BA894" s="236"/>
      <c r="BB894" s="188"/>
      <c r="BC894" s="188"/>
      <c r="BD894" s="188"/>
      <c r="BE894" s="236"/>
    </row>
    <row r="895" spans="45:57" x14ac:dyDescent="0.3">
      <c r="AV895" s="123"/>
      <c r="AW895" s="123"/>
      <c r="AX895" s="188"/>
      <c r="AY895" s="188"/>
      <c r="AZ895" s="188"/>
      <c r="BA895" s="236"/>
      <c r="BB895" s="188"/>
      <c r="BC895" s="188"/>
      <c r="BD895" s="188"/>
      <c r="BE895" s="236"/>
    </row>
    <row r="896" spans="45:57" x14ac:dyDescent="0.3">
      <c r="AV896" s="123"/>
      <c r="AW896" s="123"/>
      <c r="AX896" s="188"/>
      <c r="AY896" s="188"/>
      <c r="AZ896" s="188"/>
      <c r="BA896" s="236"/>
      <c r="BB896" s="188"/>
      <c r="BC896" s="188"/>
      <c r="BD896" s="188"/>
      <c r="BE896" s="236"/>
    </row>
    <row r="897" spans="46:57" x14ac:dyDescent="0.3">
      <c r="AV897" s="123"/>
      <c r="AW897" s="123"/>
      <c r="AX897" s="188"/>
      <c r="AY897" s="188"/>
      <c r="AZ897" s="188"/>
      <c r="BA897" s="236"/>
      <c r="BB897" s="188"/>
      <c r="BC897" s="188"/>
      <c r="BD897" s="188"/>
      <c r="BE897" s="236"/>
    </row>
    <row r="898" spans="46:57" x14ac:dyDescent="0.3">
      <c r="AV898" s="123"/>
      <c r="AW898" s="123"/>
      <c r="AX898" s="188"/>
      <c r="AY898" s="188"/>
      <c r="AZ898" s="188"/>
      <c r="BA898" s="236"/>
      <c r="BB898" s="188"/>
      <c r="BC898" s="188"/>
      <c r="BD898" s="188"/>
      <c r="BE898" s="236"/>
    </row>
    <row r="899" spans="46:57" x14ac:dyDescent="0.3">
      <c r="AV899" s="123"/>
      <c r="AW899" s="123"/>
      <c r="BB899" s="188"/>
    </row>
    <row r="900" spans="46:57" x14ac:dyDescent="0.3">
      <c r="AT900" s="42"/>
      <c r="AV900" s="123"/>
      <c r="AW900" s="123"/>
      <c r="AX900" s="188"/>
      <c r="AY900" s="188"/>
      <c r="AZ900" s="188"/>
      <c r="BA900" s="236"/>
      <c r="BB900" s="188"/>
      <c r="BC900" s="188"/>
      <c r="BD900" s="188"/>
      <c r="BE900" s="236"/>
    </row>
    <row r="901" spans="46:57" x14ac:dyDescent="0.3">
      <c r="AV901" s="123"/>
      <c r="AW901" s="123"/>
      <c r="AX901" s="188"/>
      <c r="AY901" s="188"/>
      <c r="AZ901" s="188"/>
      <c r="BA901" s="236"/>
      <c r="BB901" s="188"/>
      <c r="BC901" s="188"/>
      <c r="BD901" s="188"/>
      <c r="BE901" s="236"/>
    </row>
    <row r="902" spans="46:57" x14ac:dyDescent="0.3">
      <c r="AV902" s="123"/>
      <c r="AW902" s="123"/>
      <c r="AX902" s="188"/>
      <c r="AY902" s="188"/>
      <c r="AZ902" s="188"/>
      <c r="BA902" s="236"/>
      <c r="BB902" s="188"/>
      <c r="BC902" s="188"/>
      <c r="BD902" s="188"/>
      <c r="BE902" s="236"/>
    </row>
    <row r="903" spans="46:57" x14ac:dyDescent="0.3">
      <c r="AV903" s="123"/>
      <c r="AW903" s="123"/>
      <c r="AX903" s="188"/>
      <c r="AY903" s="188"/>
      <c r="AZ903" s="188"/>
      <c r="BA903" s="236"/>
      <c r="BB903" s="188"/>
      <c r="BC903" s="188"/>
      <c r="BD903" s="188"/>
      <c r="BE903" s="236"/>
    </row>
    <row r="904" spans="46:57" x14ac:dyDescent="0.3">
      <c r="AV904" s="123"/>
      <c r="AW904" s="123"/>
      <c r="AX904" s="188"/>
      <c r="AY904" s="188"/>
      <c r="AZ904" s="188"/>
      <c r="BA904" s="236"/>
      <c r="BB904" s="188"/>
      <c r="BC904" s="188"/>
      <c r="BD904" s="188"/>
      <c r="BE904" s="236"/>
    </row>
    <row r="905" spans="46:57" x14ac:dyDescent="0.3">
      <c r="AV905" s="123"/>
      <c r="AW905" s="123"/>
      <c r="AX905" s="188"/>
      <c r="AY905" s="188"/>
      <c r="AZ905" s="188"/>
      <c r="BA905" s="236"/>
      <c r="BB905" s="188"/>
      <c r="BC905" s="188"/>
      <c r="BD905" s="188"/>
      <c r="BE905" s="236"/>
    </row>
    <row r="906" spans="46:57" x14ac:dyDescent="0.3">
      <c r="AV906" s="123"/>
      <c r="AW906" s="123"/>
      <c r="AX906" s="188"/>
      <c r="AY906" s="188"/>
      <c r="AZ906" s="188"/>
      <c r="BA906" s="236"/>
      <c r="BB906" s="188"/>
      <c r="BC906" s="188"/>
      <c r="BD906" s="188"/>
      <c r="BE906" s="236"/>
    </row>
    <row r="907" spans="46:57" x14ac:dyDescent="0.3">
      <c r="AV907" s="123"/>
      <c r="AW907" s="123"/>
      <c r="AX907" s="188"/>
      <c r="AY907" s="188"/>
      <c r="AZ907" s="188"/>
      <c r="BA907" s="236"/>
      <c r="BB907" s="188"/>
      <c r="BC907" s="188"/>
      <c r="BD907" s="188"/>
      <c r="BE907" s="236"/>
    </row>
    <row r="908" spans="46:57" x14ac:dyDescent="0.3">
      <c r="AV908" s="123"/>
      <c r="AW908" s="123"/>
      <c r="AX908" s="188"/>
      <c r="AY908" s="188"/>
      <c r="AZ908" s="188"/>
      <c r="BA908" s="236"/>
      <c r="BB908" s="188"/>
      <c r="BC908" s="188"/>
      <c r="BD908" s="188"/>
      <c r="BE908" s="236"/>
    </row>
    <row r="909" spans="46:57" x14ac:dyDescent="0.3">
      <c r="AV909" s="123"/>
      <c r="AW909" s="123"/>
      <c r="AX909" s="188"/>
      <c r="AY909" s="188"/>
      <c r="AZ909" s="188"/>
      <c r="BA909" s="236"/>
      <c r="BB909" s="188"/>
      <c r="BC909" s="188"/>
      <c r="BD909" s="188"/>
      <c r="BE909" s="236"/>
    </row>
    <row r="911" spans="46:57" x14ac:dyDescent="0.3">
      <c r="AU911" s="42"/>
    </row>
    <row r="912" spans="46:57" x14ac:dyDescent="0.3">
      <c r="AU912" s="42"/>
    </row>
    <row r="913" spans="45:47" x14ac:dyDescent="0.3">
      <c r="AU913" s="42"/>
    </row>
    <row r="914" spans="45:47" x14ac:dyDescent="0.3">
      <c r="AS914" s="42"/>
    </row>
    <row r="935" spans="52:71" x14ac:dyDescent="0.3">
      <c r="AZ935" s="188"/>
      <c r="BB935" s="188"/>
      <c r="BC935" s="188"/>
      <c r="BD935" s="188"/>
      <c r="BG935" s="188"/>
      <c r="BH935" s="188"/>
      <c r="BI935" s="188"/>
      <c r="BJ935" s="188"/>
      <c r="BK935" s="188"/>
      <c r="BL935" s="188"/>
      <c r="BM935" s="188"/>
      <c r="BN935" s="188"/>
      <c r="BO935" s="188"/>
      <c r="BP935" s="188"/>
      <c r="BQ935" s="188"/>
      <c r="BR935" s="188"/>
      <c r="BS935" s="188"/>
    </row>
    <row r="936" spans="52:71" x14ac:dyDescent="0.3">
      <c r="AZ936" s="188"/>
      <c r="BB936" s="188"/>
      <c r="BC936" s="188"/>
      <c r="BD936" s="188"/>
      <c r="BG936" s="188"/>
      <c r="BH936" s="188"/>
      <c r="BI936" s="188"/>
      <c r="BJ936" s="188"/>
      <c r="BK936" s="188"/>
      <c r="BL936" s="188"/>
      <c r="BM936" s="188"/>
      <c r="BN936" s="188"/>
      <c r="BO936" s="188"/>
      <c r="BP936" s="188"/>
      <c r="BQ936" s="188"/>
      <c r="BR936" s="188"/>
      <c r="BS936" s="188"/>
    </row>
    <row r="937" spans="52:71" x14ac:dyDescent="0.3">
      <c r="AZ937" s="188"/>
      <c r="BB937" s="188"/>
      <c r="BC937" s="188"/>
      <c r="BD937" s="188"/>
      <c r="BG937" s="188"/>
      <c r="BH937" s="188"/>
      <c r="BI937" s="188"/>
      <c r="BJ937" s="188"/>
      <c r="BK937" s="188"/>
      <c r="BL937" s="188"/>
      <c r="BM937" s="188"/>
      <c r="BN937" s="188"/>
      <c r="BO937" s="188"/>
      <c r="BP937" s="188"/>
      <c r="BQ937" s="188"/>
      <c r="BR937" s="188"/>
      <c r="BS937" s="188"/>
    </row>
    <row r="938" spans="52:71" x14ac:dyDescent="0.3">
      <c r="AZ938" s="188"/>
      <c r="BB938" s="188"/>
      <c r="BC938" s="188"/>
      <c r="BD938" s="188"/>
      <c r="BG938" s="188"/>
      <c r="BH938" s="188"/>
      <c r="BI938" s="188"/>
      <c r="BJ938" s="188"/>
      <c r="BK938" s="188"/>
      <c r="BL938" s="188"/>
      <c r="BM938" s="188"/>
      <c r="BN938" s="188"/>
      <c r="BO938" s="188"/>
      <c r="BP938" s="188"/>
      <c r="BQ938" s="188"/>
      <c r="BR938" s="188"/>
      <c r="BS938" s="188"/>
    </row>
    <row r="939" spans="52:71" x14ac:dyDescent="0.3">
      <c r="AZ939" s="188"/>
      <c r="BB939" s="188"/>
      <c r="BC939" s="188"/>
      <c r="BD939" s="188"/>
      <c r="BG939" s="188"/>
      <c r="BH939" s="188"/>
      <c r="BI939" s="188"/>
      <c r="BJ939" s="188"/>
      <c r="BK939" s="188"/>
      <c r="BL939" s="188"/>
      <c r="BM939" s="188"/>
      <c r="BN939" s="188"/>
      <c r="BO939" s="188"/>
      <c r="BP939" s="188"/>
      <c r="BQ939" s="188"/>
      <c r="BR939" s="188"/>
      <c r="BS939" s="188"/>
    </row>
    <row r="940" spans="52:71" x14ac:dyDescent="0.3">
      <c r="AZ940" s="188"/>
      <c r="BB940" s="188"/>
      <c r="BC940" s="188"/>
      <c r="BD940" s="188"/>
      <c r="BG940" s="188"/>
      <c r="BH940" s="188"/>
      <c r="BI940" s="188"/>
      <c r="BJ940" s="188"/>
      <c r="BK940" s="188"/>
      <c r="BL940" s="188"/>
      <c r="BM940" s="188"/>
      <c r="BN940" s="188"/>
      <c r="BO940" s="188"/>
      <c r="BP940" s="188"/>
      <c r="BQ940" s="188"/>
      <c r="BR940" s="188"/>
      <c r="BS940" s="188"/>
    </row>
    <row r="941" spans="52:71" x14ac:dyDescent="0.3">
      <c r="AZ941" s="188"/>
      <c r="BB941" s="188"/>
      <c r="BC941" s="188"/>
      <c r="BD941" s="188"/>
      <c r="BG941" s="188"/>
      <c r="BH941" s="188"/>
      <c r="BI941" s="188"/>
      <c r="BJ941" s="188"/>
      <c r="BK941" s="188"/>
      <c r="BL941" s="188"/>
      <c r="BM941" s="188"/>
      <c r="BN941" s="188"/>
      <c r="BO941" s="188"/>
      <c r="BP941" s="188"/>
      <c r="BQ941" s="188"/>
      <c r="BR941" s="188"/>
      <c r="BS941" s="188"/>
    </row>
    <row r="942" spans="52:71" x14ac:dyDescent="0.3">
      <c r="AZ942" s="188"/>
      <c r="BB942" s="188"/>
      <c r="BC942" s="188"/>
      <c r="BD942" s="188"/>
      <c r="BG942" s="188"/>
      <c r="BH942" s="188"/>
      <c r="BI942" s="188"/>
      <c r="BJ942" s="188"/>
      <c r="BK942" s="188"/>
      <c r="BL942" s="188"/>
      <c r="BM942" s="188"/>
      <c r="BN942" s="188"/>
      <c r="BO942" s="188"/>
      <c r="BP942" s="188"/>
      <c r="BQ942" s="188"/>
      <c r="BR942" s="188"/>
      <c r="BS942" s="188"/>
    </row>
    <row r="943" spans="52:71" x14ac:dyDescent="0.3">
      <c r="AZ943" s="188"/>
      <c r="BB943" s="188"/>
      <c r="BC943" s="188"/>
      <c r="BD943" s="188"/>
      <c r="BG943" s="188"/>
      <c r="BH943" s="188"/>
      <c r="BI943" s="188"/>
      <c r="BJ943" s="188"/>
      <c r="BK943" s="188"/>
      <c r="BL943" s="188"/>
      <c r="BM943" s="188"/>
      <c r="BN943" s="188"/>
      <c r="BO943" s="188"/>
      <c r="BP943" s="188"/>
      <c r="BQ943" s="188"/>
      <c r="BR943" s="188"/>
      <c r="BS943" s="188"/>
    </row>
    <row r="944" spans="52:71" x14ac:dyDescent="0.3">
      <c r="AZ944" s="188"/>
      <c r="BB944" s="188"/>
      <c r="BC944" s="188"/>
      <c r="BD944" s="188"/>
      <c r="BG944" s="188"/>
      <c r="BH944" s="188"/>
      <c r="BI944" s="188"/>
      <c r="BJ944" s="188"/>
      <c r="BK944" s="188"/>
      <c r="BL944" s="188"/>
      <c r="BM944" s="188"/>
      <c r="BN944" s="188"/>
      <c r="BO944" s="188"/>
      <c r="BP944" s="188"/>
      <c r="BQ944" s="188"/>
      <c r="BR944" s="188"/>
      <c r="BS944" s="188"/>
    </row>
    <row r="945" spans="52:71" x14ac:dyDescent="0.3">
      <c r="AZ945" s="188"/>
      <c r="BB945" s="188"/>
      <c r="BC945" s="188"/>
      <c r="BD945" s="188"/>
      <c r="BG945" s="188"/>
      <c r="BH945" s="188"/>
      <c r="BI945" s="188"/>
      <c r="BJ945" s="188"/>
      <c r="BK945" s="188"/>
      <c r="BL945" s="188"/>
      <c r="BM945" s="188"/>
      <c r="BN945" s="188"/>
      <c r="BO945" s="188"/>
      <c r="BP945" s="188"/>
      <c r="BQ945" s="188"/>
      <c r="BR945" s="188"/>
      <c r="BS945" s="188"/>
    </row>
    <row r="946" spans="52:71" x14ac:dyDescent="0.3">
      <c r="AZ946" s="188"/>
      <c r="BB946" s="188"/>
      <c r="BC946" s="188"/>
      <c r="BD946" s="188"/>
      <c r="BG946" s="188"/>
      <c r="BH946" s="188"/>
      <c r="BI946" s="188"/>
      <c r="BJ946" s="188"/>
      <c r="BK946" s="188"/>
      <c r="BL946" s="188"/>
      <c r="BM946" s="188"/>
      <c r="BN946" s="188"/>
      <c r="BO946" s="188"/>
      <c r="BP946" s="188"/>
      <c r="BQ946" s="188"/>
      <c r="BR946" s="188"/>
      <c r="BS946" s="188"/>
    </row>
    <row r="947" spans="52:71" x14ac:dyDescent="0.3">
      <c r="AZ947" s="188"/>
      <c r="BG947" s="188"/>
      <c r="BH947" s="188"/>
      <c r="BI947" s="188"/>
      <c r="BJ947" s="188"/>
      <c r="BK947" s="188"/>
      <c r="BL947" s="188"/>
      <c r="BM947" s="188"/>
      <c r="BN947" s="188"/>
      <c r="BO947" s="188"/>
      <c r="BP947" s="188"/>
      <c r="BQ947" s="188"/>
      <c r="BR947" s="188"/>
      <c r="BS947" s="188"/>
    </row>
    <row r="948" spans="52:71" x14ac:dyDescent="0.3">
      <c r="AZ948" s="188"/>
      <c r="BG948" s="188"/>
      <c r="BH948" s="188"/>
      <c r="BI948" s="188"/>
      <c r="BJ948" s="188"/>
      <c r="BK948" s="188"/>
      <c r="BL948" s="188"/>
      <c r="BM948" s="188"/>
      <c r="BN948" s="188"/>
      <c r="BO948" s="188"/>
      <c r="BP948" s="188"/>
      <c r="BQ948" s="188"/>
      <c r="BR948" s="188"/>
      <c r="BS948" s="188"/>
    </row>
    <row r="949" spans="52:71" x14ac:dyDescent="0.3">
      <c r="AZ949" s="188"/>
      <c r="BG949" s="188"/>
      <c r="BH949" s="188"/>
      <c r="BI949" s="188"/>
      <c r="BJ949" s="188"/>
      <c r="BK949" s="188"/>
      <c r="BL949" s="188"/>
      <c r="BM949" s="188"/>
      <c r="BN949" s="188"/>
      <c r="BO949" s="188"/>
      <c r="BP949" s="188"/>
      <c r="BQ949" s="188"/>
      <c r="BR949" s="188"/>
      <c r="BS949" s="188"/>
    </row>
    <row r="950" spans="52:71" x14ac:dyDescent="0.3">
      <c r="AZ950" s="188"/>
      <c r="BG950" s="188"/>
      <c r="BH950" s="188"/>
      <c r="BI950" s="188"/>
      <c r="BJ950" s="188"/>
      <c r="BK950" s="188"/>
      <c r="BL950" s="188"/>
      <c r="BM950" s="188"/>
      <c r="BN950" s="188"/>
      <c r="BO950" s="188"/>
      <c r="BP950" s="188"/>
      <c r="BQ950" s="188"/>
      <c r="BR950" s="188"/>
      <c r="BS950" s="188"/>
    </row>
    <row r="951" spans="52:71" x14ac:dyDescent="0.3">
      <c r="AZ951" s="188"/>
      <c r="BG951" s="188"/>
      <c r="BH951" s="188"/>
      <c r="BI951" s="188"/>
      <c r="BJ951" s="188"/>
      <c r="BK951" s="188"/>
      <c r="BL951" s="188"/>
      <c r="BM951" s="188"/>
      <c r="BN951" s="188"/>
      <c r="BO951" s="188"/>
      <c r="BP951" s="188"/>
      <c r="BQ951" s="188"/>
      <c r="BR951" s="188"/>
      <c r="BS951" s="188"/>
    </row>
    <row r="952" spans="52:71" x14ac:dyDescent="0.3">
      <c r="AZ952" s="188"/>
      <c r="BG952" s="188"/>
      <c r="BH952" s="188"/>
      <c r="BI952" s="188"/>
      <c r="BJ952" s="188"/>
      <c r="BK952" s="188"/>
      <c r="BL952" s="188"/>
      <c r="BM952" s="188"/>
      <c r="BN952" s="188"/>
      <c r="BO952" s="188"/>
      <c r="BP952" s="188"/>
      <c r="BQ952" s="188"/>
      <c r="BR952" s="188"/>
      <c r="BS952" s="188"/>
    </row>
    <row r="953" spans="52:71" x14ac:dyDescent="0.3">
      <c r="AZ953" s="188"/>
      <c r="BG953" s="188"/>
      <c r="BH953" s="188"/>
      <c r="BI953" s="188"/>
      <c r="BJ953" s="188"/>
      <c r="BK953" s="188"/>
      <c r="BL953" s="188"/>
      <c r="BM953" s="188"/>
      <c r="BN953" s="188"/>
      <c r="BO953" s="188"/>
      <c r="BP953" s="188"/>
      <c r="BQ953" s="188"/>
      <c r="BR953" s="188"/>
      <c r="BS953" s="188"/>
    </row>
    <row r="954" spans="52:71" x14ac:dyDescent="0.3">
      <c r="AZ954" s="188"/>
    </row>
    <row r="955" spans="52:71" x14ac:dyDescent="0.3">
      <c r="AZ955" s="188"/>
    </row>
    <row r="969" spans="1:28" x14ac:dyDescent="0.3">
      <c r="A969" s="42"/>
    </row>
    <row r="972" spans="1:28" x14ac:dyDescent="0.3">
      <c r="Y972" s="42"/>
    </row>
    <row r="973" spans="1:28" x14ac:dyDescent="0.3">
      <c r="A973" s="42"/>
      <c r="H973" s="42"/>
      <c r="I973" s="42"/>
    </row>
    <row r="974" spans="1:28" x14ac:dyDescent="0.3">
      <c r="A974" s="42"/>
      <c r="V974" s="44"/>
      <c r="AA974" s="44"/>
      <c r="AB974" s="44"/>
    </row>
    <row r="975" spans="1:28" x14ac:dyDescent="0.3">
      <c r="A975" s="42"/>
      <c r="V975" s="135"/>
      <c r="AA975" s="135"/>
      <c r="AB975" s="135"/>
    </row>
    <row r="976" spans="1:28" x14ac:dyDescent="0.3">
      <c r="A976" s="42"/>
      <c r="U976" s="42"/>
      <c r="AA976" s="44"/>
      <c r="AB976" s="44"/>
    </row>
    <row r="977" spans="1:28" x14ac:dyDescent="0.3">
      <c r="A977" s="42"/>
    </row>
    <row r="978" spans="1:28" x14ac:dyDescent="0.3">
      <c r="A978" s="42"/>
      <c r="U978" s="42"/>
      <c r="AA978" s="44"/>
      <c r="AB978" s="44"/>
    </row>
    <row r="979" spans="1:28" x14ac:dyDescent="0.3">
      <c r="A979" s="42"/>
    </row>
    <row r="980" spans="1:28" x14ac:dyDescent="0.3">
      <c r="A980" s="42"/>
      <c r="U980" s="42"/>
      <c r="V980" s="247"/>
      <c r="AA980" s="44"/>
      <c r="AB980" s="44"/>
    </row>
    <row r="981" spans="1:28" x14ac:dyDescent="0.3">
      <c r="A981" s="42"/>
    </row>
    <row r="982" spans="1:28" x14ac:dyDescent="0.3">
      <c r="A982" s="42"/>
      <c r="U982" s="42"/>
      <c r="AA982" s="44"/>
      <c r="AB982" s="44"/>
    </row>
    <row r="983" spans="1:28" x14ac:dyDescent="0.3">
      <c r="A983" s="42"/>
    </row>
    <row r="984" spans="1:28" x14ac:dyDescent="0.3">
      <c r="A984" s="42"/>
      <c r="U984" s="42"/>
      <c r="AA984" s="44"/>
      <c r="AB984" s="44"/>
    </row>
    <row r="985" spans="1:28" x14ac:dyDescent="0.3">
      <c r="A985" s="42"/>
    </row>
    <row r="986" spans="1:28" x14ac:dyDescent="0.3">
      <c r="A986" s="42"/>
    </row>
    <row r="987" spans="1:28" x14ac:dyDescent="0.3">
      <c r="A987" s="42"/>
    </row>
    <row r="988" spans="1:28" x14ac:dyDescent="0.3">
      <c r="A988" s="42"/>
    </row>
    <row r="989" spans="1:28" x14ac:dyDescent="0.3">
      <c r="A989" s="42"/>
    </row>
    <row r="990" spans="1:28" x14ac:dyDescent="0.3">
      <c r="A990" s="42"/>
    </row>
    <row r="991" spans="1:28" x14ac:dyDescent="0.3">
      <c r="A991" s="42"/>
    </row>
    <row r="992" spans="1:28" x14ac:dyDescent="0.3">
      <c r="A992" s="42"/>
    </row>
    <row r="993" spans="1:9" x14ac:dyDescent="0.3">
      <c r="A993" s="42"/>
    </row>
    <row r="994" spans="1:9" x14ac:dyDescent="0.3">
      <c r="A994" s="42"/>
    </row>
    <row r="995" spans="1:9" x14ac:dyDescent="0.3">
      <c r="A995" s="42"/>
      <c r="H995" s="42"/>
      <c r="I995" s="42"/>
    </row>
    <row r="998" spans="1:9" x14ac:dyDescent="0.3">
      <c r="A998" s="42"/>
    </row>
    <row r="1001" spans="1:9" x14ac:dyDescent="0.3">
      <c r="A1001" s="42"/>
    </row>
    <row r="1004" spans="1:9" x14ac:dyDescent="0.3">
      <c r="A1004" s="42"/>
    </row>
    <row r="1005" spans="1:9" x14ac:dyDescent="0.3">
      <c r="A1005" s="42"/>
    </row>
    <row r="1006" spans="1:9" x14ac:dyDescent="0.3">
      <c r="A1006" s="42"/>
    </row>
    <row r="1007" spans="1:9" x14ac:dyDescent="0.3">
      <c r="A1007" s="42"/>
    </row>
    <row r="1008" spans="1:9" x14ac:dyDescent="0.3">
      <c r="A1008" s="42"/>
    </row>
    <row r="1009" spans="1:1" x14ac:dyDescent="0.3">
      <c r="A1009" s="42"/>
    </row>
    <row r="1010" spans="1:1" x14ac:dyDescent="0.3">
      <c r="A1010" s="42"/>
    </row>
    <row r="1011" spans="1:1" x14ac:dyDescent="0.3">
      <c r="A1011" s="42"/>
    </row>
    <row r="1012" spans="1:1" x14ac:dyDescent="0.3">
      <c r="A1012" s="42"/>
    </row>
    <row r="1013" spans="1:1" x14ac:dyDescent="0.3">
      <c r="A1013" s="42"/>
    </row>
    <row r="1014" spans="1:1" x14ac:dyDescent="0.3">
      <c r="A1014" s="42"/>
    </row>
    <row r="1015" spans="1:1" x14ac:dyDescent="0.3">
      <c r="A1015" s="42"/>
    </row>
    <row r="1016" spans="1:1" x14ac:dyDescent="0.3">
      <c r="A1016" s="42"/>
    </row>
    <row r="1017" spans="1:1" x14ac:dyDescent="0.3">
      <c r="A1017" s="42"/>
    </row>
    <row r="1018" spans="1:1" x14ac:dyDescent="0.3">
      <c r="A1018" s="42"/>
    </row>
    <row r="1019" spans="1:1" x14ac:dyDescent="0.3">
      <c r="A1019" s="42"/>
    </row>
    <row r="1020" spans="1:1" x14ac:dyDescent="0.3">
      <c r="A1020" s="42"/>
    </row>
    <row r="1021" spans="1:1" x14ac:dyDescent="0.3">
      <c r="A1021" s="42"/>
    </row>
    <row r="1022" spans="1:1" x14ac:dyDescent="0.3">
      <c r="A1022" s="42"/>
    </row>
    <row r="1023" spans="1:1" x14ac:dyDescent="0.3">
      <c r="A1023" s="42"/>
    </row>
    <row r="1024" spans="1:1" x14ac:dyDescent="0.3">
      <c r="A1024" s="42"/>
    </row>
    <row r="1025" spans="1:1" x14ac:dyDescent="0.3">
      <c r="A1025" s="42"/>
    </row>
    <row r="1026" spans="1:1" x14ac:dyDescent="0.3">
      <c r="A1026" s="42"/>
    </row>
    <row r="1027" spans="1:1" x14ac:dyDescent="0.3">
      <c r="A1027" s="42"/>
    </row>
    <row r="1028" spans="1:1" x14ac:dyDescent="0.3">
      <c r="A1028" s="42"/>
    </row>
    <row r="1029" spans="1:1" x14ac:dyDescent="0.3">
      <c r="A1029" s="42"/>
    </row>
    <row r="1030" spans="1:1" x14ac:dyDescent="0.3">
      <c r="A1030" s="42"/>
    </row>
    <row r="1031" spans="1:1" x14ac:dyDescent="0.3">
      <c r="A1031" s="42"/>
    </row>
    <row r="1032" spans="1:1" x14ac:dyDescent="0.3">
      <c r="A1032" s="42"/>
    </row>
    <row r="1033" spans="1:1" x14ac:dyDescent="0.3">
      <c r="A1033" s="42"/>
    </row>
    <row r="1034" spans="1:1" x14ac:dyDescent="0.3">
      <c r="A1034" s="42"/>
    </row>
    <row r="1035" spans="1:1" x14ac:dyDescent="0.3">
      <c r="A1035" s="42"/>
    </row>
    <row r="1036" spans="1:1" x14ac:dyDescent="0.3">
      <c r="A1036" s="42"/>
    </row>
    <row r="1037" spans="1:1" x14ac:dyDescent="0.3">
      <c r="A1037" s="42"/>
    </row>
    <row r="1038" spans="1:1" x14ac:dyDescent="0.3">
      <c r="A1038" s="42"/>
    </row>
    <row r="1043" spans="1:1" x14ac:dyDescent="0.3">
      <c r="A1043" s="42"/>
    </row>
    <row r="1044" spans="1:1" x14ac:dyDescent="0.3">
      <c r="A1044" s="42"/>
    </row>
    <row r="1047" spans="1:1" x14ac:dyDescent="0.3">
      <c r="A1047" s="42"/>
    </row>
    <row r="1049" spans="1:1" x14ac:dyDescent="0.3">
      <c r="A1049" s="42"/>
    </row>
    <row r="1051" spans="1:1" x14ac:dyDescent="0.3">
      <c r="A1051" s="42"/>
    </row>
    <row r="1053" spans="1:1" x14ac:dyDescent="0.3">
      <c r="A1053" s="42"/>
    </row>
    <row r="1056" spans="1:1" x14ac:dyDescent="0.3">
      <c r="A1056" s="42"/>
    </row>
    <row r="1057" spans="1:1" x14ac:dyDescent="0.3">
      <c r="A1057" s="42"/>
    </row>
    <row r="1058" spans="1:1" x14ac:dyDescent="0.3">
      <c r="A1058" s="42"/>
    </row>
    <row r="1059" spans="1:1" x14ac:dyDescent="0.3">
      <c r="A1059" s="42"/>
    </row>
    <row r="1060" spans="1:1" x14ac:dyDescent="0.3">
      <c r="A1060" s="42"/>
    </row>
    <row r="1061" spans="1:1" x14ac:dyDescent="0.3">
      <c r="A1061" s="42"/>
    </row>
    <row r="1062" spans="1:1" x14ac:dyDescent="0.3">
      <c r="A1062" s="42"/>
    </row>
    <row r="1063" spans="1:1" x14ac:dyDescent="0.3">
      <c r="A1063" s="42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U55">
      <selection activeCell="AC66" sqref="AC6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3"/>
      <headerFooter alignWithMargins="0"/>
    </customSheetView>
    <customSheetView guid="{2431C9E5-7CC2-4B8D-99C3-962247B1DBF5}" scale="75" fitToPage="1" showRuler="0" topLeftCell="U55">
      <selection activeCell="AC66" sqref="AC6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4"/>
      <headerFooter alignWithMargins="0"/>
    </customSheetView>
    <customSheetView guid="{2EA35095-1ADC-4CC7-8C3C-B487D65FA247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8"/>
      <headerFooter alignWithMargins="0"/>
    </customSheetView>
    <customSheetView guid="{0BC1F393-8A13-47D5-BC6C-0C99615B5AB9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F562D92E-120C-4AE9-9663-89E64D41DC53}" scale="75" fitToPage="1" topLeftCell="A16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1" type="noConversion"/>
  <pageMargins left="0.5" right="0.5" top="1" bottom="0" header="0" footer="0"/>
  <pageSetup scale="61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syncVertical="1" syncRef="A1" transitionEvaluation="1" transitionEntry="1" codeName="Sheet141">
    <pageSetUpPr fitToPage="1"/>
  </sheetPr>
  <dimension ref="A1:BX1041"/>
  <sheetViews>
    <sheetView zoomScale="75" workbookViewId="0"/>
  </sheetViews>
  <sheetFormatPr defaultColWidth="9.75" defaultRowHeight="15.6" x14ac:dyDescent="0.3"/>
  <cols>
    <col min="1" max="1" width="5.25" style="41" customWidth="1"/>
    <col min="2" max="2" width="0.4140625" style="41" customWidth="1"/>
    <col min="3" max="3" width="6.75" style="41" customWidth="1"/>
    <col min="4" max="4" width="35.75" style="41" customWidth="1"/>
    <col min="5" max="5" width="0.7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3.082031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7.58203125" style="41" customWidth="1"/>
    <col min="19" max="19" width="6.75" style="41" customWidth="1"/>
    <col min="20" max="20" width="5.4140625" style="41" customWidth="1"/>
    <col min="21" max="21" width="0.58203125" style="41" customWidth="1"/>
    <col min="22" max="22" width="4.58203125" style="41" customWidth="1"/>
    <col min="23" max="23" width="41.4140625" style="41" customWidth="1"/>
    <col min="24" max="24" width="0.914062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1.4140625" style="41" customWidth="1"/>
    <col min="30" max="30" width="0.9140625" style="41" customWidth="1"/>
    <col min="31" max="31" width="12.9140625" style="41" customWidth="1"/>
    <col min="32" max="32" width="0.75" style="41" customWidth="1"/>
    <col min="33" max="33" width="13.6640625" style="165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165" customWidth="1"/>
    <col min="38" max="38" width="0.582031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165" customWidth="1"/>
    <col min="44" max="44" width="14.75" style="41" customWidth="1"/>
    <col min="45" max="45" width="4.75" style="41" customWidth="1"/>
    <col min="46" max="46" width="5.75" style="41" customWidth="1"/>
    <col min="47" max="47" width="12.914062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Y1" s="42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Y2" s="42"/>
    </row>
    <row r="3" spans="1:40" x14ac:dyDescent="0.3">
      <c r="A3" s="40" t="str">
        <f>TITLE</f>
        <v>ANNUALIZED TEST YEAR REVENUES AT REHEARING ORDER CALCULATED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V3" s="210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V4" s="210"/>
      <c r="AA4" s="42"/>
      <c r="AB4" s="42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V5" s="238"/>
      <c r="AK5" s="206"/>
      <c r="AL5" s="42"/>
    </row>
    <row r="6" spans="1:40" x14ac:dyDescent="0.3">
      <c r="A6" s="41" t="str">
        <f>DATA_PERIOD</f>
        <v>DATA: ____ BASE PERIOD   __X__FORECASTED PERIOD</v>
      </c>
      <c r="R6" s="42" t="s">
        <v>157</v>
      </c>
      <c r="V6" s="238"/>
      <c r="AK6" s="206"/>
      <c r="AL6" s="42"/>
    </row>
    <row r="7" spans="1:40" x14ac:dyDescent="0.3">
      <c r="A7" s="41" t="str">
        <f>TYPE</f>
        <v>TYPE OF FILING: _X_ ORIGINAL   ___UPDATED  ___ REVISED</v>
      </c>
      <c r="R7" s="45" t="str">
        <f>"PAGE 18 OF "&amp;TEXT(Page_Num_2.3,"00")</f>
        <v>PAGE 18 OF 24</v>
      </c>
      <c r="V7" s="238"/>
      <c r="AK7" s="206"/>
      <c r="AL7" s="42"/>
    </row>
    <row r="8" spans="1:40" x14ac:dyDescent="0.3">
      <c r="A8" s="42" t="s">
        <v>171</v>
      </c>
      <c r="R8" s="42" t="s">
        <v>3</v>
      </c>
      <c r="V8" s="238"/>
      <c r="W8" s="40"/>
      <c r="AK8" s="206"/>
      <c r="AL8" s="42"/>
    </row>
    <row r="9" spans="1:40" x14ac:dyDescent="0.3">
      <c r="A9" s="153" t="str">
        <f>TIME</f>
        <v>12 Months Projected with Riders</v>
      </c>
      <c r="M9" s="42"/>
      <c r="R9" s="41" t="str">
        <f>WIT</f>
        <v>B. L. Sailers</v>
      </c>
      <c r="V9" s="238"/>
      <c r="W9" s="42"/>
      <c r="AA9" s="42"/>
      <c r="AB9" s="42"/>
    </row>
    <row r="10" spans="1:40" x14ac:dyDescent="0.3">
      <c r="A10" s="40" t="s">
        <v>130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T10" s="135"/>
      <c r="U10" s="135"/>
      <c r="V10" s="238"/>
      <c r="W10" s="40"/>
      <c r="X10" s="135"/>
      <c r="Y10" s="135"/>
      <c r="Z10" s="135"/>
      <c r="AA10" s="135"/>
      <c r="AB10" s="135"/>
      <c r="AC10" s="135"/>
      <c r="AD10" s="135"/>
      <c r="AE10" s="135"/>
      <c r="AF10" s="135"/>
      <c r="AG10" s="207"/>
      <c r="AH10" s="135"/>
      <c r="AI10" s="135"/>
      <c r="AJ10" s="135"/>
      <c r="AK10" s="207"/>
      <c r="AL10" s="135"/>
      <c r="AM10" s="135"/>
      <c r="AN10" s="135"/>
    </row>
    <row r="11" spans="1:40" x14ac:dyDescent="0.3">
      <c r="A11" s="135"/>
      <c r="B11" s="135"/>
      <c r="C11" s="135"/>
      <c r="D11" s="135"/>
      <c r="E11" s="135"/>
      <c r="G11" s="135"/>
      <c r="H11" s="135"/>
      <c r="I11" s="135"/>
      <c r="J11" s="135"/>
      <c r="K11" s="135"/>
      <c r="L11" s="43"/>
      <c r="M11" s="43"/>
      <c r="N11" s="43"/>
      <c r="O11" s="43"/>
      <c r="P11" s="43"/>
      <c r="Q11" s="43"/>
      <c r="R11" s="43"/>
      <c r="V11" s="238"/>
      <c r="W11" s="42"/>
      <c r="AA11" s="44"/>
      <c r="AB11" s="44"/>
      <c r="AC11" s="44"/>
      <c r="AD11" s="44"/>
      <c r="AE11" s="44"/>
      <c r="AF11" s="44"/>
      <c r="AG11" s="168"/>
      <c r="AH11" s="44"/>
      <c r="AK11" s="168"/>
      <c r="AL11" s="44"/>
      <c r="AM11" s="44"/>
      <c r="AN11" s="44"/>
    </row>
    <row r="12" spans="1:40" ht="18" customHeight="1" x14ac:dyDescent="0.3">
      <c r="A12" s="191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44" t="s">
        <v>6</v>
      </c>
      <c r="M12" s="44"/>
      <c r="N12" s="44" t="s">
        <v>7</v>
      </c>
      <c r="O12" s="44"/>
      <c r="R12" s="44" t="s">
        <v>6</v>
      </c>
      <c r="Z12" s="44"/>
      <c r="AA12" s="44"/>
      <c r="AB12" s="44"/>
      <c r="AC12" s="44"/>
      <c r="AD12" s="44"/>
      <c r="AE12" s="44"/>
      <c r="AF12" s="44"/>
      <c r="AG12" s="168"/>
      <c r="AH12" s="44"/>
      <c r="AK12" s="168"/>
      <c r="AL12" s="44"/>
      <c r="AM12" s="44"/>
      <c r="AN12" s="44"/>
    </row>
    <row r="13" spans="1:40" x14ac:dyDescent="0.3">
      <c r="L13" s="44" t="s">
        <v>12</v>
      </c>
      <c r="M13" s="44"/>
      <c r="N13" s="44" t="s">
        <v>13</v>
      </c>
      <c r="O13" s="44"/>
      <c r="R13" s="44" t="s">
        <v>11</v>
      </c>
      <c r="T13" s="44"/>
      <c r="U13" s="44"/>
      <c r="V13" s="44"/>
      <c r="Z13" s="44"/>
      <c r="AA13" s="44"/>
      <c r="AB13" s="44"/>
      <c r="AC13" s="44"/>
      <c r="AD13" s="44"/>
      <c r="AE13" s="44"/>
      <c r="AF13" s="44"/>
      <c r="AG13" s="168"/>
      <c r="AH13" s="44"/>
      <c r="AI13" s="44"/>
      <c r="AJ13" s="44"/>
      <c r="AK13" s="168"/>
      <c r="AL13" s="44"/>
      <c r="AM13" s="44"/>
      <c r="AN13" s="44"/>
    </row>
    <row r="14" spans="1:40" x14ac:dyDescent="0.3">
      <c r="A14" s="44" t="s">
        <v>17</v>
      </c>
      <c r="C14" s="44" t="s">
        <v>18</v>
      </c>
      <c r="D14" s="44" t="s">
        <v>19</v>
      </c>
      <c r="E14" s="44"/>
      <c r="F14" s="44" t="s">
        <v>20</v>
      </c>
      <c r="J14" s="44" t="s">
        <v>6</v>
      </c>
      <c r="K14" s="44"/>
      <c r="L14" s="44" t="s">
        <v>842</v>
      </c>
      <c r="M14" s="44"/>
      <c r="N14" s="44" t="s">
        <v>842</v>
      </c>
      <c r="O14" s="44"/>
      <c r="P14" s="44" t="s">
        <v>842</v>
      </c>
      <c r="Q14" s="44"/>
      <c r="R14" s="44" t="s">
        <v>9</v>
      </c>
      <c r="T14" s="44"/>
      <c r="U14" s="44"/>
      <c r="V14" s="44"/>
      <c r="Y14" s="44"/>
      <c r="Z14" s="44"/>
      <c r="AA14" s="44"/>
      <c r="AB14" s="44"/>
      <c r="AC14" s="44"/>
      <c r="AD14" s="44"/>
      <c r="AE14" s="44"/>
      <c r="AF14" s="44"/>
      <c r="AG14" s="168"/>
      <c r="AH14" s="44"/>
      <c r="AI14" s="44"/>
      <c r="AJ14" s="44"/>
      <c r="AK14" s="168"/>
      <c r="AL14" s="44"/>
      <c r="AM14" s="44"/>
      <c r="AN14" s="44"/>
    </row>
    <row r="15" spans="1:40" x14ac:dyDescent="0.3">
      <c r="A15" s="44" t="s">
        <v>22</v>
      </c>
      <c r="C15" s="44" t="s">
        <v>23</v>
      </c>
      <c r="D15" s="44" t="s">
        <v>24</v>
      </c>
      <c r="E15" s="44"/>
      <c r="F15" s="44" t="s">
        <v>25</v>
      </c>
      <c r="H15" s="44" t="s">
        <v>26</v>
      </c>
      <c r="I15" s="44"/>
      <c r="J15" s="46" t="s">
        <v>325</v>
      </c>
      <c r="K15" s="44"/>
      <c r="L15" s="44" t="s">
        <v>9</v>
      </c>
      <c r="M15" s="44"/>
      <c r="N15" s="44" t="s">
        <v>9</v>
      </c>
      <c r="O15" s="44"/>
      <c r="P15" s="44" t="s">
        <v>324</v>
      </c>
      <c r="Q15" s="44"/>
      <c r="R15" s="141" t="s">
        <v>28</v>
      </c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207"/>
      <c r="AH15" s="135"/>
      <c r="AI15" s="135"/>
      <c r="AJ15" s="135"/>
      <c r="AK15" s="207"/>
      <c r="AL15" s="135"/>
      <c r="AM15" s="135"/>
      <c r="AN15" s="135"/>
    </row>
    <row r="16" spans="1:40" x14ac:dyDescent="0.3">
      <c r="C16" s="141" t="s">
        <v>33</v>
      </c>
      <c r="D16" s="141" t="s">
        <v>34</v>
      </c>
      <c r="E16" s="141"/>
      <c r="F16" s="141" t="s">
        <v>35</v>
      </c>
      <c r="G16" s="153"/>
      <c r="H16" s="141" t="s">
        <v>36</v>
      </c>
      <c r="I16" s="141"/>
      <c r="J16" s="141" t="s">
        <v>37</v>
      </c>
      <c r="K16" s="141"/>
      <c r="L16" s="141" t="s">
        <v>38</v>
      </c>
      <c r="M16" s="141"/>
      <c r="N16" s="141" t="s">
        <v>39</v>
      </c>
      <c r="O16" s="141"/>
      <c r="P16" s="141" t="s">
        <v>40</v>
      </c>
      <c r="Q16" s="141"/>
      <c r="R16" s="141" t="s">
        <v>41</v>
      </c>
      <c r="Y16" s="44"/>
      <c r="Z16" s="44"/>
      <c r="AA16" s="44"/>
      <c r="AB16" s="44"/>
      <c r="AC16" s="44"/>
      <c r="AD16" s="44"/>
      <c r="AE16" s="44"/>
      <c r="AF16" s="44"/>
      <c r="AG16" s="168"/>
      <c r="AH16" s="44"/>
      <c r="AI16" s="44"/>
      <c r="AJ16" s="44"/>
      <c r="AK16" s="168"/>
      <c r="AL16" s="44"/>
      <c r="AM16" s="44"/>
      <c r="AN16" s="44"/>
    </row>
    <row r="17" spans="1:76" ht="17.100000000000001" customHeight="1" x14ac:dyDescent="0.3">
      <c r="A17" s="191"/>
      <c r="B17" s="191"/>
      <c r="C17" s="191"/>
      <c r="D17" s="191"/>
      <c r="E17" s="191"/>
      <c r="F17" s="191"/>
      <c r="G17" s="191"/>
      <c r="H17" s="271" t="s">
        <v>49</v>
      </c>
      <c r="I17" s="271"/>
      <c r="J17" s="270" t="s">
        <v>303</v>
      </c>
      <c r="K17" s="271"/>
      <c r="L17" s="271" t="s">
        <v>50</v>
      </c>
      <c r="M17" s="271"/>
      <c r="N17" s="271" t="s">
        <v>51</v>
      </c>
      <c r="O17" s="271"/>
      <c r="P17" s="271" t="s">
        <v>50</v>
      </c>
      <c r="Q17" s="271"/>
      <c r="R17" s="271" t="s">
        <v>50</v>
      </c>
      <c r="T17" s="42"/>
      <c r="U17" s="42"/>
      <c r="Y17" s="44" t="s">
        <v>405</v>
      </c>
    </row>
    <row r="18" spans="1:76" x14ac:dyDescent="0.3">
      <c r="A18" s="41">
        <v>1</v>
      </c>
      <c r="C18" s="132" t="s">
        <v>73</v>
      </c>
      <c r="D18" s="132" t="s">
        <v>71</v>
      </c>
      <c r="F18" s="1"/>
      <c r="G18" s="1"/>
      <c r="H18" s="208"/>
      <c r="I18" s="208"/>
      <c r="J18" s="337" t="s">
        <v>313</v>
      </c>
      <c r="K18" s="208"/>
      <c r="L18" s="208"/>
      <c r="M18" s="208"/>
      <c r="N18" s="208"/>
      <c r="O18" s="208"/>
      <c r="P18" s="208"/>
      <c r="Q18" s="208"/>
      <c r="R18" s="208"/>
      <c r="T18" s="42"/>
      <c r="U18" s="42"/>
      <c r="Y18" s="44" t="s">
        <v>406</v>
      </c>
    </row>
    <row r="19" spans="1:76" x14ac:dyDescent="0.3">
      <c r="A19" s="41">
        <v>2</v>
      </c>
      <c r="C19" s="178" t="s">
        <v>259</v>
      </c>
      <c r="F19" s="1"/>
      <c r="G19" s="1"/>
      <c r="H19" s="1"/>
      <c r="I19" s="1"/>
      <c r="J19" s="5"/>
      <c r="K19" s="1"/>
      <c r="L19" s="1"/>
      <c r="M19" s="1"/>
      <c r="N19" s="1"/>
      <c r="O19" s="1"/>
      <c r="P19" s="1"/>
      <c r="Q19" s="1"/>
      <c r="R19" s="1"/>
      <c r="T19" s="42"/>
      <c r="U19" s="42"/>
    </row>
    <row r="20" spans="1:76" x14ac:dyDescent="0.3">
      <c r="A20" s="41">
        <v>3</v>
      </c>
      <c r="C20" s="132" t="s">
        <v>335</v>
      </c>
      <c r="D20" s="153"/>
      <c r="F20" s="1"/>
      <c r="G20" s="1"/>
      <c r="H20" s="1"/>
      <c r="I20" s="1"/>
      <c r="J20" s="5"/>
      <c r="K20" s="1"/>
      <c r="L20" s="1"/>
      <c r="M20" s="1"/>
      <c r="N20" s="1"/>
      <c r="O20" s="1"/>
      <c r="P20" s="1"/>
      <c r="Q20" s="1"/>
      <c r="R20" s="1"/>
      <c r="T20" s="42"/>
      <c r="U20" s="42"/>
    </row>
    <row r="21" spans="1:76" x14ac:dyDescent="0.3">
      <c r="A21" s="41">
        <v>4</v>
      </c>
      <c r="C21" s="132" t="s">
        <v>336</v>
      </c>
      <c r="D21" s="153"/>
      <c r="F21" s="1"/>
      <c r="G21" s="1"/>
      <c r="H21" s="1"/>
      <c r="I21" s="1"/>
      <c r="J21" s="5"/>
      <c r="K21" s="1"/>
      <c r="L21" s="1"/>
      <c r="M21" s="1"/>
      <c r="N21" s="1"/>
      <c r="O21" s="1"/>
      <c r="P21" s="1"/>
      <c r="Q21" s="1"/>
      <c r="R21" s="1"/>
      <c r="T21" s="42"/>
      <c r="U21" s="42"/>
    </row>
    <row r="22" spans="1:76" x14ac:dyDescent="0.3">
      <c r="A22" s="41">
        <v>5</v>
      </c>
      <c r="C22" s="42" t="s">
        <v>207</v>
      </c>
      <c r="F22" s="123">
        <v>0</v>
      </c>
      <c r="G22" s="1"/>
      <c r="H22" s="123">
        <v>0</v>
      </c>
      <c r="I22" s="1"/>
      <c r="J22" s="238">
        <v>7.77</v>
      </c>
      <c r="K22" s="1"/>
      <c r="L22" s="3">
        <f>ROUND(F22*J22,0)</f>
        <v>0</v>
      </c>
      <c r="M22" s="1"/>
      <c r="N22" s="4">
        <f>ROUND((L22/L$72)*100,1)</f>
        <v>0</v>
      </c>
      <c r="O22" s="1"/>
      <c r="P22" s="3">
        <f>ROUND((P$72/H$72)*H22,0)</f>
        <v>0</v>
      </c>
      <c r="Q22" s="1"/>
      <c r="R22" s="3">
        <f>P22+L22</f>
        <v>0</v>
      </c>
      <c r="T22" s="42"/>
      <c r="U22" s="42"/>
      <c r="Y22" s="188">
        <f>J22-AY95</f>
        <v>5.51</v>
      </c>
    </row>
    <row r="23" spans="1:76" x14ac:dyDescent="0.3">
      <c r="A23" s="41">
        <v>6</v>
      </c>
      <c r="C23" s="42" t="s">
        <v>337</v>
      </c>
      <c r="F23" s="123">
        <v>0</v>
      </c>
      <c r="G23" s="1"/>
      <c r="H23" s="123">
        <v>0</v>
      </c>
      <c r="I23" s="1"/>
      <c r="J23" s="238">
        <v>10.050000000000001</v>
      </c>
      <c r="K23" s="1"/>
      <c r="L23" s="3">
        <f>ROUND(F23*J23,0)</f>
        <v>0</v>
      </c>
      <c r="M23" s="1"/>
      <c r="N23" s="4">
        <f>ROUND((L23/L$72)*100,1)</f>
        <v>0</v>
      </c>
      <c r="O23" s="1"/>
      <c r="P23" s="3">
        <f>ROUND((P$72/H$72)*H23,0)</f>
        <v>0</v>
      </c>
      <c r="Q23" s="1"/>
      <c r="R23" s="3">
        <f>P23+L23</f>
        <v>0</v>
      </c>
      <c r="T23" s="42"/>
      <c r="Y23" s="188">
        <f>J23-AY96</f>
        <v>6.83</v>
      </c>
    </row>
    <row r="24" spans="1:76" x14ac:dyDescent="0.3">
      <c r="A24" s="41">
        <v>7</v>
      </c>
      <c r="C24" s="42" t="s">
        <v>338</v>
      </c>
      <c r="F24" s="123">
        <v>0</v>
      </c>
      <c r="G24" s="1"/>
      <c r="H24" s="123">
        <v>0</v>
      </c>
      <c r="I24" s="1"/>
      <c r="J24" s="238">
        <v>14.18</v>
      </c>
      <c r="K24" s="1"/>
      <c r="L24" s="3">
        <f>ROUND(F24*J24,0)</f>
        <v>0</v>
      </c>
      <c r="M24" s="1"/>
      <c r="N24" s="4">
        <f>ROUND((L24/L$72)*100,1)</f>
        <v>0</v>
      </c>
      <c r="O24" s="1"/>
      <c r="P24" s="3">
        <f>ROUND((P$72/H$72)*H24,0)</f>
        <v>0</v>
      </c>
      <c r="Q24" s="1"/>
      <c r="R24" s="3">
        <f>P24+L24</f>
        <v>0</v>
      </c>
      <c r="T24" s="40"/>
      <c r="U24" s="40"/>
      <c r="V24" s="40"/>
      <c r="W24" s="40"/>
      <c r="X24" s="40"/>
      <c r="Y24" s="188">
        <f>J24-AY97</f>
        <v>9.14</v>
      </c>
      <c r="Z24" s="40"/>
      <c r="AA24" s="40"/>
      <c r="AB24" s="40"/>
      <c r="AC24" s="40"/>
      <c r="AD24" s="40"/>
      <c r="AE24" s="40"/>
      <c r="AF24" s="40"/>
      <c r="AG24" s="166"/>
      <c r="AH24" s="40"/>
      <c r="AI24" s="40"/>
      <c r="AJ24" s="40"/>
      <c r="AK24" s="166"/>
      <c r="AL24" s="40"/>
      <c r="AM24" s="40"/>
      <c r="AN24" s="40"/>
      <c r="AO24" s="40"/>
      <c r="AP24" s="40"/>
      <c r="AQ24" s="166"/>
    </row>
    <row r="25" spans="1:76" ht="15" customHeight="1" x14ac:dyDescent="0.3">
      <c r="C25" s="42"/>
      <c r="F25" s="123"/>
      <c r="G25" s="1"/>
      <c r="H25" s="1"/>
      <c r="I25" s="1"/>
      <c r="J25" s="188"/>
      <c r="K25" s="1"/>
      <c r="L25" s="1"/>
      <c r="M25" s="1"/>
      <c r="N25" s="1"/>
      <c r="O25" s="1"/>
      <c r="P25" s="1"/>
      <c r="Q25" s="1"/>
      <c r="R25" s="1"/>
      <c r="AE25" s="44"/>
      <c r="AF25" s="44"/>
      <c r="AG25" s="168"/>
      <c r="AH25" s="44"/>
      <c r="AI25" s="44"/>
      <c r="AJ25" s="44"/>
      <c r="AK25" s="168"/>
      <c r="AL25" s="44"/>
      <c r="AO25" s="44"/>
      <c r="AP25" s="44"/>
      <c r="AQ25" s="168"/>
    </row>
    <row r="26" spans="1:76" x14ac:dyDescent="0.3">
      <c r="A26" s="41">
        <v>8</v>
      </c>
      <c r="C26" s="132" t="s">
        <v>339</v>
      </c>
      <c r="F26" s="123"/>
      <c r="G26" s="1"/>
      <c r="H26" s="1"/>
      <c r="I26" s="1"/>
      <c r="J26" s="188"/>
      <c r="K26" s="1"/>
      <c r="L26" s="1"/>
      <c r="M26" s="1"/>
      <c r="N26" s="1"/>
      <c r="O26" s="1"/>
      <c r="P26" s="1"/>
      <c r="Q26" s="1"/>
      <c r="R26" s="1"/>
      <c r="AC26" s="44"/>
      <c r="AD26" s="44"/>
      <c r="AE26" s="44"/>
      <c r="AF26" s="44"/>
      <c r="AG26" s="168"/>
      <c r="AH26" s="44"/>
      <c r="AI26" s="44"/>
      <c r="AJ26" s="44"/>
      <c r="AK26" s="168"/>
      <c r="AL26" s="44"/>
      <c r="AO26" s="44"/>
      <c r="AP26" s="44"/>
      <c r="AQ26" s="168"/>
    </row>
    <row r="27" spans="1:76" x14ac:dyDescent="0.3">
      <c r="A27" s="41">
        <v>9</v>
      </c>
      <c r="C27" s="42" t="s">
        <v>340</v>
      </c>
      <c r="F27" s="123">
        <v>0</v>
      </c>
      <c r="G27" s="1"/>
      <c r="H27" s="123">
        <v>0</v>
      </c>
      <c r="I27" s="1"/>
      <c r="J27" s="238">
        <v>8.76</v>
      </c>
      <c r="K27" s="1"/>
      <c r="L27" s="3">
        <f>ROUND(F27*J27,0)</f>
        <v>0</v>
      </c>
      <c r="M27" s="1"/>
      <c r="N27" s="4">
        <f>ROUND((L27/L$72)*100,1)</f>
        <v>0</v>
      </c>
      <c r="O27" s="1"/>
      <c r="P27" s="3">
        <f>ROUND((P$72/H$72)*H27,0)</f>
        <v>0</v>
      </c>
      <c r="Q27" s="1"/>
      <c r="R27" s="3">
        <f>P27+L27</f>
        <v>0</v>
      </c>
      <c r="T27" s="44"/>
      <c r="V27" s="44"/>
      <c r="W27" s="44"/>
      <c r="X27" s="44"/>
      <c r="Y27" s="188">
        <f>J27-AY100</f>
        <v>6.5</v>
      </c>
      <c r="AA27" s="44"/>
      <c r="AB27" s="44"/>
      <c r="AC27" s="44"/>
      <c r="AD27" s="44"/>
      <c r="AE27" s="44"/>
      <c r="AF27" s="44"/>
      <c r="AG27" s="168"/>
      <c r="AH27" s="44"/>
      <c r="AI27" s="44"/>
      <c r="AJ27" s="44"/>
      <c r="AK27" s="168"/>
      <c r="AL27" s="44"/>
      <c r="AM27" s="44"/>
      <c r="AN27" s="44"/>
      <c r="AO27" s="44"/>
      <c r="AP27" s="44"/>
      <c r="AQ27" s="168"/>
      <c r="AS27" s="123"/>
      <c r="AT27" s="123"/>
      <c r="AU27" s="160"/>
      <c r="BX27" s="222"/>
    </row>
    <row r="28" spans="1:76" x14ac:dyDescent="0.3">
      <c r="A28" s="41">
        <v>10</v>
      </c>
      <c r="C28" s="42" t="s">
        <v>341</v>
      </c>
      <c r="F28" s="123">
        <v>0</v>
      </c>
      <c r="G28" s="1"/>
      <c r="H28" s="123">
        <v>0</v>
      </c>
      <c r="I28" s="1"/>
      <c r="J28" s="238">
        <v>10.050000000000001</v>
      </c>
      <c r="K28" s="1"/>
      <c r="L28" s="3">
        <f>ROUND(F28*J28,0)</f>
        <v>0</v>
      </c>
      <c r="M28" s="1"/>
      <c r="N28" s="4">
        <f>ROUND((L28/L$72)*100,1)</f>
        <v>0</v>
      </c>
      <c r="O28" s="1"/>
      <c r="P28" s="3">
        <f>ROUND((P$72/H$72)*H28,0)</f>
        <v>0</v>
      </c>
      <c r="Q28" s="1"/>
      <c r="R28" s="3">
        <f>P28+L28</f>
        <v>0</v>
      </c>
      <c r="Y28" s="188">
        <f>J28-AY101</f>
        <v>6.83</v>
      </c>
      <c r="AA28" s="44"/>
      <c r="AB28" s="44"/>
      <c r="AC28" s="44"/>
      <c r="AD28" s="44"/>
      <c r="AE28" s="44"/>
      <c r="AF28" s="44"/>
      <c r="AG28" s="168"/>
      <c r="AH28" s="44"/>
      <c r="AI28" s="44"/>
      <c r="AJ28" s="44"/>
      <c r="AK28" s="168"/>
      <c r="AL28" s="44"/>
      <c r="AM28" s="44"/>
      <c r="AN28" s="44"/>
      <c r="AO28" s="44"/>
      <c r="AP28" s="44"/>
      <c r="AQ28" s="168"/>
      <c r="AS28" s="123"/>
      <c r="AT28" s="123"/>
      <c r="AU28" s="235"/>
    </row>
    <row r="29" spans="1:76" x14ac:dyDescent="0.3">
      <c r="A29" s="41">
        <v>11</v>
      </c>
      <c r="C29" s="42" t="s">
        <v>342</v>
      </c>
      <c r="F29" s="123">
        <v>0</v>
      </c>
      <c r="G29" s="1"/>
      <c r="H29" s="123">
        <v>0</v>
      </c>
      <c r="I29" s="1"/>
      <c r="J29" s="238">
        <v>14.18</v>
      </c>
      <c r="K29" s="1"/>
      <c r="L29" s="3">
        <f>ROUND(F29*J29,0)</f>
        <v>0</v>
      </c>
      <c r="M29" s="1"/>
      <c r="N29" s="4">
        <f>ROUND((L29/L$72)*100,1)</f>
        <v>0</v>
      </c>
      <c r="O29" s="1"/>
      <c r="P29" s="3">
        <f>ROUND((P$72/H$72)*H29,0)</f>
        <v>0</v>
      </c>
      <c r="Q29" s="1"/>
      <c r="R29" s="3">
        <f>P29+L29</f>
        <v>0</v>
      </c>
      <c r="W29" s="42"/>
      <c r="X29" s="42"/>
      <c r="Y29" s="188">
        <f>J29-AY102</f>
        <v>9.14</v>
      </c>
      <c r="AS29" s="123"/>
      <c r="AT29" s="123"/>
      <c r="AU29" s="160"/>
    </row>
    <row r="30" spans="1:76" ht="15" customHeight="1" x14ac:dyDescent="0.3">
      <c r="C30" s="42"/>
      <c r="F30" s="123"/>
      <c r="G30" s="1"/>
      <c r="H30" s="1"/>
      <c r="I30" s="1"/>
      <c r="J30" s="188"/>
      <c r="K30" s="1"/>
      <c r="L30" s="1"/>
      <c r="M30" s="1"/>
      <c r="N30" s="1"/>
      <c r="O30" s="1"/>
      <c r="P30" s="1"/>
      <c r="Q30" s="1"/>
      <c r="R30" s="1"/>
      <c r="W30" s="42"/>
      <c r="X30" s="42"/>
      <c r="AS30" s="123"/>
      <c r="AT30" s="123"/>
      <c r="AU30" s="160"/>
    </row>
    <row r="31" spans="1:76" x14ac:dyDescent="0.3">
      <c r="A31" s="41">
        <v>12</v>
      </c>
      <c r="C31" s="132" t="s">
        <v>343</v>
      </c>
      <c r="F31" s="123"/>
      <c r="G31" s="1"/>
      <c r="H31" s="1"/>
      <c r="I31" s="1"/>
      <c r="J31" s="188"/>
      <c r="K31" s="1"/>
      <c r="L31" s="1"/>
      <c r="M31" s="1"/>
      <c r="N31" s="1"/>
      <c r="O31" s="1"/>
      <c r="P31" s="1"/>
      <c r="Q31" s="1"/>
      <c r="R31" s="1"/>
      <c r="AS31" s="123"/>
      <c r="AT31" s="123"/>
      <c r="AU31" s="160"/>
    </row>
    <row r="32" spans="1:76" x14ac:dyDescent="0.3">
      <c r="A32" s="41">
        <v>13</v>
      </c>
      <c r="C32" s="42" t="s">
        <v>344</v>
      </c>
      <c r="F32" s="123">
        <v>0</v>
      </c>
      <c r="G32" s="3"/>
      <c r="H32" s="123">
        <f>ROUND(F32*487/12,0)</f>
        <v>0</v>
      </c>
      <c r="I32" s="1"/>
      <c r="J32" s="238">
        <v>8.76</v>
      </c>
      <c r="K32" s="1"/>
      <c r="L32" s="3">
        <f>ROUND(F32*J32,0)</f>
        <v>0</v>
      </c>
      <c r="M32" s="1"/>
      <c r="N32" s="4">
        <f>ROUND((L32/L$72)*100,1)</f>
        <v>0</v>
      </c>
      <c r="O32" s="1"/>
      <c r="P32" s="3">
        <f>ROUND((P$72/H$72)*H32,0)</f>
        <v>0</v>
      </c>
      <c r="Q32" s="1"/>
      <c r="R32" s="3">
        <f>P32+L32</f>
        <v>0</v>
      </c>
      <c r="Y32" s="188">
        <f>J32-AY105</f>
        <v>7.39</v>
      </c>
    </row>
    <row r="33" spans="1:51" x14ac:dyDescent="0.3">
      <c r="A33" s="41">
        <v>14</v>
      </c>
      <c r="C33" s="42" t="s">
        <v>212</v>
      </c>
      <c r="F33" s="123">
        <v>0</v>
      </c>
      <c r="G33" s="1"/>
      <c r="H33" s="123">
        <v>0</v>
      </c>
      <c r="I33" s="1"/>
      <c r="J33" s="238">
        <v>9.9700000000000006</v>
      </c>
      <c r="K33" s="1"/>
      <c r="L33" s="3">
        <f>ROUND(F33*J33,0)</f>
        <v>0</v>
      </c>
      <c r="M33" s="1"/>
      <c r="N33" s="4">
        <f>ROUND((L33/L$72)*100,1)</f>
        <v>0</v>
      </c>
      <c r="O33" s="1"/>
      <c r="P33" s="3">
        <f>ROUND((P$72/H$72)*H33,0)</f>
        <v>0</v>
      </c>
      <c r="Q33" s="1"/>
      <c r="R33" s="3">
        <f>P33+L33</f>
        <v>0</v>
      </c>
      <c r="Y33" s="188">
        <f>J33-AY106</f>
        <v>7.9700000000000006</v>
      </c>
      <c r="AA33" s="321"/>
    </row>
    <row r="34" spans="1:51" x14ac:dyDescent="0.3">
      <c r="A34" s="41">
        <v>15</v>
      </c>
      <c r="C34" s="42" t="s">
        <v>213</v>
      </c>
      <c r="F34" s="123">
        <v>0</v>
      </c>
      <c r="G34" s="1"/>
      <c r="H34" s="123">
        <v>0</v>
      </c>
      <c r="I34" s="1"/>
      <c r="J34" s="238">
        <v>11.16</v>
      </c>
      <c r="K34" s="1"/>
      <c r="L34" s="3">
        <f>ROUND(F34*J34,0)</f>
        <v>0</v>
      </c>
      <c r="M34" s="1"/>
      <c r="N34" s="4">
        <f>ROUND((L34/L$72)*100,1)</f>
        <v>0</v>
      </c>
      <c r="O34" s="1"/>
      <c r="P34" s="3">
        <f>ROUND((P$72/H$72)*H34,0)</f>
        <v>0</v>
      </c>
      <c r="Q34" s="1"/>
      <c r="R34" s="3">
        <f>P34+L34</f>
        <v>0</v>
      </c>
      <c r="Y34" s="188">
        <f>J34-AY107</f>
        <v>8.49</v>
      </c>
    </row>
    <row r="35" spans="1:51" x14ac:dyDescent="0.3">
      <c r="A35" s="41">
        <v>16</v>
      </c>
      <c r="C35" s="41" t="s">
        <v>279</v>
      </c>
      <c r="F35" s="123">
        <v>0</v>
      </c>
      <c r="H35" s="123">
        <v>0</v>
      </c>
      <c r="J35" s="238">
        <v>11.16</v>
      </c>
      <c r="L35" s="3">
        <f>ROUND(F35*J35,0)</f>
        <v>0</v>
      </c>
      <c r="N35" s="4">
        <f>ROUND((L35/L$72)*100,1)</f>
        <v>0</v>
      </c>
      <c r="P35" s="3">
        <f>ROUND((P$72/H$72)*H35,0)</f>
        <v>0</v>
      </c>
      <c r="R35" s="3">
        <f>P35+L35</f>
        <v>0</v>
      </c>
      <c r="Y35" s="188">
        <f>J35-AY108</f>
        <v>8.49</v>
      </c>
      <c r="AR35" s="123"/>
    </row>
    <row r="36" spans="1:51" x14ac:dyDescent="0.3">
      <c r="A36" s="41">
        <v>17</v>
      </c>
      <c r="C36" s="41" t="s">
        <v>214</v>
      </c>
      <c r="F36" s="123">
        <v>0</v>
      </c>
      <c r="H36" s="123">
        <v>0</v>
      </c>
      <c r="J36" s="238">
        <v>15.95</v>
      </c>
      <c r="L36" s="3">
        <f>ROUND(F36*J36,0)</f>
        <v>0</v>
      </c>
      <c r="N36" s="4">
        <f>ROUND((L36/L$72)*100,1)</f>
        <v>0</v>
      </c>
      <c r="P36" s="3">
        <f>ROUND((P$72/H$72)*H36,0)</f>
        <v>0</v>
      </c>
      <c r="R36" s="3">
        <f>P36+L36</f>
        <v>0</v>
      </c>
      <c r="Y36" s="188">
        <f>J36-AY109</f>
        <v>10.44</v>
      </c>
      <c r="AR36" s="123"/>
    </row>
    <row r="37" spans="1:51" ht="15" customHeight="1" x14ac:dyDescent="0.3">
      <c r="C37" s="42"/>
      <c r="F37" s="123"/>
      <c r="G37" s="3"/>
      <c r="H37" s="3"/>
      <c r="I37" s="1"/>
      <c r="J37" s="188"/>
      <c r="K37" s="1"/>
      <c r="L37" s="3"/>
      <c r="M37" s="1"/>
      <c r="N37" s="4"/>
      <c r="O37" s="1"/>
      <c r="P37" s="3"/>
      <c r="Q37" s="1"/>
      <c r="R37" s="3"/>
    </row>
    <row r="38" spans="1:51" x14ac:dyDescent="0.3">
      <c r="A38" s="41">
        <v>18</v>
      </c>
      <c r="C38" s="132" t="s">
        <v>345</v>
      </c>
      <c r="F38" s="123"/>
      <c r="G38" s="3"/>
      <c r="H38" s="3"/>
      <c r="I38" s="1"/>
      <c r="J38" s="188"/>
      <c r="K38" s="1"/>
      <c r="L38" s="3"/>
      <c r="M38" s="1"/>
      <c r="N38" s="4"/>
      <c r="O38" s="1"/>
      <c r="P38" s="3"/>
      <c r="Q38" s="1"/>
      <c r="R38" s="3"/>
    </row>
    <row r="39" spans="1:51" x14ac:dyDescent="0.3">
      <c r="A39" s="41">
        <v>19</v>
      </c>
      <c r="C39" s="132" t="s">
        <v>346</v>
      </c>
      <c r="F39" s="123"/>
      <c r="G39" s="3"/>
      <c r="H39" s="3"/>
      <c r="I39" s="1"/>
      <c r="J39" s="188"/>
      <c r="K39" s="1"/>
      <c r="L39" s="3"/>
      <c r="M39" s="1"/>
      <c r="N39" s="4"/>
      <c r="O39" s="1"/>
      <c r="P39" s="3"/>
      <c r="Q39" s="1"/>
      <c r="R39" s="3"/>
    </row>
    <row r="40" spans="1:51" x14ac:dyDescent="0.3">
      <c r="A40" s="41">
        <v>20</v>
      </c>
      <c r="C40" s="42" t="s">
        <v>232</v>
      </c>
      <c r="F40" s="123">
        <v>0</v>
      </c>
      <c r="G40" s="3"/>
      <c r="H40" s="123">
        <v>0</v>
      </c>
      <c r="I40" s="1"/>
      <c r="J40" s="238">
        <v>9.6999999999999993</v>
      </c>
      <c r="K40" s="1"/>
      <c r="L40" s="3">
        <f>ROUND(F40*J40,0)</f>
        <v>0</v>
      </c>
      <c r="M40" s="1"/>
      <c r="N40" s="4">
        <f>ROUND((L40/L$72)*100,1)</f>
        <v>0</v>
      </c>
      <c r="O40" s="1"/>
      <c r="P40" s="3">
        <f>ROUND((P$72/H$72)*H40,0)</f>
        <v>0</v>
      </c>
      <c r="Q40" s="1"/>
      <c r="R40" s="3">
        <f>P40+L40</f>
        <v>0</v>
      </c>
      <c r="Y40" s="188">
        <f>J40-AY113</f>
        <v>7.2399999999999993</v>
      </c>
    </row>
    <row r="41" spans="1:51" x14ac:dyDescent="0.3">
      <c r="A41" s="41">
        <v>21</v>
      </c>
      <c r="C41" s="42" t="s">
        <v>347</v>
      </c>
      <c r="F41" s="123">
        <v>0</v>
      </c>
      <c r="G41" s="3"/>
      <c r="H41" s="123">
        <v>0</v>
      </c>
      <c r="I41" s="1"/>
      <c r="J41" s="238">
        <v>9.6</v>
      </c>
      <c r="K41" s="1"/>
      <c r="L41" s="3">
        <f>ROUND(F41*J41,0)</f>
        <v>0</v>
      </c>
      <c r="M41" s="1"/>
      <c r="N41" s="4">
        <f>ROUND((L41/L$72)*100,1)</f>
        <v>0</v>
      </c>
      <c r="O41" s="1"/>
      <c r="P41" s="3">
        <f>ROUND((P$72/H$72)*H41,0)</f>
        <v>0</v>
      </c>
      <c r="Q41" s="1"/>
      <c r="R41" s="3">
        <f>P41+L41</f>
        <v>0</v>
      </c>
      <c r="Y41" s="188">
        <f>J41-AY114</f>
        <v>7.1999999999999993</v>
      </c>
    </row>
    <row r="42" spans="1:51" x14ac:dyDescent="0.3">
      <c r="A42" s="41">
        <v>22</v>
      </c>
      <c r="C42" s="42" t="s">
        <v>233</v>
      </c>
      <c r="F42" s="123">
        <v>0</v>
      </c>
      <c r="G42" s="3"/>
      <c r="H42" s="123">
        <v>0</v>
      </c>
      <c r="I42" s="1"/>
      <c r="J42" s="238">
        <v>9.6999999999999993</v>
      </c>
      <c r="K42" s="1"/>
      <c r="L42" s="3">
        <f>ROUND(F42*J42,0)</f>
        <v>0</v>
      </c>
      <c r="M42" s="1"/>
      <c r="N42" s="4">
        <f>ROUND((L42/L$72)*100,1)</f>
        <v>0</v>
      </c>
      <c r="O42" s="1"/>
      <c r="P42" s="3">
        <f>ROUND((P$72/H$72)*H42,0)</f>
        <v>0</v>
      </c>
      <c r="Q42" s="1"/>
      <c r="R42" s="3">
        <f>P42+L42</f>
        <v>0</v>
      </c>
      <c r="Y42" s="188">
        <f>J42-AY115</f>
        <v>7.2399999999999993</v>
      </c>
    </row>
    <row r="43" spans="1:51" x14ac:dyDescent="0.3">
      <c r="A43" s="41">
        <v>23</v>
      </c>
      <c r="C43" s="42" t="s">
        <v>234</v>
      </c>
      <c r="F43" s="123">
        <v>0</v>
      </c>
      <c r="G43" s="3"/>
      <c r="H43" s="123">
        <v>0</v>
      </c>
      <c r="I43" s="1"/>
      <c r="J43" s="238">
        <v>9.6999999999999993</v>
      </c>
      <c r="K43" s="1"/>
      <c r="L43" s="3">
        <f>ROUND(F43*J43,0)</f>
        <v>0</v>
      </c>
      <c r="M43" s="1"/>
      <c r="N43" s="4">
        <f>ROUND((L43/L$72)*100,1)</f>
        <v>0</v>
      </c>
      <c r="O43" s="1"/>
      <c r="P43" s="3">
        <f>ROUND((P$72/H$72)*H43,0)</f>
        <v>0</v>
      </c>
      <c r="Q43" s="1"/>
      <c r="R43" s="3">
        <f>P43+L43</f>
        <v>0</v>
      </c>
      <c r="Y43" s="188">
        <f>J43-AY116</f>
        <v>7.2399999999999993</v>
      </c>
    </row>
    <row r="44" spans="1:51" ht="15" customHeight="1" x14ac:dyDescent="0.3">
      <c r="C44" s="42"/>
      <c r="F44" s="123"/>
      <c r="G44" s="3"/>
      <c r="H44" s="3"/>
      <c r="I44" s="1"/>
      <c r="J44" s="188"/>
      <c r="K44" s="1"/>
      <c r="L44" s="3"/>
      <c r="M44" s="1"/>
      <c r="N44" s="4"/>
      <c r="O44" s="1"/>
      <c r="P44" s="3"/>
      <c r="Q44" s="1"/>
      <c r="R44" s="3"/>
    </row>
    <row r="45" spans="1:51" x14ac:dyDescent="0.3">
      <c r="A45" s="41">
        <v>24</v>
      </c>
      <c r="C45" s="132" t="s">
        <v>348</v>
      </c>
      <c r="F45" s="123"/>
      <c r="G45" s="3"/>
      <c r="H45" s="3"/>
      <c r="I45" s="1"/>
      <c r="J45" s="188"/>
      <c r="K45" s="1"/>
      <c r="L45" s="3"/>
      <c r="M45" s="1"/>
      <c r="N45" s="4"/>
      <c r="O45" s="1"/>
      <c r="P45" s="3"/>
      <c r="Q45" s="1"/>
      <c r="R45" s="3"/>
      <c r="AX45" s="41" t="s">
        <v>301</v>
      </c>
      <c r="AY45" s="41" t="s">
        <v>302</v>
      </c>
    </row>
    <row r="46" spans="1:51" x14ac:dyDescent="0.3">
      <c r="A46" s="41">
        <v>25</v>
      </c>
      <c r="C46" s="42" t="s">
        <v>349</v>
      </c>
      <c r="F46" s="123">
        <v>0</v>
      </c>
      <c r="G46" s="3"/>
      <c r="H46" s="123">
        <v>0</v>
      </c>
      <c r="I46" s="1"/>
      <c r="J46" s="238">
        <v>9.6</v>
      </c>
      <c r="K46" s="1"/>
      <c r="L46" s="3">
        <f>ROUND(F46*J46,0)</f>
        <v>0</v>
      </c>
      <c r="M46" s="1"/>
      <c r="N46" s="4">
        <f>ROUND((L46/L$72)*100,1)</f>
        <v>0</v>
      </c>
      <c r="O46" s="1"/>
      <c r="P46" s="3">
        <f>ROUND((P$72/H$72)*H46,0)</f>
        <v>0</v>
      </c>
      <c r="Q46" s="1"/>
      <c r="R46" s="3">
        <f>P46+L46</f>
        <v>0</v>
      </c>
      <c r="Y46" s="188">
        <f>J46-AY119</f>
        <v>7.1999999999999993</v>
      </c>
      <c r="AW46" s="41" t="s">
        <v>300</v>
      </c>
      <c r="AX46" s="41" t="s">
        <v>299</v>
      </c>
      <c r="AY46" s="41" t="s">
        <v>299</v>
      </c>
    </row>
    <row r="47" spans="1:51" x14ac:dyDescent="0.3">
      <c r="A47" s="41">
        <v>26</v>
      </c>
      <c r="C47" s="42" t="s">
        <v>269</v>
      </c>
      <c r="F47" s="123">
        <v>0</v>
      </c>
      <c r="G47" s="3"/>
      <c r="H47" s="123">
        <v>0</v>
      </c>
      <c r="I47" s="1"/>
      <c r="J47" s="238">
        <v>9.7799999999999994</v>
      </c>
      <c r="K47" s="1"/>
      <c r="L47" s="3">
        <f>ROUND(F47*J47,0)</f>
        <v>0</v>
      </c>
      <c r="M47" s="1"/>
      <c r="N47" s="4">
        <f>ROUND((L47/L$72)*100,1)</f>
        <v>0</v>
      </c>
      <c r="O47" s="1"/>
      <c r="P47" s="3">
        <f>ROUND((P$72/H$72)*H47,0)</f>
        <v>0</v>
      </c>
      <c r="Q47" s="1"/>
      <c r="R47" s="3">
        <f>P47+L47</f>
        <v>0</v>
      </c>
      <c r="Y47" s="188">
        <f>J47-AY120</f>
        <v>7.3199999999999994</v>
      </c>
    </row>
    <row r="48" spans="1:51" x14ac:dyDescent="0.3">
      <c r="A48" s="41">
        <v>27</v>
      </c>
      <c r="C48" s="41" t="s">
        <v>233</v>
      </c>
      <c r="F48" s="123">
        <v>0</v>
      </c>
      <c r="G48" s="3"/>
      <c r="H48" s="123">
        <v>0</v>
      </c>
      <c r="I48" s="1"/>
      <c r="J48" s="238">
        <v>9.7799999999999994</v>
      </c>
      <c r="K48" s="1"/>
      <c r="L48" s="3">
        <f>ROUND(F48*J48,0)</f>
        <v>0</v>
      </c>
      <c r="M48" s="1"/>
      <c r="N48" s="4">
        <f>ROUND((L48/L$72)*100,1)</f>
        <v>0</v>
      </c>
      <c r="O48" s="1"/>
      <c r="P48" s="3">
        <f>ROUND((P$72/H$72)*H48,0)</f>
        <v>0</v>
      </c>
      <c r="Q48" s="1"/>
      <c r="R48" s="3">
        <f>P48+L48</f>
        <v>0</v>
      </c>
      <c r="Y48" s="188">
        <f>J48-AY121</f>
        <v>7.3199999999999994</v>
      </c>
    </row>
    <row r="49" spans="1:51" ht="15" customHeight="1" x14ac:dyDescent="0.3">
      <c r="C49" s="42"/>
      <c r="D49" s="42"/>
      <c r="F49" s="123"/>
      <c r="G49" s="3"/>
      <c r="H49" s="3"/>
      <c r="I49" s="1"/>
      <c r="J49" s="188"/>
      <c r="K49" s="1"/>
      <c r="L49" s="3"/>
      <c r="M49" s="1"/>
      <c r="N49" s="4"/>
      <c r="O49" s="1"/>
      <c r="P49" s="3"/>
      <c r="Q49" s="1"/>
      <c r="R49" s="3"/>
    </row>
    <row r="50" spans="1:51" x14ac:dyDescent="0.3">
      <c r="A50" s="41">
        <v>28</v>
      </c>
      <c r="C50" s="132" t="s">
        <v>350</v>
      </c>
      <c r="F50" s="123"/>
      <c r="G50" s="3"/>
      <c r="H50" s="3"/>
      <c r="I50" s="1"/>
      <c r="J50" s="188"/>
      <c r="K50" s="1"/>
      <c r="L50" s="3"/>
      <c r="M50" s="1"/>
      <c r="N50" s="4"/>
      <c r="O50" s="1"/>
      <c r="P50" s="3"/>
      <c r="Q50" s="1"/>
      <c r="R50" s="3"/>
    </row>
    <row r="51" spans="1:51" x14ac:dyDescent="0.3">
      <c r="A51" s="41">
        <v>29</v>
      </c>
      <c r="C51" s="42" t="s">
        <v>347</v>
      </c>
      <c r="D51" s="42"/>
      <c r="F51" s="123">
        <v>0</v>
      </c>
      <c r="G51" s="3"/>
      <c r="H51" s="123">
        <v>0</v>
      </c>
      <c r="I51" s="1"/>
      <c r="J51" s="238">
        <v>8.64</v>
      </c>
      <c r="K51" s="1"/>
      <c r="L51" s="3">
        <f t="shared" ref="L51:L57" si="0">ROUND(F51*J51,0)</f>
        <v>0</v>
      </c>
      <c r="M51" s="1"/>
      <c r="N51" s="4">
        <f t="shared" ref="N51:N57" si="1">ROUND((L51/L$72)*100,1)</f>
        <v>0</v>
      </c>
      <c r="O51" s="1"/>
      <c r="P51" s="3">
        <f t="shared" ref="P51:P57" si="2">ROUND((P$72/H$72)*H51,0)</f>
        <v>0</v>
      </c>
      <c r="Q51" s="1"/>
      <c r="R51" s="3">
        <f t="shared" ref="R51:R57" si="3">P51+L51</f>
        <v>0</v>
      </c>
      <c r="Y51" s="188">
        <f t="shared" ref="Y51:Y57" si="4">J51-AY124</f>
        <v>7.2700000000000005</v>
      </c>
    </row>
    <row r="52" spans="1:51" x14ac:dyDescent="0.3">
      <c r="A52" s="41">
        <v>30</v>
      </c>
      <c r="C52" s="42" t="s">
        <v>349</v>
      </c>
      <c r="D52" s="42"/>
      <c r="F52" s="123">
        <v>0</v>
      </c>
      <c r="G52" s="3"/>
      <c r="H52" s="123">
        <v>0</v>
      </c>
      <c r="I52" s="1"/>
      <c r="J52" s="238">
        <v>8.64</v>
      </c>
      <c r="K52" s="1"/>
      <c r="L52" s="3">
        <f t="shared" si="0"/>
        <v>0</v>
      </c>
      <c r="M52" s="1"/>
      <c r="N52" s="4">
        <f t="shared" si="1"/>
        <v>0</v>
      </c>
      <c r="O52" s="1"/>
      <c r="P52" s="3">
        <f t="shared" si="2"/>
        <v>0</v>
      </c>
      <c r="Q52" s="1"/>
      <c r="R52" s="3">
        <f t="shared" si="3"/>
        <v>0</v>
      </c>
      <c r="Y52" s="188">
        <f t="shared" si="4"/>
        <v>7.2700000000000005</v>
      </c>
    </row>
    <row r="53" spans="1:51" x14ac:dyDescent="0.3">
      <c r="A53" s="41">
        <v>31</v>
      </c>
      <c r="C53" s="42" t="s">
        <v>269</v>
      </c>
      <c r="D53" s="42"/>
      <c r="F53" s="123">
        <v>0</v>
      </c>
      <c r="G53" s="3"/>
      <c r="H53" s="123">
        <v>0</v>
      </c>
      <c r="I53" s="1"/>
      <c r="J53" s="238">
        <v>9.0399999999999991</v>
      </c>
      <c r="K53" s="1"/>
      <c r="L53" s="3">
        <f t="shared" si="0"/>
        <v>0</v>
      </c>
      <c r="M53" s="1"/>
      <c r="N53" s="4">
        <f t="shared" si="1"/>
        <v>0</v>
      </c>
      <c r="O53" s="1"/>
      <c r="P53" s="3">
        <f t="shared" si="2"/>
        <v>0</v>
      </c>
      <c r="Q53" s="1"/>
      <c r="R53" s="3">
        <f t="shared" si="3"/>
        <v>0</v>
      </c>
      <c r="Y53" s="188">
        <f t="shared" si="4"/>
        <v>7.5399999999999991</v>
      </c>
      <c r="AW53" s="3">
        <f>487</f>
        <v>487</v>
      </c>
      <c r="AX53" s="1">
        <f>ROUND((AW53/12)*CUR_BASE_FUEL,2)</f>
        <v>1.37</v>
      </c>
      <c r="AY53" s="1">
        <f>ROUND((AW53/12)*PRO_BASE_FUEL,2)</f>
        <v>1.37</v>
      </c>
    </row>
    <row r="54" spans="1:51" x14ac:dyDescent="0.3">
      <c r="A54" s="41">
        <v>32</v>
      </c>
      <c r="C54" s="42" t="s">
        <v>236</v>
      </c>
      <c r="D54" s="42"/>
      <c r="F54" s="123">
        <v>0</v>
      </c>
      <c r="G54" s="3"/>
      <c r="H54" s="123">
        <v>0</v>
      </c>
      <c r="I54" s="1"/>
      <c r="J54" s="238">
        <v>8.64</v>
      </c>
      <c r="K54" s="1"/>
      <c r="L54" s="3">
        <f t="shared" si="0"/>
        <v>0</v>
      </c>
      <c r="M54" s="1"/>
      <c r="N54" s="4">
        <f t="shared" si="1"/>
        <v>0</v>
      </c>
      <c r="O54" s="1"/>
      <c r="P54" s="3">
        <f t="shared" si="2"/>
        <v>0</v>
      </c>
      <c r="Q54" s="1"/>
      <c r="R54" s="3">
        <f t="shared" si="3"/>
        <v>0</v>
      </c>
      <c r="Y54" s="188">
        <f t="shared" si="4"/>
        <v>7.2700000000000005</v>
      </c>
      <c r="AW54" s="3"/>
    </row>
    <row r="55" spans="1:51" x14ac:dyDescent="0.3">
      <c r="A55" s="41">
        <v>33</v>
      </c>
      <c r="C55" s="42" t="s">
        <v>234</v>
      </c>
      <c r="D55" s="42"/>
      <c r="F55" s="123">
        <v>0</v>
      </c>
      <c r="G55" s="1"/>
      <c r="H55" s="123">
        <v>0</v>
      </c>
      <c r="I55" s="1"/>
      <c r="J55" s="238">
        <v>9.0399999999999991</v>
      </c>
      <c r="K55" s="1"/>
      <c r="L55" s="3">
        <f t="shared" si="0"/>
        <v>0</v>
      </c>
      <c r="M55" s="1"/>
      <c r="N55" s="4">
        <f t="shared" si="1"/>
        <v>0</v>
      </c>
      <c r="O55" s="1"/>
      <c r="P55" s="3">
        <f t="shared" si="2"/>
        <v>0</v>
      </c>
      <c r="Q55" s="1"/>
      <c r="R55" s="3">
        <f t="shared" si="3"/>
        <v>0</v>
      </c>
      <c r="Y55" s="188">
        <f t="shared" si="4"/>
        <v>7.5399999999999991</v>
      </c>
      <c r="AW55" s="1"/>
    </row>
    <row r="56" spans="1:51" x14ac:dyDescent="0.3">
      <c r="A56" s="41">
        <v>34</v>
      </c>
      <c r="C56" s="42" t="s">
        <v>232</v>
      </c>
      <c r="D56" s="42"/>
      <c r="F56" s="123">
        <v>0</v>
      </c>
      <c r="G56" s="1"/>
      <c r="H56" s="123">
        <v>0</v>
      </c>
      <c r="I56" s="1"/>
      <c r="J56" s="238">
        <v>9.0399999999999991</v>
      </c>
      <c r="K56" s="1"/>
      <c r="L56" s="3">
        <f t="shared" si="0"/>
        <v>0</v>
      </c>
      <c r="M56" s="1"/>
      <c r="N56" s="4">
        <f t="shared" si="1"/>
        <v>0</v>
      </c>
      <c r="O56" s="1"/>
      <c r="P56" s="3">
        <f t="shared" si="2"/>
        <v>0</v>
      </c>
      <c r="Q56" s="1"/>
      <c r="R56" s="3">
        <f t="shared" si="3"/>
        <v>0</v>
      </c>
      <c r="Y56" s="188">
        <f t="shared" si="4"/>
        <v>7.5399999999999991</v>
      </c>
      <c r="AW56" s="1"/>
    </row>
    <row r="57" spans="1:51" x14ac:dyDescent="0.3">
      <c r="A57" s="41">
        <v>35</v>
      </c>
      <c r="C57" s="42" t="s">
        <v>233</v>
      </c>
      <c r="D57" s="42"/>
      <c r="F57" s="123">
        <v>0</v>
      </c>
      <c r="G57" s="1"/>
      <c r="H57" s="123">
        <v>0</v>
      </c>
      <c r="I57" s="1"/>
      <c r="J57" s="238">
        <v>9.0399999999999991</v>
      </c>
      <c r="K57" s="1"/>
      <c r="L57" s="3">
        <f t="shared" si="0"/>
        <v>0</v>
      </c>
      <c r="M57" s="1"/>
      <c r="N57" s="4">
        <f t="shared" si="1"/>
        <v>0</v>
      </c>
      <c r="O57" s="1"/>
      <c r="P57" s="3">
        <f t="shared" si="2"/>
        <v>0</v>
      </c>
      <c r="Q57" s="1"/>
      <c r="R57" s="3">
        <f t="shared" si="3"/>
        <v>0</v>
      </c>
      <c r="Y57" s="188">
        <f t="shared" si="4"/>
        <v>7.5399999999999991</v>
      </c>
      <c r="AW57" s="159"/>
      <c r="AX57" s="41">
        <f>CUR_BASE_FUEL</f>
        <v>3.3779999999999998E-2</v>
      </c>
      <c r="AY57" s="41">
        <f>PRO_BASE_FUEL</f>
        <v>3.3779999999999998E-2</v>
      </c>
    </row>
    <row r="58" spans="1:51" ht="15" customHeight="1" x14ac:dyDescent="0.3">
      <c r="D58" s="42"/>
      <c r="F58" s="123"/>
      <c r="G58" s="1"/>
      <c r="I58" s="1"/>
      <c r="J58" s="188"/>
      <c r="K58" s="1"/>
      <c r="L58" s="1"/>
      <c r="M58" s="1"/>
      <c r="N58" s="1"/>
      <c r="O58" s="1"/>
      <c r="P58" s="1"/>
      <c r="Q58" s="1"/>
      <c r="R58" s="1"/>
    </row>
    <row r="59" spans="1:51" x14ac:dyDescent="0.3">
      <c r="A59" s="41">
        <v>36</v>
      </c>
      <c r="C59" s="132" t="s">
        <v>351</v>
      </c>
      <c r="D59" s="42"/>
      <c r="F59" s="123"/>
      <c r="G59" s="1"/>
      <c r="I59" s="1"/>
      <c r="J59" s="188"/>
      <c r="K59" s="1"/>
      <c r="L59" s="1"/>
      <c r="M59" s="1"/>
      <c r="N59" s="1"/>
      <c r="O59" s="1"/>
      <c r="P59" s="1"/>
      <c r="Q59" s="1"/>
      <c r="R59" s="1"/>
    </row>
    <row r="60" spans="1:51" x14ac:dyDescent="0.3">
      <c r="A60" s="41">
        <v>37</v>
      </c>
      <c r="C60" s="42" t="s">
        <v>216</v>
      </c>
      <c r="D60" s="42"/>
      <c r="F60" s="123">
        <v>0</v>
      </c>
      <c r="G60" s="1"/>
      <c r="H60" s="123">
        <v>0</v>
      </c>
      <c r="I60" s="1"/>
      <c r="J60" s="238">
        <v>11.84</v>
      </c>
      <c r="K60" s="1"/>
      <c r="L60" s="3">
        <f>ROUND(F60*J60,0)</f>
        <v>0</v>
      </c>
      <c r="M60" s="1"/>
      <c r="N60" s="4">
        <f>ROUND((L60/L$72)*100,1)</f>
        <v>0</v>
      </c>
      <c r="O60" s="1"/>
      <c r="P60" s="3">
        <f>ROUND((P$72/H$72)*H60,0)</f>
        <v>0</v>
      </c>
      <c r="Q60" s="1"/>
      <c r="R60" s="3">
        <f>P60+L60</f>
        <v>0</v>
      </c>
      <c r="Y60" s="188">
        <f>J60-AY133</f>
        <v>8.9600000000000009</v>
      </c>
    </row>
    <row r="61" spans="1:51" x14ac:dyDescent="0.3">
      <c r="A61" s="41">
        <v>38</v>
      </c>
      <c r="C61" s="42" t="s">
        <v>217</v>
      </c>
      <c r="D61" s="42"/>
      <c r="F61" s="123">
        <v>0</v>
      </c>
      <c r="G61" s="1"/>
      <c r="H61" s="123">
        <v>0</v>
      </c>
      <c r="I61" s="1"/>
      <c r="J61" s="238">
        <v>16.43</v>
      </c>
      <c r="K61" s="1"/>
      <c r="L61" s="3">
        <f>ROUND(F61*J61,0)</f>
        <v>0</v>
      </c>
      <c r="M61" s="1"/>
      <c r="N61" s="4">
        <f>ROUND((L61/L$72)*100,1)</f>
        <v>0</v>
      </c>
      <c r="O61" s="1"/>
      <c r="P61" s="3">
        <f>ROUND((P$72/H$72)*H61,0)</f>
        <v>0</v>
      </c>
      <c r="Q61" s="1"/>
      <c r="R61" s="3">
        <f>P61+L61</f>
        <v>0</v>
      </c>
      <c r="Y61" s="188">
        <f>J61-AY134</f>
        <v>10.92</v>
      </c>
    </row>
    <row r="62" spans="1:51" x14ac:dyDescent="0.3">
      <c r="C62" s="42"/>
      <c r="D62" s="42"/>
      <c r="F62" s="123"/>
      <c r="G62" s="1"/>
      <c r="H62" s="1"/>
      <c r="I62" s="1"/>
      <c r="J62" s="188"/>
      <c r="K62" s="1"/>
      <c r="L62" s="1"/>
      <c r="M62" s="1"/>
      <c r="N62" s="1"/>
      <c r="O62" s="1"/>
      <c r="P62" s="1"/>
      <c r="Q62" s="1"/>
      <c r="R62" s="1"/>
    </row>
    <row r="63" spans="1:51" x14ac:dyDescent="0.3">
      <c r="A63" s="41">
        <v>39</v>
      </c>
      <c r="C63" s="132" t="s">
        <v>74</v>
      </c>
      <c r="F63" s="123"/>
      <c r="G63" s="1"/>
      <c r="H63" s="1"/>
      <c r="I63" s="1"/>
      <c r="J63" s="188"/>
      <c r="K63" s="1"/>
      <c r="L63" s="1"/>
      <c r="M63" s="1"/>
      <c r="N63" s="1"/>
      <c r="O63" s="1"/>
      <c r="P63" s="1"/>
      <c r="Q63" s="1"/>
      <c r="R63" s="1"/>
    </row>
    <row r="64" spans="1:51" x14ac:dyDescent="0.3">
      <c r="A64" s="41">
        <v>40</v>
      </c>
      <c r="C64" s="132" t="s">
        <v>75</v>
      </c>
      <c r="F64" s="197">
        <v>2064</v>
      </c>
      <c r="G64" s="1"/>
      <c r="H64" s="197">
        <f>7607*12</f>
        <v>91284</v>
      </c>
      <c r="I64" s="1"/>
      <c r="J64" s="198">
        <v>7.5455999999999995E-2</v>
      </c>
      <c r="K64" s="1"/>
      <c r="L64" s="49">
        <f>ROUND((H64*J64),0)</f>
        <v>6888</v>
      </c>
      <c r="M64" s="1"/>
      <c r="N64" s="253">
        <f>ROUND((L64/L$72)*100,1)</f>
        <v>96.5</v>
      </c>
      <c r="O64" s="1"/>
      <c r="P64" s="49">
        <f>ROUND((P$72/H$72)*H64,0)</f>
        <v>318</v>
      </c>
      <c r="Q64" s="1"/>
      <c r="R64" s="49">
        <f>P64+L64</f>
        <v>7206</v>
      </c>
      <c r="Y64" s="321">
        <f>J64-PRO_BASE_FUEL</f>
        <v>4.1675999999999998E-2</v>
      </c>
    </row>
    <row r="65" spans="1:43" ht="20.100000000000001" customHeight="1" x14ac:dyDescent="0.3">
      <c r="A65" s="41">
        <v>41</v>
      </c>
      <c r="C65" s="178" t="s">
        <v>472</v>
      </c>
      <c r="F65" s="262">
        <f>SUM(F22:F64)</f>
        <v>2064</v>
      </c>
      <c r="G65" s="1"/>
      <c r="H65" s="262">
        <f>SUM(H22:H64)</f>
        <v>91284</v>
      </c>
      <c r="I65" s="1"/>
      <c r="J65" s="260"/>
      <c r="K65" s="1"/>
      <c r="L65" s="262">
        <f>SUM(L22:L64)</f>
        <v>6888</v>
      </c>
      <c r="M65" s="1"/>
      <c r="N65" s="211">
        <f>ROUND((L65/L$72)*100,1)</f>
        <v>96.5</v>
      </c>
      <c r="O65" s="1"/>
      <c r="P65" s="262">
        <f>SUM(P22:P64)</f>
        <v>318</v>
      </c>
      <c r="Q65" s="1"/>
      <c r="R65" s="262">
        <f>SUM(R22:R64)</f>
        <v>7206</v>
      </c>
      <c r="Y65" s="321"/>
    </row>
    <row r="66" spans="1:43" x14ac:dyDescent="0.3">
      <c r="C66" s="178"/>
      <c r="F66" s="184"/>
      <c r="G66" s="1"/>
      <c r="H66" s="184"/>
      <c r="I66" s="1"/>
      <c r="J66" s="198"/>
      <c r="K66" s="1"/>
      <c r="L66" s="3"/>
      <c r="M66" s="1"/>
      <c r="N66" s="4"/>
      <c r="O66" s="1"/>
      <c r="P66" s="3"/>
      <c r="Q66" s="1"/>
      <c r="R66" s="3"/>
      <c r="Y66" s="321"/>
    </row>
    <row r="67" spans="1:43" x14ac:dyDescent="0.3">
      <c r="A67" s="41">
        <v>42</v>
      </c>
      <c r="C67" s="132" t="s">
        <v>469</v>
      </c>
      <c r="F67" s="184"/>
      <c r="G67" s="1"/>
      <c r="H67" s="184"/>
      <c r="I67" s="1"/>
      <c r="J67" s="198"/>
      <c r="K67" s="1"/>
      <c r="L67" s="3"/>
      <c r="M67" s="1"/>
      <c r="N67" s="4"/>
      <c r="O67" s="1"/>
      <c r="P67" s="3"/>
      <c r="Q67" s="1"/>
      <c r="R67" s="3"/>
      <c r="Y67" s="321"/>
    </row>
    <row r="68" spans="1:43" x14ac:dyDescent="0.3">
      <c r="A68" s="41">
        <v>43</v>
      </c>
      <c r="C68" s="192" t="str">
        <f>ESM_Name</f>
        <v>ENVIRONMENTAL SURCHARGE MECHANISM RIDER (ESM)</v>
      </c>
      <c r="F68" s="3"/>
      <c r="G68" s="1"/>
      <c r="H68" s="3"/>
      <c r="I68" s="3"/>
      <c r="J68" s="321">
        <f>PRO_ESM_NONRES</f>
        <v>5.7995821086186533E-3</v>
      </c>
      <c r="K68" s="1"/>
      <c r="L68" s="3">
        <f>ROUND((R65-(PRO_BASE_FUEL*H65)+R69)*J68,0)</f>
        <v>25</v>
      </c>
      <c r="M68" s="1"/>
      <c r="N68" s="4">
        <f>ROUND((L68/L$72)*100,1)</f>
        <v>0.4</v>
      </c>
      <c r="O68" s="1"/>
      <c r="P68" s="3"/>
      <c r="Q68" s="1"/>
      <c r="R68" s="3">
        <f>P68+L68</f>
        <v>25</v>
      </c>
      <c r="Y68" s="321"/>
    </row>
    <row r="69" spans="1:43" x14ac:dyDescent="0.3">
      <c r="A69" s="41">
        <v>44</v>
      </c>
      <c r="C69" s="192" t="str">
        <f>PSM_Name</f>
        <v>PROFIT SHARING MECHANISM (PSM)</v>
      </c>
      <c r="F69" s="3"/>
      <c r="G69" s="1"/>
      <c r="H69" s="3"/>
      <c r="I69" s="3"/>
      <c r="J69" s="217">
        <f>PRO_PSM</f>
        <v>2.4750000000000002E-3</v>
      </c>
      <c r="K69" s="1"/>
      <c r="L69" s="49">
        <f>ROUND($H$65*J69,0)</f>
        <v>226</v>
      </c>
      <c r="M69" s="1"/>
      <c r="N69" s="177">
        <f>ROUND((L69/L$72)*100,1)</f>
        <v>3.2</v>
      </c>
      <c r="O69" s="1"/>
      <c r="P69" s="49"/>
      <c r="Q69" s="1"/>
      <c r="R69" s="3">
        <f>P69+L69</f>
        <v>226</v>
      </c>
      <c r="Y69" s="321"/>
    </row>
    <row r="70" spans="1:43" ht="20.100000000000001" customHeight="1" x14ac:dyDescent="0.3">
      <c r="A70" s="41">
        <v>45</v>
      </c>
      <c r="C70" s="132" t="s">
        <v>465</v>
      </c>
      <c r="F70" s="197"/>
      <c r="G70" s="1"/>
      <c r="H70" s="197"/>
      <c r="I70" s="1"/>
      <c r="J70" s="198"/>
      <c r="K70" s="1"/>
      <c r="L70" s="145">
        <f>SUM(L68:L69)</f>
        <v>251</v>
      </c>
      <c r="M70" s="1"/>
      <c r="N70" s="180">
        <f>ROUND((L70/L$72)*100,1)</f>
        <v>3.5</v>
      </c>
      <c r="O70" s="1"/>
      <c r="P70" s="145"/>
      <c r="Q70" s="1"/>
      <c r="R70" s="145">
        <f>SUM(R68:R69)</f>
        <v>251</v>
      </c>
      <c r="Y70" s="321"/>
    </row>
    <row r="71" spans="1:43" x14ac:dyDescent="0.3">
      <c r="C71" s="132"/>
      <c r="F71" s="184"/>
      <c r="G71" s="1"/>
      <c r="H71" s="184"/>
      <c r="I71" s="1"/>
      <c r="J71" s="198"/>
      <c r="K71" s="1"/>
      <c r="L71" s="3"/>
      <c r="M71" s="1"/>
      <c r="N71" s="4"/>
      <c r="O71" s="1"/>
      <c r="P71" s="3"/>
      <c r="Q71" s="1"/>
      <c r="R71" s="3"/>
      <c r="Y71" s="321"/>
    </row>
    <row r="72" spans="1:43" ht="20.100000000000001" customHeight="1" thickBot="1" x14ac:dyDescent="0.35">
      <c r="A72" s="41">
        <v>46</v>
      </c>
      <c r="C72" s="132" t="s">
        <v>473</v>
      </c>
      <c r="F72" s="151">
        <f>F65</f>
        <v>2064</v>
      </c>
      <c r="G72" s="1"/>
      <c r="H72" s="151">
        <f>H65</f>
        <v>91284</v>
      </c>
      <c r="I72" s="1"/>
      <c r="J72" s="5"/>
      <c r="K72" s="1"/>
      <c r="L72" s="151">
        <f>L70+L65</f>
        <v>7139</v>
      </c>
      <c r="M72" s="1"/>
      <c r="N72" s="327">
        <v>100</v>
      </c>
      <c r="O72" s="1"/>
      <c r="P72" s="333">
        <f>ROUND(H72*CUR_FAC,0)</f>
        <v>318</v>
      </c>
      <c r="Q72" s="1"/>
      <c r="R72" s="151">
        <f>R70+R65</f>
        <v>7457</v>
      </c>
    </row>
    <row r="73" spans="1:43" ht="15" customHeight="1" thickTop="1" x14ac:dyDescent="0.3">
      <c r="F73" s="159"/>
      <c r="G73" s="1"/>
      <c r="H73" s="159"/>
      <c r="I73" s="159"/>
      <c r="J73" s="258"/>
      <c r="K73" s="248"/>
      <c r="L73" s="3"/>
      <c r="M73" s="3"/>
      <c r="N73" s="4"/>
      <c r="O73" s="4"/>
      <c r="P73" s="3"/>
      <c r="Q73" s="3"/>
      <c r="R73" s="3"/>
      <c r="S73" s="123"/>
    </row>
    <row r="74" spans="1:43" x14ac:dyDescent="0.3">
      <c r="C74" s="202" t="s">
        <v>76</v>
      </c>
      <c r="F74" s="184"/>
      <c r="H74" s="184"/>
      <c r="I74" s="184"/>
      <c r="J74" s="238"/>
      <c r="K74" s="193"/>
      <c r="L74" s="123"/>
      <c r="M74" s="123"/>
      <c r="N74" s="160"/>
      <c r="O74" s="160"/>
      <c r="P74" s="123"/>
      <c r="Q74" s="123"/>
      <c r="R74" s="123"/>
      <c r="S74" s="123"/>
      <c r="T74" s="40" t="str">
        <f>NAME</f>
        <v>DUKE ENERGY KENTUCKY, INC.</v>
      </c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166"/>
      <c r="AH74" s="40"/>
      <c r="AI74" s="40"/>
      <c r="AJ74" s="40"/>
      <c r="AK74" s="166"/>
      <c r="AL74" s="40"/>
      <c r="AM74" s="40"/>
      <c r="AN74" s="40"/>
      <c r="AO74" s="40"/>
      <c r="AP74" s="40"/>
      <c r="AQ74" s="166"/>
    </row>
    <row r="75" spans="1:43" x14ac:dyDescent="0.3">
      <c r="C75" s="202" t="str">
        <f>"(2) REFLECTS FUEL COMPONENT OF "&amp;TEXT(PRO_FAC,"$0.000000;($0.000000)")&amp;" PER KWH."</f>
        <v>(2) REFLECTS FUEL COMPONENT OF $0.003487 PER KWH.</v>
      </c>
      <c r="F75" s="184"/>
      <c r="H75" s="184"/>
      <c r="I75" s="184"/>
      <c r="J75" s="238"/>
      <c r="K75" s="193"/>
      <c r="L75" s="123"/>
      <c r="M75" s="123"/>
      <c r="N75" s="160"/>
      <c r="O75" s="160"/>
      <c r="P75" s="123"/>
      <c r="Q75" s="123"/>
      <c r="R75" s="123"/>
      <c r="T75" s="40" t="str">
        <f>CASE_NO</f>
        <v>CASE NO.   2024-00354</v>
      </c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166"/>
      <c r="AH75" s="40"/>
      <c r="AI75" s="40"/>
      <c r="AJ75" s="40"/>
      <c r="AK75" s="166"/>
      <c r="AL75" s="40"/>
      <c r="AM75" s="40"/>
      <c r="AN75" s="40"/>
      <c r="AO75" s="40"/>
      <c r="AP75" s="40"/>
      <c r="AQ75" s="166"/>
    </row>
    <row r="76" spans="1:43" x14ac:dyDescent="0.3">
      <c r="C76" s="202" t="str">
        <f>"(3) REFLECTS FUEL COST RECOVERY INCLUDED IN BASE RATES OF "&amp;TEXT(PRO_BASE_FUEL,"$0.000000;($0.000000)")&amp;"  PER KWH."</f>
        <v>(3) REFLECTS FUEL COST RECOVERY INCLUDED IN BASE RATES OF $0.033780  PER KWH.</v>
      </c>
      <c r="F76" s="184"/>
      <c r="H76" s="184"/>
      <c r="I76" s="184"/>
      <c r="J76" s="238"/>
      <c r="K76" s="193"/>
      <c r="L76" s="123"/>
      <c r="M76" s="123"/>
      <c r="N76" s="160"/>
      <c r="O76" s="160"/>
      <c r="P76" s="123"/>
      <c r="Q76" s="123"/>
      <c r="R76" s="123"/>
      <c r="T76" s="40" t="str">
        <f>TITLE</f>
        <v>ANNUALIZED TEST YEAR REVENUES AT REHEARING ORDER CALCULATED VS. MOST CURRENT RATES</v>
      </c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166"/>
      <c r="AH76" s="40"/>
      <c r="AI76" s="40"/>
      <c r="AJ76" s="40"/>
      <c r="AK76" s="166"/>
      <c r="AL76" s="40"/>
      <c r="AM76" s="40"/>
      <c r="AN76" s="40"/>
      <c r="AO76" s="40"/>
      <c r="AP76" s="40"/>
      <c r="AQ76" s="166"/>
    </row>
    <row r="77" spans="1:43" x14ac:dyDescent="0.3">
      <c r="F77" s="210"/>
      <c r="H77" s="123"/>
      <c r="I77" s="123"/>
      <c r="J77" s="213"/>
      <c r="K77" s="213"/>
      <c r="L77" s="210"/>
      <c r="M77" s="210"/>
      <c r="N77" s="210"/>
      <c r="O77" s="210"/>
      <c r="P77" s="210"/>
      <c r="Q77" s="210"/>
      <c r="R77" s="210"/>
      <c r="T77" s="40" t="str">
        <f>DATE</f>
        <v>FOR THE TWELVE MONTHS ENDED June 30, 2026</v>
      </c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166"/>
      <c r="AH77" s="40"/>
      <c r="AI77" s="40"/>
      <c r="AJ77" s="40"/>
      <c r="AK77" s="166"/>
      <c r="AL77" s="40"/>
      <c r="AM77" s="40"/>
      <c r="AN77" s="40"/>
      <c r="AO77" s="40"/>
      <c r="AP77" s="40"/>
      <c r="AQ77" s="166"/>
    </row>
    <row r="78" spans="1:43" x14ac:dyDescent="0.3">
      <c r="F78" s="210"/>
      <c r="H78" s="123"/>
      <c r="I78" s="123"/>
      <c r="J78" s="213"/>
      <c r="K78" s="213"/>
      <c r="L78" s="210"/>
      <c r="M78" s="210"/>
      <c r="N78" s="210"/>
      <c r="O78" s="210"/>
      <c r="P78" s="210"/>
      <c r="Q78" s="210"/>
      <c r="R78" s="210"/>
      <c r="T78" s="40" t="str">
        <f>SERVICE</f>
        <v>(ELECTRIC SERVICE)</v>
      </c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166"/>
      <c r="AH78" s="40"/>
      <c r="AI78" s="40"/>
      <c r="AJ78" s="40"/>
      <c r="AK78" s="166"/>
      <c r="AL78" s="40"/>
      <c r="AM78" s="40"/>
      <c r="AN78" s="40"/>
      <c r="AO78" s="40"/>
      <c r="AP78" s="40"/>
      <c r="AQ78" s="166"/>
    </row>
    <row r="79" spans="1:43" x14ac:dyDescent="0.3">
      <c r="F79" s="210"/>
      <c r="H79" s="123"/>
      <c r="J79" s="238"/>
      <c r="K79" s="222"/>
      <c r="L79" s="210"/>
      <c r="M79" s="268"/>
      <c r="N79" s="335"/>
      <c r="O79" s="268"/>
      <c r="P79" s="210"/>
      <c r="Q79" s="268"/>
      <c r="R79" s="210"/>
      <c r="S79" s="123"/>
      <c r="T79" s="41" t="str">
        <f>DATA_PERIOD</f>
        <v>DATA: ____ BASE PERIOD   __X__FORECASTED PERIOD</v>
      </c>
      <c r="AO79" s="42" t="s">
        <v>158</v>
      </c>
      <c r="AP79" s="42"/>
    </row>
    <row r="80" spans="1:43" x14ac:dyDescent="0.3"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210"/>
      <c r="Q80" s="210"/>
      <c r="R80" s="210"/>
      <c r="T80" s="41" t="str">
        <f>TYPE</f>
        <v>TYPE OF FILING: _X_ ORIGINAL   ___UPDATED  ___ REVISED</v>
      </c>
      <c r="AO80" s="45" t="str">
        <f>"PAGE 18 OF "&amp;TEXT(Page_Num_2.2,"00")</f>
        <v>PAGE 18 OF 24</v>
      </c>
      <c r="AP80" s="42"/>
    </row>
    <row r="81" spans="1:51" x14ac:dyDescent="0.3">
      <c r="A81" s="42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T81" s="42" t="s">
        <v>171</v>
      </c>
      <c r="AO81" s="42" t="s">
        <v>3</v>
      </c>
      <c r="AP81" s="42"/>
    </row>
    <row r="82" spans="1:51" x14ac:dyDescent="0.3">
      <c r="H82" s="42"/>
      <c r="I82" s="42"/>
      <c r="J82" s="188"/>
      <c r="T82" s="153" t="str">
        <f>TIME</f>
        <v>12 Months Projected with Riders</v>
      </c>
      <c r="AF82" s="42"/>
      <c r="AO82" s="123" t="str">
        <f>WIT</f>
        <v>B. L. Sailers</v>
      </c>
    </row>
    <row r="83" spans="1:51" x14ac:dyDescent="0.3">
      <c r="J83" s="188"/>
      <c r="T83" s="40" t="s">
        <v>131</v>
      </c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166"/>
      <c r="AH83" s="40"/>
      <c r="AI83" s="40"/>
      <c r="AJ83" s="40"/>
      <c r="AK83" s="166"/>
      <c r="AL83" s="40"/>
      <c r="AM83" s="40"/>
      <c r="AN83" s="40"/>
      <c r="AO83" s="40"/>
      <c r="AP83" s="40"/>
      <c r="AQ83" s="166"/>
    </row>
    <row r="84" spans="1:51" x14ac:dyDescent="0.3">
      <c r="J84" s="188"/>
      <c r="L84" s="42"/>
      <c r="M84" s="42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43"/>
      <c r="AF84" s="43"/>
      <c r="AG84" s="167"/>
      <c r="AH84" s="43"/>
      <c r="AI84" s="43"/>
      <c r="AJ84" s="43"/>
      <c r="AK84" s="167"/>
      <c r="AL84" s="43"/>
      <c r="AM84" s="43"/>
      <c r="AN84" s="135"/>
      <c r="AO84" s="135"/>
      <c r="AP84" s="135"/>
      <c r="AQ84" s="207"/>
    </row>
    <row r="85" spans="1:51" ht="18" customHeight="1" x14ac:dyDescent="0.3">
      <c r="J85" s="188"/>
      <c r="R85" s="42"/>
      <c r="T85" s="191"/>
      <c r="U85" s="191"/>
      <c r="V85" s="191"/>
      <c r="W85" s="191"/>
      <c r="X85" s="191"/>
      <c r="Y85" s="191"/>
      <c r="Z85" s="191"/>
      <c r="AA85" s="191"/>
      <c r="AB85" s="191"/>
      <c r="AC85" s="191"/>
      <c r="AD85" s="191"/>
      <c r="AE85" s="44" t="s">
        <v>8</v>
      </c>
      <c r="AF85" s="44"/>
      <c r="AG85" s="168" t="s">
        <v>7</v>
      </c>
      <c r="AH85" s="44"/>
      <c r="AI85" s="44" t="s">
        <v>9</v>
      </c>
      <c r="AJ85" s="44"/>
      <c r="AK85" s="168" t="s">
        <v>10</v>
      </c>
      <c r="AL85" s="44"/>
      <c r="AN85" s="191"/>
      <c r="AO85" s="272" t="s">
        <v>8</v>
      </c>
      <c r="AP85" s="272"/>
      <c r="AQ85" s="273" t="s">
        <v>11</v>
      </c>
    </row>
    <row r="86" spans="1:51" x14ac:dyDescent="0.3">
      <c r="J86" s="188"/>
      <c r="R86" s="42"/>
      <c r="AC86" s="44" t="s">
        <v>14</v>
      </c>
      <c r="AD86" s="44"/>
      <c r="AE86" s="44" t="s">
        <v>12</v>
      </c>
      <c r="AF86" s="44"/>
      <c r="AG86" s="168" t="s">
        <v>13</v>
      </c>
      <c r="AH86" s="44"/>
      <c r="AI86" s="44" t="s">
        <v>15</v>
      </c>
      <c r="AJ86" s="44"/>
      <c r="AK86" s="168" t="s">
        <v>16</v>
      </c>
      <c r="AL86" s="44"/>
      <c r="AO86" s="44" t="s">
        <v>11</v>
      </c>
      <c r="AP86" s="44"/>
      <c r="AQ86" s="168" t="s">
        <v>9</v>
      </c>
    </row>
    <row r="87" spans="1:51" x14ac:dyDescent="0.3">
      <c r="A87" s="42"/>
      <c r="J87" s="188"/>
      <c r="R87" s="42"/>
      <c r="T87" s="44" t="s">
        <v>17</v>
      </c>
      <c r="V87" s="44" t="s">
        <v>18</v>
      </c>
      <c r="W87" s="44" t="s">
        <v>19</v>
      </c>
      <c r="X87" s="44"/>
      <c r="Y87" s="44" t="s">
        <v>20</v>
      </c>
      <c r="AC87" s="44" t="s">
        <v>8</v>
      </c>
      <c r="AD87" s="44"/>
      <c r="AE87" s="44" t="s">
        <v>842</v>
      </c>
      <c r="AF87" s="44"/>
      <c r="AG87" s="168" t="s">
        <v>842</v>
      </c>
      <c r="AH87" s="44"/>
      <c r="AI87" s="46" t="s">
        <v>965</v>
      </c>
      <c r="AJ87" s="44"/>
      <c r="AK87" s="169" t="s">
        <v>965</v>
      </c>
      <c r="AL87" s="44"/>
      <c r="AM87" s="44" t="s">
        <v>842</v>
      </c>
      <c r="AN87" s="44"/>
      <c r="AO87" s="44" t="s">
        <v>9</v>
      </c>
      <c r="AP87" s="44"/>
      <c r="AQ87" s="168" t="s">
        <v>21</v>
      </c>
    </row>
    <row r="88" spans="1:51" x14ac:dyDescent="0.3">
      <c r="J88" s="188"/>
      <c r="L88" s="42"/>
      <c r="M88" s="42"/>
      <c r="T88" s="44" t="s">
        <v>22</v>
      </c>
      <c r="V88" s="44" t="s">
        <v>23</v>
      </c>
      <c r="W88" s="44" t="s">
        <v>24</v>
      </c>
      <c r="X88" s="44"/>
      <c r="Y88" s="44" t="s">
        <v>25</v>
      </c>
      <c r="AA88" s="44" t="s">
        <v>26</v>
      </c>
      <c r="AB88" s="44"/>
      <c r="AC88" s="46" t="s">
        <v>325</v>
      </c>
      <c r="AD88" s="44"/>
      <c r="AE88" s="44" t="s">
        <v>9</v>
      </c>
      <c r="AF88" s="44"/>
      <c r="AG88" s="168" t="s">
        <v>9</v>
      </c>
      <c r="AH88" s="44"/>
      <c r="AI88" s="141" t="s">
        <v>29</v>
      </c>
      <c r="AJ88" s="141"/>
      <c r="AK88" s="170" t="s">
        <v>30</v>
      </c>
      <c r="AL88" s="44"/>
      <c r="AM88" s="44" t="s">
        <v>324</v>
      </c>
      <c r="AN88" s="44"/>
      <c r="AO88" s="141" t="s">
        <v>31</v>
      </c>
      <c r="AP88" s="141"/>
      <c r="AQ88" s="170" t="s">
        <v>32</v>
      </c>
    </row>
    <row r="89" spans="1:51" x14ac:dyDescent="0.3">
      <c r="A89" s="135"/>
      <c r="B89" s="135"/>
      <c r="C89" s="135"/>
      <c r="D89" s="135"/>
      <c r="E89" s="135"/>
      <c r="F89" s="135"/>
      <c r="G89" s="135"/>
      <c r="H89" s="135"/>
      <c r="I89" s="135"/>
      <c r="J89" s="244"/>
      <c r="K89" s="135"/>
      <c r="L89" s="135"/>
      <c r="M89" s="135"/>
      <c r="N89" s="135"/>
      <c r="O89" s="135"/>
      <c r="P89" s="135"/>
      <c r="Q89" s="135"/>
      <c r="R89" s="135"/>
      <c r="V89" s="141" t="s">
        <v>33</v>
      </c>
      <c r="W89" s="141" t="s">
        <v>34</v>
      </c>
      <c r="X89" s="141"/>
      <c r="Y89" s="141" t="s">
        <v>35</v>
      </c>
      <c r="Z89" s="153"/>
      <c r="AA89" s="141" t="s">
        <v>36</v>
      </c>
      <c r="AB89" s="141"/>
      <c r="AC89" s="137" t="s">
        <v>42</v>
      </c>
      <c r="AD89" s="141"/>
      <c r="AE89" s="141" t="s">
        <v>43</v>
      </c>
      <c r="AF89" s="141"/>
      <c r="AG89" s="170" t="s">
        <v>44</v>
      </c>
      <c r="AH89" s="141"/>
      <c r="AI89" s="141" t="s">
        <v>45</v>
      </c>
      <c r="AJ89" s="141"/>
      <c r="AK89" s="170" t="s">
        <v>46</v>
      </c>
      <c r="AL89" s="141"/>
      <c r="AM89" s="141" t="s">
        <v>40</v>
      </c>
      <c r="AN89" s="141"/>
      <c r="AO89" s="141" t="s">
        <v>47</v>
      </c>
      <c r="AP89" s="141"/>
      <c r="AQ89" s="170" t="s">
        <v>48</v>
      </c>
    </row>
    <row r="90" spans="1:51" ht="17.100000000000001" customHeight="1" x14ac:dyDescent="0.3">
      <c r="J90" s="188"/>
      <c r="L90" s="44"/>
      <c r="M90" s="44"/>
      <c r="N90" s="44"/>
      <c r="O90" s="44"/>
      <c r="R90" s="44"/>
      <c r="T90" s="191"/>
      <c r="U90" s="191"/>
      <c r="V90" s="191"/>
      <c r="W90" s="191"/>
      <c r="X90" s="191"/>
      <c r="Y90" s="191"/>
      <c r="Z90" s="191"/>
      <c r="AA90" s="271" t="s">
        <v>49</v>
      </c>
      <c r="AB90" s="271"/>
      <c r="AC90" s="172" t="s">
        <v>69</v>
      </c>
      <c r="AD90" s="271"/>
      <c r="AE90" s="271" t="s">
        <v>50</v>
      </c>
      <c r="AF90" s="271"/>
      <c r="AG90" s="274" t="s">
        <v>51</v>
      </c>
      <c r="AH90" s="271"/>
      <c r="AI90" s="271" t="s">
        <v>50</v>
      </c>
      <c r="AJ90" s="271"/>
      <c r="AK90" s="274" t="s">
        <v>51</v>
      </c>
      <c r="AL90" s="271"/>
      <c r="AM90" s="271" t="s">
        <v>50</v>
      </c>
      <c r="AN90" s="271"/>
      <c r="AO90" s="271" t="s">
        <v>50</v>
      </c>
      <c r="AP90" s="271"/>
      <c r="AQ90" s="274" t="s">
        <v>51</v>
      </c>
    </row>
    <row r="91" spans="1:51" x14ac:dyDescent="0.3">
      <c r="J91" s="188"/>
      <c r="L91" s="44"/>
      <c r="M91" s="44"/>
      <c r="N91" s="44"/>
      <c r="O91" s="44"/>
      <c r="R91" s="44"/>
      <c r="T91" s="41">
        <v>1</v>
      </c>
      <c r="V91" s="132" t="s">
        <v>73</v>
      </c>
      <c r="W91" s="132" t="s">
        <v>71</v>
      </c>
      <c r="X91" s="42"/>
      <c r="Y91" s="1"/>
      <c r="Z91" s="1"/>
      <c r="AA91" s="208"/>
      <c r="AB91" s="208"/>
      <c r="AC91" s="337" t="s">
        <v>313</v>
      </c>
      <c r="AD91" s="208"/>
      <c r="AE91" s="208"/>
      <c r="AF91" s="208"/>
      <c r="AG91" s="221"/>
      <c r="AH91" s="208"/>
      <c r="AI91" s="208"/>
      <c r="AJ91" s="208"/>
      <c r="AK91" s="221"/>
      <c r="AL91" s="208"/>
      <c r="AM91" s="208"/>
      <c r="AN91" s="208"/>
      <c r="AO91" s="208"/>
      <c r="AP91" s="208"/>
      <c r="AQ91" s="221"/>
    </row>
    <row r="92" spans="1:51" x14ac:dyDescent="0.3">
      <c r="A92" s="44"/>
      <c r="C92" s="44"/>
      <c r="D92" s="44"/>
      <c r="E92" s="44"/>
      <c r="F92" s="44"/>
      <c r="H92" s="44"/>
      <c r="I92" s="44"/>
      <c r="J92" s="245"/>
      <c r="K92" s="44"/>
      <c r="L92" s="44"/>
      <c r="M92" s="44"/>
      <c r="N92" s="44"/>
      <c r="O92" s="44"/>
      <c r="P92" s="44"/>
      <c r="Q92" s="44"/>
      <c r="R92" s="44"/>
      <c r="T92" s="41">
        <v>2</v>
      </c>
      <c r="V92" s="178" t="s">
        <v>259</v>
      </c>
      <c r="W92" s="153"/>
      <c r="X92" s="42"/>
      <c r="Y92" s="1"/>
      <c r="Z92" s="1"/>
      <c r="AA92" s="1"/>
      <c r="AB92" s="1"/>
      <c r="AC92" s="1"/>
      <c r="AD92" s="1"/>
      <c r="AE92" s="1"/>
      <c r="AF92" s="1"/>
      <c r="AG92" s="175"/>
      <c r="AH92" s="1"/>
      <c r="AI92" s="1"/>
      <c r="AJ92" s="1"/>
      <c r="AK92" s="175"/>
      <c r="AL92" s="1"/>
      <c r="AM92" s="1"/>
      <c r="AN92" s="1"/>
      <c r="AO92" s="1"/>
      <c r="AP92" s="1"/>
      <c r="AQ92" s="175"/>
      <c r="AU92" s="44" t="s">
        <v>406</v>
      </c>
    </row>
    <row r="93" spans="1:51" x14ac:dyDescent="0.3">
      <c r="C93" s="44"/>
      <c r="D93" s="44"/>
      <c r="E93" s="44"/>
      <c r="F93" s="44"/>
      <c r="H93" s="44"/>
      <c r="I93" s="44"/>
      <c r="J93" s="245"/>
      <c r="K93" s="44"/>
      <c r="L93" s="44"/>
      <c r="M93" s="44"/>
      <c r="N93" s="44"/>
      <c r="O93" s="44"/>
      <c r="P93" s="44"/>
      <c r="Q93" s="44"/>
      <c r="R93" s="44"/>
      <c r="T93" s="41">
        <v>3</v>
      </c>
      <c r="V93" s="132" t="s">
        <v>335</v>
      </c>
      <c r="W93" s="153"/>
      <c r="X93" s="42"/>
      <c r="Y93" s="3"/>
      <c r="Z93" s="1"/>
      <c r="AA93" s="1"/>
      <c r="AB93" s="1"/>
      <c r="AC93" s="1"/>
      <c r="AD93" s="1"/>
      <c r="AE93" s="1"/>
      <c r="AF93" s="1"/>
      <c r="AG93" s="175"/>
      <c r="AH93" s="1"/>
      <c r="AI93" s="1"/>
      <c r="AJ93" s="1"/>
      <c r="AK93" s="175"/>
      <c r="AL93" s="1"/>
      <c r="AM93" s="1"/>
      <c r="AN93" s="1"/>
      <c r="AO93" s="1"/>
      <c r="AP93" s="1"/>
      <c r="AQ93" s="175"/>
      <c r="AU93" s="44" t="s">
        <v>407</v>
      </c>
      <c r="AW93" s="41" t="s">
        <v>108</v>
      </c>
      <c r="AX93" s="41" t="s">
        <v>352</v>
      </c>
      <c r="AY93" s="41" t="s">
        <v>6</v>
      </c>
    </row>
    <row r="94" spans="1:51" x14ac:dyDescent="0.3">
      <c r="A94" s="135"/>
      <c r="B94" s="135"/>
      <c r="C94" s="135"/>
      <c r="D94" s="135"/>
      <c r="E94" s="135"/>
      <c r="F94" s="135"/>
      <c r="G94" s="135"/>
      <c r="H94" s="135"/>
      <c r="I94" s="135"/>
      <c r="J94" s="244"/>
      <c r="K94" s="135"/>
      <c r="L94" s="135"/>
      <c r="M94" s="135"/>
      <c r="N94" s="135"/>
      <c r="O94" s="135"/>
      <c r="P94" s="135"/>
      <c r="Q94" s="135"/>
      <c r="R94" s="135"/>
      <c r="T94" s="41">
        <v>4</v>
      </c>
      <c r="V94" s="132" t="s">
        <v>336</v>
      </c>
      <c r="W94" s="153"/>
      <c r="X94" s="42"/>
      <c r="Y94" s="3"/>
      <c r="Z94" s="1"/>
      <c r="AA94" s="1"/>
      <c r="AB94" s="1"/>
      <c r="AC94" s="1"/>
      <c r="AD94" s="1"/>
      <c r="AE94" s="1"/>
      <c r="AF94" s="1"/>
      <c r="AG94" s="175"/>
      <c r="AH94" s="1"/>
      <c r="AI94" s="1"/>
      <c r="AJ94" s="1"/>
      <c r="AK94" s="175"/>
      <c r="AL94" s="1"/>
      <c r="AM94" s="1"/>
      <c r="AN94" s="1"/>
      <c r="AO94" s="1"/>
      <c r="AP94" s="1"/>
      <c r="AQ94" s="175"/>
      <c r="AW94" s="41" t="s">
        <v>353</v>
      </c>
      <c r="AX94" s="41" t="s">
        <v>106</v>
      </c>
      <c r="AY94" s="41" t="s">
        <v>354</v>
      </c>
    </row>
    <row r="95" spans="1:51" x14ac:dyDescent="0.3">
      <c r="H95" s="44"/>
      <c r="I95" s="44"/>
      <c r="J95" s="245"/>
      <c r="K95" s="44"/>
      <c r="L95" s="44"/>
      <c r="M95" s="44"/>
      <c r="N95" s="44"/>
      <c r="O95" s="44"/>
      <c r="P95" s="44"/>
      <c r="Q95" s="44"/>
      <c r="R95" s="44"/>
      <c r="T95" s="41">
        <v>5</v>
      </c>
      <c r="V95" s="42" t="s">
        <v>207</v>
      </c>
      <c r="X95" s="42"/>
      <c r="Y95" s="3">
        <f>F22</f>
        <v>0</v>
      </c>
      <c r="Z95" s="1"/>
      <c r="AA95" s="3">
        <f>H22</f>
        <v>0</v>
      </c>
      <c r="AB95" s="1"/>
      <c r="AC95" s="322">
        <v>6.8</v>
      </c>
      <c r="AD95" s="1"/>
      <c r="AE95" s="3">
        <f>ROUND(Y95*AC95,0)</f>
        <v>0</v>
      </c>
      <c r="AF95" s="1"/>
      <c r="AG95" s="175">
        <f>ROUND((AE95/AE$145)*100,1)</f>
        <v>0</v>
      </c>
      <c r="AH95" s="1"/>
      <c r="AI95" s="3">
        <f>L22-AE95</f>
        <v>0</v>
      </c>
      <c r="AJ95" s="1"/>
      <c r="AK95" s="175">
        <v>0</v>
      </c>
      <c r="AL95" s="1"/>
      <c r="AM95" s="3">
        <f>ROUND((AM$145/AA$145)*AA95,0)</f>
        <v>0</v>
      </c>
      <c r="AN95" s="1"/>
      <c r="AO95" s="3">
        <f>AM95+AE95</f>
        <v>0</v>
      </c>
      <c r="AP95" s="1"/>
      <c r="AQ95" s="175">
        <v>0</v>
      </c>
      <c r="AU95" s="188">
        <f>AC95-AX95</f>
        <v>4.54</v>
      </c>
      <c r="AV95" s="1"/>
      <c r="AW95" s="41">
        <v>803</v>
      </c>
      <c r="AX95" s="41">
        <f>ROUND((AW95/12)*CUR_BASE_FUEL,2)</f>
        <v>2.2599999999999998</v>
      </c>
      <c r="AY95" s="41">
        <f>ROUND((AW95/12)*PRO_BASE_FUEL,2)</f>
        <v>2.2599999999999998</v>
      </c>
    </row>
    <row r="96" spans="1:51" x14ac:dyDescent="0.3">
      <c r="C96" s="42"/>
      <c r="D96" s="42"/>
      <c r="E96" s="42"/>
      <c r="J96" s="188"/>
      <c r="T96" s="41">
        <v>6</v>
      </c>
      <c r="V96" s="42" t="s">
        <v>337</v>
      </c>
      <c r="X96" s="42"/>
      <c r="Y96" s="3">
        <f>F23</f>
        <v>0</v>
      </c>
      <c r="Z96" s="1"/>
      <c r="AA96" s="3">
        <f>H23</f>
        <v>0</v>
      </c>
      <c r="AB96" s="1"/>
      <c r="AC96" s="322">
        <v>8.8000000000000007</v>
      </c>
      <c r="AD96" s="1"/>
      <c r="AE96" s="3">
        <f>ROUND(Y96*AC96,0)</f>
        <v>0</v>
      </c>
      <c r="AF96" s="1"/>
      <c r="AG96" s="175">
        <f>ROUND((AE96/AE$145)*100,1)</f>
        <v>0</v>
      </c>
      <c r="AH96" s="1"/>
      <c r="AI96" s="3">
        <f>L23-AE96</f>
        <v>0</v>
      </c>
      <c r="AJ96" s="1"/>
      <c r="AK96" s="175">
        <v>0</v>
      </c>
      <c r="AL96" s="1"/>
      <c r="AM96" s="3">
        <f>ROUND((AM$145/AA$145)*AA96,0)</f>
        <v>0</v>
      </c>
      <c r="AN96" s="1"/>
      <c r="AO96" s="3">
        <f>AM96+AE96</f>
        <v>0</v>
      </c>
      <c r="AP96" s="1"/>
      <c r="AQ96" s="175">
        <v>0</v>
      </c>
      <c r="AU96" s="188">
        <f>AC96-AX96</f>
        <v>5.58</v>
      </c>
      <c r="AV96" s="1"/>
      <c r="AW96" s="41">
        <v>1144</v>
      </c>
      <c r="AX96" s="41">
        <f>ROUND((AW96/12)*CUR_BASE_FUEL,2)</f>
        <v>3.22</v>
      </c>
      <c r="AY96" s="41">
        <f>ROUND((AW96/12)*PRO_BASE_FUEL,2)</f>
        <v>3.22</v>
      </c>
    </row>
    <row r="97" spans="3:51" x14ac:dyDescent="0.3">
      <c r="D97" s="42"/>
      <c r="E97" s="42"/>
      <c r="J97" s="188"/>
      <c r="T97" s="41">
        <v>7</v>
      </c>
      <c r="V97" s="42" t="s">
        <v>338</v>
      </c>
      <c r="X97" s="42"/>
      <c r="Y97" s="3">
        <f>F24</f>
        <v>0</v>
      </c>
      <c r="Z97" s="1"/>
      <c r="AA97" s="3">
        <f>H24</f>
        <v>0</v>
      </c>
      <c r="AB97" s="1"/>
      <c r="AC97" s="322">
        <v>12.41</v>
      </c>
      <c r="AD97" s="1"/>
      <c r="AE97" s="3">
        <f>ROUND(Y97*AC97,0)</f>
        <v>0</v>
      </c>
      <c r="AF97" s="1"/>
      <c r="AG97" s="175">
        <f>ROUND((AE97/AE$145)*100,1)</f>
        <v>0</v>
      </c>
      <c r="AH97" s="1"/>
      <c r="AI97" s="3">
        <f>L24-AE97</f>
        <v>0</v>
      </c>
      <c r="AJ97" s="1"/>
      <c r="AK97" s="175">
        <v>0</v>
      </c>
      <c r="AL97" s="1"/>
      <c r="AM97" s="3">
        <f>ROUND((AM$145/AA$145)*AA97,0)</f>
        <v>0</v>
      </c>
      <c r="AN97" s="1"/>
      <c r="AO97" s="3">
        <f>AM97+AE97</f>
        <v>0</v>
      </c>
      <c r="AP97" s="1"/>
      <c r="AQ97" s="175">
        <v>0</v>
      </c>
      <c r="AU97" s="188">
        <f>AC97-AX97</f>
        <v>7.37</v>
      </c>
      <c r="AV97" s="1"/>
      <c r="AW97" s="41">
        <v>1789</v>
      </c>
      <c r="AX97" s="41">
        <f>ROUND((AW97/12)*CUR_BASE_FUEL,2)</f>
        <v>5.04</v>
      </c>
      <c r="AY97" s="41">
        <f>ROUND((AW97/12)*PRO_BASE_FUEL,2)</f>
        <v>5.04</v>
      </c>
    </row>
    <row r="98" spans="3:51" ht="15" customHeight="1" x14ac:dyDescent="0.3">
      <c r="J98" s="188"/>
      <c r="V98" s="42"/>
      <c r="X98" s="42"/>
      <c r="Y98" s="3"/>
      <c r="Z98" s="1"/>
      <c r="AA98" s="1"/>
      <c r="AB98" s="1"/>
      <c r="AC98" s="322"/>
      <c r="AD98" s="1"/>
      <c r="AE98" s="1"/>
      <c r="AF98" s="1"/>
      <c r="AG98" s="175"/>
      <c r="AH98" s="1"/>
      <c r="AI98" s="1"/>
      <c r="AJ98" s="1"/>
      <c r="AK98" s="175"/>
      <c r="AL98" s="1"/>
      <c r="AM98" s="1"/>
      <c r="AN98" s="1"/>
      <c r="AO98" s="1"/>
      <c r="AP98" s="1"/>
      <c r="AQ98" s="175"/>
      <c r="AV98" s="1"/>
    </row>
    <row r="99" spans="3:51" x14ac:dyDescent="0.3">
      <c r="C99" s="42"/>
      <c r="F99" s="184"/>
      <c r="H99" s="184"/>
      <c r="I99" s="184"/>
      <c r="J99" s="238"/>
      <c r="K99" s="193"/>
      <c r="L99" s="123"/>
      <c r="M99" s="123"/>
      <c r="N99" s="160"/>
      <c r="O99" s="160"/>
      <c r="R99" s="123"/>
      <c r="T99" s="41">
        <v>8</v>
      </c>
      <c r="V99" s="132" t="s">
        <v>339</v>
      </c>
      <c r="X99" s="42"/>
      <c r="Y99" s="3"/>
      <c r="Z99" s="1"/>
      <c r="AA99" s="1"/>
      <c r="AB99" s="1"/>
      <c r="AC99" s="322"/>
      <c r="AD99" s="1"/>
      <c r="AE99" s="1"/>
      <c r="AF99" s="1"/>
      <c r="AG99" s="175"/>
      <c r="AH99" s="1"/>
      <c r="AI99" s="1"/>
      <c r="AJ99" s="1"/>
      <c r="AK99" s="175"/>
      <c r="AL99" s="1"/>
      <c r="AM99" s="1"/>
      <c r="AN99" s="1"/>
      <c r="AO99" s="1"/>
      <c r="AP99" s="1"/>
      <c r="AQ99" s="175"/>
      <c r="AV99" s="1"/>
    </row>
    <row r="100" spans="3:51" x14ac:dyDescent="0.3">
      <c r="C100" s="42"/>
      <c r="F100" s="184"/>
      <c r="H100" s="184"/>
      <c r="I100" s="184"/>
      <c r="J100" s="238"/>
      <c r="K100" s="193"/>
      <c r="L100" s="123"/>
      <c r="M100" s="123"/>
      <c r="N100" s="160"/>
      <c r="O100" s="160"/>
      <c r="R100" s="123"/>
      <c r="T100" s="41">
        <v>9</v>
      </c>
      <c r="V100" s="42" t="s">
        <v>340</v>
      </c>
      <c r="X100" s="42"/>
      <c r="Y100" s="3">
        <f>F27</f>
        <v>0</v>
      </c>
      <c r="Z100" s="1"/>
      <c r="AA100" s="3">
        <f>H27</f>
        <v>0</v>
      </c>
      <c r="AB100" s="1"/>
      <c r="AC100" s="322">
        <v>6.8</v>
      </c>
      <c r="AD100" s="1"/>
      <c r="AE100" s="3">
        <f>ROUND(Y100*AC100,0)</f>
        <v>0</v>
      </c>
      <c r="AF100" s="1"/>
      <c r="AG100" s="175">
        <f>ROUND((AE100/AE$145)*100,1)</f>
        <v>0</v>
      </c>
      <c r="AH100" s="1"/>
      <c r="AI100" s="3">
        <f>L27-AE100</f>
        <v>0</v>
      </c>
      <c r="AJ100" s="1"/>
      <c r="AK100" s="175">
        <v>0</v>
      </c>
      <c r="AL100" s="1"/>
      <c r="AM100" s="3">
        <f>ROUND((AM$145/AA$145)*AA100,0)</f>
        <v>0</v>
      </c>
      <c r="AN100" s="1"/>
      <c r="AO100" s="3">
        <f>AM100+AE100</f>
        <v>0</v>
      </c>
      <c r="AP100" s="1"/>
      <c r="AQ100" s="175">
        <v>0</v>
      </c>
      <c r="AU100" s="188">
        <f>AC100-AX100</f>
        <v>4.54</v>
      </c>
      <c r="AV100" s="1"/>
      <c r="AW100" s="41">
        <v>803</v>
      </c>
      <c r="AX100" s="41">
        <f>ROUND((AW100/12)*CUR_BASE_FUEL,2)</f>
        <v>2.2599999999999998</v>
      </c>
      <c r="AY100" s="41">
        <f>ROUND((AW100/12)*PRO_BASE_FUEL,2)</f>
        <v>2.2599999999999998</v>
      </c>
    </row>
    <row r="101" spans="3:51" x14ac:dyDescent="0.3">
      <c r="F101" s="210"/>
      <c r="H101" s="123"/>
      <c r="I101" s="123"/>
      <c r="J101" s="238"/>
      <c r="K101" s="213"/>
      <c r="L101" s="210"/>
      <c r="M101" s="210"/>
      <c r="N101" s="210"/>
      <c r="O101" s="210"/>
      <c r="P101" s="210"/>
      <c r="Q101" s="210"/>
      <c r="R101" s="210"/>
      <c r="T101" s="41">
        <v>10</v>
      </c>
      <c r="V101" s="42" t="s">
        <v>341</v>
      </c>
      <c r="X101" s="42"/>
      <c r="Y101" s="3">
        <f>F28</f>
        <v>0</v>
      </c>
      <c r="Z101" s="1"/>
      <c r="AA101" s="3">
        <f>H28</f>
        <v>0</v>
      </c>
      <c r="AB101" s="1"/>
      <c r="AC101" s="322">
        <v>8.8000000000000007</v>
      </c>
      <c r="AD101" s="1"/>
      <c r="AE101" s="3">
        <f>ROUND(Y101*AC101,0)</f>
        <v>0</v>
      </c>
      <c r="AF101" s="1"/>
      <c r="AG101" s="175">
        <f>ROUND((AE101/AE$145)*100,1)</f>
        <v>0</v>
      </c>
      <c r="AH101" s="1"/>
      <c r="AI101" s="3">
        <f>L28-AE101</f>
        <v>0</v>
      </c>
      <c r="AJ101" s="1"/>
      <c r="AK101" s="175">
        <v>0</v>
      </c>
      <c r="AL101" s="1"/>
      <c r="AM101" s="3">
        <f>ROUND((AM$145/AA$145)*AA101,0)</f>
        <v>0</v>
      </c>
      <c r="AN101" s="1"/>
      <c r="AO101" s="3">
        <f>AM101+AE101</f>
        <v>0</v>
      </c>
      <c r="AP101" s="1"/>
      <c r="AQ101" s="175">
        <v>0</v>
      </c>
      <c r="AU101" s="188">
        <f>AC101-AX101</f>
        <v>5.58</v>
      </c>
      <c r="AV101" s="1"/>
      <c r="AW101" s="41">
        <v>1144</v>
      </c>
      <c r="AX101" s="41">
        <f>ROUND((AW101/12)*CUR_BASE_FUEL,2)</f>
        <v>3.22</v>
      </c>
      <c r="AY101" s="41">
        <f>ROUND((AW101/12)*PRO_BASE_FUEL,2)</f>
        <v>3.22</v>
      </c>
    </row>
    <row r="102" spans="3:51" x14ac:dyDescent="0.3">
      <c r="C102" s="42"/>
      <c r="F102" s="123"/>
      <c r="H102" s="123"/>
      <c r="I102" s="123"/>
      <c r="J102" s="238"/>
      <c r="K102" s="213"/>
      <c r="L102" s="123"/>
      <c r="M102" s="123"/>
      <c r="N102" s="160"/>
      <c r="O102" s="160"/>
      <c r="P102" s="123"/>
      <c r="Q102" s="123"/>
      <c r="R102" s="123"/>
      <c r="T102" s="41">
        <v>11</v>
      </c>
      <c r="V102" s="42" t="s">
        <v>342</v>
      </c>
      <c r="X102" s="42"/>
      <c r="Y102" s="3">
        <f>F29</f>
        <v>0</v>
      </c>
      <c r="Z102" s="1"/>
      <c r="AA102" s="3">
        <f>H29</f>
        <v>0</v>
      </c>
      <c r="AB102" s="1"/>
      <c r="AC102" s="322">
        <v>12.41</v>
      </c>
      <c r="AD102" s="1"/>
      <c r="AE102" s="3">
        <f>ROUND(Y102*AC102,0)</f>
        <v>0</v>
      </c>
      <c r="AF102" s="1"/>
      <c r="AG102" s="175">
        <f>ROUND((AE102/AE$145)*100,1)</f>
        <v>0</v>
      </c>
      <c r="AH102" s="1"/>
      <c r="AI102" s="3">
        <f>L29-AE102</f>
        <v>0</v>
      </c>
      <c r="AJ102" s="1"/>
      <c r="AK102" s="175">
        <v>0</v>
      </c>
      <c r="AL102" s="1"/>
      <c r="AM102" s="3">
        <f>ROUND((AM$145/AA$145)*AA102,0)</f>
        <v>0</v>
      </c>
      <c r="AN102" s="1"/>
      <c r="AO102" s="3">
        <f>AM102+AE102</f>
        <v>0</v>
      </c>
      <c r="AP102" s="1"/>
      <c r="AQ102" s="175">
        <v>0</v>
      </c>
      <c r="AU102" s="188">
        <f>AC102-AX102</f>
        <v>7.37</v>
      </c>
      <c r="AV102" s="1"/>
      <c r="AW102" s="41">
        <v>1789</v>
      </c>
      <c r="AX102" s="41">
        <f>ROUND((AW102/12)*CUR_BASE_FUEL,2)</f>
        <v>5.04</v>
      </c>
      <c r="AY102" s="41">
        <f>ROUND((AW102/12)*PRO_BASE_FUEL,2)</f>
        <v>5.04</v>
      </c>
    </row>
    <row r="103" spans="3:51" ht="15" customHeight="1" x14ac:dyDescent="0.3">
      <c r="F103" s="210"/>
      <c r="H103" s="123"/>
      <c r="I103" s="123"/>
      <c r="J103" s="238"/>
      <c r="K103" s="213"/>
      <c r="L103" s="210"/>
      <c r="M103" s="210"/>
      <c r="N103" s="210"/>
      <c r="O103" s="210"/>
      <c r="P103" s="210"/>
      <c r="Q103" s="210"/>
      <c r="R103" s="210"/>
      <c r="V103" s="42"/>
      <c r="X103" s="42"/>
      <c r="Y103" s="3"/>
      <c r="Z103" s="1"/>
      <c r="AA103" s="1"/>
      <c r="AB103" s="1"/>
      <c r="AC103" s="322"/>
      <c r="AD103" s="1"/>
      <c r="AE103" s="1"/>
      <c r="AF103" s="1"/>
      <c r="AG103" s="175"/>
      <c r="AH103" s="1"/>
      <c r="AI103" s="1"/>
      <c r="AJ103" s="1"/>
      <c r="AK103" s="175"/>
      <c r="AL103" s="1"/>
      <c r="AM103" s="1"/>
      <c r="AN103" s="1"/>
      <c r="AO103" s="1"/>
      <c r="AP103" s="1"/>
      <c r="AQ103" s="175"/>
      <c r="AV103" s="1"/>
    </row>
    <row r="104" spans="3:51" x14ac:dyDescent="0.3">
      <c r="F104" s="123"/>
      <c r="H104" s="123"/>
      <c r="I104" s="123"/>
      <c r="J104" s="238"/>
      <c r="K104" s="213"/>
      <c r="L104" s="123"/>
      <c r="M104" s="123"/>
      <c r="N104" s="160"/>
      <c r="O104" s="160"/>
      <c r="P104" s="123"/>
      <c r="Q104" s="123"/>
      <c r="R104" s="123"/>
      <c r="T104" s="41">
        <v>12</v>
      </c>
      <c r="V104" s="132" t="s">
        <v>343</v>
      </c>
      <c r="X104" s="42"/>
      <c r="Y104" s="3"/>
      <c r="Z104" s="1"/>
      <c r="AA104" s="1"/>
      <c r="AB104" s="1"/>
      <c r="AC104" s="322"/>
      <c r="AD104" s="1"/>
      <c r="AE104" s="1"/>
      <c r="AF104" s="1"/>
      <c r="AG104" s="175"/>
      <c r="AH104" s="1"/>
      <c r="AI104" s="1"/>
      <c r="AJ104" s="1"/>
      <c r="AK104" s="175"/>
      <c r="AL104" s="1"/>
      <c r="AM104" s="1"/>
      <c r="AN104" s="1"/>
      <c r="AO104" s="1"/>
      <c r="AP104" s="1"/>
      <c r="AQ104" s="175"/>
      <c r="AV104" s="1"/>
    </row>
    <row r="105" spans="3:51" x14ac:dyDescent="0.3">
      <c r="C105" s="42"/>
      <c r="F105" s="184"/>
      <c r="H105" s="184"/>
      <c r="I105" s="184"/>
      <c r="J105" s="238"/>
      <c r="K105" s="193"/>
      <c r="L105" s="123"/>
      <c r="M105" s="123"/>
      <c r="N105" s="160"/>
      <c r="O105" s="160"/>
      <c r="P105" s="123"/>
      <c r="Q105" s="123"/>
      <c r="R105" s="123"/>
      <c r="T105" s="41">
        <v>13</v>
      </c>
      <c r="V105" s="42" t="s">
        <v>344</v>
      </c>
      <c r="X105" s="42"/>
      <c r="Y105" s="3">
        <f>F32</f>
        <v>0</v>
      </c>
      <c r="Z105" s="1"/>
      <c r="AA105" s="3">
        <f>H32</f>
        <v>0</v>
      </c>
      <c r="AB105" s="1"/>
      <c r="AC105" s="322">
        <v>7.67</v>
      </c>
      <c r="AD105" s="1"/>
      <c r="AE105" s="3">
        <f>ROUND(Y105*AC105,0)</f>
        <v>0</v>
      </c>
      <c r="AF105" s="1"/>
      <c r="AG105" s="175">
        <f>ROUND((AE105/AE$145)*100,1)</f>
        <v>0</v>
      </c>
      <c r="AH105" s="1"/>
      <c r="AI105" s="3">
        <f>L32-AE105</f>
        <v>0</v>
      </c>
      <c r="AJ105" s="1"/>
      <c r="AK105" s="175">
        <v>0</v>
      </c>
      <c r="AL105" s="1"/>
      <c r="AM105" s="3">
        <f>ROUND((AM$145/AA$145)*AA105,0)</f>
        <v>0</v>
      </c>
      <c r="AN105" s="1"/>
      <c r="AO105" s="3">
        <f>AM105+AE105</f>
        <v>0</v>
      </c>
      <c r="AP105" s="1"/>
      <c r="AQ105" s="175">
        <v>0</v>
      </c>
      <c r="AU105" s="188">
        <f>AC105-AX105</f>
        <v>6.3</v>
      </c>
      <c r="AV105" s="1"/>
      <c r="AW105" s="122">
        <f>487</f>
        <v>487</v>
      </c>
      <c r="AX105" s="41">
        <f>ROUND((AW105/12)*CUR_BASE_FUEL,2)</f>
        <v>1.37</v>
      </c>
      <c r="AY105" s="41">
        <f>ROUND((AW105/12)*PRO_BASE_FUEL,2)</f>
        <v>1.37</v>
      </c>
    </row>
    <row r="106" spans="3:51" x14ac:dyDescent="0.3">
      <c r="C106" s="42"/>
      <c r="F106" s="184"/>
      <c r="H106" s="184"/>
      <c r="I106" s="184"/>
      <c r="J106" s="238"/>
      <c r="K106" s="193"/>
      <c r="L106" s="123"/>
      <c r="M106" s="123"/>
      <c r="N106" s="160"/>
      <c r="O106" s="160"/>
      <c r="P106" s="123"/>
      <c r="Q106" s="123"/>
      <c r="R106" s="123"/>
      <c r="T106" s="41">
        <v>14</v>
      </c>
      <c r="V106" s="42" t="s">
        <v>212</v>
      </c>
      <c r="X106" s="42"/>
      <c r="Y106" s="3">
        <f>F33</f>
        <v>0</v>
      </c>
      <c r="Z106" s="1"/>
      <c r="AA106" s="3">
        <f>H33</f>
        <v>0</v>
      </c>
      <c r="AB106" s="1"/>
      <c r="AC106" s="322">
        <v>8.73</v>
      </c>
      <c r="AD106" s="1"/>
      <c r="AE106" s="3">
        <f>ROUND(Y106*AC106,0)</f>
        <v>0</v>
      </c>
      <c r="AF106" s="1"/>
      <c r="AG106" s="175">
        <f>ROUND((AE106/AE$145)*100,1)</f>
        <v>0</v>
      </c>
      <c r="AH106" s="1"/>
      <c r="AI106" s="3">
        <f>L33-AE106</f>
        <v>0</v>
      </c>
      <c r="AJ106" s="1"/>
      <c r="AK106" s="175">
        <v>0</v>
      </c>
      <c r="AL106" s="1"/>
      <c r="AM106" s="3">
        <f>ROUND((AM$145/AA$145)*AA106,0)</f>
        <v>0</v>
      </c>
      <c r="AN106" s="1"/>
      <c r="AO106" s="3">
        <f>AM106+AE106</f>
        <v>0</v>
      </c>
      <c r="AP106" s="1"/>
      <c r="AQ106" s="175">
        <v>0</v>
      </c>
      <c r="AU106" s="188">
        <f>AC106-AX106</f>
        <v>6.73</v>
      </c>
      <c r="AV106" s="1"/>
      <c r="AW106" s="41">
        <v>711</v>
      </c>
      <c r="AX106" s="41">
        <f>ROUND((AW106/12)*CUR_BASE_FUEL,2)</f>
        <v>2</v>
      </c>
      <c r="AY106" s="41">
        <f>ROUND((AW106/12)*PRO_BASE_FUEL,2)</f>
        <v>2</v>
      </c>
    </row>
    <row r="107" spans="3:51" x14ac:dyDescent="0.3">
      <c r="F107" s="123"/>
      <c r="H107" s="210"/>
      <c r="I107" s="210"/>
      <c r="J107" s="238"/>
      <c r="K107" s="213"/>
      <c r="L107" s="210"/>
      <c r="M107" s="210"/>
      <c r="N107" s="210"/>
      <c r="O107" s="210"/>
      <c r="P107" s="210"/>
      <c r="Q107" s="210"/>
      <c r="R107" s="210"/>
      <c r="T107" s="41">
        <v>15</v>
      </c>
      <c r="V107" s="42" t="s">
        <v>213</v>
      </c>
      <c r="X107" s="42"/>
      <c r="Y107" s="3">
        <f>F34</f>
        <v>0</v>
      </c>
      <c r="Z107" s="1"/>
      <c r="AA107" s="3">
        <f>H34</f>
        <v>0</v>
      </c>
      <c r="AB107" s="1"/>
      <c r="AC107" s="322">
        <v>9.77</v>
      </c>
      <c r="AD107" s="1"/>
      <c r="AE107" s="3">
        <f>ROUND(Y107*AC107,0)</f>
        <v>0</v>
      </c>
      <c r="AF107" s="1"/>
      <c r="AG107" s="175">
        <f>ROUND((AE107/AE$145)*100,1)</f>
        <v>0</v>
      </c>
      <c r="AH107" s="1"/>
      <c r="AI107" s="3">
        <f>L34-AE107</f>
        <v>0</v>
      </c>
      <c r="AJ107" s="1"/>
      <c r="AK107" s="175">
        <v>0</v>
      </c>
      <c r="AL107" s="1"/>
      <c r="AM107" s="3">
        <f>ROUND((AM$145/AA$145)*AA107,0)</f>
        <v>0</v>
      </c>
      <c r="AN107" s="1"/>
      <c r="AO107" s="3">
        <f>AM107+AE107</f>
        <v>0</v>
      </c>
      <c r="AP107" s="1"/>
      <c r="AQ107" s="175">
        <v>0</v>
      </c>
      <c r="AU107" s="188">
        <f>AC107-AX107</f>
        <v>7.1</v>
      </c>
      <c r="AV107" s="1"/>
      <c r="AW107" s="41">
        <v>948</v>
      </c>
      <c r="AX107" s="41">
        <f>ROUND((AW107/12)*CUR_BASE_FUEL,2)</f>
        <v>2.67</v>
      </c>
      <c r="AY107" s="41">
        <f>ROUND((AW107/12)*PRO_BASE_FUEL,2)</f>
        <v>2.67</v>
      </c>
    </row>
    <row r="108" spans="3:51" x14ac:dyDescent="0.3">
      <c r="C108" s="42"/>
      <c r="F108" s="123"/>
      <c r="H108" s="123"/>
      <c r="I108" s="123"/>
      <c r="J108" s="238"/>
      <c r="K108" s="213"/>
      <c r="L108" s="123"/>
      <c r="M108" s="123"/>
      <c r="N108" s="160"/>
      <c r="O108" s="160"/>
      <c r="P108" s="123"/>
      <c r="Q108" s="123"/>
      <c r="R108" s="123"/>
      <c r="T108" s="41">
        <v>16</v>
      </c>
      <c r="V108" s="41" t="s">
        <v>279</v>
      </c>
      <c r="X108" s="42"/>
      <c r="Y108" s="3">
        <f>F35</f>
        <v>0</v>
      </c>
      <c r="Z108" s="1"/>
      <c r="AA108" s="3">
        <f>H35</f>
        <v>0</v>
      </c>
      <c r="AB108" s="1"/>
      <c r="AC108" s="322">
        <v>9.77</v>
      </c>
      <c r="AD108" s="1"/>
      <c r="AE108" s="3">
        <f>ROUND(Y108*AC108,0)</f>
        <v>0</v>
      </c>
      <c r="AF108" s="1"/>
      <c r="AG108" s="175">
        <f>ROUND((AE108/AE$145)*100,1)</f>
        <v>0</v>
      </c>
      <c r="AH108" s="1"/>
      <c r="AI108" s="3">
        <f>L35-AE108</f>
        <v>0</v>
      </c>
      <c r="AJ108" s="1"/>
      <c r="AK108" s="175">
        <v>0</v>
      </c>
      <c r="AL108" s="1"/>
      <c r="AM108" s="3">
        <f>ROUND((AM$145/AA$145)*AA108,0)</f>
        <v>0</v>
      </c>
      <c r="AN108" s="1"/>
      <c r="AO108" s="3">
        <f>AM108+AE108</f>
        <v>0</v>
      </c>
      <c r="AP108" s="1"/>
      <c r="AQ108" s="175">
        <v>0</v>
      </c>
      <c r="AU108" s="188">
        <f>AC108-AX108</f>
        <v>7.1</v>
      </c>
      <c r="AV108" s="1"/>
      <c r="AW108" s="41">
        <v>948</v>
      </c>
      <c r="AX108" s="41">
        <f>ROUND((AW108/12)*CUR_BASE_FUEL,2)</f>
        <v>2.67</v>
      </c>
      <c r="AY108" s="41">
        <f>ROUND((AW108/12)*PRO_BASE_FUEL,2)</f>
        <v>2.67</v>
      </c>
    </row>
    <row r="109" spans="3:51" x14ac:dyDescent="0.3">
      <c r="F109" s="123"/>
      <c r="H109" s="210"/>
      <c r="I109" s="210"/>
      <c r="J109" s="238"/>
      <c r="K109" s="213"/>
      <c r="L109" s="210"/>
      <c r="M109" s="210"/>
      <c r="N109" s="210"/>
      <c r="O109" s="210"/>
      <c r="P109" s="210"/>
      <c r="Q109" s="210"/>
      <c r="R109" s="210"/>
      <c r="T109" s="41">
        <v>17</v>
      </c>
      <c r="V109" s="41" t="s">
        <v>214</v>
      </c>
      <c r="X109" s="42"/>
      <c r="Y109" s="3">
        <f>F36</f>
        <v>0</v>
      </c>
      <c r="Z109" s="1"/>
      <c r="AA109" s="3">
        <f>H36</f>
        <v>0</v>
      </c>
      <c r="AB109" s="1"/>
      <c r="AC109" s="322">
        <v>13.96</v>
      </c>
      <c r="AD109" s="1"/>
      <c r="AE109" s="3">
        <f>ROUND(Y109*AC109,0)</f>
        <v>0</v>
      </c>
      <c r="AF109" s="1"/>
      <c r="AG109" s="175">
        <f>ROUND((AE109/AE$145)*100,1)</f>
        <v>0</v>
      </c>
      <c r="AH109" s="1"/>
      <c r="AI109" s="3">
        <f>L36-AE109</f>
        <v>0</v>
      </c>
      <c r="AJ109" s="1"/>
      <c r="AK109" s="175">
        <v>0</v>
      </c>
      <c r="AL109" s="1"/>
      <c r="AM109" s="3">
        <f>ROUND((AM$145/AA$145)*AA109,0)</f>
        <v>0</v>
      </c>
      <c r="AN109" s="1"/>
      <c r="AO109" s="3">
        <f>AM109+AE109</f>
        <v>0</v>
      </c>
      <c r="AP109" s="1"/>
      <c r="AQ109" s="175">
        <v>0</v>
      </c>
      <c r="AU109" s="188">
        <f>AC109-AX109</f>
        <v>8.4500000000000011</v>
      </c>
      <c r="AV109" s="1"/>
      <c r="AW109" s="41">
        <v>1959</v>
      </c>
      <c r="AX109" s="41">
        <f>ROUND((AW109/12)*CUR_BASE_FUEL,2)</f>
        <v>5.51</v>
      </c>
      <c r="AY109" s="41">
        <f>ROUND((AW109/12)*PRO_BASE_FUEL,2)</f>
        <v>5.51</v>
      </c>
    </row>
    <row r="110" spans="3:51" ht="15" customHeight="1" x14ac:dyDescent="0.3">
      <c r="F110" s="123"/>
      <c r="H110" s="123"/>
      <c r="I110" s="123"/>
      <c r="J110" s="238"/>
      <c r="K110" s="213"/>
      <c r="L110" s="123"/>
      <c r="M110" s="123"/>
      <c r="N110" s="123"/>
      <c r="O110" s="123"/>
      <c r="P110" s="123"/>
      <c r="Q110" s="123"/>
      <c r="R110" s="123"/>
      <c r="V110" s="42"/>
      <c r="X110" s="42"/>
      <c r="Y110" s="3"/>
      <c r="Z110" s="1"/>
      <c r="AA110" s="1"/>
      <c r="AB110" s="1"/>
      <c r="AC110" s="322"/>
      <c r="AD110" s="1"/>
      <c r="AE110" s="1"/>
      <c r="AF110" s="1"/>
      <c r="AG110" s="175"/>
      <c r="AH110" s="1"/>
      <c r="AI110" s="1"/>
      <c r="AJ110" s="1"/>
      <c r="AK110" s="175"/>
      <c r="AL110" s="1"/>
      <c r="AM110" s="1"/>
      <c r="AN110" s="1"/>
      <c r="AO110" s="1"/>
      <c r="AP110" s="1"/>
      <c r="AQ110" s="175"/>
      <c r="AV110" s="1"/>
    </row>
    <row r="111" spans="3:51" x14ac:dyDescent="0.3">
      <c r="C111" s="42"/>
      <c r="F111" s="184"/>
      <c r="H111" s="184"/>
      <c r="I111" s="184"/>
      <c r="J111" s="238"/>
      <c r="K111" s="227"/>
      <c r="L111" s="123"/>
      <c r="M111" s="123"/>
      <c r="N111" s="160"/>
      <c r="O111" s="160"/>
      <c r="P111" s="184"/>
      <c r="Q111" s="184"/>
      <c r="R111" s="123"/>
      <c r="T111" s="41">
        <v>18</v>
      </c>
      <c r="V111" s="132" t="s">
        <v>345</v>
      </c>
      <c r="X111" s="42"/>
      <c r="Y111" s="3"/>
      <c r="Z111" s="1"/>
      <c r="AA111" s="1"/>
      <c r="AB111" s="1"/>
      <c r="AC111" s="322"/>
      <c r="AD111" s="1"/>
      <c r="AE111" s="1"/>
      <c r="AF111" s="1"/>
      <c r="AG111" s="175"/>
      <c r="AH111" s="1"/>
      <c r="AI111" s="1"/>
      <c r="AJ111" s="1"/>
      <c r="AK111" s="175"/>
      <c r="AL111" s="1"/>
      <c r="AM111" s="1"/>
      <c r="AN111" s="1"/>
      <c r="AO111" s="1"/>
      <c r="AP111" s="1"/>
      <c r="AQ111" s="175"/>
      <c r="AV111" s="1"/>
    </row>
    <row r="112" spans="3:51" x14ac:dyDescent="0.3">
      <c r="C112" s="42"/>
      <c r="F112" s="184"/>
      <c r="H112" s="184"/>
      <c r="I112" s="184"/>
      <c r="J112" s="238"/>
      <c r="K112" s="227"/>
      <c r="L112" s="123"/>
      <c r="M112" s="123"/>
      <c r="N112" s="160"/>
      <c r="O112" s="160"/>
      <c r="P112" s="184"/>
      <c r="Q112" s="184"/>
      <c r="R112" s="123"/>
      <c r="T112" s="41">
        <v>19</v>
      </c>
      <c r="V112" s="132" t="s">
        <v>346</v>
      </c>
      <c r="X112" s="42"/>
      <c r="Y112" s="3"/>
      <c r="Z112" s="1"/>
      <c r="AA112" s="1"/>
      <c r="AB112" s="1"/>
      <c r="AC112" s="322"/>
      <c r="AD112" s="1"/>
      <c r="AE112" s="1"/>
      <c r="AF112" s="1"/>
      <c r="AG112" s="175"/>
      <c r="AH112" s="1"/>
      <c r="AI112" s="1"/>
      <c r="AJ112" s="1"/>
      <c r="AK112" s="175"/>
      <c r="AL112" s="1"/>
      <c r="AM112" s="1"/>
      <c r="AN112" s="1"/>
      <c r="AO112" s="1"/>
      <c r="AP112" s="1"/>
      <c r="AQ112" s="175"/>
      <c r="AV112" s="1"/>
    </row>
    <row r="113" spans="1:51" x14ac:dyDescent="0.3">
      <c r="C113" s="42"/>
      <c r="F113" s="184"/>
      <c r="H113" s="184"/>
      <c r="I113" s="184"/>
      <c r="J113" s="238"/>
      <c r="K113" s="227"/>
      <c r="L113" s="123"/>
      <c r="M113" s="123"/>
      <c r="N113" s="160"/>
      <c r="O113" s="160"/>
      <c r="P113" s="184"/>
      <c r="Q113" s="184"/>
      <c r="R113" s="123"/>
      <c r="T113" s="41">
        <v>20</v>
      </c>
      <c r="V113" s="42" t="s">
        <v>232</v>
      </c>
      <c r="X113" s="42"/>
      <c r="Y113" s="3">
        <f>F40</f>
        <v>0</v>
      </c>
      <c r="Z113" s="1"/>
      <c r="AA113" s="3">
        <f>H40</f>
        <v>0</v>
      </c>
      <c r="AB113" s="1"/>
      <c r="AC113" s="322">
        <v>8.49</v>
      </c>
      <c r="AD113" s="1"/>
      <c r="AE113" s="3">
        <f>ROUND(Y113*AC113,0)</f>
        <v>0</v>
      </c>
      <c r="AF113" s="1"/>
      <c r="AG113" s="175">
        <f>ROUND((AE113/AE$145)*100,1)</f>
        <v>0</v>
      </c>
      <c r="AH113" s="1"/>
      <c r="AI113" s="3">
        <f>L40-AE113</f>
        <v>0</v>
      </c>
      <c r="AJ113" s="1"/>
      <c r="AK113" s="175">
        <v>0</v>
      </c>
      <c r="AL113" s="1"/>
      <c r="AM113" s="3">
        <f>ROUND((AM$145/AA$145)*AA113,0)</f>
        <v>0</v>
      </c>
      <c r="AN113" s="1"/>
      <c r="AO113" s="3">
        <f>AM113+AE113</f>
        <v>0</v>
      </c>
      <c r="AP113" s="1"/>
      <c r="AQ113" s="175">
        <v>0</v>
      </c>
      <c r="AU113" s="188">
        <f>AC113-AX113</f>
        <v>6.03</v>
      </c>
      <c r="AV113" s="1"/>
      <c r="AW113" s="41">
        <v>874</v>
      </c>
      <c r="AX113" s="41">
        <f>ROUND((AW113/12)*CUR_BASE_FUEL,2)</f>
        <v>2.46</v>
      </c>
      <c r="AY113" s="41">
        <f>ROUND((AW113/12)*PRO_BASE_FUEL,2)</f>
        <v>2.46</v>
      </c>
    </row>
    <row r="114" spans="1:51" x14ac:dyDescent="0.3">
      <c r="F114" s="210"/>
      <c r="H114" s="210"/>
      <c r="I114" s="210"/>
      <c r="J114" s="238"/>
      <c r="K114" s="213"/>
      <c r="L114" s="210"/>
      <c r="M114" s="210"/>
      <c r="N114" s="210"/>
      <c r="O114" s="210"/>
      <c r="P114" s="210"/>
      <c r="Q114" s="210"/>
      <c r="R114" s="210"/>
      <c r="T114" s="41">
        <v>21</v>
      </c>
      <c r="V114" s="42" t="s">
        <v>347</v>
      </c>
      <c r="X114" s="42"/>
      <c r="Y114" s="3">
        <f>F41</f>
        <v>0</v>
      </c>
      <c r="Z114" s="1"/>
      <c r="AA114" s="3">
        <f>H41</f>
        <v>0</v>
      </c>
      <c r="AB114" s="1"/>
      <c r="AC114" s="322">
        <v>8.4</v>
      </c>
      <c r="AD114" s="1"/>
      <c r="AE114" s="3">
        <f>ROUND(Y114*AC114,0)</f>
        <v>0</v>
      </c>
      <c r="AF114" s="1"/>
      <c r="AG114" s="175">
        <f>ROUND((AE114/AE$145)*100,1)</f>
        <v>0</v>
      </c>
      <c r="AH114" s="1"/>
      <c r="AI114" s="3">
        <f>L41-AE114</f>
        <v>0</v>
      </c>
      <c r="AJ114" s="1"/>
      <c r="AK114" s="175">
        <v>0</v>
      </c>
      <c r="AL114" s="1"/>
      <c r="AM114" s="3">
        <f>ROUND((AM$145/AA$145)*AA114,0)</f>
        <v>0</v>
      </c>
      <c r="AN114" s="1"/>
      <c r="AO114" s="3">
        <f>AM114+AE114</f>
        <v>0</v>
      </c>
      <c r="AP114" s="1"/>
      <c r="AQ114" s="175">
        <v>0</v>
      </c>
      <c r="AU114" s="188">
        <f>AC114-AX114</f>
        <v>6</v>
      </c>
      <c r="AV114" s="1"/>
      <c r="AW114" s="41">
        <v>853</v>
      </c>
      <c r="AX114" s="41">
        <f>ROUND((AW114/12)*CUR_BASE_FUEL,2)</f>
        <v>2.4</v>
      </c>
      <c r="AY114" s="41">
        <f>ROUND((AW114/12)*PRO_BASE_FUEL,2)</f>
        <v>2.4</v>
      </c>
    </row>
    <row r="115" spans="1:51" x14ac:dyDescent="0.3">
      <c r="C115" s="42"/>
      <c r="F115" s="123"/>
      <c r="H115" s="123"/>
      <c r="I115" s="123"/>
      <c r="J115" s="188"/>
      <c r="K115" s="219"/>
      <c r="L115" s="123"/>
      <c r="M115" s="123"/>
      <c r="N115" s="160"/>
      <c r="O115" s="160"/>
      <c r="P115" s="123"/>
      <c r="Q115" s="123"/>
      <c r="R115" s="123"/>
      <c r="T115" s="41">
        <v>22</v>
      </c>
      <c r="V115" s="42" t="s">
        <v>233</v>
      </c>
      <c r="X115" s="42"/>
      <c r="Y115" s="3">
        <f>F42</f>
        <v>0</v>
      </c>
      <c r="Z115" s="1"/>
      <c r="AA115" s="3">
        <f>H42</f>
        <v>0</v>
      </c>
      <c r="AB115" s="1"/>
      <c r="AC115" s="322">
        <v>8.49</v>
      </c>
      <c r="AD115" s="1"/>
      <c r="AE115" s="3">
        <f>ROUND(Y115*AC115,0)</f>
        <v>0</v>
      </c>
      <c r="AF115" s="1"/>
      <c r="AG115" s="175">
        <f>ROUND((AE115/AE$145)*100,1)</f>
        <v>0</v>
      </c>
      <c r="AH115" s="1"/>
      <c r="AI115" s="3">
        <f>L42-AE115</f>
        <v>0</v>
      </c>
      <c r="AJ115" s="1"/>
      <c r="AK115" s="175">
        <v>0</v>
      </c>
      <c r="AL115" s="1"/>
      <c r="AM115" s="3">
        <f>ROUND((AM$145/AA$145)*AA115,0)</f>
        <v>0</v>
      </c>
      <c r="AN115" s="1"/>
      <c r="AO115" s="3">
        <f>AM115+AE115</f>
        <v>0</v>
      </c>
      <c r="AP115" s="1"/>
      <c r="AQ115" s="175">
        <v>0</v>
      </c>
      <c r="AU115" s="188">
        <f>AC115-AX115</f>
        <v>6.03</v>
      </c>
      <c r="AV115" s="1"/>
      <c r="AW115" s="41">
        <v>874</v>
      </c>
      <c r="AX115" s="41">
        <f>ROUND((AW115/12)*CUR_BASE_FUEL,2)</f>
        <v>2.46</v>
      </c>
      <c r="AY115" s="41">
        <f>ROUND((AW115/12)*PRO_BASE_FUEL,2)</f>
        <v>2.46</v>
      </c>
    </row>
    <row r="116" spans="1:51" x14ac:dyDescent="0.3">
      <c r="F116" s="210"/>
      <c r="H116" s="210"/>
      <c r="I116" s="210"/>
      <c r="J116" s="238"/>
      <c r="K116" s="213"/>
      <c r="L116" s="210"/>
      <c r="M116" s="210"/>
      <c r="N116" s="210"/>
      <c r="O116" s="210"/>
      <c r="P116" s="210"/>
      <c r="Q116" s="210"/>
      <c r="R116" s="210"/>
      <c r="T116" s="41">
        <v>23</v>
      </c>
      <c r="V116" s="42" t="s">
        <v>234</v>
      </c>
      <c r="X116" s="42"/>
      <c r="Y116" s="3">
        <f>F43</f>
        <v>0</v>
      </c>
      <c r="Z116" s="1"/>
      <c r="AA116" s="3">
        <f>H43</f>
        <v>0</v>
      </c>
      <c r="AB116" s="1"/>
      <c r="AC116" s="322">
        <v>8.49</v>
      </c>
      <c r="AD116" s="1"/>
      <c r="AE116" s="3">
        <f>ROUND(Y116*AC116,0)</f>
        <v>0</v>
      </c>
      <c r="AF116" s="1"/>
      <c r="AG116" s="175">
        <f>ROUND((AE116/AE$145)*100,1)</f>
        <v>0</v>
      </c>
      <c r="AH116" s="1"/>
      <c r="AI116" s="3">
        <f>L43-AE116</f>
        <v>0</v>
      </c>
      <c r="AJ116" s="1"/>
      <c r="AK116" s="175">
        <v>0</v>
      </c>
      <c r="AL116" s="1"/>
      <c r="AM116" s="3">
        <f>ROUND((AM$145/AA$145)*AA116,0)</f>
        <v>0</v>
      </c>
      <c r="AN116" s="1"/>
      <c r="AO116" s="3">
        <f>AM116+AE116</f>
        <v>0</v>
      </c>
      <c r="AP116" s="1"/>
      <c r="AQ116" s="175">
        <v>0</v>
      </c>
      <c r="AU116" s="188">
        <f>AC116-AX116</f>
        <v>6.03</v>
      </c>
      <c r="AV116" s="1"/>
      <c r="AW116" s="41">
        <v>874</v>
      </c>
      <c r="AX116" s="41">
        <f>ROUND((AW116/12)*CUR_BASE_FUEL,2)</f>
        <v>2.46</v>
      </c>
      <c r="AY116" s="41">
        <f>ROUND((AW116/12)*PRO_BASE_FUEL,2)</f>
        <v>2.46</v>
      </c>
    </row>
    <row r="117" spans="1:51" ht="15" customHeight="1" x14ac:dyDescent="0.3">
      <c r="C117" s="42"/>
      <c r="F117" s="123"/>
      <c r="H117" s="123"/>
      <c r="I117" s="123"/>
      <c r="J117" s="188"/>
      <c r="K117" s="219"/>
      <c r="L117" s="123"/>
      <c r="M117" s="123"/>
      <c r="N117" s="160"/>
      <c r="O117" s="160"/>
      <c r="P117" s="123"/>
      <c r="Q117" s="123"/>
      <c r="R117" s="123"/>
      <c r="V117" s="42"/>
      <c r="X117" s="42"/>
      <c r="Y117" s="3"/>
      <c r="Z117" s="1"/>
      <c r="AA117" s="1"/>
      <c r="AB117" s="1"/>
      <c r="AC117" s="322"/>
      <c r="AD117" s="1"/>
      <c r="AE117" s="1"/>
      <c r="AF117" s="1"/>
      <c r="AG117" s="175"/>
      <c r="AH117" s="1"/>
      <c r="AI117" s="1"/>
      <c r="AJ117" s="1"/>
      <c r="AK117" s="175"/>
      <c r="AL117" s="1"/>
      <c r="AM117" s="1"/>
      <c r="AN117" s="1"/>
      <c r="AO117" s="1"/>
      <c r="AP117" s="1"/>
      <c r="AQ117" s="175"/>
      <c r="AV117" s="1"/>
    </row>
    <row r="118" spans="1:51" x14ac:dyDescent="0.3">
      <c r="C118" s="42"/>
      <c r="F118" s="123"/>
      <c r="H118" s="123"/>
      <c r="I118" s="123"/>
      <c r="J118" s="188"/>
      <c r="K118" s="219"/>
      <c r="L118" s="123"/>
      <c r="M118" s="123"/>
      <c r="N118" s="160"/>
      <c r="O118" s="160"/>
      <c r="P118" s="123"/>
      <c r="Q118" s="123"/>
      <c r="R118" s="123"/>
      <c r="T118" s="41">
        <v>24</v>
      </c>
      <c r="V118" s="132" t="s">
        <v>348</v>
      </c>
      <c r="X118" s="42"/>
      <c r="Y118" s="3"/>
      <c r="Z118" s="1"/>
      <c r="AA118" s="1"/>
      <c r="AB118" s="1"/>
      <c r="AC118" s="322"/>
      <c r="AD118" s="1"/>
      <c r="AE118" s="1"/>
      <c r="AF118" s="1"/>
      <c r="AG118" s="175"/>
      <c r="AH118" s="1"/>
      <c r="AI118" s="1"/>
      <c r="AJ118" s="1"/>
      <c r="AK118" s="175"/>
      <c r="AL118" s="1"/>
      <c r="AM118" s="1"/>
      <c r="AN118" s="1"/>
      <c r="AO118" s="1"/>
      <c r="AP118" s="1"/>
      <c r="AQ118" s="175"/>
      <c r="AV118" s="1"/>
    </row>
    <row r="119" spans="1:51" x14ac:dyDescent="0.3">
      <c r="F119" s="210"/>
      <c r="H119" s="210"/>
      <c r="I119" s="210"/>
      <c r="J119" s="238"/>
      <c r="K119" s="213"/>
      <c r="L119" s="210"/>
      <c r="M119" s="210"/>
      <c r="N119" s="210"/>
      <c r="O119" s="210"/>
      <c r="P119" s="210"/>
      <c r="Q119" s="210"/>
      <c r="R119" s="210"/>
      <c r="T119" s="41">
        <v>25</v>
      </c>
      <c r="V119" s="42" t="s">
        <v>349</v>
      </c>
      <c r="X119" s="42"/>
      <c r="Y119" s="3">
        <f>F46</f>
        <v>0</v>
      </c>
      <c r="Z119" s="1"/>
      <c r="AA119" s="3">
        <f>H46</f>
        <v>0</v>
      </c>
      <c r="AB119" s="1"/>
      <c r="AC119" s="322">
        <v>8.4</v>
      </c>
      <c r="AD119" s="1"/>
      <c r="AE119" s="3">
        <f>ROUND(Y119*AC119,0)</f>
        <v>0</v>
      </c>
      <c r="AF119" s="1"/>
      <c r="AG119" s="175">
        <f>ROUND((AE119/AE$145)*100,1)</f>
        <v>0</v>
      </c>
      <c r="AH119" s="1"/>
      <c r="AI119" s="3">
        <f>L46-AE119</f>
        <v>0</v>
      </c>
      <c r="AJ119" s="1"/>
      <c r="AK119" s="175">
        <v>0</v>
      </c>
      <c r="AL119" s="1"/>
      <c r="AM119" s="3">
        <f>ROUND((AM$145/AA$145)*AA119,0)</f>
        <v>0</v>
      </c>
      <c r="AN119" s="1"/>
      <c r="AO119" s="3">
        <f>AM119+AE119</f>
        <v>0</v>
      </c>
      <c r="AP119" s="1"/>
      <c r="AQ119" s="175">
        <v>0</v>
      </c>
      <c r="AU119" s="188">
        <f>AC119-AX119</f>
        <v>6</v>
      </c>
      <c r="AV119" s="1"/>
      <c r="AW119" s="41">
        <v>853</v>
      </c>
      <c r="AX119" s="41">
        <f>ROUND((AW119/12)*CUR_BASE_FUEL,2)</f>
        <v>2.4</v>
      </c>
      <c r="AY119" s="41">
        <f>ROUND((AW119/12)*PRO_BASE_FUEL,2)</f>
        <v>2.4</v>
      </c>
    </row>
    <row r="120" spans="1:51" x14ac:dyDescent="0.3">
      <c r="F120" s="123"/>
      <c r="H120" s="123"/>
      <c r="I120" s="123"/>
      <c r="J120" s="188"/>
      <c r="K120" s="219"/>
      <c r="L120" s="123"/>
      <c r="M120" s="123"/>
      <c r="N120" s="123"/>
      <c r="O120" s="123"/>
      <c r="P120" s="123"/>
      <c r="Q120" s="123"/>
      <c r="R120" s="123"/>
      <c r="T120" s="41">
        <v>26</v>
      </c>
      <c r="V120" s="42" t="s">
        <v>269</v>
      </c>
      <c r="X120" s="42"/>
      <c r="Y120" s="3">
        <f>F47</f>
        <v>0</v>
      </c>
      <c r="Z120" s="1"/>
      <c r="AA120" s="3">
        <f>H47</f>
        <v>0</v>
      </c>
      <c r="AB120" s="1"/>
      <c r="AC120" s="322">
        <v>8.56</v>
      </c>
      <c r="AD120" s="1"/>
      <c r="AE120" s="3">
        <f>ROUND(Y120*AC120,0)</f>
        <v>0</v>
      </c>
      <c r="AF120" s="1"/>
      <c r="AG120" s="175">
        <f>ROUND((AE120/AE$145)*100,1)</f>
        <v>0</v>
      </c>
      <c r="AH120" s="1"/>
      <c r="AI120" s="3">
        <f>L47-AE120</f>
        <v>0</v>
      </c>
      <c r="AJ120" s="1"/>
      <c r="AK120" s="175">
        <v>0</v>
      </c>
      <c r="AL120" s="1"/>
      <c r="AM120" s="3">
        <f>ROUND((AM$145/AA$145)*AA120,0)</f>
        <v>0</v>
      </c>
      <c r="AN120" s="1"/>
      <c r="AO120" s="3">
        <f>AM120+AE120</f>
        <v>0</v>
      </c>
      <c r="AP120" s="1"/>
      <c r="AQ120" s="175">
        <v>0</v>
      </c>
      <c r="AU120" s="188">
        <f>AC120-AX120</f>
        <v>6.1000000000000005</v>
      </c>
      <c r="AV120" s="1"/>
      <c r="AW120" s="41">
        <v>874</v>
      </c>
      <c r="AX120" s="41">
        <f>ROUND((AW120/12)*CUR_BASE_FUEL,2)</f>
        <v>2.46</v>
      </c>
      <c r="AY120" s="41">
        <f>ROUND((AW120/12)*PRO_BASE_FUEL,2)</f>
        <v>2.46</v>
      </c>
    </row>
    <row r="121" spans="1:51" x14ac:dyDescent="0.3">
      <c r="C121" s="42"/>
      <c r="F121" s="123"/>
      <c r="H121" s="123"/>
      <c r="I121" s="123"/>
      <c r="J121" s="188"/>
      <c r="K121" s="219"/>
      <c r="L121" s="123"/>
      <c r="M121" s="123"/>
      <c r="N121" s="123"/>
      <c r="O121" s="123"/>
      <c r="P121" s="123"/>
      <c r="Q121" s="123"/>
      <c r="R121" s="123"/>
      <c r="T121" s="41">
        <v>27</v>
      </c>
      <c r="V121" s="41" t="s">
        <v>233</v>
      </c>
      <c r="X121" s="42"/>
      <c r="Y121" s="3">
        <f>F48</f>
        <v>0</v>
      </c>
      <c r="Z121" s="1"/>
      <c r="AA121" s="3">
        <f>H48</f>
        <v>0</v>
      </c>
      <c r="AB121" s="1"/>
      <c r="AC121" s="322">
        <v>8.56</v>
      </c>
      <c r="AD121" s="1"/>
      <c r="AE121" s="3">
        <f>ROUND(Y121*AC121,0)</f>
        <v>0</v>
      </c>
      <c r="AF121" s="1"/>
      <c r="AG121" s="175">
        <f>ROUND((AE121/AE$145)*100,1)</f>
        <v>0</v>
      </c>
      <c r="AH121" s="1"/>
      <c r="AI121" s="3">
        <f>L48-AE121</f>
        <v>0</v>
      </c>
      <c r="AJ121" s="1"/>
      <c r="AK121" s="175">
        <v>0</v>
      </c>
      <c r="AL121" s="1"/>
      <c r="AM121" s="3">
        <f>ROUND((AM$145/AA$145)*AA121,0)</f>
        <v>0</v>
      </c>
      <c r="AN121" s="1"/>
      <c r="AO121" s="3">
        <f>AM121+AE121</f>
        <v>0</v>
      </c>
      <c r="AP121" s="1"/>
      <c r="AQ121" s="175">
        <v>0</v>
      </c>
      <c r="AU121" s="188">
        <f>AC121-AX121</f>
        <v>6.1000000000000005</v>
      </c>
      <c r="AV121" s="1"/>
      <c r="AW121" s="41">
        <v>874</v>
      </c>
      <c r="AX121" s="41">
        <f>ROUND((AW121/12)*CUR_BASE_FUEL,2)</f>
        <v>2.46</v>
      </c>
      <c r="AY121" s="41">
        <f>ROUND((AW121/12)*PRO_BASE_FUEL,2)</f>
        <v>2.46</v>
      </c>
    </row>
    <row r="122" spans="1:51" ht="15" customHeight="1" x14ac:dyDescent="0.3">
      <c r="A122" s="42"/>
      <c r="J122" s="188"/>
      <c r="V122" s="42"/>
      <c r="W122" s="42"/>
      <c r="X122" s="42"/>
      <c r="Y122" s="3"/>
      <c r="Z122" s="1"/>
      <c r="AA122" s="1"/>
      <c r="AB122" s="1"/>
      <c r="AC122" s="322"/>
      <c r="AD122" s="1"/>
      <c r="AE122" s="1"/>
      <c r="AF122" s="1"/>
      <c r="AG122" s="175"/>
      <c r="AH122" s="1"/>
      <c r="AI122" s="1"/>
      <c r="AJ122" s="1"/>
      <c r="AK122" s="175"/>
      <c r="AL122" s="1"/>
      <c r="AM122" s="1"/>
      <c r="AN122" s="1"/>
      <c r="AO122" s="1"/>
      <c r="AP122" s="1"/>
      <c r="AQ122" s="175"/>
      <c r="AV122" s="1"/>
    </row>
    <row r="123" spans="1:51" x14ac:dyDescent="0.3">
      <c r="J123" s="188"/>
      <c r="T123" s="41">
        <v>28</v>
      </c>
      <c r="V123" s="132" t="s">
        <v>350</v>
      </c>
      <c r="X123" s="42"/>
      <c r="Y123" s="3"/>
      <c r="Z123" s="1"/>
      <c r="AA123" s="1"/>
      <c r="AB123" s="1"/>
      <c r="AC123" s="322"/>
      <c r="AD123" s="1"/>
      <c r="AE123" s="1"/>
      <c r="AF123" s="1"/>
      <c r="AG123" s="175"/>
      <c r="AH123" s="1"/>
      <c r="AI123" s="1"/>
      <c r="AJ123" s="1"/>
      <c r="AK123" s="175"/>
      <c r="AL123" s="1"/>
      <c r="AM123" s="1"/>
      <c r="AN123" s="1"/>
      <c r="AO123" s="1"/>
      <c r="AP123" s="1"/>
      <c r="AQ123" s="175"/>
      <c r="AV123" s="1"/>
    </row>
    <row r="124" spans="1:51" x14ac:dyDescent="0.3">
      <c r="H124" s="42"/>
      <c r="I124" s="42"/>
      <c r="J124" s="188"/>
      <c r="T124" s="41">
        <v>29</v>
      </c>
      <c r="V124" s="42" t="s">
        <v>347</v>
      </c>
      <c r="W124" s="42"/>
      <c r="X124" s="42"/>
      <c r="Y124" s="3">
        <f t="shared" ref="Y124:Y130" si="5">F51</f>
        <v>0</v>
      </c>
      <c r="Z124" s="1"/>
      <c r="AA124" s="3">
        <f t="shared" ref="AA124:AA130" si="6">H51</f>
        <v>0</v>
      </c>
      <c r="AB124" s="1"/>
      <c r="AC124" s="322">
        <v>7.56</v>
      </c>
      <c r="AD124" s="1"/>
      <c r="AE124" s="3">
        <f t="shared" ref="AE124:AE130" si="7">ROUND(Y124*AC124,0)</f>
        <v>0</v>
      </c>
      <c r="AF124" s="1"/>
      <c r="AG124" s="175">
        <f t="shared" ref="AG124:AG130" si="8">ROUND((AE124/AE$145)*100,1)</f>
        <v>0</v>
      </c>
      <c r="AH124" s="1"/>
      <c r="AI124" s="3">
        <f t="shared" ref="AI124:AI130" si="9">L51-AE124</f>
        <v>0</v>
      </c>
      <c r="AJ124" s="1"/>
      <c r="AK124" s="175">
        <v>0</v>
      </c>
      <c r="AL124" s="1"/>
      <c r="AM124" s="3">
        <f t="shared" ref="AM124:AM130" si="10">ROUND((AM$145/AA$145)*AA124,0)</f>
        <v>0</v>
      </c>
      <c r="AN124" s="1"/>
      <c r="AO124" s="3">
        <f t="shared" ref="AO124:AO130" si="11">AM124+AE124</f>
        <v>0</v>
      </c>
      <c r="AP124" s="1"/>
      <c r="AQ124" s="175">
        <v>0</v>
      </c>
      <c r="AU124" s="188">
        <f t="shared" ref="AU124:AU130" si="12">AC124-AX124</f>
        <v>6.1899999999999995</v>
      </c>
      <c r="AV124" s="1"/>
      <c r="AW124" s="41">
        <v>487</v>
      </c>
      <c r="AX124" s="41">
        <f t="shared" ref="AX124:AX130" si="13">ROUND((AW124/12)*CUR_BASE_FUEL,2)</f>
        <v>1.37</v>
      </c>
      <c r="AY124" s="41">
        <f t="shared" ref="AY124:AY130" si="14">ROUND((AW124/12)*PRO_BASE_FUEL,2)</f>
        <v>1.37</v>
      </c>
    </row>
    <row r="125" spans="1:51" x14ac:dyDescent="0.3">
      <c r="J125" s="188"/>
      <c r="T125" s="41">
        <v>30</v>
      </c>
      <c r="V125" s="42" t="s">
        <v>349</v>
      </c>
      <c r="W125" s="42"/>
      <c r="X125" s="42"/>
      <c r="Y125" s="3">
        <f t="shared" si="5"/>
        <v>0</v>
      </c>
      <c r="Z125" s="1"/>
      <c r="AA125" s="3">
        <f t="shared" si="6"/>
        <v>0</v>
      </c>
      <c r="AB125" s="1"/>
      <c r="AC125" s="322">
        <v>7.56</v>
      </c>
      <c r="AD125" s="1"/>
      <c r="AE125" s="3">
        <f t="shared" si="7"/>
        <v>0</v>
      </c>
      <c r="AF125" s="1"/>
      <c r="AG125" s="175">
        <f t="shared" si="8"/>
        <v>0</v>
      </c>
      <c r="AH125" s="1"/>
      <c r="AI125" s="3">
        <f t="shared" si="9"/>
        <v>0</v>
      </c>
      <c r="AJ125" s="1"/>
      <c r="AK125" s="175">
        <v>0</v>
      </c>
      <c r="AL125" s="1"/>
      <c r="AM125" s="3">
        <f t="shared" si="10"/>
        <v>0</v>
      </c>
      <c r="AN125" s="1"/>
      <c r="AO125" s="3">
        <f t="shared" si="11"/>
        <v>0</v>
      </c>
      <c r="AP125" s="1"/>
      <c r="AQ125" s="175">
        <v>0</v>
      </c>
      <c r="AU125" s="188">
        <f t="shared" si="12"/>
        <v>6.1899999999999995</v>
      </c>
      <c r="AV125" s="1"/>
      <c r="AW125" s="41">
        <v>487</v>
      </c>
      <c r="AX125" s="41">
        <f t="shared" si="13"/>
        <v>1.37</v>
      </c>
      <c r="AY125" s="41">
        <f t="shared" si="14"/>
        <v>1.37</v>
      </c>
    </row>
    <row r="126" spans="1:51" x14ac:dyDescent="0.3">
      <c r="J126" s="188"/>
      <c r="L126" s="42"/>
      <c r="M126" s="42"/>
      <c r="T126" s="41">
        <v>31</v>
      </c>
      <c r="V126" s="42" t="s">
        <v>269</v>
      </c>
      <c r="W126" s="42"/>
      <c r="X126" s="42"/>
      <c r="Y126" s="3">
        <f t="shared" si="5"/>
        <v>0</v>
      </c>
      <c r="Z126" s="1"/>
      <c r="AA126" s="3">
        <f t="shared" si="6"/>
        <v>0</v>
      </c>
      <c r="AB126" s="1"/>
      <c r="AC126" s="322">
        <v>7.91</v>
      </c>
      <c r="AD126" s="1"/>
      <c r="AE126" s="3">
        <f t="shared" si="7"/>
        <v>0</v>
      </c>
      <c r="AF126" s="1"/>
      <c r="AG126" s="175">
        <f t="shared" si="8"/>
        <v>0</v>
      </c>
      <c r="AH126" s="1"/>
      <c r="AI126" s="3">
        <f t="shared" si="9"/>
        <v>0</v>
      </c>
      <c r="AJ126" s="1"/>
      <c r="AK126" s="175">
        <v>0</v>
      </c>
      <c r="AL126" s="1"/>
      <c r="AM126" s="3">
        <f t="shared" si="10"/>
        <v>0</v>
      </c>
      <c r="AN126" s="1"/>
      <c r="AO126" s="3">
        <f t="shared" si="11"/>
        <v>0</v>
      </c>
      <c r="AP126" s="1"/>
      <c r="AQ126" s="175">
        <v>0</v>
      </c>
      <c r="AU126" s="188">
        <f t="shared" si="12"/>
        <v>6.41</v>
      </c>
      <c r="AV126" s="1"/>
      <c r="AW126" s="41">
        <v>532</v>
      </c>
      <c r="AX126" s="41">
        <f t="shared" si="13"/>
        <v>1.5</v>
      </c>
      <c r="AY126" s="41">
        <f t="shared" si="14"/>
        <v>1.5</v>
      </c>
    </row>
    <row r="127" spans="1:51" x14ac:dyDescent="0.3">
      <c r="J127" s="188"/>
      <c r="R127" s="42"/>
      <c r="T127" s="41">
        <v>32</v>
      </c>
      <c r="V127" s="41" t="s">
        <v>236</v>
      </c>
      <c r="W127" s="42"/>
      <c r="X127" s="42"/>
      <c r="Y127" s="3">
        <f t="shared" si="5"/>
        <v>0</v>
      </c>
      <c r="Z127" s="1"/>
      <c r="AA127" s="3">
        <f t="shared" si="6"/>
        <v>0</v>
      </c>
      <c r="AB127" s="1"/>
      <c r="AC127" s="322">
        <v>7.56</v>
      </c>
      <c r="AD127" s="1"/>
      <c r="AE127" s="3">
        <f t="shared" si="7"/>
        <v>0</v>
      </c>
      <c r="AF127" s="1"/>
      <c r="AG127" s="175">
        <f t="shared" si="8"/>
        <v>0</v>
      </c>
      <c r="AH127" s="1"/>
      <c r="AI127" s="3">
        <f t="shared" si="9"/>
        <v>0</v>
      </c>
      <c r="AJ127" s="1"/>
      <c r="AK127" s="175">
        <v>0</v>
      </c>
      <c r="AL127" s="1"/>
      <c r="AM127" s="3">
        <f t="shared" si="10"/>
        <v>0</v>
      </c>
      <c r="AN127" s="1"/>
      <c r="AO127" s="3">
        <f t="shared" si="11"/>
        <v>0</v>
      </c>
      <c r="AP127" s="1"/>
      <c r="AQ127" s="175">
        <v>0</v>
      </c>
      <c r="AU127" s="188">
        <f t="shared" si="12"/>
        <v>6.1899999999999995</v>
      </c>
      <c r="AV127" s="1"/>
      <c r="AW127" s="41">
        <v>487</v>
      </c>
      <c r="AX127" s="41">
        <f t="shared" si="13"/>
        <v>1.37</v>
      </c>
      <c r="AY127" s="41">
        <f t="shared" si="14"/>
        <v>1.37</v>
      </c>
    </row>
    <row r="128" spans="1:51" x14ac:dyDescent="0.3">
      <c r="J128" s="188"/>
      <c r="R128" s="42"/>
      <c r="T128" s="41">
        <v>33</v>
      </c>
      <c r="V128" s="41" t="s">
        <v>234</v>
      </c>
      <c r="W128" s="42"/>
      <c r="X128" s="42"/>
      <c r="Y128" s="3">
        <f t="shared" si="5"/>
        <v>0</v>
      </c>
      <c r="Z128" s="1"/>
      <c r="AA128" s="3">
        <f t="shared" si="6"/>
        <v>0</v>
      </c>
      <c r="AB128" s="1"/>
      <c r="AC128" s="322">
        <v>7.91</v>
      </c>
      <c r="AD128" s="1"/>
      <c r="AE128" s="3">
        <f t="shared" si="7"/>
        <v>0</v>
      </c>
      <c r="AF128" s="1"/>
      <c r="AG128" s="175">
        <f t="shared" si="8"/>
        <v>0</v>
      </c>
      <c r="AH128" s="1"/>
      <c r="AI128" s="3">
        <f t="shared" si="9"/>
        <v>0</v>
      </c>
      <c r="AJ128" s="1"/>
      <c r="AK128" s="175">
        <v>0</v>
      </c>
      <c r="AL128" s="1"/>
      <c r="AM128" s="3">
        <f t="shared" si="10"/>
        <v>0</v>
      </c>
      <c r="AN128" s="1"/>
      <c r="AO128" s="3">
        <f t="shared" si="11"/>
        <v>0</v>
      </c>
      <c r="AP128" s="1"/>
      <c r="AQ128" s="175">
        <v>0</v>
      </c>
      <c r="AU128" s="188">
        <f t="shared" si="12"/>
        <v>6.41</v>
      </c>
      <c r="AV128" s="1"/>
      <c r="AW128" s="41">
        <v>532</v>
      </c>
      <c r="AX128" s="41">
        <f t="shared" si="13"/>
        <v>1.5</v>
      </c>
      <c r="AY128" s="41">
        <f t="shared" si="14"/>
        <v>1.5</v>
      </c>
    </row>
    <row r="129" spans="1:51" x14ac:dyDescent="0.3">
      <c r="A129" s="42"/>
      <c r="J129" s="188"/>
      <c r="R129" s="42"/>
      <c r="T129" s="41">
        <v>34</v>
      </c>
      <c r="V129" s="42" t="s">
        <v>232</v>
      </c>
      <c r="W129" s="42"/>
      <c r="X129" s="42"/>
      <c r="Y129" s="3">
        <f t="shared" si="5"/>
        <v>0</v>
      </c>
      <c r="Z129" s="1"/>
      <c r="AA129" s="3">
        <f t="shared" si="6"/>
        <v>0</v>
      </c>
      <c r="AB129" s="1"/>
      <c r="AC129" s="322">
        <v>7.91</v>
      </c>
      <c r="AD129" s="1"/>
      <c r="AE129" s="3">
        <f t="shared" si="7"/>
        <v>0</v>
      </c>
      <c r="AF129" s="1"/>
      <c r="AG129" s="175">
        <f t="shared" si="8"/>
        <v>0</v>
      </c>
      <c r="AH129" s="1"/>
      <c r="AI129" s="3">
        <f t="shared" si="9"/>
        <v>0</v>
      </c>
      <c r="AJ129" s="1"/>
      <c r="AK129" s="175">
        <v>0</v>
      </c>
      <c r="AL129" s="1"/>
      <c r="AM129" s="3">
        <f t="shared" si="10"/>
        <v>0</v>
      </c>
      <c r="AN129" s="1"/>
      <c r="AO129" s="3">
        <f t="shared" si="11"/>
        <v>0</v>
      </c>
      <c r="AP129" s="1"/>
      <c r="AQ129" s="175">
        <v>0</v>
      </c>
      <c r="AU129" s="188">
        <f t="shared" si="12"/>
        <v>6.41</v>
      </c>
      <c r="AV129" s="1"/>
      <c r="AW129" s="41">
        <v>532</v>
      </c>
      <c r="AX129" s="41">
        <f t="shared" si="13"/>
        <v>1.5</v>
      </c>
      <c r="AY129" s="41">
        <f t="shared" si="14"/>
        <v>1.5</v>
      </c>
    </row>
    <row r="130" spans="1:51" x14ac:dyDescent="0.3">
      <c r="J130" s="188"/>
      <c r="L130" s="42"/>
      <c r="M130" s="42"/>
      <c r="T130" s="41">
        <v>35</v>
      </c>
      <c r="V130" s="42" t="s">
        <v>233</v>
      </c>
      <c r="W130" s="42"/>
      <c r="X130" s="42"/>
      <c r="Y130" s="3">
        <f t="shared" si="5"/>
        <v>0</v>
      </c>
      <c r="Z130" s="1"/>
      <c r="AA130" s="3">
        <f t="shared" si="6"/>
        <v>0</v>
      </c>
      <c r="AB130" s="1"/>
      <c r="AC130" s="322">
        <v>7.91</v>
      </c>
      <c r="AD130" s="1"/>
      <c r="AE130" s="3">
        <f t="shared" si="7"/>
        <v>0</v>
      </c>
      <c r="AF130" s="1"/>
      <c r="AG130" s="175">
        <f t="shared" si="8"/>
        <v>0</v>
      </c>
      <c r="AH130" s="1"/>
      <c r="AI130" s="3">
        <f t="shared" si="9"/>
        <v>0</v>
      </c>
      <c r="AJ130" s="1"/>
      <c r="AK130" s="175">
        <v>0</v>
      </c>
      <c r="AL130" s="1"/>
      <c r="AM130" s="3">
        <f t="shared" si="10"/>
        <v>0</v>
      </c>
      <c r="AN130" s="1"/>
      <c r="AO130" s="3">
        <f t="shared" si="11"/>
        <v>0</v>
      </c>
      <c r="AP130" s="1"/>
      <c r="AQ130" s="175">
        <v>0</v>
      </c>
      <c r="AU130" s="188">
        <f t="shared" si="12"/>
        <v>6.41</v>
      </c>
      <c r="AV130" s="1"/>
      <c r="AW130" s="41">
        <v>532</v>
      </c>
      <c r="AX130" s="41">
        <f t="shared" si="13"/>
        <v>1.5</v>
      </c>
      <c r="AY130" s="41">
        <f t="shared" si="14"/>
        <v>1.5</v>
      </c>
    </row>
    <row r="131" spans="1:51" ht="15" customHeight="1" x14ac:dyDescent="0.3">
      <c r="A131" s="135"/>
      <c r="B131" s="135"/>
      <c r="C131" s="135"/>
      <c r="D131" s="135"/>
      <c r="E131" s="135"/>
      <c r="F131" s="135"/>
      <c r="G131" s="135"/>
      <c r="H131" s="135"/>
      <c r="I131" s="135"/>
      <c r="J131" s="244"/>
      <c r="K131" s="135"/>
      <c r="L131" s="135"/>
      <c r="M131" s="135"/>
      <c r="N131" s="135"/>
      <c r="O131" s="135"/>
      <c r="P131" s="135"/>
      <c r="Q131" s="135"/>
      <c r="R131" s="135"/>
      <c r="V131" s="42"/>
      <c r="W131" s="42"/>
      <c r="X131" s="42"/>
      <c r="Y131" s="3"/>
      <c r="Z131" s="1"/>
      <c r="AA131" s="1"/>
      <c r="AB131" s="1"/>
      <c r="AC131" s="322"/>
      <c r="AD131" s="1"/>
      <c r="AE131" s="1"/>
      <c r="AF131" s="1"/>
      <c r="AG131" s="175"/>
      <c r="AH131" s="1"/>
      <c r="AI131" s="1"/>
      <c r="AJ131" s="1"/>
      <c r="AK131" s="175"/>
      <c r="AL131" s="1"/>
      <c r="AM131" s="1"/>
      <c r="AN131" s="1"/>
      <c r="AO131" s="1"/>
      <c r="AP131" s="1"/>
      <c r="AQ131" s="175"/>
      <c r="AV131" s="1"/>
    </row>
    <row r="132" spans="1:51" x14ac:dyDescent="0.3">
      <c r="J132" s="188"/>
      <c r="L132" s="44"/>
      <c r="M132" s="44"/>
      <c r="N132" s="44"/>
      <c r="O132" s="44"/>
      <c r="R132" s="44"/>
      <c r="T132" s="41">
        <v>36</v>
      </c>
      <c r="V132" s="132" t="s">
        <v>351</v>
      </c>
      <c r="W132" s="42"/>
      <c r="X132" s="42"/>
      <c r="Y132" s="3"/>
      <c r="Z132" s="1"/>
      <c r="AA132" s="1"/>
      <c r="AB132" s="1"/>
      <c r="AC132" s="322"/>
      <c r="AD132" s="1"/>
      <c r="AE132" s="1"/>
      <c r="AF132" s="1"/>
      <c r="AG132" s="175"/>
      <c r="AH132" s="1"/>
      <c r="AI132" s="1"/>
      <c r="AJ132" s="1"/>
      <c r="AK132" s="175"/>
      <c r="AL132" s="1"/>
      <c r="AM132" s="1"/>
      <c r="AN132" s="1"/>
      <c r="AO132" s="1"/>
      <c r="AP132" s="1"/>
      <c r="AQ132" s="175"/>
      <c r="AV132" s="1"/>
    </row>
    <row r="133" spans="1:51" x14ac:dyDescent="0.3">
      <c r="J133" s="188"/>
      <c r="L133" s="44"/>
      <c r="M133" s="44"/>
      <c r="N133" s="44"/>
      <c r="O133" s="44"/>
      <c r="R133" s="44"/>
      <c r="T133" s="41">
        <v>37</v>
      </c>
      <c r="V133" s="42" t="s">
        <v>216</v>
      </c>
      <c r="W133" s="42"/>
      <c r="X133" s="42"/>
      <c r="Y133" s="3">
        <f>F60</f>
        <v>0</v>
      </c>
      <c r="Z133" s="1"/>
      <c r="AA133" s="3">
        <f>H60</f>
        <v>0</v>
      </c>
      <c r="AB133" s="1"/>
      <c r="AC133" s="322">
        <v>10.36</v>
      </c>
      <c r="AD133" s="1"/>
      <c r="AE133" s="3">
        <f>ROUND(Y133*AC133,0)</f>
        <v>0</v>
      </c>
      <c r="AF133" s="1"/>
      <c r="AG133" s="175">
        <f>ROUND((AE133/AE$145)*100,1)</f>
        <v>0</v>
      </c>
      <c r="AH133" s="1"/>
      <c r="AI133" s="3">
        <f>L60-AE133</f>
        <v>0</v>
      </c>
      <c r="AJ133" s="1"/>
      <c r="AK133" s="175">
        <v>0</v>
      </c>
      <c r="AL133" s="1"/>
      <c r="AM133" s="3">
        <f>ROUND((AM$145/AA$145)*AA133,0)</f>
        <v>0</v>
      </c>
      <c r="AN133" s="1"/>
      <c r="AO133" s="3">
        <f>AM133+AE133</f>
        <v>0</v>
      </c>
      <c r="AP133" s="1"/>
      <c r="AQ133" s="175">
        <v>0</v>
      </c>
      <c r="AU133" s="188">
        <f>AC133-AX133</f>
        <v>7.4799999999999995</v>
      </c>
      <c r="AV133" s="1"/>
      <c r="AW133" s="41">
        <v>1023</v>
      </c>
      <c r="AX133" s="41">
        <f>ROUND((AW133/12)*CUR_BASE_FUEL,2)</f>
        <v>2.88</v>
      </c>
      <c r="AY133" s="41">
        <f>ROUND((AW133/12)*PRO_BASE_FUEL,2)</f>
        <v>2.88</v>
      </c>
    </row>
    <row r="134" spans="1:51" x14ac:dyDescent="0.3">
      <c r="A134" s="44"/>
      <c r="C134" s="44"/>
      <c r="D134" s="44"/>
      <c r="E134" s="44"/>
      <c r="F134" s="44"/>
      <c r="J134" s="245"/>
      <c r="K134" s="44"/>
      <c r="L134" s="44"/>
      <c r="M134" s="44"/>
      <c r="N134" s="44"/>
      <c r="O134" s="44"/>
      <c r="P134" s="44"/>
      <c r="Q134" s="44"/>
      <c r="R134" s="44"/>
      <c r="T134" s="41">
        <v>38</v>
      </c>
      <c r="V134" s="42" t="s">
        <v>217</v>
      </c>
      <c r="W134" s="42"/>
      <c r="X134" s="42"/>
      <c r="Y134" s="3">
        <f>F61</f>
        <v>0</v>
      </c>
      <c r="Z134" s="1"/>
      <c r="AA134" s="3">
        <f>H61</f>
        <v>0</v>
      </c>
      <c r="AB134" s="1"/>
      <c r="AC134" s="322">
        <v>14.38</v>
      </c>
      <c r="AD134" s="1"/>
      <c r="AE134" s="3">
        <f>ROUND(Y134*AC134,0)</f>
        <v>0</v>
      </c>
      <c r="AF134" s="1"/>
      <c r="AG134" s="175">
        <f>ROUND((AE134/AE$145)*100,1)</f>
        <v>0</v>
      </c>
      <c r="AH134" s="1"/>
      <c r="AI134" s="3">
        <f>L61-AE134</f>
        <v>0</v>
      </c>
      <c r="AJ134" s="1"/>
      <c r="AK134" s="175">
        <v>0</v>
      </c>
      <c r="AL134" s="1"/>
      <c r="AM134" s="3">
        <f>ROUND((AM$145/AA$145)*AA134,0)</f>
        <v>0</v>
      </c>
      <c r="AN134" s="1"/>
      <c r="AO134" s="3">
        <f>AM134+AE134</f>
        <v>0</v>
      </c>
      <c r="AP134" s="1"/>
      <c r="AQ134" s="175">
        <v>0</v>
      </c>
      <c r="AU134" s="188">
        <f>AC134-AX134</f>
        <v>8.870000000000001</v>
      </c>
      <c r="AV134" s="1"/>
      <c r="AW134" s="41">
        <v>1959</v>
      </c>
      <c r="AX134" s="41">
        <f>ROUND((AW134/12)*CUR_BASE_FUEL,2)</f>
        <v>5.51</v>
      </c>
      <c r="AY134" s="41">
        <f>ROUND((AW134/12)*PRO_BASE_FUEL,2)</f>
        <v>5.51</v>
      </c>
    </row>
    <row r="135" spans="1:51" x14ac:dyDescent="0.3">
      <c r="A135" s="44"/>
      <c r="C135" s="44"/>
      <c r="D135" s="44"/>
      <c r="E135" s="44"/>
      <c r="F135" s="44"/>
      <c r="H135" s="44"/>
      <c r="I135" s="44"/>
      <c r="J135" s="245"/>
      <c r="K135" s="44"/>
      <c r="L135" s="44"/>
      <c r="M135" s="44"/>
      <c r="N135" s="44"/>
      <c r="O135" s="44"/>
      <c r="P135" s="44"/>
      <c r="Q135" s="44"/>
      <c r="R135" s="44"/>
      <c r="V135" s="42"/>
      <c r="W135" s="42"/>
      <c r="X135" s="42"/>
      <c r="Y135" s="3"/>
      <c r="Z135" s="1"/>
      <c r="AA135" s="1"/>
      <c r="AB135" s="1"/>
      <c r="AD135" s="1"/>
      <c r="AE135" s="1"/>
      <c r="AF135" s="1"/>
      <c r="AG135" s="175"/>
      <c r="AH135" s="1"/>
      <c r="AI135" s="1"/>
      <c r="AJ135" s="1"/>
      <c r="AK135" s="175"/>
      <c r="AL135" s="1"/>
      <c r="AM135" s="1"/>
      <c r="AN135" s="1"/>
      <c r="AO135" s="1"/>
      <c r="AP135" s="1"/>
      <c r="AQ135" s="175"/>
      <c r="AV135" s="1"/>
      <c r="AW135" s="1"/>
    </row>
    <row r="136" spans="1:51" x14ac:dyDescent="0.3">
      <c r="C136" s="44"/>
      <c r="D136" s="44"/>
      <c r="E136" s="44"/>
      <c r="F136" s="44"/>
      <c r="H136" s="44"/>
      <c r="I136" s="44"/>
      <c r="J136" s="245"/>
      <c r="K136" s="44"/>
      <c r="L136" s="44"/>
      <c r="M136" s="44"/>
      <c r="N136" s="44"/>
      <c r="O136" s="44"/>
      <c r="P136" s="44"/>
      <c r="Q136" s="44"/>
      <c r="R136" s="44"/>
      <c r="T136" s="41">
        <v>39</v>
      </c>
      <c r="V136" s="132" t="s">
        <v>74</v>
      </c>
      <c r="X136" s="42"/>
      <c r="Y136" s="3"/>
      <c r="Z136" s="1"/>
      <c r="AA136" s="1"/>
      <c r="AB136" s="1"/>
      <c r="AD136" s="1"/>
      <c r="AE136" s="1"/>
      <c r="AF136" s="1"/>
      <c r="AG136" s="175"/>
      <c r="AH136" s="1"/>
      <c r="AI136" s="1"/>
      <c r="AJ136" s="1"/>
      <c r="AK136" s="175"/>
      <c r="AL136" s="1"/>
      <c r="AM136" s="1"/>
      <c r="AN136" s="1"/>
      <c r="AO136" s="1"/>
      <c r="AP136" s="1"/>
      <c r="AQ136" s="175"/>
      <c r="AV136" s="1"/>
      <c r="AW136" s="1"/>
      <c r="AX136" s="41">
        <f>CUR_BASE_FUEL</f>
        <v>3.3779999999999998E-2</v>
      </c>
      <c r="AY136" s="41">
        <f>PRO_BASE_FUEL</f>
        <v>3.3779999999999998E-2</v>
      </c>
    </row>
    <row r="137" spans="1:51" x14ac:dyDescent="0.3">
      <c r="A137" s="135"/>
      <c r="B137" s="135"/>
      <c r="C137" s="135"/>
      <c r="D137" s="135"/>
      <c r="E137" s="135"/>
      <c r="F137" s="135"/>
      <c r="G137" s="135"/>
      <c r="H137" s="135"/>
      <c r="I137" s="135"/>
      <c r="J137" s="244"/>
      <c r="K137" s="135"/>
      <c r="L137" s="135"/>
      <c r="M137" s="135"/>
      <c r="N137" s="135"/>
      <c r="O137" s="135"/>
      <c r="P137" s="135"/>
      <c r="Q137" s="135"/>
      <c r="R137" s="135"/>
      <c r="T137" s="41">
        <v>40</v>
      </c>
      <c r="V137" s="132" t="s">
        <v>75</v>
      </c>
      <c r="X137" s="42"/>
      <c r="Y137" s="49">
        <f>F64</f>
        <v>2064</v>
      </c>
      <c r="Z137" s="1"/>
      <c r="AA137" s="49">
        <f>H64</f>
        <v>91284</v>
      </c>
      <c r="AB137" s="1"/>
      <c r="AC137" s="338">
        <v>6.6037999999999999E-2</v>
      </c>
      <c r="AD137" s="1"/>
      <c r="AE137" s="49">
        <f>ROUND((AA137*AC137),0)</f>
        <v>6028</v>
      </c>
      <c r="AF137" s="1"/>
      <c r="AG137" s="177">
        <f>ROUND((AE137/AE$145)*100,1)</f>
        <v>96</v>
      </c>
      <c r="AH137" s="1"/>
      <c r="AI137" s="49">
        <f>L64-AE137</f>
        <v>860</v>
      </c>
      <c r="AJ137" s="1"/>
      <c r="AK137" s="175">
        <f>ROUND((AI137/AE137)*100,1)</f>
        <v>14.3</v>
      </c>
      <c r="AL137" s="1"/>
      <c r="AM137" s="49">
        <f>ROUND((AM$145/AA$145)*AA137,0)</f>
        <v>318</v>
      </c>
      <c r="AN137" s="1"/>
      <c r="AO137" s="49">
        <f>AM137+AE137</f>
        <v>6346</v>
      </c>
      <c r="AP137" s="1"/>
      <c r="AQ137" s="177">
        <f>ROUND((AI137/AO137)*100,1)</f>
        <v>13.6</v>
      </c>
      <c r="AU137" s="339"/>
      <c r="AV137" s="1"/>
      <c r="AW137" s="1"/>
    </row>
    <row r="138" spans="1:51" ht="20.100000000000001" customHeight="1" x14ac:dyDescent="0.3">
      <c r="A138" s="135"/>
      <c r="B138" s="135"/>
      <c r="C138" s="135"/>
      <c r="D138" s="135"/>
      <c r="E138" s="135"/>
      <c r="F138" s="135"/>
      <c r="G138" s="135"/>
      <c r="H138" s="135"/>
      <c r="I138" s="135"/>
      <c r="J138" s="244"/>
      <c r="K138" s="135"/>
      <c r="L138" s="135"/>
      <c r="M138" s="135"/>
      <c r="N138" s="135"/>
      <c r="O138" s="135"/>
      <c r="P138" s="135"/>
      <c r="Q138" s="135"/>
      <c r="R138" s="135"/>
      <c r="T138" s="41">
        <v>41</v>
      </c>
      <c r="V138" s="178" t="s">
        <v>472</v>
      </c>
      <c r="X138" s="42"/>
      <c r="Y138" s="145">
        <f>SUM(Y95:Y137)</f>
        <v>2064</v>
      </c>
      <c r="Z138" s="1"/>
      <c r="AA138" s="145">
        <f>SUM(AA95:AA137)</f>
        <v>91284</v>
      </c>
      <c r="AB138" s="1"/>
      <c r="AC138" s="338"/>
      <c r="AD138" s="1"/>
      <c r="AE138" s="145">
        <f>SUM(AE95:AE137)</f>
        <v>6028</v>
      </c>
      <c r="AF138" s="1"/>
      <c r="AG138" s="180">
        <f>ROUND((AE138/AE$145)*100,1)</f>
        <v>96</v>
      </c>
      <c r="AH138" s="1"/>
      <c r="AI138" s="145">
        <f>SUM(AI95:AI137)</f>
        <v>860</v>
      </c>
      <c r="AJ138" s="1"/>
      <c r="AK138" s="180">
        <f>ROUND((AI138/AE138)*100,1)</f>
        <v>14.3</v>
      </c>
      <c r="AL138" s="1"/>
      <c r="AM138" s="145">
        <f>SUM(AM95:AM137)</f>
        <v>318</v>
      </c>
      <c r="AN138" s="1"/>
      <c r="AO138" s="145">
        <f>SUM(AO95:AO137)</f>
        <v>6346</v>
      </c>
      <c r="AP138" s="1"/>
      <c r="AQ138" s="180">
        <f>ROUND((AI138/AO138)*100,1)</f>
        <v>13.6</v>
      </c>
      <c r="AU138" s="339"/>
      <c r="AV138" s="1"/>
      <c r="AW138" s="1"/>
    </row>
    <row r="139" spans="1:51" x14ac:dyDescent="0.3">
      <c r="A139" s="135"/>
      <c r="B139" s="135"/>
      <c r="C139" s="135"/>
      <c r="D139" s="135"/>
      <c r="E139" s="135"/>
      <c r="F139" s="135"/>
      <c r="G139" s="135"/>
      <c r="H139" s="135"/>
      <c r="I139" s="135"/>
      <c r="J139" s="244"/>
      <c r="K139" s="135"/>
      <c r="L139" s="135"/>
      <c r="M139" s="135"/>
      <c r="N139" s="135"/>
      <c r="O139" s="135"/>
      <c r="P139" s="135"/>
      <c r="Q139" s="135"/>
      <c r="R139" s="135"/>
      <c r="V139" s="178"/>
      <c r="X139" s="42"/>
      <c r="Y139" s="3"/>
      <c r="Z139" s="1"/>
      <c r="AA139" s="3"/>
      <c r="AB139" s="1"/>
      <c r="AC139" s="338"/>
      <c r="AD139" s="1"/>
      <c r="AE139" s="3"/>
      <c r="AF139" s="1"/>
      <c r="AG139" s="175"/>
      <c r="AH139" s="1"/>
      <c r="AI139" s="3"/>
      <c r="AJ139" s="1"/>
      <c r="AK139" s="175"/>
      <c r="AL139" s="1"/>
      <c r="AM139" s="3"/>
      <c r="AN139" s="1"/>
      <c r="AO139" s="3"/>
      <c r="AP139" s="1"/>
      <c r="AQ139" s="175"/>
      <c r="AU139" s="339"/>
      <c r="AV139" s="1"/>
      <c r="AW139" s="1"/>
    </row>
    <row r="140" spans="1:51" x14ac:dyDescent="0.3">
      <c r="A140" s="135"/>
      <c r="B140" s="135"/>
      <c r="C140" s="135"/>
      <c r="D140" s="135"/>
      <c r="E140" s="135"/>
      <c r="F140" s="135"/>
      <c r="G140" s="135"/>
      <c r="H140" s="135"/>
      <c r="I140" s="135"/>
      <c r="J140" s="244"/>
      <c r="K140" s="135"/>
      <c r="L140" s="135"/>
      <c r="M140" s="135"/>
      <c r="N140" s="135"/>
      <c r="O140" s="135"/>
      <c r="P140" s="135"/>
      <c r="Q140" s="135"/>
      <c r="R140" s="135"/>
      <c r="T140" s="41">
        <f>A67</f>
        <v>42</v>
      </c>
      <c r="V140" s="132" t="s">
        <v>469</v>
      </c>
      <c r="X140" s="42"/>
      <c r="Y140" s="3"/>
      <c r="Z140" s="1"/>
      <c r="AA140" s="3"/>
      <c r="AB140" s="1"/>
      <c r="AC140" s="338"/>
      <c r="AD140" s="1"/>
      <c r="AE140" s="3"/>
      <c r="AF140" s="1"/>
      <c r="AG140" s="175"/>
      <c r="AH140" s="1"/>
      <c r="AI140" s="3"/>
      <c r="AJ140" s="1"/>
      <c r="AK140" s="175"/>
      <c r="AL140" s="1"/>
      <c r="AM140" s="3"/>
      <c r="AN140" s="1"/>
      <c r="AO140" s="3"/>
      <c r="AP140" s="1"/>
      <c r="AQ140" s="175"/>
      <c r="AU140" s="339"/>
      <c r="AV140" s="1"/>
      <c r="AW140" s="1"/>
    </row>
    <row r="141" spans="1:51" x14ac:dyDescent="0.3">
      <c r="A141" s="135"/>
      <c r="B141" s="135"/>
      <c r="C141" s="135"/>
      <c r="D141" s="135"/>
      <c r="E141" s="135"/>
      <c r="F141" s="135"/>
      <c r="G141" s="135"/>
      <c r="H141" s="135"/>
      <c r="I141" s="135"/>
      <c r="J141" s="244"/>
      <c r="K141" s="135"/>
      <c r="L141" s="135"/>
      <c r="M141" s="135"/>
      <c r="N141" s="135"/>
      <c r="O141" s="135"/>
      <c r="P141" s="135"/>
      <c r="Q141" s="135"/>
      <c r="R141" s="135"/>
      <c r="T141" s="41">
        <f>A68</f>
        <v>43</v>
      </c>
      <c r="V141" s="192" t="str">
        <f>C68</f>
        <v>ENVIRONMENTAL SURCHARGE MECHANISM RIDER (ESM)</v>
      </c>
      <c r="X141" s="42"/>
      <c r="Y141" s="3"/>
      <c r="Z141" s="1"/>
      <c r="AA141" s="3"/>
      <c r="AB141" s="1"/>
      <c r="AC141" s="318">
        <f>CUR_ESM_NonRes</f>
        <v>6.4941608437496566E-3</v>
      </c>
      <c r="AD141" s="1"/>
      <c r="AE141" s="3">
        <f>ROUND((AO138-(CUR_BASE_FUEL*AA138)+AO142)*AC141,0)</f>
        <v>23</v>
      </c>
      <c r="AF141" s="1"/>
      <c r="AG141" s="175">
        <f>ROUND((AE141/AE$145)*100,1)</f>
        <v>0.4</v>
      </c>
      <c r="AH141" s="1"/>
      <c r="AI141" s="3">
        <f>L68-AE141</f>
        <v>2</v>
      </c>
      <c r="AJ141" s="1"/>
      <c r="AK141" s="175">
        <f>IF(AE141=0,0,ROUND((AI141/AE141)*100,1))</f>
        <v>8.6999999999999993</v>
      </c>
      <c r="AL141" s="1"/>
      <c r="AM141" s="3"/>
      <c r="AN141" s="1"/>
      <c r="AO141" s="3">
        <f>AM141+AE141</f>
        <v>23</v>
      </c>
      <c r="AP141" s="1"/>
      <c r="AQ141" s="175">
        <f>IF(AO141=0,0,ROUND((AI141/AO141)*100,1))</f>
        <v>8.6999999999999993</v>
      </c>
      <c r="AU141" s="339"/>
      <c r="AV141" s="1"/>
      <c r="AW141" s="1"/>
    </row>
    <row r="142" spans="1:51" x14ac:dyDescent="0.3">
      <c r="A142" s="135"/>
      <c r="B142" s="135"/>
      <c r="C142" s="135"/>
      <c r="D142" s="135"/>
      <c r="E142" s="135"/>
      <c r="F142" s="135"/>
      <c r="G142" s="135"/>
      <c r="H142" s="135"/>
      <c r="I142" s="135"/>
      <c r="J142" s="244"/>
      <c r="K142" s="135"/>
      <c r="L142" s="135"/>
      <c r="M142" s="135"/>
      <c r="N142" s="135"/>
      <c r="O142" s="135"/>
      <c r="P142" s="135"/>
      <c r="Q142" s="135"/>
      <c r="R142" s="135"/>
      <c r="T142" s="41">
        <f>A69</f>
        <v>44</v>
      </c>
      <c r="V142" s="192" t="str">
        <f>C69</f>
        <v>PROFIT SHARING MECHANISM (PSM)</v>
      </c>
      <c r="X142" s="42"/>
      <c r="Y142" s="3"/>
      <c r="Z142" s="1"/>
      <c r="AA142" s="3"/>
      <c r="AB142" s="1"/>
      <c r="AC142" s="198">
        <f>RS_PSM</f>
        <v>2.4750000000000002E-3</v>
      </c>
      <c r="AD142" s="1"/>
      <c r="AE142" s="49">
        <f>ROUND($AA$138*AC142,0)</f>
        <v>226</v>
      </c>
      <c r="AF142" s="1"/>
      <c r="AG142" s="177">
        <f>ROUND((AE142/AE$145)*100,1)</f>
        <v>3.6</v>
      </c>
      <c r="AH142" s="1"/>
      <c r="AI142" s="49">
        <f>L69-AE142</f>
        <v>0</v>
      </c>
      <c r="AJ142" s="1"/>
      <c r="AK142" s="177">
        <f>ROUND((AI142/AE142)*100,1)</f>
        <v>0</v>
      </c>
      <c r="AL142" s="1"/>
      <c r="AM142" s="49"/>
      <c r="AN142" s="1"/>
      <c r="AO142" s="49">
        <f>AM142+AE142</f>
        <v>226</v>
      </c>
      <c r="AP142" s="1"/>
      <c r="AQ142" s="177">
        <f>ROUND((AI142/AO142)*100,1)</f>
        <v>0</v>
      </c>
      <c r="AU142" s="339"/>
      <c r="AV142" s="1"/>
      <c r="AW142" s="1"/>
    </row>
    <row r="143" spans="1:51" ht="20.100000000000001" customHeight="1" x14ac:dyDescent="0.3">
      <c r="A143" s="135"/>
      <c r="B143" s="135"/>
      <c r="C143" s="135"/>
      <c r="D143" s="135"/>
      <c r="E143" s="135"/>
      <c r="F143" s="135"/>
      <c r="G143" s="135"/>
      <c r="H143" s="135"/>
      <c r="I143" s="135"/>
      <c r="J143" s="244"/>
      <c r="K143" s="135"/>
      <c r="L143" s="135"/>
      <c r="M143" s="135"/>
      <c r="N143" s="135"/>
      <c r="O143" s="135"/>
      <c r="P143" s="135"/>
      <c r="Q143" s="135"/>
      <c r="R143" s="135"/>
      <c r="T143" s="41">
        <f>A70</f>
        <v>45</v>
      </c>
      <c r="V143" s="132" t="s">
        <v>465</v>
      </c>
      <c r="X143" s="42"/>
      <c r="Y143" s="49"/>
      <c r="Z143" s="1"/>
      <c r="AA143" s="49"/>
      <c r="AB143" s="1"/>
      <c r="AC143" s="338"/>
      <c r="AD143" s="1"/>
      <c r="AE143" s="145">
        <f>SUM(AE141:AE142)</f>
        <v>249</v>
      </c>
      <c r="AF143" s="1"/>
      <c r="AG143" s="177">
        <f>ROUND((AE143/AE$145)*100,1)</f>
        <v>4</v>
      </c>
      <c r="AH143" s="1"/>
      <c r="AI143" s="145">
        <f>SUM(AI141:AI142)</f>
        <v>2</v>
      </c>
      <c r="AJ143" s="1"/>
      <c r="AK143" s="180">
        <f>ROUND((AI143/AE143)*100,1)</f>
        <v>0.8</v>
      </c>
      <c r="AL143" s="1"/>
      <c r="AM143" s="145"/>
      <c r="AN143" s="1"/>
      <c r="AO143" s="145">
        <f>SUM(AO141:AO142)</f>
        <v>249</v>
      </c>
      <c r="AP143" s="1"/>
      <c r="AQ143" s="180">
        <f>ROUND((AI143/AO143)*100,1)</f>
        <v>0.8</v>
      </c>
      <c r="AU143" s="339"/>
      <c r="AV143" s="1"/>
      <c r="AW143" s="1"/>
    </row>
    <row r="144" spans="1:51" x14ac:dyDescent="0.3">
      <c r="A144" s="135"/>
      <c r="B144" s="135"/>
      <c r="C144" s="135"/>
      <c r="D144" s="135"/>
      <c r="E144" s="135"/>
      <c r="F144" s="135"/>
      <c r="G144" s="135"/>
      <c r="H144" s="135"/>
      <c r="I144" s="135"/>
      <c r="J144" s="244"/>
      <c r="K144" s="135"/>
      <c r="L144" s="135"/>
      <c r="M144" s="135"/>
      <c r="N144" s="135"/>
      <c r="O144" s="135"/>
      <c r="P144" s="135"/>
      <c r="Q144" s="135"/>
      <c r="R144" s="135"/>
      <c r="V144" s="132"/>
      <c r="X144" s="42"/>
      <c r="Y144" s="3"/>
      <c r="Z144" s="1"/>
      <c r="AA144" s="3"/>
      <c r="AB144" s="1"/>
      <c r="AC144" s="338"/>
      <c r="AD144" s="1"/>
      <c r="AE144" s="3"/>
      <c r="AF144" s="1"/>
      <c r="AG144" s="175"/>
      <c r="AH144" s="1"/>
      <c r="AI144" s="3"/>
      <c r="AJ144" s="1"/>
      <c r="AK144" s="175"/>
      <c r="AL144" s="1"/>
      <c r="AM144" s="3"/>
      <c r="AN144" s="1"/>
      <c r="AO144" s="3"/>
      <c r="AP144" s="1"/>
      <c r="AQ144" s="175"/>
      <c r="AU144" s="339"/>
      <c r="AV144" s="1"/>
      <c r="AW144" s="1"/>
    </row>
    <row r="145" spans="3:49" ht="20.100000000000001" customHeight="1" thickBot="1" x14ac:dyDescent="0.35">
      <c r="C145" s="42"/>
      <c r="D145" s="42"/>
      <c r="E145" s="42"/>
      <c r="J145" s="188"/>
      <c r="T145" s="41">
        <f>A72</f>
        <v>46</v>
      </c>
      <c r="V145" s="132" t="s">
        <v>473</v>
      </c>
      <c r="X145" s="42"/>
      <c r="Y145" s="151">
        <f>Y138</f>
        <v>2064</v>
      </c>
      <c r="Z145" s="336"/>
      <c r="AA145" s="151">
        <f>AA138</f>
        <v>91284</v>
      </c>
      <c r="AB145" s="1"/>
      <c r="AC145" s="1"/>
      <c r="AD145" s="1"/>
      <c r="AE145" s="151">
        <f>AE143+AE138</f>
        <v>6277</v>
      </c>
      <c r="AF145" s="1"/>
      <c r="AG145" s="187">
        <v>100</v>
      </c>
      <c r="AH145" s="1"/>
      <c r="AI145" s="151">
        <f>AI143+AI138</f>
        <v>862</v>
      </c>
      <c r="AJ145" s="1"/>
      <c r="AK145" s="187">
        <f>ROUND((AI145/AE145)*100,1)</f>
        <v>13.7</v>
      </c>
      <c r="AL145" s="1"/>
      <c r="AM145" s="333">
        <f>ROUND(AA145*CUR_FAC,0)</f>
        <v>318</v>
      </c>
      <c r="AN145" s="1"/>
      <c r="AO145" s="151">
        <f>AO143+AO138</f>
        <v>6595</v>
      </c>
      <c r="AP145" s="1"/>
      <c r="AQ145" s="187">
        <f>ROUND((AI145/AO145)*100,1)</f>
        <v>13.1</v>
      </c>
    </row>
    <row r="146" spans="3:49" ht="15" customHeight="1" thickTop="1" x14ac:dyDescent="0.3">
      <c r="J146" s="188"/>
      <c r="V146" s="42"/>
      <c r="W146" s="45"/>
      <c r="X146" s="42"/>
      <c r="Y146" s="3"/>
      <c r="Z146" s="1"/>
      <c r="AA146" s="1"/>
      <c r="AB146" s="1"/>
      <c r="AC146" s="1"/>
      <c r="AD146" s="1"/>
      <c r="AE146" s="1"/>
      <c r="AF146" s="1"/>
      <c r="AG146" s="175"/>
      <c r="AH146" s="1"/>
      <c r="AI146" s="1"/>
      <c r="AJ146" s="1"/>
      <c r="AK146" s="175"/>
      <c r="AL146" s="1"/>
      <c r="AM146" s="1"/>
      <c r="AN146" s="1"/>
      <c r="AO146" s="1"/>
      <c r="AP146" s="1"/>
      <c r="AQ146" s="175"/>
    </row>
    <row r="147" spans="3:49" x14ac:dyDescent="0.3">
      <c r="C147" s="42"/>
      <c r="F147" s="184"/>
      <c r="H147" s="222"/>
      <c r="I147" s="222"/>
      <c r="J147" s="238"/>
      <c r="K147" s="193"/>
      <c r="L147" s="123"/>
      <c r="M147" s="123"/>
      <c r="R147" s="123"/>
      <c r="V147" s="202" t="s">
        <v>76</v>
      </c>
      <c r="W147" s="42"/>
      <c r="X147" s="42"/>
      <c r="Y147" s="3"/>
      <c r="Z147" s="1"/>
      <c r="AA147" s="1"/>
      <c r="AB147" s="1"/>
      <c r="AC147" s="1"/>
      <c r="AD147" s="1"/>
      <c r="AE147" s="1"/>
      <c r="AF147" s="1"/>
      <c r="AG147" s="175"/>
      <c r="AH147" s="1"/>
      <c r="AI147" s="1"/>
      <c r="AJ147" s="1"/>
      <c r="AK147" s="175"/>
      <c r="AL147" s="1"/>
      <c r="AM147" s="1"/>
      <c r="AN147" s="1"/>
      <c r="AO147" s="1"/>
      <c r="AP147" s="1"/>
      <c r="AQ147" s="175"/>
    </row>
    <row r="148" spans="3:49" x14ac:dyDescent="0.3">
      <c r="F148" s="184"/>
      <c r="H148" s="222"/>
      <c r="I148" s="222"/>
      <c r="J148" s="238"/>
      <c r="K148" s="222"/>
      <c r="R148" s="123"/>
      <c r="V148" s="202" t="str">
        <f>"(2) REFLECTS FUEL COMPONENT OF "&amp;TEXT(CUR_FAC,"$0.000000;($0.000000)")&amp;" PER KWH."</f>
        <v>(2) REFLECTS FUEL COMPONENT OF $0.003487 PER KWH.</v>
      </c>
      <c r="W148" s="42"/>
      <c r="X148" s="42"/>
      <c r="Y148" s="123"/>
      <c r="AD148" s="1"/>
    </row>
    <row r="149" spans="3:49" x14ac:dyDescent="0.3">
      <c r="C149" s="42"/>
      <c r="F149" s="184"/>
      <c r="H149" s="184"/>
      <c r="I149" s="184"/>
      <c r="J149" s="238"/>
      <c r="K149" s="227"/>
      <c r="L149" s="123"/>
      <c r="M149" s="123"/>
      <c r="N149" s="160"/>
      <c r="O149" s="160"/>
      <c r="P149" s="184"/>
      <c r="Q149" s="184"/>
      <c r="R149" s="123"/>
      <c r="V149" s="202" t="str">
        <f>"(3) REFLECTS FUEL COST RECOVERY INCLUDED IN BASE RATES OF "&amp;TEXT(CUR_BASE_FUEL,"$0.000000;($0.000000)")&amp;"  PER KWH."</f>
        <v>(3) REFLECTS FUEL COST RECOVERY INCLUDED IN BASE RATES OF $0.033780  PER KWH.</v>
      </c>
      <c r="W149" s="42"/>
      <c r="X149" s="42"/>
      <c r="Y149" s="3"/>
      <c r="Z149" s="1"/>
      <c r="AA149" s="3"/>
      <c r="AB149" s="1"/>
      <c r="AC149" s="5"/>
      <c r="AD149" s="1"/>
      <c r="AE149" s="3"/>
      <c r="AF149" s="1"/>
      <c r="AG149" s="175"/>
      <c r="AH149" s="1"/>
      <c r="AI149" s="3"/>
      <c r="AJ149" s="1"/>
      <c r="AK149" s="175"/>
      <c r="AL149" s="1"/>
      <c r="AM149" s="3"/>
      <c r="AN149" s="1"/>
      <c r="AO149" s="3"/>
      <c r="AP149" s="1"/>
      <c r="AQ149" s="175"/>
      <c r="AW149" s="3"/>
    </row>
    <row r="150" spans="3:49" x14ac:dyDescent="0.3">
      <c r="F150" s="210"/>
      <c r="H150" s="210"/>
      <c r="I150" s="210"/>
      <c r="J150" s="238"/>
      <c r="K150" s="213"/>
      <c r="L150" s="210"/>
      <c r="M150" s="210"/>
      <c r="N150" s="210"/>
      <c r="O150" s="210"/>
      <c r="P150" s="210"/>
      <c r="Q150" s="210"/>
      <c r="R150" s="210"/>
      <c r="V150" s="42"/>
      <c r="W150" s="42"/>
      <c r="X150" s="42"/>
      <c r="Y150" s="3"/>
      <c r="Z150" s="1"/>
      <c r="AA150" s="1"/>
      <c r="AB150" s="1"/>
      <c r="AC150" s="1"/>
      <c r="AD150" s="1"/>
      <c r="AE150" s="1"/>
      <c r="AF150" s="1"/>
      <c r="AG150" s="175"/>
      <c r="AH150" s="1"/>
      <c r="AI150" s="1"/>
      <c r="AJ150" s="1"/>
      <c r="AK150" s="175"/>
      <c r="AL150" s="1"/>
      <c r="AM150" s="1"/>
      <c r="AN150" s="1"/>
      <c r="AO150" s="1"/>
      <c r="AP150" s="1"/>
      <c r="AQ150" s="175"/>
      <c r="AW150" s="1"/>
    </row>
    <row r="151" spans="3:49" x14ac:dyDescent="0.3">
      <c r="D151" s="42"/>
      <c r="E151" s="42"/>
      <c r="F151" s="123"/>
      <c r="H151" s="123"/>
      <c r="I151" s="123"/>
      <c r="J151" s="188"/>
      <c r="K151" s="219"/>
      <c r="L151" s="123"/>
      <c r="M151" s="123"/>
      <c r="N151" s="160"/>
      <c r="O151" s="160"/>
      <c r="P151" s="123"/>
      <c r="Q151" s="123"/>
      <c r="R151" s="123"/>
      <c r="W151" s="42"/>
      <c r="Y151" s="3"/>
      <c r="Z151" s="1"/>
      <c r="AA151" s="1"/>
      <c r="AB151" s="1"/>
      <c r="AC151" s="5"/>
      <c r="AD151" s="1"/>
      <c r="AE151" s="1"/>
      <c r="AF151" s="1"/>
      <c r="AG151" s="175"/>
      <c r="AH151" s="1"/>
      <c r="AI151" s="1"/>
      <c r="AJ151" s="1"/>
      <c r="AK151" s="175"/>
      <c r="AL151" s="1"/>
      <c r="AM151" s="1"/>
      <c r="AN151" s="1"/>
      <c r="AO151" s="1"/>
      <c r="AP151" s="1"/>
      <c r="AQ151" s="175"/>
      <c r="AW151" s="1"/>
    </row>
    <row r="152" spans="3:49" x14ac:dyDescent="0.3">
      <c r="F152" s="210"/>
      <c r="H152" s="210"/>
      <c r="I152" s="210"/>
      <c r="J152" s="238"/>
      <c r="K152" s="213"/>
      <c r="L152" s="210"/>
      <c r="M152" s="210"/>
      <c r="N152" s="210"/>
      <c r="O152" s="210"/>
      <c r="P152" s="210"/>
      <c r="Q152" s="210"/>
      <c r="R152" s="210"/>
      <c r="W152" s="42"/>
      <c r="Y152" s="3"/>
      <c r="Z152" s="1"/>
      <c r="AA152" s="3"/>
      <c r="AB152" s="1"/>
      <c r="AW152" s="159"/>
    </row>
    <row r="153" spans="3:49" x14ac:dyDescent="0.3">
      <c r="J153" s="188"/>
      <c r="R153" s="123"/>
      <c r="V153" s="42"/>
      <c r="Y153" s="3"/>
      <c r="Z153" s="1"/>
      <c r="AA153" s="1"/>
      <c r="AB153" s="1"/>
      <c r="AC153" s="5"/>
      <c r="AD153" s="1"/>
      <c r="AE153" s="1"/>
      <c r="AF153" s="1"/>
      <c r="AG153" s="175"/>
      <c r="AH153" s="1"/>
      <c r="AI153" s="1"/>
      <c r="AJ153" s="1"/>
      <c r="AK153" s="175"/>
      <c r="AL153" s="1"/>
      <c r="AM153" s="1"/>
      <c r="AN153" s="1"/>
      <c r="AO153" s="1"/>
      <c r="AP153" s="1"/>
      <c r="AQ153" s="175"/>
    </row>
    <row r="154" spans="3:49" x14ac:dyDescent="0.3">
      <c r="J154" s="188"/>
      <c r="R154" s="123"/>
    </row>
    <row r="155" spans="3:49" x14ac:dyDescent="0.3">
      <c r="J155" s="188"/>
      <c r="R155" s="123"/>
    </row>
    <row r="156" spans="3:49" x14ac:dyDescent="0.3">
      <c r="C156" s="42"/>
      <c r="D156" s="42"/>
      <c r="E156" s="42"/>
      <c r="H156" s="123"/>
      <c r="I156" s="123"/>
      <c r="J156" s="188"/>
      <c r="K156" s="219"/>
      <c r="L156" s="123"/>
      <c r="M156" s="123"/>
      <c r="N156" s="160"/>
      <c r="O156" s="160"/>
      <c r="P156" s="123"/>
      <c r="Q156" s="123"/>
      <c r="R156" s="123"/>
      <c r="T156" s="42"/>
      <c r="U156" s="42"/>
      <c r="Y156" s="123"/>
      <c r="Z156" s="219"/>
      <c r="AA156" s="123"/>
      <c r="AB156" s="123"/>
      <c r="AC156" s="160"/>
      <c r="AD156" s="160"/>
    </row>
    <row r="157" spans="3:49" x14ac:dyDescent="0.3">
      <c r="H157" s="123"/>
      <c r="I157" s="123"/>
      <c r="J157" s="188"/>
      <c r="K157" s="219"/>
      <c r="L157" s="123"/>
      <c r="M157" s="123"/>
      <c r="N157" s="160"/>
      <c r="O157" s="160"/>
      <c r="P157" s="123"/>
      <c r="Q157" s="123"/>
      <c r="R157" s="123"/>
      <c r="Y157" s="123"/>
      <c r="Z157" s="219"/>
      <c r="AA157" s="123"/>
      <c r="AB157" s="123"/>
      <c r="AC157" s="160"/>
      <c r="AD157" s="160"/>
    </row>
    <row r="158" spans="3:49" x14ac:dyDescent="0.3">
      <c r="C158" s="42"/>
      <c r="F158" s="184"/>
      <c r="H158" s="184"/>
      <c r="I158" s="184"/>
      <c r="J158" s="245"/>
      <c r="K158" s="240"/>
      <c r="L158" s="184"/>
      <c r="M158" s="184"/>
      <c r="N158" s="160"/>
      <c r="O158" s="160"/>
      <c r="P158" s="123"/>
      <c r="Q158" s="123"/>
      <c r="R158" s="123"/>
      <c r="T158" s="42"/>
      <c r="V158" s="123"/>
      <c r="Y158" s="123"/>
      <c r="Z158" s="240"/>
      <c r="AA158" s="123"/>
      <c r="AB158" s="123"/>
      <c r="AC158" s="160"/>
      <c r="AD158" s="160"/>
      <c r="AE158" s="123"/>
      <c r="AF158" s="123"/>
      <c r="AH158" s="236"/>
      <c r="AI158" s="123"/>
      <c r="AJ158" s="123"/>
      <c r="AL158" s="123"/>
      <c r="AM158" s="160"/>
      <c r="AN158" s="160"/>
    </row>
    <row r="159" spans="3:49" x14ac:dyDescent="0.3">
      <c r="F159" s="184"/>
      <c r="H159" s="222"/>
      <c r="I159" s="222"/>
      <c r="J159" s="238"/>
      <c r="K159" s="222"/>
      <c r="R159" s="123"/>
      <c r="V159" s="123"/>
      <c r="Z159" s="222"/>
    </row>
    <row r="160" spans="3:49" x14ac:dyDescent="0.3">
      <c r="C160" s="42"/>
      <c r="F160" s="184"/>
      <c r="H160" s="184"/>
      <c r="I160" s="184"/>
      <c r="J160" s="238"/>
      <c r="K160" s="193"/>
      <c r="L160" s="123"/>
      <c r="M160" s="123"/>
      <c r="N160" s="160"/>
      <c r="O160" s="160"/>
      <c r="P160" s="123"/>
      <c r="Q160" s="123"/>
      <c r="R160" s="123"/>
      <c r="T160" s="42"/>
      <c r="V160" s="123"/>
      <c r="Y160" s="123"/>
      <c r="Z160" s="193"/>
      <c r="AA160" s="123"/>
      <c r="AB160" s="123"/>
      <c r="AC160" s="160"/>
      <c r="AD160" s="160"/>
      <c r="AE160" s="123"/>
      <c r="AF160" s="123"/>
      <c r="AH160" s="236"/>
      <c r="AI160" s="123"/>
      <c r="AJ160" s="123"/>
      <c r="AL160" s="123"/>
      <c r="AM160" s="160"/>
      <c r="AN160" s="160"/>
    </row>
    <row r="161" spans="1:40" x14ac:dyDescent="0.3">
      <c r="F161" s="184"/>
      <c r="H161" s="222"/>
      <c r="I161" s="222"/>
      <c r="J161" s="238"/>
      <c r="K161" s="222"/>
      <c r="R161" s="123"/>
      <c r="V161" s="123"/>
      <c r="Z161" s="222"/>
    </row>
    <row r="162" spans="1:40" x14ac:dyDescent="0.3">
      <c r="C162" s="42"/>
      <c r="F162" s="184"/>
      <c r="H162" s="184"/>
      <c r="I162" s="184"/>
      <c r="J162" s="238"/>
      <c r="K162" s="227"/>
      <c r="L162" s="123"/>
      <c r="M162" s="123"/>
      <c r="N162" s="160"/>
      <c r="O162" s="160"/>
      <c r="P162" s="123"/>
      <c r="Q162" s="123"/>
      <c r="R162" s="123"/>
      <c r="T162" s="42"/>
      <c r="V162" s="123"/>
      <c r="Y162" s="123"/>
      <c r="Z162" s="212"/>
      <c r="AA162" s="123"/>
      <c r="AB162" s="123"/>
      <c r="AC162" s="160"/>
      <c r="AD162" s="160"/>
      <c r="AE162" s="123"/>
      <c r="AF162" s="123"/>
      <c r="AH162" s="236"/>
      <c r="AI162" s="123"/>
      <c r="AJ162" s="123"/>
      <c r="AL162" s="123"/>
      <c r="AM162" s="160"/>
      <c r="AN162" s="160"/>
    </row>
    <row r="163" spans="1:40" x14ac:dyDescent="0.3">
      <c r="F163" s="210"/>
      <c r="H163" s="210"/>
      <c r="I163" s="210"/>
      <c r="J163" s="238"/>
      <c r="K163" s="213"/>
      <c r="L163" s="210"/>
      <c r="M163" s="210"/>
      <c r="N163" s="210"/>
      <c r="O163" s="210"/>
      <c r="P163" s="210"/>
      <c r="Q163" s="210"/>
      <c r="R163" s="210"/>
      <c r="S163" s="123"/>
      <c r="V163" s="210"/>
      <c r="Y163" s="210"/>
      <c r="Z163" s="213"/>
      <c r="AA163" s="210"/>
      <c r="AB163" s="210"/>
      <c r="AC163" s="210"/>
      <c r="AD163" s="210"/>
      <c r="AE163" s="210"/>
      <c r="AF163" s="210"/>
      <c r="AI163" s="210"/>
      <c r="AJ163" s="210"/>
      <c r="AK163" s="214"/>
      <c r="AL163" s="210"/>
    </row>
    <row r="164" spans="1:40" x14ac:dyDescent="0.3">
      <c r="D164" s="42"/>
      <c r="E164" s="42"/>
      <c r="F164" s="123"/>
      <c r="H164" s="123"/>
      <c r="I164" s="123"/>
      <c r="J164" s="188"/>
      <c r="K164" s="219"/>
      <c r="L164" s="123"/>
      <c r="M164" s="123"/>
      <c r="N164" s="160"/>
      <c r="O164" s="160"/>
      <c r="P164" s="184"/>
      <c r="Q164" s="184"/>
      <c r="R164" s="123"/>
      <c r="S164" s="123"/>
      <c r="U164" s="42"/>
      <c r="V164" s="123"/>
      <c r="Y164" s="123"/>
      <c r="Z164" s="219"/>
      <c r="AA164" s="123"/>
      <c r="AB164" s="123"/>
      <c r="AC164" s="160"/>
      <c r="AD164" s="160"/>
      <c r="AE164" s="123"/>
      <c r="AF164" s="123"/>
      <c r="AH164" s="236"/>
      <c r="AI164" s="184"/>
      <c r="AJ164" s="184"/>
      <c r="AL164" s="123"/>
      <c r="AM164" s="160"/>
      <c r="AN164" s="160"/>
    </row>
    <row r="165" spans="1:40" x14ac:dyDescent="0.3">
      <c r="F165" s="210"/>
      <c r="H165" s="210"/>
      <c r="I165" s="210"/>
      <c r="J165" s="238"/>
      <c r="K165" s="213"/>
      <c r="L165" s="210"/>
      <c r="M165" s="210"/>
      <c r="N165" s="210"/>
      <c r="O165" s="210"/>
      <c r="P165" s="210"/>
      <c r="Q165" s="210"/>
      <c r="R165" s="210"/>
      <c r="S165" s="123"/>
      <c r="V165" s="210"/>
      <c r="Y165" s="210"/>
      <c r="Z165" s="213"/>
      <c r="AA165" s="210"/>
      <c r="AB165" s="210"/>
      <c r="AC165" s="210"/>
      <c r="AD165" s="210"/>
      <c r="AE165" s="210"/>
      <c r="AF165" s="210"/>
      <c r="AI165" s="210"/>
      <c r="AJ165" s="210"/>
      <c r="AK165" s="214"/>
      <c r="AL165" s="210"/>
    </row>
    <row r="166" spans="1:40" x14ac:dyDescent="0.3">
      <c r="J166" s="188"/>
      <c r="R166" s="123"/>
    </row>
    <row r="167" spans="1:40" x14ac:dyDescent="0.3">
      <c r="F167" s="123"/>
      <c r="H167" s="123"/>
      <c r="I167" s="123"/>
      <c r="J167" s="188"/>
      <c r="K167" s="219"/>
      <c r="L167" s="123"/>
      <c r="M167" s="123"/>
      <c r="N167" s="123"/>
      <c r="O167" s="123"/>
      <c r="P167" s="123"/>
      <c r="Q167" s="123"/>
      <c r="R167" s="123"/>
      <c r="V167" s="123"/>
      <c r="Y167" s="123"/>
      <c r="Z167" s="219"/>
      <c r="AA167" s="123"/>
      <c r="AB167" s="123"/>
      <c r="AC167" s="123"/>
      <c r="AD167" s="123"/>
    </row>
    <row r="168" spans="1:40" x14ac:dyDescent="0.3">
      <c r="C168" s="42"/>
      <c r="F168" s="123"/>
      <c r="H168" s="123"/>
      <c r="I168" s="123"/>
      <c r="J168" s="188"/>
      <c r="K168" s="219"/>
      <c r="L168" s="123"/>
      <c r="M168" s="123"/>
      <c r="N168" s="123"/>
      <c r="O168" s="123"/>
      <c r="P168" s="123"/>
      <c r="Q168" s="123"/>
      <c r="R168" s="123"/>
      <c r="T168" s="42"/>
      <c r="V168" s="123"/>
      <c r="Y168" s="123"/>
      <c r="Z168" s="219"/>
      <c r="AA168" s="123"/>
      <c r="AB168" s="123"/>
      <c r="AC168" s="123"/>
      <c r="AD168" s="123"/>
    </row>
    <row r="169" spans="1:40" x14ac:dyDescent="0.3">
      <c r="C169" s="42"/>
      <c r="J169" s="188"/>
      <c r="T169" s="42"/>
    </row>
    <row r="170" spans="1:40" x14ac:dyDescent="0.3">
      <c r="A170" s="42"/>
      <c r="J170" s="188"/>
    </row>
    <row r="171" spans="1:40" x14ac:dyDescent="0.3">
      <c r="J171" s="188"/>
    </row>
    <row r="172" spans="1:40" x14ac:dyDescent="0.3">
      <c r="J172" s="188"/>
    </row>
    <row r="173" spans="1:40" x14ac:dyDescent="0.3">
      <c r="H173" s="42"/>
      <c r="I173" s="42"/>
      <c r="J173" s="188"/>
      <c r="Y173" s="42"/>
    </row>
    <row r="174" spans="1:40" x14ac:dyDescent="0.3">
      <c r="J174" s="188"/>
    </row>
    <row r="175" spans="1:40" x14ac:dyDescent="0.3">
      <c r="J175" s="188"/>
      <c r="L175" s="42"/>
      <c r="M175" s="42"/>
      <c r="AA175" s="42"/>
      <c r="AB175" s="42"/>
    </row>
    <row r="176" spans="1:40" x14ac:dyDescent="0.3">
      <c r="J176" s="188"/>
      <c r="R176" s="42"/>
      <c r="AK176" s="206"/>
      <c r="AL176" s="42"/>
    </row>
    <row r="177" spans="1:40" x14ac:dyDescent="0.3">
      <c r="J177" s="188"/>
      <c r="R177" s="42"/>
      <c r="AK177" s="206"/>
      <c r="AL177" s="42"/>
    </row>
    <row r="178" spans="1:40" x14ac:dyDescent="0.3">
      <c r="A178" s="42"/>
      <c r="J178" s="188"/>
      <c r="R178" s="42"/>
      <c r="AK178" s="206"/>
      <c r="AL178" s="42"/>
    </row>
    <row r="179" spans="1:40" x14ac:dyDescent="0.3">
      <c r="J179" s="188"/>
      <c r="L179" s="42"/>
      <c r="M179" s="42"/>
      <c r="AA179" s="42"/>
      <c r="AB179" s="42"/>
    </row>
    <row r="180" spans="1:40" x14ac:dyDescent="0.3">
      <c r="A180" s="135"/>
      <c r="B180" s="135"/>
      <c r="C180" s="135"/>
      <c r="D180" s="135"/>
      <c r="E180" s="135"/>
      <c r="F180" s="135"/>
      <c r="G180" s="135"/>
      <c r="H180" s="135"/>
      <c r="I180" s="135"/>
      <c r="J180" s="244"/>
      <c r="K180" s="135"/>
      <c r="L180" s="135"/>
      <c r="M180" s="135"/>
      <c r="N180" s="135"/>
      <c r="O180" s="135"/>
      <c r="P180" s="135"/>
      <c r="Q180" s="135"/>
      <c r="R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207"/>
      <c r="AH180" s="135"/>
      <c r="AI180" s="135"/>
      <c r="AJ180" s="135"/>
      <c r="AK180" s="207"/>
      <c r="AL180" s="135"/>
      <c r="AM180" s="135"/>
      <c r="AN180" s="135"/>
    </row>
    <row r="181" spans="1:40" x14ac:dyDescent="0.3">
      <c r="J181" s="188"/>
      <c r="L181" s="44"/>
      <c r="M181" s="44"/>
      <c r="N181" s="44"/>
      <c r="O181" s="44"/>
      <c r="R181" s="44"/>
      <c r="AA181" s="44"/>
      <c r="AB181" s="44"/>
      <c r="AC181" s="44"/>
      <c r="AD181" s="44"/>
      <c r="AE181" s="44"/>
      <c r="AF181" s="44"/>
      <c r="AG181" s="168"/>
      <c r="AH181" s="44"/>
      <c r="AK181" s="168"/>
      <c r="AL181" s="44"/>
      <c r="AM181" s="44"/>
      <c r="AN181" s="44"/>
    </row>
    <row r="182" spans="1:40" x14ac:dyDescent="0.3">
      <c r="J182" s="188"/>
      <c r="L182" s="44"/>
      <c r="M182" s="44"/>
      <c r="N182" s="44"/>
      <c r="O182" s="44"/>
      <c r="R182" s="44"/>
      <c r="Z182" s="44"/>
      <c r="AA182" s="44"/>
      <c r="AB182" s="44"/>
      <c r="AC182" s="44"/>
      <c r="AD182" s="44"/>
      <c r="AE182" s="44"/>
      <c r="AF182" s="44"/>
      <c r="AG182" s="168"/>
      <c r="AH182" s="44"/>
      <c r="AK182" s="168"/>
      <c r="AL182" s="44"/>
      <c r="AM182" s="44"/>
      <c r="AN182" s="44"/>
    </row>
    <row r="183" spans="1:40" x14ac:dyDescent="0.3">
      <c r="A183" s="44"/>
      <c r="C183" s="44"/>
      <c r="D183" s="44"/>
      <c r="E183" s="44"/>
      <c r="F183" s="44"/>
      <c r="J183" s="245"/>
      <c r="K183" s="44"/>
      <c r="L183" s="44"/>
      <c r="M183" s="44"/>
      <c r="N183" s="44"/>
      <c r="O183" s="44"/>
      <c r="P183" s="44"/>
      <c r="Q183" s="44"/>
      <c r="R183" s="44"/>
      <c r="T183" s="44"/>
      <c r="U183" s="44"/>
      <c r="V183" s="44"/>
      <c r="Z183" s="44"/>
      <c r="AA183" s="44"/>
      <c r="AB183" s="44"/>
      <c r="AC183" s="44"/>
      <c r="AD183" s="44"/>
      <c r="AE183" s="44"/>
      <c r="AF183" s="44"/>
      <c r="AG183" s="168"/>
      <c r="AH183" s="44"/>
      <c r="AI183" s="44"/>
      <c r="AJ183" s="44"/>
      <c r="AK183" s="168"/>
      <c r="AL183" s="44"/>
      <c r="AM183" s="44"/>
      <c r="AN183" s="44"/>
    </row>
    <row r="184" spans="1:40" x14ac:dyDescent="0.3">
      <c r="A184" s="44"/>
      <c r="C184" s="44"/>
      <c r="D184" s="44"/>
      <c r="E184" s="44"/>
      <c r="F184" s="44"/>
      <c r="H184" s="44"/>
      <c r="I184" s="44"/>
      <c r="J184" s="245"/>
      <c r="K184" s="44"/>
      <c r="L184" s="44"/>
      <c r="M184" s="44"/>
      <c r="N184" s="44"/>
      <c r="O184" s="44"/>
      <c r="P184" s="44"/>
      <c r="Q184" s="44"/>
      <c r="R184" s="44"/>
      <c r="T184" s="44"/>
      <c r="U184" s="44"/>
      <c r="V184" s="44"/>
      <c r="Y184" s="44"/>
      <c r="Z184" s="44"/>
      <c r="AA184" s="44"/>
      <c r="AB184" s="44"/>
      <c r="AC184" s="44"/>
      <c r="AD184" s="44"/>
      <c r="AE184" s="44"/>
      <c r="AF184" s="44"/>
      <c r="AG184" s="168"/>
      <c r="AH184" s="44"/>
      <c r="AI184" s="44"/>
      <c r="AJ184" s="44"/>
      <c r="AK184" s="168"/>
      <c r="AL184" s="44"/>
      <c r="AM184" s="44"/>
      <c r="AN184" s="44"/>
    </row>
    <row r="185" spans="1:40" x14ac:dyDescent="0.3">
      <c r="C185" s="44"/>
      <c r="D185" s="44"/>
      <c r="E185" s="44"/>
      <c r="F185" s="44"/>
      <c r="H185" s="44"/>
      <c r="I185" s="44"/>
      <c r="J185" s="245"/>
      <c r="K185" s="44"/>
      <c r="L185" s="44"/>
      <c r="M185" s="44"/>
      <c r="N185" s="44"/>
      <c r="O185" s="44"/>
      <c r="P185" s="44"/>
      <c r="Q185" s="44"/>
      <c r="R185" s="44"/>
      <c r="T185" s="44"/>
      <c r="U185" s="44"/>
      <c r="V185" s="44"/>
      <c r="Y185" s="44"/>
      <c r="Z185" s="44"/>
      <c r="AA185" s="44"/>
      <c r="AB185" s="44"/>
      <c r="AC185" s="44"/>
      <c r="AD185" s="44"/>
      <c r="AE185" s="44"/>
      <c r="AF185" s="44"/>
      <c r="AG185" s="168"/>
      <c r="AH185" s="44"/>
      <c r="AI185" s="44"/>
      <c r="AJ185" s="44"/>
      <c r="AK185" s="168"/>
      <c r="AL185" s="44"/>
      <c r="AM185" s="44"/>
      <c r="AN185" s="44"/>
    </row>
    <row r="186" spans="1:40" x14ac:dyDescent="0.3">
      <c r="A186" s="135"/>
      <c r="B186" s="135"/>
      <c r="C186" s="135"/>
      <c r="D186" s="135"/>
      <c r="E186" s="135"/>
      <c r="F186" s="135"/>
      <c r="G186" s="135"/>
      <c r="H186" s="135"/>
      <c r="I186" s="135"/>
      <c r="J186" s="244"/>
      <c r="K186" s="135"/>
      <c r="L186" s="135"/>
      <c r="M186" s="135"/>
      <c r="N186" s="135"/>
      <c r="O186" s="135"/>
      <c r="P186" s="135"/>
      <c r="Q186" s="135"/>
      <c r="R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207"/>
      <c r="AH186" s="135"/>
      <c r="AI186" s="135"/>
      <c r="AJ186" s="135"/>
      <c r="AK186" s="207"/>
      <c r="AL186" s="135"/>
      <c r="AM186" s="135"/>
      <c r="AN186" s="135"/>
    </row>
    <row r="187" spans="1:40" x14ac:dyDescent="0.3">
      <c r="H187" s="44"/>
      <c r="I187" s="44"/>
      <c r="J187" s="245"/>
      <c r="K187" s="44"/>
      <c r="L187" s="44"/>
      <c r="M187" s="44"/>
      <c r="N187" s="44"/>
      <c r="O187" s="44"/>
      <c r="P187" s="44"/>
      <c r="Q187" s="44"/>
      <c r="R187" s="44"/>
      <c r="Y187" s="44"/>
      <c r="Z187" s="44"/>
      <c r="AA187" s="44"/>
      <c r="AB187" s="44"/>
      <c r="AC187" s="44"/>
      <c r="AD187" s="44"/>
      <c r="AE187" s="44"/>
      <c r="AF187" s="44"/>
      <c r="AG187" s="168"/>
      <c r="AH187" s="44"/>
      <c r="AI187" s="44"/>
      <c r="AJ187" s="44"/>
      <c r="AK187" s="168"/>
      <c r="AL187" s="44"/>
      <c r="AM187" s="44"/>
      <c r="AN187" s="44"/>
    </row>
    <row r="188" spans="1:40" x14ac:dyDescent="0.3">
      <c r="C188" s="42"/>
      <c r="D188" s="42"/>
      <c r="E188" s="42"/>
      <c r="J188" s="188"/>
      <c r="T188" s="42"/>
      <c r="U188" s="42"/>
    </row>
    <row r="189" spans="1:40" x14ac:dyDescent="0.3">
      <c r="D189" s="42"/>
      <c r="E189" s="42"/>
      <c r="J189" s="188"/>
      <c r="U189" s="42"/>
    </row>
    <row r="190" spans="1:40" x14ac:dyDescent="0.3">
      <c r="J190" s="188"/>
    </row>
    <row r="191" spans="1:40" x14ac:dyDescent="0.3">
      <c r="C191" s="42"/>
      <c r="F191" s="123"/>
      <c r="J191" s="188"/>
      <c r="K191" s="209"/>
      <c r="L191" s="123"/>
      <c r="M191" s="123"/>
      <c r="R191" s="123"/>
      <c r="T191" s="42"/>
      <c r="V191" s="123"/>
      <c r="Z191" s="209"/>
      <c r="AA191" s="123"/>
      <c r="AB191" s="123"/>
      <c r="AL191" s="123"/>
    </row>
    <row r="192" spans="1:40" x14ac:dyDescent="0.3">
      <c r="F192" s="123"/>
      <c r="J192" s="188"/>
      <c r="R192" s="123"/>
      <c r="V192" s="123"/>
      <c r="AL192" s="123"/>
    </row>
    <row r="193" spans="3:40" x14ac:dyDescent="0.3">
      <c r="C193" s="42"/>
      <c r="F193" s="184"/>
      <c r="H193" s="184"/>
      <c r="I193" s="184"/>
      <c r="J193" s="238"/>
      <c r="K193" s="193"/>
      <c r="L193" s="123"/>
      <c r="M193" s="123"/>
      <c r="N193" s="160"/>
      <c r="O193" s="160"/>
      <c r="P193" s="123"/>
      <c r="Q193" s="123"/>
      <c r="R193" s="123"/>
      <c r="T193" s="42"/>
      <c r="V193" s="123"/>
      <c r="Y193" s="123"/>
      <c r="Z193" s="193"/>
      <c r="AA193" s="123"/>
      <c r="AB193" s="123"/>
      <c r="AC193" s="160"/>
      <c r="AD193" s="160"/>
      <c r="AE193" s="123"/>
      <c r="AF193" s="123"/>
      <c r="AH193" s="236"/>
      <c r="AI193" s="123"/>
      <c r="AJ193" s="123"/>
      <c r="AL193" s="123"/>
      <c r="AM193" s="160"/>
      <c r="AN193" s="160"/>
    </row>
    <row r="194" spans="3:40" x14ac:dyDescent="0.3">
      <c r="C194" s="42"/>
      <c r="F194" s="184"/>
      <c r="H194" s="222"/>
      <c r="I194" s="222"/>
      <c r="J194" s="238"/>
      <c r="K194" s="193"/>
      <c r="L194" s="123"/>
      <c r="M194" s="123"/>
      <c r="N194" s="160"/>
      <c r="O194" s="160"/>
      <c r="P194" s="123"/>
      <c r="Q194" s="123"/>
      <c r="R194" s="123"/>
      <c r="T194" s="42"/>
      <c r="V194" s="123"/>
      <c r="Y194" s="123"/>
      <c r="Z194" s="193"/>
      <c r="AA194" s="123"/>
      <c r="AB194" s="123"/>
      <c r="AC194" s="160"/>
      <c r="AD194" s="160"/>
      <c r="AE194" s="123"/>
      <c r="AF194" s="123"/>
      <c r="AH194" s="236"/>
      <c r="AI194" s="123"/>
      <c r="AJ194" s="123"/>
      <c r="AL194" s="123"/>
      <c r="AM194" s="160"/>
      <c r="AN194" s="160"/>
    </row>
    <row r="195" spans="3:40" x14ac:dyDescent="0.3">
      <c r="F195" s="210"/>
      <c r="H195" s="123"/>
      <c r="I195" s="123"/>
      <c r="J195" s="238"/>
      <c r="K195" s="213"/>
      <c r="L195" s="210"/>
      <c r="M195" s="210"/>
      <c r="N195" s="210"/>
      <c r="O195" s="210"/>
      <c r="P195" s="210"/>
      <c r="Q195" s="210"/>
      <c r="R195" s="210"/>
      <c r="V195" s="210"/>
      <c r="Y195" s="123"/>
      <c r="Z195" s="213"/>
      <c r="AA195" s="210"/>
      <c r="AB195" s="210"/>
      <c r="AC195" s="210"/>
      <c r="AD195" s="210"/>
      <c r="AE195" s="210"/>
      <c r="AF195" s="210"/>
      <c r="AI195" s="210"/>
      <c r="AJ195" s="210"/>
      <c r="AK195" s="214"/>
      <c r="AL195" s="210"/>
    </row>
    <row r="196" spans="3:40" x14ac:dyDescent="0.3">
      <c r="C196" s="42"/>
      <c r="F196" s="123"/>
      <c r="H196" s="123"/>
      <c r="I196" s="123"/>
      <c r="J196" s="188"/>
      <c r="K196" s="219"/>
      <c r="L196" s="123"/>
      <c r="M196" s="123"/>
      <c r="N196" s="160"/>
      <c r="O196" s="160"/>
      <c r="P196" s="123"/>
      <c r="Q196" s="123"/>
      <c r="R196" s="123"/>
      <c r="T196" s="42"/>
      <c r="V196" s="123"/>
      <c r="Y196" s="123"/>
      <c r="Z196" s="219"/>
      <c r="AA196" s="123"/>
      <c r="AB196" s="123"/>
      <c r="AC196" s="160"/>
      <c r="AD196" s="160"/>
      <c r="AE196" s="123"/>
      <c r="AF196" s="123"/>
      <c r="AH196" s="236"/>
      <c r="AI196" s="123"/>
      <c r="AJ196" s="123"/>
      <c r="AL196" s="123"/>
      <c r="AM196" s="160"/>
      <c r="AN196" s="160"/>
    </row>
    <row r="197" spans="3:40" x14ac:dyDescent="0.3">
      <c r="F197" s="210"/>
      <c r="H197" s="123"/>
      <c r="I197" s="123"/>
      <c r="J197" s="238"/>
      <c r="K197" s="213"/>
      <c r="L197" s="210"/>
      <c r="M197" s="210"/>
      <c r="N197" s="210"/>
      <c r="O197" s="210"/>
      <c r="P197" s="210"/>
      <c r="Q197" s="210"/>
      <c r="R197" s="210"/>
      <c r="V197" s="210"/>
      <c r="Y197" s="123"/>
      <c r="Z197" s="213"/>
      <c r="AA197" s="210"/>
      <c r="AB197" s="210"/>
      <c r="AC197" s="210"/>
      <c r="AD197" s="210"/>
      <c r="AE197" s="210"/>
      <c r="AF197" s="210"/>
      <c r="AI197" s="210"/>
      <c r="AJ197" s="210"/>
      <c r="AK197" s="214"/>
      <c r="AL197" s="210"/>
    </row>
    <row r="198" spans="3:40" x14ac:dyDescent="0.3">
      <c r="F198" s="123"/>
      <c r="J198" s="188"/>
      <c r="R198" s="123"/>
      <c r="V198" s="123"/>
      <c r="AL198" s="123"/>
    </row>
    <row r="199" spans="3:40" x14ac:dyDescent="0.3">
      <c r="C199" s="42"/>
      <c r="F199" s="123"/>
      <c r="J199" s="188"/>
      <c r="R199" s="123"/>
      <c r="T199" s="42"/>
      <c r="V199" s="123"/>
      <c r="AL199" s="123"/>
    </row>
    <row r="200" spans="3:40" x14ac:dyDescent="0.3">
      <c r="F200" s="123"/>
      <c r="J200" s="188"/>
      <c r="R200" s="123"/>
      <c r="V200" s="123"/>
      <c r="AL200" s="123"/>
    </row>
    <row r="201" spans="3:40" x14ac:dyDescent="0.3">
      <c r="C201" s="42"/>
      <c r="F201" s="123"/>
      <c r="H201" s="184"/>
      <c r="I201" s="184"/>
      <c r="J201" s="238"/>
      <c r="K201" s="227"/>
      <c r="L201" s="123"/>
      <c r="M201" s="123"/>
      <c r="N201" s="160"/>
      <c r="O201" s="160"/>
      <c r="P201" s="184"/>
      <c r="Q201" s="184"/>
      <c r="R201" s="123"/>
      <c r="T201" s="42"/>
      <c r="V201" s="123"/>
      <c r="Y201" s="123"/>
      <c r="Z201" s="212"/>
      <c r="AA201" s="123"/>
      <c r="AB201" s="123"/>
      <c r="AC201" s="160"/>
      <c r="AD201" s="160"/>
      <c r="AE201" s="123"/>
      <c r="AF201" s="123"/>
      <c r="AH201" s="236"/>
      <c r="AI201" s="184"/>
      <c r="AJ201" s="184"/>
      <c r="AL201" s="123"/>
      <c r="AM201" s="160"/>
      <c r="AN201" s="160"/>
    </row>
    <row r="202" spans="3:40" x14ac:dyDescent="0.3">
      <c r="H202" s="210"/>
      <c r="I202" s="210"/>
      <c r="J202" s="238"/>
      <c r="K202" s="213"/>
      <c r="L202" s="210"/>
      <c r="M202" s="210"/>
      <c r="N202" s="210"/>
      <c r="O202" s="210"/>
      <c r="P202" s="210"/>
      <c r="Q202" s="210"/>
      <c r="R202" s="210"/>
      <c r="V202" s="210"/>
      <c r="Y202" s="210"/>
      <c r="Z202" s="213"/>
      <c r="AA202" s="210"/>
      <c r="AB202" s="210"/>
      <c r="AC202" s="210"/>
      <c r="AD202" s="210"/>
      <c r="AE202" s="210"/>
      <c r="AF202" s="210"/>
      <c r="AI202" s="210"/>
      <c r="AJ202" s="210"/>
      <c r="AK202" s="214"/>
      <c r="AL202" s="210"/>
    </row>
    <row r="203" spans="3:40" x14ac:dyDescent="0.3">
      <c r="F203" s="210"/>
      <c r="J203" s="188"/>
    </row>
    <row r="204" spans="3:40" x14ac:dyDescent="0.3">
      <c r="C204" s="42"/>
      <c r="F204" s="123"/>
      <c r="H204" s="123"/>
      <c r="I204" s="123"/>
      <c r="J204" s="188"/>
      <c r="K204" s="209"/>
      <c r="L204" s="123"/>
      <c r="M204" s="123"/>
      <c r="N204" s="160"/>
      <c r="O204" s="160"/>
      <c r="P204" s="123"/>
      <c r="Q204" s="123"/>
      <c r="R204" s="123"/>
      <c r="T204" s="42"/>
      <c r="V204" s="123"/>
      <c r="Y204" s="123"/>
      <c r="Z204" s="209"/>
      <c r="AA204" s="123"/>
      <c r="AB204" s="123"/>
      <c r="AC204" s="160"/>
      <c r="AD204" s="160"/>
      <c r="AE204" s="123"/>
      <c r="AF204" s="123"/>
      <c r="AH204" s="236"/>
      <c r="AI204" s="123"/>
      <c r="AJ204" s="123"/>
      <c r="AL204" s="123"/>
      <c r="AM204" s="160"/>
      <c r="AN204" s="160"/>
    </row>
    <row r="205" spans="3:40" x14ac:dyDescent="0.3">
      <c r="F205" s="210"/>
      <c r="H205" s="210"/>
      <c r="I205" s="210"/>
      <c r="J205" s="238"/>
      <c r="K205" s="213"/>
      <c r="L205" s="210"/>
      <c r="M205" s="210"/>
      <c r="N205" s="210"/>
      <c r="O205" s="210"/>
      <c r="P205" s="210"/>
      <c r="Q205" s="210"/>
      <c r="R205" s="210"/>
      <c r="V205" s="210"/>
      <c r="Y205" s="210"/>
      <c r="Z205" s="213"/>
      <c r="AA205" s="210"/>
      <c r="AB205" s="210"/>
      <c r="AC205" s="210"/>
      <c r="AD205" s="210"/>
      <c r="AE205" s="210"/>
      <c r="AF205" s="210"/>
      <c r="AI205" s="210"/>
      <c r="AJ205" s="210"/>
      <c r="AK205" s="214"/>
      <c r="AL205" s="210"/>
    </row>
    <row r="206" spans="3:40" x14ac:dyDescent="0.3">
      <c r="J206" s="188"/>
      <c r="R206" s="123"/>
      <c r="AH206" s="123"/>
    </row>
    <row r="207" spans="3:40" x14ac:dyDescent="0.3">
      <c r="F207" s="123"/>
      <c r="H207" s="123"/>
      <c r="I207" s="123"/>
      <c r="J207" s="188"/>
      <c r="K207" s="219"/>
      <c r="L207" s="123"/>
      <c r="M207" s="123"/>
      <c r="N207" s="123"/>
      <c r="O207" s="123"/>
      <c r="P207" s="123"/>
      <c r="Q207" s="123"/>
      <c r="R207" s="123"/>
      <c r="V207" s="123"/>
      <c r="Y207" s="123"/>
      <c r="Z207" s="219"/>
      <c r="AA207" s="123"/>
      <c r="AB207" s="123"/>
      <c r="AC207" s="123"/>
      <c r="AD207" s="123"/>
      <c r="AE207" s="123"/>
      <c r="AF207" s="123"/>
      <c r="AH207" s="123"/>
    </row>
    <row r="208" spans="3:40" x14ac:dyDescent="0.3">
      <c r="C208" s="42"/>
      <c r="F208" s="123"/>
      <c r="H208" s="123"/>
      <c r="I208" s="123"/>
      <c r="J208" s="188"/>
      <c r="K208" s="219"/>
      <c r="L208" s="123"/>
      <c r="M208" s="123"/>
      <c r="N208" s="123"/>
      <c r="O208" s="123"/>
      <c r="P208" s="123"/>
      <c r="Q208" s="123"/>
      <c r="R208" s="123"/>
      <c r="T208" s="42"/>
      <c r="V208" s="123"/>
      <c r="Y208" s="123"/>
      <c r="Z208" s="219"/>
      <c r="AA208" s="123"/>
      <c r="AB208" s="123"/>
      <c r="AC208" s="123"/>
      <c r="AD208" s="123"/>
      <c r="AE208" s="123"/>
      <c r="AF208" s="123"/>
      <c r="AH208" s="123"/>
    </row>
    <row r="209" spans="1:40" x14ac:dyDescent="0.3">
      <c r="A209" s="42"/>
      <c r="J209" s="188"/>
    </row>
    <row r="210" spans="1:40" x14ac:dyDescent="0.3">
      <c r="J210" s="188"/>
    </row>
    <row r="211" spans="1:40" x14ac:dyDescent="0.3">
      <c r="J211" s="188"/>
    </row>
    <row r="212" spans="1:40" x14ac:dyDescent="0.3">
      <c r="H212" s="42"/>
      <c r="I212" s="42"/>
      <c r="J212" s="188"/>
      <c r="Y212" s="42"/>
    </row>
    <row r="213" spans="1:40" x14ac:dyDescent="0.3">
      <c r="J213" s="188"/>
    </row>
    <row r="214" spans="1:40" x14ac:dyDescent="0.3">
      <c r="J214" s="188"/>
      <c r="L214" s="42"/>
      <c r="M214" s="42"/>
      <c r="AA214" s="42"/>
      <c r="AB214" s="42"/>
    </row>
    <row r="215" spans="1:40" x14ac:dyDescent="0.3">
      <c r="J215" s="188"/>
      <c r="R215" s="42"/>
      <c r="AK215" s="206"/>
      <c r="AL215" s="42"/>
    </row>
    <row r="216" spans="1:40" x14ac:dyDescent="0.3">
      <c r="J216" s="188"/>
      <c r="R216" s="42"/>
      <c r="AK216" s="206"/>
      <c r="AL216" s="42"/>
    </row>
    <row r="217" spans="1:40" x14ac:dyDescent="0.3">
      <c r="A217" s="42"/>
      <c r="J217" s="188"/>
      <c r="R217" s="42"/>
      <c r="AK217" s="206"/>
      <c r="AL217" s="42"/>
    </row>
    <row r="218" spans="1:40" x14ac:dyDescent="0.3">
      <c r="J218" s="188"/>
      <c r="L218" s="42"/>
      <c r="M218" s="42"/>
      <c r="AA218" s="42"/>
      <c r="AB218" s="42"/>
    </row>
    <row r="219" spans="1:40" x14ac:dyDescent="0.3">
      <c r="A219" s="135"/>
      <c r="B219" s="135"/>
      <c r="C219" s="135"/>
      <c r="D219" s="135"/>
      <c r="E219" s="135"/>
      <c r="F219" s="135"/>
      <c r="G219" s="135"/>
      <c r="H219" s="135"/>
      <c r="I219" s="135"/>
      <c r="J219" s="244"/>
      <c r="K219" s="135"/>
      <c r="L219" s="135"/>
      <c r="M219" s="135"/>
      <c r="N219" s="135"/>
      <c r="O219" s="135"/>
      <c r="P219" s="135"/>
      <c r="Q219" s="135"/>
      <c r="R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207"/>
      <c r="AH219" s="135"/>
      <c r="AI219" s="135"/>
      <c r="AJ219" s="135"/>
      <c r="AK219" s="207"/>
      <c r="AL219" s="135"/>
      <c r="AM219" s="135"/>
      <c r="AN219" s="135"/>
    </row>
    <row r="220" spans="1:40" x14ac:dyDescent="0.3">
      <c r="J220" s="188"/>
      <c r="L220" s="44"/>
      <c r="M220" s="44"/>
      <c r="N220" s="44"/>
      <c r="O220" s="44"/>
      <c r="R220" s="44"/>
      <c r="AA220" s="44"/>
      <c r="AB220" s="44"/>
      <c r="AC220" s="44"/>
      <c r="AD220" s="44"/>
      <c r="AE220" s="44"/>
      <c r="AF220" s="44"/>
      <c r="AG220" s="168"/>
      <c r="AH220" s="44"/>
      <c r="AK220" s="168"/>
      <c r="AL220" s="44"/>
      <c r="AM220" s="44"/>
      <c r="AN220" s="44"/>
    </row>
    <row r="221" spans="1:40" x14ac:dyDescent="0.3">
      <c r="J221" s="188"/>
      <c r="L221" s="44"/>
      <c r="M221" s="44"/>
      <c r="N221" s="44"/>
      <c r="O221" s="44"/>
      <c r="R221" s="44"/>
      <c r="Z221" s="44"/>
      <c r="AA221" s="44"/>
      <c r="AB221" s="44"/>
      <c r="AC221" s="44"/>
      <c r="AD221" s="44"/>
      <c r="AE221" s="44"/>
      <c r="AF221" s="44"/>
      <c r="AG221" s="168"/>
      <c r="AH221" s="44"/>
      <c r="AK221" s="168"/>
      <c r="AL221" s="44"/>
      <c r="AM221" s="44"/>
      <c r="AN221" s="44"/>
    </row>
    <row r="222" spans="1:40" x14ac:dyDescent="0.3">
      <c r="A222" s="44"/>
      <c r="C222" s="44"/>
      <c r="D222" s="44"/>
      <c r="E222" s="44"/>
      <c r="F222" s="44"/>
      <c r="J222" s="245"/>
      <c r="K222" s="44"/>
      <c r="L222" s="44"/>
      <c r="M222" s="44"/>
      <c r="N222" s="44"/>
      <c r="O222" s="44"/>
      <c r="P222" s="44"/>
      <c r="Q222" s="44"/>
      <c r="R222" s="44"/>
      <c r="T222" s="44"/>
      <c r="U222" s="44"/>
      <c r="V222" s="44"/>
      <c r="Z222" s="44"/>
      <c r="AA222" s="44"/>
      <c r="AB222" s="44"/>
      <c r="AC222" s="44"/>
      <c r="AD222" s="44"/>
      <c r="AE222" s="44"/>
      <c r="AF222" s="44"/>
      <c r="AG222" s="168"/>
      <c r="AH222" s="44"/>
      <c r="AI222" s="44"/>
      <c r="AJ222" s="44"/>
      <c r="AK222" s="168"/>
      <c r="AL222" s="44"/>
      <c r="AM222" s="44"/>
      <c r="AN222" s="44"/>
    </row>
    <row r="223" spans="1:40" x14ac:dyDescent="0.3">
      <c r="A223" s="44"/>
      <c r="C223" s="44"/>
      <c r="D223" s="44"/>
      <c r="E223" s="44"/>
      <c r="F223" s="44"/>
      <c r="H223" s="44"/>
      <c r="I223" s="44"/>
      <c r="J223" s="245"/>
      <c r="K223" s="44"/>
      <c r="L223" s="44"/>
      <c r="M223" s="44"/>
      <c r="N223" s="44"/>
      <c r="O223" s="44"/>
      <c r="P223" s="44"/>
      <c r="Q223" s="44"/>
      <c r="R223" s="44"/>
      <c r="T223" s="44"/>
      <c r="U223" s="44"/>
      <c r="V223" s="44"/>
      <c r="Y223" s="44"/>
      <c r="Z223" s="44"/>
      <c r="AA223" s="44"/>
      <c r="AB223" s="44"/>
      <c r="AC223" s="44"/>
      <c r="AD223" s="44"/>
      <c r="AE223" s="44"/>
      <c r="AF223" s="44"/>
      <c r="AG223" s="168"/>
      <c r="AH223" s="44"/>
      <c r="AI223" s="44"/>
      <c r="AJ223" s="44"/>
      <c r="AK223" s="168"/>
      <c r="AL223" s="44"/>
      <c r="AM223" s="44"/>
      <c r="AN223" s="44"/>
    </row>
    <row r="224" spans="1:40" x14ac:dyDescent="0.3">
      <c r="C224" s="44"/>
      <c r="D224" s="44"/>
      <c r="E224" s="44"/>
      <c r="F224" s="44"/>
      <c r="H224" s="44"/>
      <c r="I224" s="44"/>
      <c r="J224" s="245"/>
      <c r="K224" s="44"/>
      <c r="L224" s="44"/>
      <c r="M224" s="44"/>
      <c r="N224" s="44"/>
      <c r="O224" s="44"/>
      <c r="P224" s="44"/>
      <c r="Q224" s="44"/>
      <c r="R224" s="44"/>
      <c r="T224" s="44"/>
      <c r="U224" s="44"/>
      <c r="V224" s="44"/>
      <c r="Y224" s="44"/>
      <c r="Z224" s="44"/>
      <c r="AA224" s="44"/>
      <c r="AB224" s="44"/>
      <c r="AC224" s="44"/>
      <c r="AD224" s="44"/>
      <c r="AE224" s="44"/>
      <c r="AF224" s="44"/>
      <c r="AG224" s="168"/>
      <c r="AH224" s="44"/>
      <c r="AI224" s="44"/>
      <c r="AJ224" s="44"/>
      <c r="AK224" s="168"/>
      <c r="AL224" s="44"/>
      <c r="AM224" s="44"/>
      <c r="AN224" s="44"/>
    </row>
    <row r="225" spans="1:40" x14ac:dyDescent="0.3">
      <c r="A225" s="135"/>
      <c r="B225" s="135"/>
      <c r="C225" s="135"/>
      <c r="D225" s="135"/>
      <c r="E225" s="135"/>
      <c r="F225" s="135"/>
      <c r="G225" s="135"/>
      <c r="H225" s="135"/>
      <c r="I225" s="135"/>
      <c r="J225" s="244"/>
      <c r="K225" s="135"/>
      <c r="L225" s="135"/>
      <c r="M225" s="135"/>
      <c r="N225" s="135"/>
      <c r="O225" s="135"/>
      <c r="P225" s="135"/>
      <c r="Q225" s="135"/>
      <c r="R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207"/>
      <c r="AH225" s="135"/>
      <c r="AI225" s="135"/>
      <c r="AJ225" s="135"/>
      <c r="AK225" s="207"/>
      <c r="AL225" s="135"/>
      <c r="AM225" s="135"/>
      <c r="AN225" s="135"/>
    </row>
    <row r="226" spans="1:40" x14ac:dyDescent="0.3">
      <c r="H226" s="44"/>
      <c r="I226" s="44"/>
      <c r="J226" s="245"/>
      <c r="K226" s="44"/>
      <c r="L226" s="44"/>
      <c r="M226" s="44"/>
      <c r="N226" s="44"/>
      <c r="O226" s="44"/>
      <c r="P226" s="44"/>
      <c r="Q226" s="44"/>
      <c r="R226" s="44"/>
      <c r="Y226" s="44"/>
      <c r="Z226" s="44"/>
      <c r="AA226" s="44"/>
      <c r="AB226" s="44"/>
      <c r="AC226" s="44"/>
      <c r="AD226" s="44"/>
      <c r="AE226" s="44"/>
      <c r="AF226" s="44"/>
      <c r="AG226" s="168"/>
      <c r="AH226" s="44"/>
      <c r="AI226" s="44"/>
      <c r="AJ226" s="44"/>
      <c r="AK226" s="168"/>
      <c r="AL226" s="44"/>
      <c r="AM226" s="44"/>
      <c r="AN226" s="44"/>
    </row>
    <row r="227" spans="1:40" x14ac:dyDescent="0.3">
      <c r="C227" s="42"/>
      <c r="D227" s="42"/>
      <c r="E227" s="42"/>
      <c r="J227" s="188"/>
      <c r="T227" s="42"/>
      <c r="U227" s="42"/>
    </row>
    <row r="228" spans="1:40" x14ac:dyDescent="0.3">
      <c r="C228" s="42"/>
      <c r="J228" s="188"/>
      <c r="T228" s="42"/>
    </row>
    <row r="229" spans="1:40" x14ac:dyDescent="0.3">
      <c r="J229" s="188"/>
    </row>
    <row r="230" spans="1:40" x14ac:dyDescent="0.3">
      <c r="C230" s="42"/>
      <c r="F230" s="184"/>
      <c r="H230" s="184"/>
      <c r="I230" s="184"/>
      <c r="J230" s="238"/>
      <c r="K230" s="193"/>
      <c r="L230" s="123"/>
      <c r="M230" s="123"/>
      <c r="N230" s="160"/>
      <c r="O230" s="160"/>
      <c r="R230" s="123"/>
      <c r="T230" s="42"/>
      <c r="V230" s="123"/>
      <c r="Y230" s="184"/>
      <c r="Z230" s="193"/>
      <c r="AA230" s="123"/>
      <c r="AB230" s="123"/>
      <c r="AC230" s="160"/>
      <c r="AD230" s="160"/>
      <c r="AE230" s="123"/>
      <c r="AF230" s="123"/>
      <c r="AH230" s="236"/>
      <c r="AL230" s="123"/>
      <c r="AM230" s="160"/>
      <c r="AN230" s="160"/>
    </row>
    <row r="231" spans="1:40" x14ac:dyDescent="0.3">
      <c r="F231" s="210"/>
      <c r="H231" s="123"/>
      <c r="I231" s="123"/>
      <c r="J231" s="238"/>
      <c r="K231" s="213"/>
      <c r="L231" s="210"/>
      <c r="M231" s="210"/>
      <c r="N231" s="210"/>
      <c r="O231" s="210"/>
      <c r="P231" s="210"/>
      <c r="Q231" s="210"/>
      <c r="R231" s="210"/>
      <c r="V231" s="210"/>
      <c r="Y231" s="123"/>
      <c r="Z231" s="213"/>
      <c r="AA231" s="210"/>
      <c r="AB231" s="210"/>
      <c r="AC231" s="210"/>
      <c r="AD231" s="210"/>
      <c r="AE231" s="210"/>
      <c r="AF231" s="210"/>
      <c r="AI231" s="210"/>
      <c r="AJ231" s="210"/>
      <c r="AK231" s="214"/>
      <c r="AL231" s="210"/>
      <c r="AM231" s="160"/>
      <c r="AN231" s="160"/>
    </row>
    <row r="232" spans="1:40" x14ac:dyDescent="0.3">
      <c r="C232" s="42"/>
      <c r="F232" s="184"/>
      <c r="H232" s="184"/>
      <c r="I232" s="184"/>
      <c r="J232" s="238"/>
      <c r="K232" s="237"/>
      <c r="L232" s="123"/>
      <c r="M232" s="123"/>
      <c r="N232" s="160"/>
      <c r="O232" s="160"/>
      <c r="P232" s="123"/>
      <c r="Q232" s="123"/>
      <c r="R232" s="123"/>
      <c r="S232" s="123"/>
      <c r="T232" s="42"/>
      <c r="V232" s="184"/>
      <c r="Y232" s="184"/>
      <c r="Z232" s="237"/>
      <c r="AA232" s="123"/>
      <c r="AB232" s="123"/>
      <c r="AC232" s="160"/>
      <c r="AD232" s="160"/>
      <c r="AE232" s="123"/>
      <c r="AF232" s="123"/>
      <c r="AH232" s="160"/>
      <c r="AI232" s="123"/>
      <c r="AJ232" s="123"/>
      <c r="AL232" s="123"/>
      <c r="AM232" s="160"/>
      <c r="AN232" s="160"/>
    </row>
    <row r="233" spans="1:40" x14ac:dyDescent="0.3">
      <c r="C233" s="42"/>
      <c r="F233" s="184"/>
      <c r="H233" s="184"/>
      <c r="I233" s="184"/>
      <c r="J233" s="238"/>
      <c r="K233" s="193"/>
      <c r="L233" s="123"/>
      <c r="M233" s="123"/>
      <c r="N233" s="160"/>
      <c r="O233" s="160"/>
      <c r="P233" s="123"/>
      <c r="Q233" s="123"/>
      <c r="R233" s="123"/>
      <c r="T233" s="42"/>
      <c r="V233" s="184"/>
      <c r="Y233" s="123"/>
      <c r="Z233" s="193"/>
      <c r="AA233" s="123"/>
      <c r="AB233" s="123"/>
      <c r="AC233" s="160"/>
      <c r="AD233" s="160"/>
      <c r="AE233" s="123"/>
      <c r="AF233" s="123"/>
      <c r="AH233" s="236"/>
      <c r="AI233" s="123"/>
      <c r="AJ233" s="123"/>
      <c r="AL233" s="123"/>
      <c r="AM233" s="160"/>
      <c r="AN233" s="160"/>
    </row>
    <row r="234" spans="1:40" x14ac:dyDescent="0.3">
      <c r="C234" s="42"/>
      <c r="F234" s="184"/>
      <c r="H234" s="184"/>
      <c r="I234" s="184"/>
      <c r="J234" s="238"/>
      <c r="K234" s="193"/>
      <c r="L234" s="123"/>
      <c r="M234" s="123"/>
      <c r="N234" s="160"/>
      <c r="O234" s="160"/>
      <c r="P234" s="123"/>
      <c r="Q234" s="123"/>
      <c r="R234" s="123"/>
      <c r="T234" s="42"/>
      <c r="V234" s="184"/>
      <c r="Y234" s="123"/>
      <c r="Z234" s="193"/>
      <c r="AA234" s="123"/>
      <c r="AB234" s="123"/>
      <c r="AC234" s="160"/>
      <c r="AD234" s="160"/>
      <c r="AE234" s="123"/>
      <c r="AF234" s="123"/>
      <c r="AH234" s="236"/>
      <c r="AI234" s="123"/>
      <c r="AJ234" s="123"/>
      <c r="AL234" s="123"/>
      <c r="AM234" s="160"/>
      <c r="AN234" s="160"/>
    </row>
    <row r="235" spans="1:40" x14ac:dyDescent="0.3">
      <c r="F235" s="210"/>
      <c r="H235" s="210"/>
      <c r="I235" s="210"/>
      <c r="J235" s="238"/>
      <c r="K235" s="213"/>
      <c r="L235" s="210"/>
      <c r="M235" s="210"/>
      <c r="N235" s="210"/>
      <c r="O235" s="210"/>
      <c r="P235" s="210"/>
      <c r="Q235" s="210"/>
      <c r="R235" s="210"/>
      <c r="V235" s="210"/>
      <c r="Y235" s="210"/>
      <c r="Z235" s="213"/>
      <c r="AA235" s="210"/>
      <c r="AB235" s="210"/>
      <c r="AC235" s="210"/>
      <c r="AD235" s="210"/>
      <c r="AE235" s="210"/>
      <c r="AF235" s="210"/>
      <c r="AI235" s="210"/>
      <c r="AJ235" s="210"/>
      <c r="AK235" s="214"/>
      <c r="AL235" s="210"/>
      <c r="AM235" s="160"/>
      <c r="AN235" s="160"/>
    </row>
    <row r="236" spans="1:40" x14ac:dyDescent="0.3">
      <c r="C236" s="42"/>
      <c r="F236" s="123"/>
      <c r="H236" s="123"/>
      <c r="I236" s="123"/>
      <c r="J236" s="188"/>
      <c r="K236" s="219"/>
      <c r="L236" s="123"/>
      <c r="M236" s="123"/>
      <c r="N236" s="160"/>
      <c r="O236" s="160"/>
      <c r="P236" s="123"/>
      <c r="Q236" s="123"/>
      <c r="R236" s="123"/>
      <c r="T236" s="42"/>
      <c r="V236" s="123"/>
      <c r="Y236" s="123"/>
      <c r="Z236" s="219"/>
      <c r="AA236" s="123"/>
      <c r="AB236" s="123"/>
      <c r="AC236" s="160"/>
      <c r="AD236" s="160"/>
      <c r="AE236" s="123"/>
      <c r="AF236" s="123"/>
      <c r="AH236" s="236"/>
      <c r="AI236" s="123"/>
      <c r="AJ236" s="123"/>
      <c r="AL236" s="123"/>
      <c r="AM236" s="160"/>
      <c r="AN236" s="160"/>
    </row>
    <row r="237" spans="1:40" x14ac:dyDescent="0.3">
      <c r="F237" s="210"/>
      <c r="H237" s="210"/>
      <c r="I237" s="210"/>
      <c r="J237" s="238"/>
      <c r="K237" s="213"/>
      <c r="L237" s="210"/>
      <c r="M237" s="210"/>
      <c r="N237" s="210"/>
      <c r="O237" s="210"/>
      <c r="P237" s="210"/>
      <c r="Q237" s="210"/>
      <c r="R237" s="210"/>
      <c r="V237" s="210"/>
      <c r="Y237" s="210"/>
      <c r="Z237" s="213"/>
      <c r="AA237" s="210"/>
      <c r="AB237" s="210"/>
      <c r="AC237" s="210"/>
      <c r="AD237" s="210"/>
      <c r="AE237" s="210"/>
      <c r="AF237" s="210"/>
      <c r="AI237" s="210"/>
      <c r="AJ237" s="210"/>
      <c r="AK237" s="214"/>
      <c r="AL237" s="210"/>
      <c r="AM237" s="160"/>
      <c r="AN237" s="160"/>
    </row>
    <row r="238" spans="1:40" x14ac:dyDescent="0.3">
      <c r="C238" s="42"/>
      <c r="F238" s="123"/>
      <c r="H238" s="123"/>
      <c r="I238" s="123"/>
      <c r="J238" s="188"/>
      <c r="K238" s="219"/>
      <c r="L238" s="123"/>
      <c r="M238" s="123"/>
      <c r="N238" s="160"/>
      <c r="O238" s="160"/>
      <c r="P238" s="123"/>
      <c r="Q238" s="123"/>
      <c r="R238" s="123"/>
      <c r="T238" s="42"/>
      <c r="V238" s="123"/>
      <c r="Y238" s="123"/>
      <c r="Z238" s="219"/>
      <c r="AA238" s="123"/>
      <c r="AB238" s="123"/>
      <c r="AC238" s="160"/>
      <c r="AD238" s="160"/>
      <c r="AE238" s="123"/>
      <c r="AF238" s="123"/>
      <c r="AH238" s="236"/>
      <c r="AI238" s="123"/>
      <c r="AJ238" s="123"/>
      <c r="AL238" s="123"/>
      <c r="AM238" s="160"/>
      <c r="AN238" s="160"/>
    </row>
    <row r="239" spans="1:40" x14ac:dyDescent="0.3">
      <c r="C239" s="42"/>
      <c r="F239" s="123"/>
      <c r="H239" s="184"/>
      <c r="I239" s="184"/>
      <c r="J239" s="238"/>
      <c r="K239" s="227"/>
      <c r="L239" s="123"/>
      <c r="M239" s="123"/>
      <c r="N239" s="160"/>
      <c r="O239" s="160"/>
      <c r="P239" s="123"/>
      <c r="Q239" s="123"/>
      <c r="R239" s="123"/>
      <c r="T239" s="42"/>
      <c r="V239" s="123"/>
      <c r="Y239" s="123"/>
      <c r="Z239" s="212"/>
      <c r="AA239" s="123"/>
      <c r="AB239" s="123"/>
      <c r="AC239" s="160"/>
      <c r="AD239" s="160"/>
      <c r="AE239" s="123"/>
      <c r="AF239" s="123"/>
      <c r="AH239" s="236"/>
      <c r="AI239" s="123"/>
      <c r="AJ239" s="123"/>
      <c r="AL239" s="123"/>
      <c r="AM239" s="160"/>
      <c r="AN239" s="160"/>
    </row>
    <row r="240" spans="1:40" x14ac:dyDescent="0.3">
      <c r="H240" s="210"/>
      <c r="I240" s="210"/>
      <c r="J240" s="238"/>
      <c r="K240" s="213"/>
      <c r="L240" s="210"/>
      <c r="M240" s="210"/>
      <c r="N240" s="210"/>
      <c r="O240" s="210"/>
      <c r="P240" s="210"/>
      <c r="Q240" s="210"/>
      <c r="R240" s="210"/>
      <c r="V240" s="210"/>
      <c r="Y240" s="210"/>
      <c r="Z240" s="213"/>
      <c r="AA240" s="210"/>
      <c r="AB240" s="210"/>
      <c r="AC240" s="210"/>
      <c r="AD240" s="210"/>
      <c r="AE240" s="210"/>
      <c r="AF240" s="210"/>
      <c r="AI240" s="210"/>
      <c r="AJ240" s="210"/>
      <c r="AK240" s="214"/>
      <c r="AL240" s="210"/>
      <c r="AM240" s="160"/>
      <c r="AN240" s="160"/>
    </row>
    <row r="241" spans="3:40" x14ac:dyDescent="0.3">
      <c r="F241" s="210"/>
      <c r="J241" s="188"/>
    </row>
    <row r="242" spans="3:40" x14ac:dyDescent="0.3">
      <c r="C242" s="42"/>
      <c r="F242" s="123"/>
      <c r="H242" s="123"/>
      <c r="I242" s="123"/>
      <c r="J242" s="238"/>
      <c r="K242" s="213"/>
      <c r="L242" s="123"/>
      <c r="M242" s="123"/>
      <c r="N242" s="160"/>
      <c r="O242" s="160"/>
      <c r="P242" s="123"/>
      <c r="Q242" s="123"/>
      <c r="R242" s="123"/>
      <c r="S242" s="123"/>
      <c r="T242" s="42"/>
      <c r="V242" s="123"/>
      <c r="Y242" s="123"/>
      <c r="Z242" s="213"/>
      <c r="AA242" s="123"/>
      <c r="AB242" s="123"/>
      <c r="AC242" s="160"/>
      <c r="AD242" s="160"/>
      <c r="AE242" s="123"/>
      <c r="AF242" s="123"/>
      <c r="AH242" s="160"/>
      <c r="AI242" s="123"/>
      <c r="AJ242" s="123"/>
      <c r="AL242" s="123"/>
      <c r="AM242" s="160"/>
      <c r="AN242" s="160"/>
    </row>
    <row r="243" spans="3:40" x14ac:dyDescent="0.3">
      <c r="F243" s="210"/>
      <c r="H243" s="210"/>
      <c r="I243" s="210"/>
      <c r="J243" s="238"/>
      <c r="K243" s="213"/>
      <c r="L243" s="210"/>
      <c r="M243" s="210"/>
      <c r="N243" s="210"/>
      <c r="O243" s="210"/>
      <c r="P243" s="210"/>
      <c r="Q243" s="210"/>
      <c r="R243" s="210"/>
      <c r="S243" s="123"/>
      <c r="V243" s="210"/>
      <c r="Y243" s="210"/>
      <c r="Z243" s="213"/>
      <c r="AA243" s="210"/>
      <c r="AB243" s="210"/>
      <c r="AC243" s="210"/>
      <c r="AD243" s="210"/>
      <c r="AE243" s="210"/>
      <c r="AF243" s="210"/>
      <c r="AI243" s="210"/>
      <c r="AJ243" s="210"/>
      <c r="AK243" s="214"/>
      <c r="AL243" s="210"/>
      <c r="AM243" s="160"/>
      <c r="AN243" s="160"/>
    </row>
    <row r="244" spans="3:40" x14ac:dyDescent="0.3">
      <c r="C244" s="42"/>
      <c r="H244" s="184"/>
      <c r="I244" s="184"/>
      <c r="J244" s="238"/>
      <c r="K244" s="213"/>
      <c r="L244" s="123"/>
      <c r="M244" s="123"/>
      <c r="N244" s="160"/>
      <c r="O244" s="160"/>
      <c r="P244" s="123"/>
      <c r="Q244" s="123"/>
      <c r="R244" s="123"/>
      <c r="S244" s="123"/>
      <c r="T244" s="42"/>
      <c r="V244" s="184"/>
      <c r="Y244" s="184"/>
      <c r="Z244" s="213"/>
      <c r="AA244" s="123"/>
      <c r="AB244" s="123"/>
      <c r="AC244" s="160"/>
      <c r="AD244" s="160"/>
      <c r="AE244" s="123"/>
      <c r="AF244" s="123"/>
      <c r="AI244" s="123"/>
      <c r="AJ244" s="123"/>
      <c r="AL244" s="123"/>
      <c r="AM244" s="160"/>
      <c r="AN244" s="160"/>
    </row>
    <row r="245" spans="3:40" x14ac:dyDescent="0.3">
      <c r="F245" s="184"/>
      <c r="J245" s="188"/>
    </row>
    <row r="246" spans="3:40" x14ac:dyDescent="0.3">
      <c r="C246" s="42"/>
      <c r="F246" s="184"/>
      <c r="H246" s="184"/>
      <c r="I246" s="184"/>
      <c r="J246" s="238"/>
      <c r="K246" s="193"/>
      <c r="L246" s="123"/>
      <c r="M246" s="123"/>
      <c r="N246" s="160"/>
      <c r="O246" s="160"/>
      <c r="R246" s="123"/>
      <c r="T246" s="42"/>
      <c r="V246" s="123"/>
      <c r="Y246" s="184"/>
      <c r="Z246" s="193"/>
      <c r="AA246" s="123"/>
      <c r="AB246" s="123"/>
      <c r="AC246" s="160"/>
      <c r="AD246" s="160"/>
      <c r="AE246" s="123"/>
      <c r="AF246" s="123"/>
      <c r="AH246" s="236"/>
      <c r="AL246" s="123"/>
      <c r="AM246" s="160"/>
      <c r="AN246" s="160"/>
    </row>
    <row r="247" spans="3:40" x14ac:dyDescent="0.3">
      <c r="F247" s="210"/>
      <c r="H247" s="123"/>
      <c r="I247" s="123"/>
      <c r="J247" s="238"/>
      <c r="K247" s="213"/>
      <c r="L247" s="210"/>
      <c r="M247" s="210"/>
      <c r="N247" s="210"/>
      <c r="O247" s="210"/>
      <c r="P247" s="210"/>
      <c r="Q247" s="210"/>
      <c r="R247" s="210"/>
      <c r="V247" s="210"/>
      <c r="Y247" s="123"/>
      <c r="Z247" s="213"/>
      <c r="AA247" s="210"/>
      <c r="AB247" s="210"/>
      <c r="AC247" s="210"/>
      <c r="AD247" s="210"/>
      <c r="AE247" s="210"/>
      <c r="AF247" s="210"/>
      <c r="AI247" s="210"/>
      <c r="AJ247" s="210"/>
      <c r="AK247" s="214"/>
      <c r="AL247" s="210"/>
      <c r="AM247" s="160"/>
      <c r="AN247" s="160"/>
    </row>
    <row r="248" spans="3:40" x14ac:dyDescent="0.3">
      <c r="C248" s="42"/>
      <c r="F248" s="184"/>
      <c r="H248" s="184"/>
      <c r="I248" s="184"/>
      <c r="J248" s="238"/>
      <c r="K248" s="237"/>
      <c r="L248" s="123"/>
      <c r="M248" s="123"/>
      <c r="N248" s="160"/>
      <c r="O248" s="160"/>
      <c r="P248" s="123"/>
      <c r="Q248" s="123"/>
      <c r="R248" s="123"/>
      <c r="S248" s="123"/>
      <c r="T248" s="42"/>
      <c r="V248" s="184"/>
      <c r="Y248" s="184"/>
      <c r="Z248" s="237"/>
      <c r="AA248" s="123"/>
      <c r="AB248" s="123"/>
      <c r="AC248" s="160"/>
      <c r="AD248" s="160"/>
      <c r="AE248" s="123"/>
      <c r="AF248" s="123"/>
      <c r="AH248" s="160"/>
      <c r="AI248" s="123"/>
      <c r="AJ248" s="123"/>
      <c r="AL248" s="123"/>
      <c r="AM248" s="160"/>
      <c r="AN248" s="160"/>
    </row>
    <row r="249" spans="3:40" x14ac:dyDescent="0.3">
      <c r="C249" s="42"/>
      <c r="F249" s="184"/>
      <c r="H249" s="184"/>
      <c r="I249" s="184"/>
      <c r="J249" s="238"/>
      <c r="K249" s="193"/>
      <c r="L249" s="123"/>
      <c r="M249" s="123"/>
      <c r="N249" s="160"/>
      <c r="O249" s="160"/>
      <c r="P249" s="123"/>
      <c r="Q249" s="123"/>
      <c r="R249" s="123"/>
      <c r="T249" s="42"/>
      <c r="V249" s="184"/>
      <c r="Y249" s="123"/>
      <c r="Z249" s="193"/>
      <c r="AA249" s="123"/>
      <c r="AB249" s="123"/>
      <c r="AC249" s="160"/>
      <c r="AD249" s="160"/>
      <c r="AE249" s="123"/>
      <c r="AF249" s="123"/>
      <c r="AH249" s="236"/>
      <c r="AI249" s="123"/>
      <c r="AJ249" s="123"/>
      <c r="AL249" s="123"/>
      <c r="AM249" s="160"/>
      <c r="AN249" s="160"/>
    </row>
    <row r="250" spans="3:40" x14ac:dyDescent="0.3">
      <c r="C250" s="42"/>
      <c r="F250" s="184"/>
      <c r="H250" s="184"/>
      <c r="I250" s="184"/>
      <c r="J250" s="238"/>
      <c r="K250" s="193"/>
      <c r="L250" s="123"/>
      <c r="M250" s="123"/>
      <c r="N250" s="160"/>
      <c r="O250" s="160"/>
      <c r="P250" s="123"/>
      <c r="Q250" s="123"/>
      <c r="R250" s="123"/>
      <c r="T250" s="42"/>
      <c r="V250" s="184"/>
      <c r="Y250" s="123"/>
      <c r="Z250" s="193"/>
      <c r="AA250" s="123"/>
      <c r="AB250" s="123"/>
      <c r="AC250" s="160"/>
      <c r="AD250" s="160"/>
      <c r="AE250" s="123"/>
      <c r="AF250" s="123"/>
      <c r="AH250" s="236"/>
      <c r="AI250" s="123"/>
      <c r="AJ250" s="123"/>
      <c r="AL250" s="123"/>
      <c r="AM250" s="160"/>
      <c r="AN250" s="160"/>
    </row>
    <row r="251" spans="3:40" x14ac:dyDescent="0.3">
      <c r="F251" s="210"/>
      <c r="H251" s="210"/>
      <c r="I251" s="210"/>
      <c r="J251" s="238"/>
      <c r="K251" s="213"/>
      <c r="L251" s="210"/>
      <c r="M251" s="210"/>
      <c r="N251" s="210"/>
      <c r="O251" s="210"/>
      <c r="P251" s="210"/>
      <c r="Q251" s="210"/>
      <c r="R251" s="210"/>
      <c r="V251" s="210"/>
      <c r="Y251" s="210"/>
      <c r="Z251" s="213"/>
      <c r="AA251" s="210"/>
      <c r="AB251" s="210"/>
      <c r="AC251" s="210"/>
      <c r="AD251" s="210"/>
      <c r="AE251" s="210"/>
      <c r="AF251" s="210"/>
      <c r="AI251" s="210"/>
      <c r="AJ251" s="210"/>
      <c r="AK251" s="214"/>
      <c r="AL251" s="210"/>
      <c r="AM251" s="160"/>
      <c r="AN251" s="160"/>
    </row>
    <row r="252" spans="3:40" x14ac:dyDescent="0.3">
      <c r="C252" s="42"/>
      <c r="F252" s="123"/>
      <c r="H252" s="123"/>
      <c r="I252" s="123"/>
      <c r="J252" s="188"/>
      <c r="K252" s="219"/>
      <c r="L252" s="123"/>
      <c r="M252" s="123"/>
      <c r="N252" s="160"/>
      <c r="O252" s="160"/>
      <c r="P252" s="123"/>
      <c r="Q252" s="123"/>
      <c r="R252" s="123"/>
      <c r="T252" s="42"/>
      <c r="V252" s="123"/>
      <c r="Y252" s="123"/>
      <c r="Z252" s="219"/>
      <c r="AA252" s="123"/>
      <c r="AB252" s="123"/>
      <c r="AC252" s="160"/>
      <c r="AD252" s="160"/>
      <c r="AE252" s="123"/>
      <c r="AF252" s="123"/>
      <c r="AH252" s="236"/>
      <c r="AI252" s="123"/>
      <c r="AJ252" s="123"/>
      <c r="AL252" s="123"/>
      <c r="AM252" s="160"/>
      <c r="AN252" s="160"/>
    </row>
    <row r="253" spans="3:40" x14ac:dyDescent="0.3">
      <c r="F253" s="210"/>
      <c r="H253" s="210"/>
      <c r="I253" s="210"/>
      <c r="J253" s="238"/>
      <c r="K253" s="213"/>
      <c r="L253" s="210"/>
      <c r="M253" s="210"/>
      <c r="N253" s="210"/>
      <c r="O253" s="210"/>
      <c r="P253" s="210"/>
      <c r="Q253" s="210"/>
      <c r="R253" s="210"/>
      <c r="V253" s="210"/>
      <c r="Y253" s="210"/>
      <c r="Z253" s="213"/>
      <c r="AA253" s="210"/>
      <c r="AB253" s="210"/>
      <c r="AC253" s="210"/>
      <c r="AD253" s="210"/>
      <c r="AE253" s="210"/>
      <c r="AF253" s="210"/>
      <c r="AI253" s="210"/>
      <c r="AJ253" s="210"/>
      <c r="AK253" s="214"/>
      <c r="AL253" s="210"/>
      <c r="AM253" s="160"/>
      <c r="AN253" s="160"/>
    </row>
    <row r="254" spans="3:40" x14ac:dyDescent="0.3">
      <c r="C254" s="42"/>
      <c r="F254" s="123"/>
      <c r="H254" s="123"/>
      <c r="I254" s="123"/>
      <c r="J254" s="188"/>
      <c r="K254" s="219"/>
      <c r="L254" s="123"/>
      <c r="M254" s="123"/>
      <c r="N254" s="160"/>
      <c r="O254" s="160"/>
      <c r="P254" s="123"/>
      <c r="Q254" s="123"/>
      <c r="R254" s="123"/>
      <c r="T254" s="42"/>
      <c r="V254" s="123"/>
      <c r="Y254" s="123"/>
      <c r="Z254" s="219"/>
      <c r="AA254" s="123"/>
      <c r="AB254" s="123"/>
      <c r="AC254" s="160"/>
      <c r="AD254" s="160"/>
      <c r="AE254" s="123"/>
      <c r="AF254" s="123"/>
      <c r="AH254" s="236"/>
      <c r="AI254" s="123"/>
      <c r="AJ254" s="123"/>
      <c r="AL254" s="123"/>
      <c r="AM254" s="160"/>
      <c r="AN254" s="160"/>
    </row>
    <row r="255" spans="3:40" x14ac:dyDescent="0.3">
      <c r="C255" s="42"/>
      <c r="F255" s="123"/>
      <c r="H255" s="184"/>
      <c r="I255" s="184"/>
      <c r="J255" s="238"/>
      <c r="K255" s="227"/>
      <c r="L255" s="123"/>
      <c r="M255" s="123"/>
      <c r="N255" s="160"/>
      <c r="O255" s="160"/>
      <c r="P255" s="123"/>
      <c r="Q255" s="123"/>
      <c r="R255" s="123"/>
      <c r="T255" s="42"/>
      <c r="V255" s="123"/>
      <c r="Y255" s="123"/>
      <c r="Z255" s="212"/>
      <c r="AA255" s="123"/>
      <c r="AB255" s="123"/>
      <c r="AC255" s="160"/>
      <c r="AD255" s="160"/>
      <c r="AE255" s="123"/>
      <c r="AF255" s="123"/>
      <c r="AH255" s="236"/>
      <c r="AI255" s="123"/>
      <c r="AJ255" s="123"/>
      <c r="AL255" s="123"/>
      <c r="AM255" s="160"/>
      <c r="AN255" s="160"/>
    </row>
    <row r="256" spans="3:40" x14ac:dyDescent="0.3">
      <c r="H256" s="210"/>
      <c r="I256" s="210"/>
      <c r="J256" s="238"/>
      <c r="K256" s="213"/>
      <c r="L256" s="210"/>
      <c r="M256" s="210"/>
      <c r="N256" s="210"/>
      <c r="O256" s="210"/>
      <c r="P256" s="210"/>
      <c r="Q256" s="210"/>
      <c r="R256" s="210"/>
      <c r="V256" s="210"/>
      <c r="Y256" s="210"/>
      <c r="Z256" s="213"/>
      <c r="AA256" s="210"/>
      <c r="AB256" s="210"/>
      <c r="AC256" s="210"/>
      <c r="AD256" s="210"/>
      <c r="AE256" s="210"/>
      <c r="AF256" s="210"/>
      <c r="AI256" s="210"/>
      <c r="AJ256" s="210"/>
      <c r="AK256" s="214"/>
      <c r="AL256" s="210"/>
      <c r="AM256" s="160"/>
      <c r="AN256" s="160"/>
    </row>
    <row r="257" spans="1:40" x14ac:dyDescent="0.3">
      <c r="F257" s="210"/>
      <c r="J257" s="188"/>
    </row>
    <row r="258" spans="1:40" x14ac:dyDescent="0.3">
      <c r="C258" s="42"/>
      <c r="F258" s="123"/>
      <c r="H258" s="123"/>
      <c r="I258" s="123"/>
      <c r="J258" s="238"/>
      <c r="K258" s="213"/>
      <c r="L258" s="123"/>
      <c r="M258" s="123"/>
      <c r="N258" s="160"/>
      <c r="O258" s="160"/>
      <c r="P258" s="123"/>
      <c r="Q258" s="123"/>
      <c r="R258" s="123"/>
      <c r="S258" s="123"/>
      <c r="T258" s="42"/>
      <c r="V258" s="123"/>
      <c r="Y258" s="123"/>
      <c r="Z258" s="213"/>
      <c r="AA258" s="123"/>
      <c r="AB258" s="123"/>
      <c r="AC258" s="160"/>
      <c r="AD258" s="160"/>
      <c r="AE258" s="123"/>
      <c r="AF258" s="123"/>
      <c r="AH258" s="160"/>
      <c r="AI258" s="123"/>
      <c r="AJ258" s="123"/>
      <c r="AL258" s="123"/>
      <c r="AM258" s="160"/>
      <c r="AN258" s="160"/>
    </row>
    <row r="259" spans="1:40" x14ac:dyDescent="0.3">
      <c r="F259" s="210"/>
      <c r="H259" s="210"/>
      <c r="I259" s="210"/>
      <c r="J259" s="238"/>
      <c r="K259" s="213"/>
      <c r="L259" s="210"/>
      <c r="M259" s="210"/>
      <c r="N259" s="210"/>
      <c r="O259" s="210"/>
      <c r="P259" s="210"/>
      <c r="Q259" s="210"/>
      <c r="R259" s="210"/>
      <c r="S259" s="123"/>
      <c r="V259" s="210"/>
      <c r="Y259" s="210"/>
      <c r="Z259" s="213"/>
      <c r="AA259" s="210"/>
      <c r="AB259" s="210"/>
      <c r="AC259" s="210"/>
      <c r="AD259" s="210"/>
      <c r="AE259" s="210"/>
      <c r="AF259" s="210"/>
      <c r="AI259" s="210"/>
      <c r="AJ259" s="210"/>
      <c r="AK259" s="214"/>
      <c r="AL259" s="210"/>
      <c r="AM259" s="160"/>
      <c r="AN259" s="160"/>
    </row>
    <row r="260" spans="1:40" x14ac:dyDescent="0.3">
      <c r="C260" s="42"/>
      <c r="J260" s="188"/>
      <c r="T260" s="42"/>
    </row>
    <row r="261" spans="1:40" x14ac:dyDescent="0.3">
      <c r="C261" s="42"/>
      <c r="F261" s="123"/>
      <c r="H261" s="123"/>
      <c r="I261" s="123"/>
      <c r="J261" s="188"/>
      <c r="L261" s="123"/>
      <c r="M261" s="123"/>
      <c r="N261" s="160"/>
      <c r="O261" s="160"/>
      <c r="P261" s="184"/>
      <c r="Q261" s="184"/>
      <c r="R261" s="123"/>
      <c r="T261" s="42"/>
      <c r="V261" s="123"/>
      <c r="Y261" s="123"/>
      <c r="AA261" s="123"/>
      <c r="AB261" s="123"/>
      <c r="AC261" s="160"/>
      <c r="AD261" s="160"/>
      <c r="AE261" s="123"/>
      <c r="AF261" s="123"/>
      <c r="AH261" s="160"/>
      <c r="AI261" s="184"/>
      <c r="AJ261" s="184"/>
      <c r="AL261" s="123"/>
      <c r="AM261" s="160"/>
      <c r="AN261" s="160"/>
    </row>
    <row r="262" spans="1:40" x14ac:dyDescent="0.3">
      <c r="H262" s="210"/>
      <c r="I262" s="210"/>
      <c r="J262" s="238"/>
      <c r="K262" s="213"/>
      <c r="L262" s="210"/>
      <c r="M262" s="210"/>
      <c r="N262" s="210"/>
      <c r="O262" s="210"/>
      <c r="P262" s="210"/>
      <c r="Q262" s="210"/>
      <c r="R262" s="210"/>
      <c r="V262" s="210"/>
      <c r="Y262" s="210"/>
      <c r="Z262" s="213"/>
      <c r="AA262" s="210"/>
      <c r="AB262" s="210"/>
      <c r="AC262" s="210"/>
      <c r="AD262" s="210"/>
      <c r="AE262" s="210"/>
      <c r="AF262" s="210"/>
      <c r="AI262" s="210"/>
      <c r="AJ262" s="210"/>
      <c r="AK262" s="214"/>
      <c r="AL262" s="210"/>
    </row>
    <row r="263" spans="1:40" x14ac:dyDescent="0.3">
      <c r="F263" s="210"/>
      <c r="J263" s="188"/>
    </row>
    <row r="264" spans="1:40" x14ac:dyDescent="0.3">
      <c r="C264" s="42"/>
      <c r="J264" s="188"/>
      <c r="L264" s="123"/>
      <c r="M264" s="123"/>
      <c r="N264" s="123"/>
      <c r="O264" s="123"/>
      <c r="P264" s="123"/>
      <c r="Q264" s="123"/>
      <c r="R264" s="123"/>
      <c r="S264" s="123"/>
      <c r="T264" s="42"/>
      <c r="AA264" s="123"/>
      <c r="AB264" s="123"/>
      <c r="AC264" s="123"/>
      <c r="AD264" s="123"/>
      <c r="AI264" s="123"/>
      <c r="AJ264" s="123"/>
      <c r="AL264" s="123"/>
    </row>
    <row r="265" spans="1:40" x14ac:dyDescent="0.3">
      <c r="A265" s="42"/>
      <c r="J265" s="188"/>
    </row>
    <row r="266" spans="1:40" x14ac:dyDescent="0.3">
      <c r="J266" s="188"/>
    </row>
    <row r="267" spans="1:40" x14ac:dyDescent="0.3">
      <c r="H267" s="42"/>
      <c r="I267" s="42"/>
      <c r="J267" s="188"/>
      <c r="Y267" s="42"/>
    </row>
    <row r="268" spans="1:40" x14ac:dyDescent="0.3">
      <c r="J268" s="188"/>
    </row>
    <row r="269" spans="1:40" x14ac:dyDescent="0.3">
      <c r="J269" s="188"/>
      <c r="L269" s="42"/>
      <c r="M269" s="42"/>
      <c r="AA269" s="42"/>
      <c r="AB269" s="42"/>
    </row>
    <row r="270" spans="1:40" x14ac:dyDescent="0.3">
      <c r="J270" s="188"/>
      <c r="R270" s="42"/>
      <c r="AK270" s="206"/>
      <c r="AL270" s="42"/>
    </row>
    <row r="271" spans="1:40" x14ac:dyDescent="0.3">
      <c r="J271" s="188"/>
      <c r="R271" s="42"/>
      <c r="AK271" s="206"/>
      <c r="AL271" s="42"/>
    </row>
    <row r="272" spans="1:40" x14ac:dyDescent="0.3">
      <c r="A272" s="42"/>
      <c r="J272" s="188"/>
      <c r="R272" s="42"/>
      <c r="AK272" s="206"/>
      <c r="AL272" s="42"/>
    </row>
    <row r="273" spans="1:40" x14ac:dyDescent="0.3">
      <c r="J273" s="188"/>
      <c r="L273" s="42"/>
      <c r="M273" s="42"/>
      <c r="AA273" s="42"/>
      <c r="AB273" s="42"/>
    </row>
    <row r="274" spans="1:40" x14ac:dyDescent="0.3">
      <c r="A274" s="135"/>
      <c r="B274" s="135"/>
      <c r="C274" s="135"/>
      <c r="D274" s="135"/>
      <c r="E274" s="135"/>
      <c r="F274" s="135"/>
      <c r="G274" s="135"/>
      <c r="H274" s="135"/>
      <c r="I274" s="135"/>
      <c r="J274" s="244"/>
      <c r="K274" s="135"/>
      <c r="L274" s="135"/>
      <c r="M274" s="135"/>
      <c r="N274" s="135"/>
      <c r="O274" s="135"/>
      <c r="P274" s="135"/>
      <c r="Q274" s="135"/>
      <c r="R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207"/>
      <c r="AH274" s="135"/>
      <c r="AI274" s="135"/>
      <c r="AJ274" s="135"/>
      <c r="AK274" s="207"/>
      <c r="AL274" s="135"/>
      <c r="AM274" s="135"/>
      <c r="AN274" s="135"/>
    </row>
    <row r="275" spans="1:40" x14ac:dyDescent="0.3">
      <c r="J275" s="188"/>
      <c r="L275" s="44"/>
      <c r="M275" s="44"/>
      <c r="N275" s="44"/>
      <c r="O275" s="44"/>
      <c r="R275" s="44"/>
      <c r="AA275" s="44"/>
      <c r="AB275" s="44"/>
      <c r="AC275" s="44"/>
      <c r="AD275" s="44"/>
      <c r="AE275" s="44"/>
      <c r="AF275" s="44"/>
      <c r="AG275" s="168"/>
      <c r="AH275" s="44"/>
      <c r="AK275" s="168"/>
      <c r="AL275" s="44"/>
      <c r="AM275" s="44"/>
      <c r="AN275" s="44"/>
    </row>
    <row r="276" spans="1:40" x14ac:dyDescent="0.3">
      <c r="J276" s="188"/>
      <c r="L276" s="44"/>
      <c r="M276" s="44"/>
      <c r="N276" s="44"/>
      <c r="O276" s="44"/>
      <c r="R276" s="44"/>
      <c r="Z276" s="44"/>
      <c r="AA276" s="44"/>
      <c r="AB276" s="44"/>
      <c r="AC276" s="44"/>
      <c r="AD276" s="44"/>
      <c r="AE276" s="44"/>
      <c r="AF276" s="44"/>
      <c r="AG276" s="168"/>
      <c r="AH276" s="44"/>
      <c r="AK276" s="168"/>
      <c r="AL276" s="44"/>
      <c r="AM276" s="44"/>
      <c r="AN276" s="44"/>
    </row>
    <row r="277" spans="1:40" x14ac:dyDescent="0.3">
      <c r="A277" s="44"/>
      <c r="C277" s="44"/>
      <c r="D277" s="44"/>
      <c r="E277" s="44"/>
      <c r="F277" s="44"/>
      <c r="J277" s="245"/>
      <c r="K277" s="44"/>
      <c r="L277" s="44"/>
      <c r="M277" s="44"/>
      <c r="N277" s="44"/>
      <c r="O277" s="44"/>
      <c r="P277" s="44"/>
      <c r="Q277" s="44"/>
      <c r="R277" s="44"/>
      <c r="T277" s="44"/>
      <c r="U277" s="44"/>
      <c r="V277" s="44"/>
      <c r="Z277" s="44"/>
      <c r="AA277" s="44"/>
      <c r="AB277" s="44"/>
      <c r="AC277" s="44"/>
      <c r="AD277" s="44"/>
      <c r="AE277" s="44"/>
      <c r="AF277" s="44"/>
      <c r="AG277" s="168"/>
      <c r="AH277" s="44"/>
      <c r="AI277" s="44"/>
      <c r="AJ277" s="44"/>
      <c r="AK277" s="168"/>
      <c r="AL277" s="44"/>
      <c r="AM277" s="44"/>
      <c r="AN277" s="44"/>
    </row>
    <row r="278" spans="1:40" x14ac:dyDescent="0.3">
      <c r="A278" s="44"/>
      <c r="C278" s="44"/>
      <c r="D278" s="44"/>
      <c r="E278" s="44"/>
      <c r="F278" s="44"/>
      <c r="H278" s="44"/>
      <c r="I278" s="44"/>
      <c r="J278" s="245"/>
      <c r="K278" s="44"/>
      <c r="L278" s="44"/>
      <c r="M278" s="44"/>
      <c r="N278" s="44"/>
      <c r="O278" s="44"/>
      <c r="P278" s="44"/>
      <c r="Q278" s="44"/>
      <c r="R278" s="44"/>
      <c r="T278" s="44"/>
      <c r="U278" s="44"/>
      <c r="V278" s="44"/>
      <c r="Y278" s="44"/>
      <c r="Z278" s="44"/>
      <c r="AA278" s="44"/>
      <c r="AB278" s="44"/>
      <c r="AC278" s="44"/>
      <c r="AD278" s="44"/>
      <c r="AE278" s="44"/>
      <c r="AF278" s="44"/>
      <c r="AG278" s="168"/>
      <c r="AH278" s="44"/>
      <c r="AI278" s="44"/>
      <c r="AJ278" s="44"/>
      <c r="AK278" s="168"/>
      <c r="AL278" s="44"/>
      <c r="AM278" s="44"/>
      <c r="AN278" s="44"/>
    </row>
    <row r="279" spans="1:40" x14ac:dyDescent="0.3">
      <c r="C279" s="44"/>
      <c r="D279" s="44"/>
      <c r="E279" s="44"/>
      <c r="F279" s="44"/>
      <c r="H279" s="44"/>
      <c r="I279" s="44"/>
      <c r="J279" s="245"/>
      <c r="K279" s="44"/>
      <c r="L279" s="44"/>
      <c r="M279" s="44"/>
      <c r="N279" s="44"/>
      <c r="O279" s="44"/>
      <c r="P279" s="44"/>
      <c r="Q279" s="44"/>
      <c r="R279" s="44"/>
      <c r="T279" s="44"/>
      <c r="U279" s="44"/>
      <c r="V279" s="44"/>
      <c r="Y279" s="44"/>
      <c r="Z279" s="44"/>
      <c r="AA279" s="44"/>
      <c r="AB279" s="44"/>
      <c r="AC279" s="44"/>
      <c r="AD279" s="44"/>
      <c r="AE279" s="44"/>
      <c r="AF279" s="44"/>
      <c r="AG279" s="168"/>
      <c r="AH279" s="44"/>
      <c r="AI279" s="44"/>
      <c r="AJ279" s="44"/>
      <c r="AK279" s="168"/>
      <c r="AL279" s="44"/>
      <c r="AM279" s="44"/>
      <c r="AN279" s="44"/>
    </row>
    <row r="280" spans="1:40" x14ac:dyDescent="0.3">
      <c r="A280" s="135"/>
      <c r="B280" s="135"/>
      <c r="C280" s="135"/>
      <c r="D280" s="135"/>
      <c r="E280" s="135"/>
      <c r="F280" s="135"/>
      <c r="G280" s="135"/>
      <c r="H280" s="135"/>
      <c r="I280" s="135"/>
      <c r="J280" s="244"/>
      <c r="K280" s="135"/>
      <c r="L280" s="135"/>
      <c r="M280" s="135"/>
      <c r="N280" s="135"/>
      <c r="O280" s="135"/>
      <c r="P280" s="135"/>
      <c r="Q280" s="135"/>
      <c r="R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207"/>
      <c r="AH280" s="135"/>
      <c r="AI280" s="135"/>
      <c r="AJ280" s="135"/>
      <c r="AK280" s="207"/>
      <c r="AL280" s="135"/>
      <c r="AM280" s="135"/>
      <c r="AN280" s="135"/>
    </row>
    <row r="281" spans="1:40" x14ac:dyDescent="0.3">
      <c r="H281" s="44"/>
      <c r="I281" s="44"/>
      <c r="J281" s="245"/>
      <c r="K281" s="44"/>
      <c r="L281" s="44"/>
      <c r="M281" s="44"/>
      <c r="N281" s="44"/>
      <c r="O281" s="44"/>
      <c r="P281" s="44"/>
      <c r="Q281" s="44"/>
      <c r="R281" s="44"/>
      <c r="Y281" s="44"/>
      <c r="Z281" s="44"/>
      <c r="AA281" s="44"/>
      <c r="AB281" s="44"/>
      <c r="AC281" s="44"/>
      <c r="AD281" s="44"/>
      <c r="AE281" s="44"/>
      <c r="AF281" s="44"/>
      <c r="AG281" s="168"/>
      <c r="AH281" s="44"/>
      <c r="AI281" s="44"/>
      <c r="AJ281" s="44"/>
      <c r="AK281" s="168"/>
      <c r="AL281" s="44"/>
      <c r="AM281" s="44"/>
      <c r="AN281" s="44"/>
    </row>
    <row r="282" spans="1:40" x14ac:dyDescent="0.3">
      <c r="C282" s="42"/>
      <c r="D282" s="42"/>
      <c r="E282" s="42"/>
      <c r="J282" s="188"/>
      <c r="T282" s="42"/>
      <c r="U282" s="42"/>
    </row>
    <row r="283" spans="1:40" x14ac:dyDescent="0.3">
      <c r="D283" s="42"/>
      <c r="E283" s="42"/>
      <c r="J283" s="188"/>
      <c r="U283" s="42"/>
    </row>
    <row r="284" spans="1:40" x14ac:dyDescent="0.3">
      <c r="J284" s="188"/>
    </row>
    <row r="285" spans="1:40" x14ac:dyDescent="0.3">
      <c r="C285" s="42"/>
      <c r="J285" s="188"/>
      <c r="T285" s="42"/>
    </row>
    <row r="286" spans="1:40" x14ac:dyDescent="0.3">
      <c r="C286" s="42"/>
      <c r="F286" s="184"/>
      <c r="H286" s="184"/>
      <c r="I286" s="184"/>
      <c r="J286" s="238"/>
      <c r="K286" s="238"/>
      <c r="L286" s="123"/>
      <c r="M286" s="123"/>
      <c r="N286" s="160"/>
      <c r="O286" s="160"/>
      <c r="P286" s="123"/>
      <c r="Q286" s="123"/>
      <c r="R286" s="123"/>
      <c r="T286" s="42"/>
      <c r="V286" s="184"/>
      <c r="W286" s="123"/>
      <c r="X286" s="123"/>
      <c r="Y286" s="184"/>
      <c r="Z286" s="238"/>
      <c r="AA286" s="123"/>
      <c r="AB286" s="123"/>
      <c r="AC286" s="160"/>
      <c r="AD286" s="160"/>
      <c r="AE286" s="123"/>
      <c r="AF286" s="123"/>
      <c r="AH286" s="236"/>
      <c r="AI286" s="123"/>
      <c r="AJ286" s="123"/>
      <c r="AL286" s="123"/>
      <c r="AM286" s="160"/>
      <c r="AN286" s="160"/>
    </row>
    <row r="287" spans="1:40" x14ac:dyDescent="0.3">
      <c r="C287" s="42"/>
      <c r="F287" s="123"/>
      <c r="H287" s="123"/>
      <c r="I287" s="123"/>
      <c r="J287" s="238"/>
      <c r="K287" s="213"/>
      <c r="L287" s="123"/>
      <c r="M287" s="123"/>
      <c r="N287" s="160"/>
      <c r="O287" s="160"/>
      <c r="P287" s="123"/>
      <c r="Q287" s="123"/>
      <c r="R287" s="123"/>
      <c r="T287" s="42"/>
      <c r="V287" s="184"/>
      <c r="W287" s="123"/>
      <c r="X287" s="123"/>
      <c r="Y287" s="184"/>
      <c r="Z287" s="213"/>
      <c r="AA287" s="123"/>
      <c r="AB287" s="123"/>
      <c r="AC287" s="160"/>
      <c r="AD287" s="160"/>
      <c r="AE287" s="123"/>
      <c r="AF287" s="123"/>
      <c r="AH287" s="236"/>
      <c r="AI287" s="123"/>
      <c r="AJ287" s="123"/>
      <c r="AL287" s="123"/>
      <c r="AM287" s="160"/>
      <c r="AN287" s="160"/>
    </row>
    <row r="288" spans="1:40" x14ac:dyDescent="0.3">
      <c r="C288" s="42"/>
      <c r="F288" s="184"/>
      <c r="H288" s="184"/>
      <c r="I288" s="184"/>
      <c r="J288" s="238"/>
      <c r="K288" s="238"/>
      <c r="L288" s="123"/>
      <c r="M288" s="123"/>
      <c r="N288" s="160"/>
      <c r="O288" s="160"/>
      <c r="P288" s="123"/>
      <c r="Q288" s="123"/>
      <c r="R288" s="123"/>
      <c r="T288" s="42"/>
      <c r="V288" s="184"/>
      <c r="W288" s="123"/>
      <c r="X288" s="123"/>
      <c r="Y288" s="184"/>
      <c r="Z288" s="238"/>
      <c r="AA288" s="123"/>
      <c r="AB288" s="123"/>
      <c r="AC288" s="160"/>
      <c r="AD288" s="160"/>
      <c r="AE288" s="123"/>
      <c r="AF288" s="123"/>
      <c r="AH288" s="236"/>
      <c r="AI288" s="123"/>
      <c r="AJ288" s="123"/>
      <c r="AL288" s="123"/>
      <c r="AM288" s="160"/>
      <c r="AN288" s="160"/>
    </row>
    <row r="289" spans="3:40" x14ac:dyDescent="0.3">
      <c r="C289" s="42"/>
      <c r="F289" s="184"/>
      <c r="H289" s="184"/>
      <c r="I289" s="184"/>
      <c r="J289" s="238"/>
      <c r="K289" s="238"/>
      <c r="L289" s="123"/>
      <c r="M289" s="123"/>
      <c r="N289" s="160"/>
      <c r="O289" s="160"/>
      <c r="P289" s="123"/>
      <c r="Q289" s="123"/>
      <c r="R289" s="123"/>
      <c r="T289" s="42"/>
      <c r="V289" s="184"/>
      <c r="W289" s="123"/>
      <c r="X289" s="123"/>
      <c r="Y289" s="184"/>
      <c r="Z289" s="238"/>
      <c r="AA289" s="123"/>
      <c r="AB289" s="123"/>
      <c r="AC289" s="160"/>
      <c r="AD289" s="160"/>
      <c r="AE289" s="123"/>
      <c r="AF289" s="123"/>
      <c r="AH289" s="236"/>
      <c r="AI289" s="123"/>
      <c r="AJ289" s="123"/>
      <c r="AL289" s="123"/>
      <c r="AM289" s="160"/>
      <c r="AN289" s="160"/>
    </row>
    <row r="290" spans="3:40" x14ac:dyDescent="0.3">
      <c r="C290" s="42"/>
      <c r="F290" s="184"/>
      <c r="H290" s="184"/>
      <c r="I290" s="184"/>
      <c r="J290" s="238"/>
      <c r="K290" s="238"/>
      <c r="L290" s="123"/>
      <c r="M290" s="123"/>
      <c r="N290" s="160"/>
      <c r="O290" s="160"/>
      <c r="P290" s="123"/>
      <c r="Q290" s="123"/>
      <c r="R290" s="123"/>
      <c r="T290" s="42"/>
      <c r="V290" s="184"/>
      <c r="W290" s="123"/>
      <c r="X290" s="123"/>
      <c r="Y290" s="184"/>
      <c r="Z290" s="238"/>
      <c r="AA290" s="123"/>
      <c r="AB290" s="123"/>
      <c r="AC290" s="160"/>
      <c r="AD290" s="160"/>
      <c r="AE290" s="123"/>
      <c r="AF290" s="123"/>
      <c r="AH290" s="236"/>
      <c r="AI290" s="123"/>
      <c r="AJ290" s="123"/>
      <c r="AL290" s="123"/>
      <c r="AM290" s="160"/>
      <c r="AN290" s="160"/>
    </row>
    <row r="291" spans="3:40" x14ac:dyDescent="0.3">
      <c r="C291" s="42"/>
      <c r="F291" s="123"/>
      <c r="H291" s="123"/>
      <c r="I291" s="123"/>
      <c r="J291" s="238"/>
      <c r="K291" s="238"/>
      <c r="L291" s="123"/>
      <c r="M291" s="123"/>
      <c r="N291" s="160"/>
      <c r="O291" s="160"/>
      <c r="P291" s="123"/>
      <c r="Q291" s="123"/>
      <c r="R291" s="123"/>
      <c r="T291" s="42"/>
      <c r="V291" s="184"/>
      <c r="W291" s="123"/>
      <c r="X291" s="123"/>
      <c r="Y291" s="184"/>
      <c r="Z291" s="238"/>
      <c r="AA291" s="123"/>
      <c r="AB291" s="123"/>
      <c r="AC291" s="160"/>
      <c r="AD291" s="160"/>
      <c r="AE291" s="123"/>
      <c r="AF291" s="123"/>
      <c r="AH291" s="236"/>
      <c r="AI291" s="123"/>
      <c r="AJ291" s="123"/>
      <c r="AL291" s="123"/>
      <c r="AM291" s="160"/>
      <c r="AN291" s="160"/>
    </row>
    <row r="292" spans="3:40" x14ac:dyDescent="0.3">
      <c r="C292" s="42"/>
      <c r="F292" s="123"/>
      <c r="H292" s="123"/>
      <c r="I292" s="123"/>
      <c r="J292" s="238"/>
      <c r="K292" s="238"/>
      <c r="L292" s="123"/>
      <c r="M292" s="123"/>
      <c r="N292" s="160"/>
      <c r="O292" s="160"/>
      <c r="P292" s="123"/>
      <c r="Q292" s="123"/>
      <c r="R292" s="123"/>
      <c r="T292" s="42"/>
      <c r="V292" s="184"/>
      <c r="W292" s="123"/>
      <c r="X292" s="123"/>
      <c r="Y292" s="184"/>
      <c r="Z292" s="238"/>
      <c r="AA292" s="123"/>
      <c r="AB292" s="123"/>
      <c r="AC292" s="160"/>
      <c r="AD292" s="160"/>
      <c r="AE292" s="123"/>
      <c r="AF292" s="123"/>
      <c r="AH292" s="236"/>
      <c r="AI292" s="123"/>
      <c r="AJ292" s="123"/>
      <c r="AL292" s="123"/>
      <c r="AM292" s="160"/>
      <c r="AN292" s="160"/>
    </row>
    <row r="293" spans="3:40" x14ac:dyDescent="0.3">
      <c r="F293" s="241"/>
      <c r="H293" s="242"/>
      <c r="I293" s="242"/>
      <c r="J293" s="238"/>
      <c r="K293" s="238"/>
      <c r="L293" s="241"/>
      <c r="M293" s="241"/>
      <c r="N293" s="210"/>
      <c r="O293" s="210"/>
      <c r="P293" s="241"/>
      <c r="Q293" s="241"/>
      <c r="R293" s="241"/>
      <c r="V293" s="241"/>
      <c r="W293" s="123"/>
      <c r="X293" s="123"/>
      <c r="Y293" s="241"/>
      <c r="Z293" s="238"/>
      <c r="AA293" s="241"/>
      <c r="AB293" s="241"/>
      <c r="AC293" s="243"/>
      <c r="AD293" s="243"/>
      <c r="AE293" s="241"/>
      <c r="AF293" s="241"/>
      <c r="AH293" s="236"/>
      <c r="AI293" s="241"/>
      <c r="AJ293" s="241"/>
      <c r="AK293" s="207"/>
      <c r="AL293" s="241"/>
      <c r="AM293" s="160"/>
      <c r="AN293" s="160"/>
    </row>
    <row r="294" spans="3:40" x14ac:dyDescent="0.3">
      <c r="C294" s="42"/>
      <c r="F294" s="123"/>
      <c r="H294" s="123"/>
      <c r="I294" s="123"/>
      <c r="J294" s="238"/>
      <c r="K294" s="238"/>
      <c r="L294" s="123"/>
      <c r="M294" s="123"/>
      <c r="N294" s="236"/>
      <c r="O294" s="236"/>
      <c r="P294" s="123"/>
      <c r="Q294" s="123"/>
      <c r="R294" s="123"/>
      <c r="T294" s="44"/>
      <c r="V294" s="123"/>
      <c r="W294" s="123"/>
      <c r="X294" s="123"/>
      <c r="Y294" s="123"/>
      <c r="Z294" s="238"/>
      <c r="AA294" s="123"/>
      <c r="AB294" s="123"/>
      <c r="AC294" s="236"/>
      <c r="AD294" s="236"/>
      <c r="AE294" s="123"/>
      <c r="AF294" s="123"/>
      <c r="AH294" s="236"/>
      <c r="AI294" s="123"/>
      <c r="AJ294" s="123"/>
      <c r="AL294" s="123"/>
      <c r="AM294" s="160"/>
      <c r="AN294" s="160"/>
    </row>
    <row r="295" spans="3:40" x14ac:dyDescent="0.3">
      <c r="F295" s="135"/>
      <c r="H295" s="135"/>
      <c r="I295" s="135"/>
      <c r="J295" s="188"/>
      <c r="L295" s="135"/>
      <c r="M295" s="135"/>
      <c r="N295" s="243"/>
      <c r="O295" s="243"/>
      <c r="P295" s="241"/>
      <c r="Q295" s="241"/>
      <c r="R295" s="241"/>
      <c r="V295" s="241"/>
      <c r="Y295" s="241"/>
      <c r="Z295" s="213"/>
      <c r="AA295" s="241"/>
      <c r="AB295" s="241"/>
      <c r="AC295" s="241"/>
      <c r="AD295" s="241"/>
      <c r="AE295" s="241"/>
      <c r="AF295" s="241"/>
      <c r="AI295" s="241"/>
      <c r="AJ295" s="241"/>
      <c r="AK295" s="207"/>
      <c r="AL295" s="241"/>
      <c r="AM295" s="243"/>
      <c r="AN295" s="243"/>
    </row>
    <row r="296" spans="3:40" x14ac:dyDescent="0.3">
      <c r="J296" s="188"/>
    </row>
    <row r="297" spans="3:40" x14ac:dyDescent="0.3">
      <c r="J297" s="188"/>
    </row>
    <row r="298" spans="3:40" x14ac:dyDescent="0.3">
      <c r="J298" s="188"/>
    </row>
    <row r="299" spans="3:40" x14ac:dyDescent="0.3">
      <c r="J299" s="188"/>
    </row>
    <row r="300" spans="3:40" x14ac:dyDescent="0.3">
      <c r="J300" s="188"/>
      <c r="N300" s="123"/>
      <c r="O300" s="123"/>
      <c r="P300" s="123"/>
      <c r="Q300" s="123"/>
      <c r="R300" s="123"/>
      <c r="V300" s="123"/>
      <c r="Y300" s="123"/>
      <c r="Z300" s="219"/>
      <c r="AA300" s="123"/>
      <c r="AB300" s="123"/>
      <c r="AC300" s="160"/>
      <c r="AD300" s="160"/>
      <c r="AE300" s="123"/>
      <c r="AF300" s="123"/>
      <c r="AH300" s="236"/>
      <c r="AI300" s="123"/>
      <c r="AJ300" s="123"/>
      <c r="AL300" s="123"/>
      <c r="AM300" s="160"/>
      <c r="AN300" s="160"/>
    </row>
    <row r="301" spans="3:40" x14ac:dyDescent="0.3">
      <c r="C301" s="42"/>
      <c r="D301" s="42"/>
      <c r="E301" s="42"/>
      <c r="J301" s="188"/>
      <c r="K301" s="188"/>
      <c r="T301" s="42"/>
      <c r="U301" s="42"/>
      <c r="Z301" s="188"/>
      <c r="AE301" s="123"/>
      <c r="AF301" s="123"/>
      <c r="AI301" s="123"/>
      <c r="AJ301" s="123"/>
      <c r="AL301" s="123"/>
      <c r="AM301" s="160"/>
      <c r="AN301" s="160"/>
    </row>
    <row r="302" spans="3:40" x14ac:dyDescent="0.3">
      <c r="D302" s="42"/>
      <c r="E302" s="42"/>
      <c r="F302" s="123"/>
      <c r="H302" s="123"/>
      <c r="I302" s="123"/>
      <c r="J302" s="238"/>
      <c r="K302" s="238"/>
      <c r="L302" s="123"/>
      <c r="M302" s="123"/>
      <c r="N302" s="160"/>
      <c r="O302" s="160"/>
      <c r="P302" s="123"/>
      <c r="Q302" s="123"/>
      <c r="R302" s="123"/>
      <c r="U302" s="42"/>
      <c r="V302" s="123"/>
      <c r="Y302" s="123"/>
      <c r="Z302" s="238"/>
      <c r="AA302" s="123"/>
      <c r="AB302" s="123"/>
      <c r="AC302" s="160"/>
      <c r="AD302" s="160"/>
      <c r="AE302" s="123"/>
      <c r="AF302" s="123"/>
      <c r="AH302" s="236"/>
      <c r="AI302" s="123"/>
      <c r="AJ302" s="123"/>
      <c r="AL302" s="123"/>
      <c r="AM302" s="160"/>
      <c r="AN302" s="160"/>
    </row>
    <row r="303" spans="3:40" x14ac:dyDescent="0.3">
      <c r="F303" s="123"/>
      <c r="H303" s="123"/>
      <c r="I303" s="123"/>
      <c r="J303" s="238"/>
      <c r="K303" s="213"/>
      <c r="L303" s="123"/>
      <c r="M303" s="123"/>
      <c r="N303" s="123"/>
      <c r="O303" s="123"/>
      <c r="P303" s="123"/>
      <c r="Q303" s="123"/>
      <c r="R303" s="123"/>
      <c r="V303" s="123"/>
      <c r="Y303" s="123"/>
      <c r="Z303" s="213"/>
      <c r="AA303" s="123"/>
      <c r="AB303" s="123"/>
      <c r="AC303" s="123"/>
      <c r="AD303" s="123"/>
      <c r="AE303" s="123"/>
      <c r="AF303" s="123"/>
      <c r="AH303" s="236"/>
      <c r="AI303" s="184"/>
      <c r="AJ303" s="184"/>
      <c r="AL303" s="123"/>
      <c r="AM303" s="160"/>
      <c r="AN303" s="160"/>
    </row>
    <row r="304" spans="3:40" x14ac:dyDescent="0.3">
      <c r="C304" s="42"/>
      <c r="F304" s="184"/>
      <c r="H304" s="184"/>
      <c r="I304" s="184"/>
      <c r="J304" s="238"/>
      <c r="K304" s="212"/>
      <c r="L304" s="123"/>
      <c r="M304" s="123"/>
      <c r="N304" s="160"/>
      <c r="O304" s="160"/>
      <c r="P304" s="123"/>
      <c r="Q304" s="123"/>
      <c r="R304" s="123"/>
      <c r="T304" s="42"/>
      <c r="V304" s="184"/>
      <c r="Y304" s="184"/>
      <c r="Z304" s="212"/>
      <c r="AA304" s="123"/>
      <c r="AB304" s="123"/>
      <c r="AC304" s="160"/>
      <c r="AD304" s="160"/>
      <c r="AE304" s="123"/>
      <c r="AF304" s="123"/>
      <c r="AH304" s="236"/>
      <c r="AI304" s="123"/>
      <c r="AJ304" s="123"/>
      <c r="AL304" s="123"/>
      <c r="AM304" s="160"/>
      <c r="AN304" s="160"/>
    </row>
    <row r="305" spans="1:40" x14ac:dyDescent="0.3">
      <c r="F305" s="135"/>
      <c r="H305" s="135"/>
      <c r="I305" s="135"/>
      <c r="J305" s="188"/>
      <c r="L305" s="135"/>
      <c r="M305" s="135"/>
      <c r="N305" s="135"/>
      <c r="O305" s="135"/>
      <c r="P305" s="135"/>
      <c r="Q305" s="135"/>
      <c r="R305" s="135"/>
      <c r="V305" s="135"/>
      <c r="Y305" s="135"/>
      <c r="AA305" s="135"/>
      <c r="AB305" s="135"/>
      <c r="AC305" s="135"/>
      <c r="AD305" s="135"/>
      <c r="AE305" s="135"/>
      <c r="AF305" s="135"/>
      <c r="AG305" s="207"/>
      <c r="AH305" s="135"/>
      <c r="AI305" s="135"/>
      <c r="AJ305" s="135"/>
      <c r="AK305" s="207"/>
      <c r="AL305" s="135"/>
      <c r="AM305" s="135"/>
      <c r="AN305" s="135"/>
    </row>
    <row r="306" spans="1:40" x14ac:dyDescent="0.3">
      <c r="C306" s="44"/>
      <c r="F306" s="184"/>
      <c r="H306" s="184"/>
      <c r="I306" s="184"/>
      <c r="J306" s="238"/>
      <c r="K306" s="193"/>
      <c r="L306" s="184"/>
      <c r="M306" s="184"/>
      <c r="N306" s="160"/>
      <c r="O306" s="160"/>
      <c r="P306" s="184"/>
      <c r="Q306" s="184"/>
      <c r="R306" s="184"/>
      <c r="T306" s="44"/>
      <c r="V306" s="123"/>
      <c r="Y306" s="123"/>
      <c r="Z306" s="219"/>
      <c r="AA306" s="123"/>
      <c r="AB306" s="123"/>
      <c r="AC306" s="160"/>
      <c r="AD306" s="160"/>
      <c r="AH306" s="236"/>
      <c r="AI306" s="123"/>
      <c r="AJ306" s="123"/>
      <c r="AL306" s="123"/>
      <c r="AM306" s="160"/>
      <c r="AN306" s="160"/>
    </row>
    <row r="307" spans="1:40" x14ac:dyDescent="0.3">
      <c r="F307" s="241"/>
      <c r="H307" s="241"/>
      <c r="I307" s="241"/>
      <c r="J307" s="238"/>
      <c r="K307" s="213"/>
      <c r="L307" s="241"/>
      <c r="M307" s="241"/>
      <c r="N307" s="241"/>
      <c r="O307" s="241"/>
      <c r="P307" s="241"/>
      <c r="Q307" s="241"/>
      <c r="R307" s="241"/>
      <c r="V307" s="135"/>
      <c r="Y307" s="135"/>
      <c r="AA307" s="135"/>
      <c r="AB307" s="135"/>
      <c r="AC307" s="135"/>
      <c r="AD307" s="135"/>
      <c r="AE307" s="135"/>
      <c r="AF307" s="135"/>
      <c r="AG307" s="207"/>
      <c r="AH307" s="135"/>
      <c r="AI307" s="135"/>
      <c r="AJ307" s="135"/>
      <c r="AK307" s="207"/>
      <c r="AL307" s="135"/>
      <c r="AM307" s="135"/>
      <c r="AN307" s="135"/>
    </row>
    <row r="308" spans="1:40" x14ac:dyDescent="0.3">
      <c r="F308" s="184"/>
      <c r="H308" s="184"/>
      <c r="I308" s="184"/>
      <c r="J308" s="238"/>
      <c r="K308" s="237"/>
      <c r="L308" s="123"/>
      <c r="M308" s="123"/>
      <c r="N308" s="160"/>
      <c r="O308" s="160"/>
      <c r="P308" s="123"/>
      <c r="Q308" s="123"/>
      <c r="R308" s="123"/>
    </row>
    <row r="309" spans="1:40" x14ac:dyDescent="0.3">
      <c r="A309" s="42"/>
      <c r="F309" s="184"/>
      <c r="H309" s="184"/>
      <c r="I309" s="184"/>
      <c r="J309" s="238"/>
      <c r="K309" s="193"/>
      <c r="L309" s="123"/>
      <c r="M309" s="123"/>
      <c r="N309" s="160"/>
      <c r="O309" s="160"/>
      <c r="P309" s="123"/>
      <c r="Q309" s="123"/>
      <c r="R309" s="123"/>
    </row>
    <row r="310" spans="1:40" x14ac:dyDescent="0.3">
      <c r="F310" s="184"/>
      <c r="H310" s="184"/>
      <c r="I310" s="184"/>
      <c r="J310" s="238"/>
      <c r="K310" s="193"/>
      <c r="L310" s="123"/>
      <c r="M310" s="123"/>
      <c r="N310" s="160"/>
      <c r="O310" s="160"/>
      <c r="P310" s="123"/>
      <c r="Q310" s="123"/>
      <c r="R310" s="123"/>
    </row>
    <row r="311" spans="1:40" x14ac:dyDescent="0.3">
      <c r="A311" s="42"/>
      <c r="J311" s="188"/>
    </row>
    <row r="312" spans="1:40" x14ac:dyDescent="0.3">
      <c r="J312" s="188"/>
    </row>
    <row r="313" spans="1:40" x14ac:dyDescent="0.3">
      <c r="J313" s="188"/>
    </row>
    <row r="314" spans="1:40" x14ac:dyDescent="0.3">
      <c r="H314" s="42"/>
      <c r="I314" s="42"/>
      <c r="J314" s="188"/>
      <c r="Y314" s="42"/>
    </row>
    <row r="315" spans="1:40" x14ac:dyDescent="0.3">
      <c r="J315" s="188"/>
    </row>
    <row r="316" spans="1:40" x14ac:dyDescent="0.3">
      <c r="J316" s="188"/>
      <c r="L316" s="42"/>
      <c r="M316" s="42"/>
      <c r="AA316" s="42"/>
      <c r="AB316" s="42"/>
    </row>
    <row r="317" spans="1:40" x14ac:dyDescent="0.3">
      <c r="J317" s="188"/>
      <c r="R317" s="42"/>
      <c r="AK317" s="206"/>
      <c r="AL317" s="42"/>
    </row>
    <row r="318" spans="1:40" x14ac:dyDescent="0.3">
      <c r="J318" s="188"/>
      <c r="R318" s="42"/>
      <c r="AK318" s="206"/>
      <c r="AL318" s="42"/>
    </row>
    <row r="319" spans="1:40" x14ac:dyDescent="0.3">
      <c r="A319" s="42"/>
      <c r="J319" s="188"/>
      <c r="R319" s="42"/>
      <c r="AK319" s="206"/>
      <c r="AL319" s="42"/>
    </row>
    <row r="320" spans="1:40" x14ac:dyDescent="0.3">
      <c r="J320" s="188"/>
      <c r="L320" s="42"/>
      <c r="M320" s="42"/>
      <c r="AA320" s="42"/>
      <c r="AB320" s="42"/>
    </row>
    <row r="321" spans="1:40" x14ac:dyDescent="0.3">
      <c r="A321" s="135"/>
      <c r="B321" s="135"/>
      <c r="C321" s="135"/>
      <c r="D321" s="135"/>
      <c r="E321" s="135"/>
      <c r="F321" s="135"/>
      <c r="G321" s="135"/>
      <c r="H321" s="135"/>
      <c r="I321" s="135"/>
      <c r="J321" s="244"/>
      <c r="K321" s="135"/>
      <c r="L321" s="135"/>
      <c r="M321" s="135"/>
      <c r="N321" s="135"/>
      <c r="O321" s="135"/>
      <c r="P321" s="135"/>
      <c r="Q321" s="135"/>
      <c r="R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207"/>
      <c r="AH321" s="135"/>
      <c r="AI321" s="135"/>
      <c r="AJ321" s="135"/>
      <c r="AK321" s="207"/>
      <c r="AL321" s="135"/>
      <c r="AM321" s="135"/>
      <c r="AN321" s="135"/>
    </row>
    <row r="322" spans="1:40" x14ac:dyDescent="0.3">
      <c r="J322" s="188"/>
      <c r="L322" s="44"/>
      <c r="M322" s="44"/>
      <c r="N322" s="44"/>
      <c r="O322" s="44"/>
      <c r="R322" s="44"/>
      <c r="AA322" s="44"/>
      <c r="AB322" s="44"/>
      <c r="AC322" s="44"/>
      <c r="AD322" s="44"/>
      <c r="AE322" s="44"/>
      <c r="AF322" s="44"/>
      <c r="AG322" s="168"/>
      <c r="AH322" s="44"/>
      <c r="AK322" s="168"/>
      <c r="AL322" s="44"/>
      <c r="AM322" s="44"/>
      <c r="AN322" s="44"/>
    </row>
    <row r="323" spans="1:40" x14ac:dyDescent="0.3">
      <c r="J323" s="188"/>
      <c r="L323" s="44"/>
      <c r="M323" s="44"/>
      <c r="N323" s="44"/>
      <c r="O323" s="44"/>
      <c r="R323" s="44"/>
      <c r="Z323" s="44"/>
      <c r="AA323" s="44"/>
      <c r="AB323" s="44"/>
      <c r="AC323" s="44"/>
      <c r="AD323" s="44"/>
      <c r="AE323" s="44"/>
      <c r="AF323" s="44"/>
      <c r="AG323" s="168"/>
      <c r="AH323" s="44"/>
      <c r="AK323" s="168"/>
      <c r="AL323" s="44"/>
      <c r="AM323" s="44"/>
      <c r="AN323" s="44"/>
    </row>
    <row r="324" spans="1:40" x14ac:dyDescent="0.3">
      <c r="A324" s="44"/>
      <c r="C324" s="44"/>
      <c r="D324" s="44"/>
      <c r="E324" s="44"/>
      <c r="F324" s="44"/>
      <c r="J324" s="245"/>
      <c r="K324" s="44"/>
      <c r="L324" s="44"/>
      <c r="M324" s="44"/>
      <c r="N324" s="44"/>
      <c r="O324" s="44"/>
      <c r="P324" s="44"/>
      <c r="Q324" s="44"/>
      <c r="R324" s="44"/>
      <c r="T324" s="44"/>
      <c r="U324" s="44"/>
      <c r="V324" s="44"/>
      <c r="Z324" s="44"/>
      <c r="AA324" s="44"/>
      <c r="AB324" s="44"/>
      <c r="AC324" s="44"/>
      <c r="AD324" s="44"/>
      <c r="AE324" s="44"/>
      <c r="AF324" s="44"/>
      <c r="AG324" s="168"/>
      <c r="AH324" s="44"/>
      <c r="AI324" s="44"/>
      <c r="AJ324" s="44"/>
      <c r="AK324" s="168"/>
      <c r="AL324" s="44"/>
      <c r="AM324" s="44"/>
      <c r="AN324" s="44"/>
    </row>
    <row r="325" spans="1:40" x14ac:dyDescent="0.3">
      <c r="A325" s="44"/>
      <c r="C325" s="44"/>
      <c r="D325" s="44"/>
      <c r="E325" s="44"/>
      <c r="F325" s="44"/>
      <c r="H325" s="44"/>
      <c r="I325" s="44"/>
      <c r="J325" s="245"/>
      <c r="K325" s="44"/>
      <c r="L325" s="44"/>
      <c r="M325" s="44"/>
      <c r="N325" s="44"/>
      <c r="O325" s="44"/>
      <c r="P325" s="44"/>
      <c r="Q325" s="44"/>
      <c r="R325" s="44"/>
      <c r="T325" s="44"/>
      <c r="U325" s="44"/>
      <c r="V325" s="44"/>
      <c r="Y325" s="44"/>
      <c r="Z325" s="44"/>
      <c r="AA325" s="44"/>
      <c r="AB325" s="44"/>
      <c r="AC325" s="44"/>
      <c r="AD325" s="44"/>
      <c r="AE325" s="44"/>
      <c r="AF325" s="44"/>
      <c r="AG325" s="168"/>
      <c r="AH325" s="44"/>
      <c r="AI325" s="44"/>
      <c r="AJ325" s="44"/>
      <c r="AK325" s="168"/>
      <c r="AL325" s="44"/>
      <c r="AM325" s="44"/>
      <c r="AN325" s="44"/>
    </row>
    <row r="326" spans="1:40" x14ac:dyDescent="0.3">
      <c r="C326" s="44"/>
      <c r="D326" s="44"/>
      <c r="E326" s="44"/>
      <c r="F326" s="44"/>
      <c r="H326" s="44"/>
      <c r="I326" s="44"/>
      <c r="J326" s="245"/>
      <c r="K326" s="44"/>
      <c r="L326" s="44"/>
      <c r="M326" s="44"/>
      <c r="N326" s="44"/>
      <c r="O326" s="44"/>
      <c r="P326" s="44"/>
      <c r="Q326" s="44"/>
      <c r="R326" s="44"/>
      <c r="T326" s="44"/>
      <c r="U326" s="44"/>
      <c r="V326" s="44"/>
      <c r="Y326" s="44"/>
      <c r="Z326" s="44"/>
      <c r="AA326" s="44"/>
      <c r="AB326" s="44"/>
      <c r="AC326" s="44"/>
      <c r="AD326" s="44"/>
      <c r="AE326" s="44"/>
      <c r="AF326" s="44"/>
      <c r="AG326" s="168"/>
      <c r="AH326" s="44"/>
      <c r="AI326" s="44"/>
      <c r="AJ326" s="44"/>
      <c r="AK326" s="168"/>
      <c r="AL326" s="44"/>
      <c r="AM326" s="44"/>
      <c r="AN326" s="44"/>
    </row>
    <row r="327" spans="1:40" x14ac:dyDescent="0.3">
      <c r="A327" s="135"/>
      <c r="B327" s="135"/>
      <c r="C327" s="135"/>
      <c r="D327" s="135"/>
      <c r="E327" s="135"/>
      <c r="F327" s="135"/>
      <c r="G327" s="135"/>
      <c r="H327" s="135"/>
      <c r="I327" s="135"/>
      <c r="J327" s="244"/>
      <c r="K327" s="135"/>
      <c r="L327" s="135"/>
      <c r="M327" s="135"/>
      <c r="N327" s="135"/>
      <c r="O327" s="135"/>
      <c r="P327" s="135"/>
      <c r="Q327" s="135"/>
      <c r="R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207"/>
      <c r="AH327" s="135"/>
      <c r="AI327" s="135"/>
      <c r="AJ327" s="135"/>
      <c r="AK327" s="207"/>
      <c r="AL327" s="135"/>
      <c r="AM327" s="135"/>
      <c r="AN327" s="135"/>
    </row>
    <row r="328" spans="1:40" x14ac:dyDescent="0.3">
      <c r="H328" s="44"/>
      <c r="I328" s="44"/>
      <c r="J328" s="245"/>
      <c r="K328" s="44"/>
      <c r="L328" s="44"/>
      <c r="M328" s="44"/>
      <c r="N328" s="44"/>
      <c r="O328" s="44"/>
      <c r="P328" s="44"/>
      <c r="Q328" s="44"/>
      <c r="R328" s="44"/>
      <c r="Y328" s="44"/>
      <c r="Z328" s="44"/>
      <c r="AA328" s="44"/>
      <c r="AB328" s="44"/>
      <c r="AC328" s="44"/>
      <c r="AD328" s="44"/>
      <c r="AE328" s="44"/>
      <c r="AF328" s="44"/>
      <c r="AG328" s="168"/>
      <c r="AH328" s="44"/>
      <c r="AI328" s="44"/>
      <c r="AJ328" s="44"/>
      <c r="AK328" s="168"/>
      <c r="AL328" s="44"/>
      <c r="AM328" s="44"/>
      <c r="AN328" s="44"/>
    </row>
    <row r="329" spans="1:40" x14ac:dyDescent="0.3">
      <c r="C329" s="42"/>
      <c r="D329" s="42"/>
      <c r="E329" s="42"/>
      <c r="J329" s="188"/>
      <c r="T329" s="42"/>
      <c r="U329" s="42"/>
    </row>
    <row r="330" spans="1:40" x14ac:dyDescent="0.3">
      <c r="J330" s="188"/>
    </row>
    <row r="331" spans="1:40" x14ac:dyDescent="0.3">
      <c r="C331" s="42"/>
      <c r="J331" s="188"/>
      <c r="T331" s="42"/>
    </row>
    <row r="332" spans="1:40" x14ac:dyDescent="0.3">
      <c r="C332" s="42"/>
      <c r="F332" s="184"/>
      <c r="H332" s="184"/>
      <c r="I332" s="184"/>
      <c r="J332" s="238"/>
      <c r="K332" s="213"/>
      <c r="L332" s="123"/>
      <c r="M332" s="123"/>
      <c r="N332" s="160"/>
      <c r="O332" s="160"/>
      <c r="P332" s="123"/>
      <c r="Q332" s="123"/>
      <c r="R332" s="123"/>
      <c r="T332" s="42"/>
      <c r="V332" s="184"/>
      <c r="Y332" s="184"/>
      <c r="Z332" s="213"/>
      <c r="AA332" s="123"/>
      <c r="AB332" s="123"/>
      <c r="AC332" s="160"/>
      <c r="AD332" s="160"/>
      <c r="AE332" s="123"/>
      <c r="AF332" s="123"/>
      <c r="AH332" s="236"/>
      <c r="AI332" s="123"/>
      <c r="AJ332" s="123"/>
      <c r="AL332" s="123"/>
      <c r="AM332" s="160"/>
      <c r="AN332" s="160"/>
    </row>
    <row r="333" spans="1:40" x14ac:dyDescent="0.3">
      <c r="C333" s="42"/>
      <c r="J333" s="188"/>
      <c r="T333" s="42"/>
    </row>
    <row r="334" spans="1:40" x14ac:dyDescent="0.3">
      <c r="C334" s="42"/>
      <c r="F334" s="184"/>
      <c r="H334" s="184"/>
      <c r="I334" s="184"/>
      <c r="J334" s="238"/>
      <c r="K334" s="238"/>
      <c r="L334" s="123"/>
      <c r="M334" s="123"/>
      <c r="N334" s="160"/>
      <c r="O334" s="160"/>
      <c r="P334" s="123"/>
      <c r="Q334" s="123"/>
      <c r="R334" s="123"/>
      <c r="T334" s="42"/>
      <c r="V334" s="123"/>
      <c r="Y334" s="123"/>
      <c r="Z334" s="238"/>
      <c r="AA334" s="123"/>
      <c r="AB334" s="123"/>
      <c r="AC334" s="160"/>
      <c r="AD334" s="160"/>
      <c r="AE334" s="123"/>
      <c r="AF334" s="123"/>
      <c r="AH334" s="236"/>
      <c r="AI334" s="123"/>
      <c r="AJ334" s="123"/>
      <c r="AL334" s="123"/>
      <c r="AM334" s="160"/>
      <c r="AN334" s="160"/>
    </row>
    <row r="335" spans="1:40" x14ac:dyDescent="0.3">
      <c r="C335" s="42"/>
      <c r="F335" s="184"/>
      <c r="H335" s="184"/>
      <c r="I335" s="184"/>
      <c r="J335" s="238"/>
      <c r="K335" s="238"/>
      <c r="L335" s="123"/>
      <c r="M335" s="123"/>
      <c r="N335" s="160"/>
      <c r="O335" s="160"/>
      <c r="P335" s="123"/>
      <c r="Q335" s="123"/>
      <c r="R335" s="123"/>
      <c r="T335" s="42"/>
      <c r="V335" s="123"/>
      <c r="Y335" s="123"/>
      <c r="Z335" s="238"/>
      <c r="AA335" s="123"/>
      <c r="AB335" s="123"/>
      <c r="AC335" s="160"/>
      <c r="AD335" s="160"/>
      <c r="AE335" s="123"/>
      <c r="AF335" s="123"/>
      <c r="AH335" s="236"/>
      <c r="AI335" s="123"/>
      <c r="AJ335" s="123"/>
      <c r="AL335" s="123"/>
      <c r="AM335" s="160"/>
      <c r="AN335" s="160"/>
    </row>
    <row r="336" spans="1:40" x14ac:dyDescent="0.3">
      <c r="C336" s="42"/>
      <c r="F336" s="184"/>
      <c r="H336" s="184"/>
      <c r="I336" s="184"/>
      <c r="J336" s="238"/>
      <c r="K336" s="238"/>
      <c r="L336" s="123"/>
      <c r="M336" s="123"/>
      <c r="N336" s="160"/>
      <c r="O336" s="160"/>
      <c r="P336" s="123"/>
      <c r="Q336" s="123"/>
      <c r="R336" s="123"/>
      <c r="T336" s="42"/>
      <c r="V336" s="123"/>
      <c r="Y336" s="123"/>
      <c r="Z336" s="238"/>
      <c r="AA336" s="123"/>
      <c r="AB336" s="123"/>
      <c r="AC336" s="160"/>
      <c r="AD336" s="160"/>
      <c r="AE336" s="123"/>
      <c r="AF336" s="123"/>
      <c r="AH336" s="236"/>
      <c r="AI336" s="123"/>
      <c r="AJ336" s="123"/>
      <c r="AL336" s="123"/>
      <c r="AM336" s="160"/>
      <c r="AN336" s="160"/>
    </row>
    <row r="337" spans="3:40" x14ac:dyDescent="0.3">
      <c r="C337" s="42"/>
      <c r="F337" s="184"/>
      <c r="H337" s="184"/>
      <c r="I337" s="184"/>
      <c r="J337" s="238"/>
      <c r="K337" s="238"/>
      <c r="L337" s="123"/>
      <c r="M337" s="123"/>
      <c r="N337" s="160"/>
      <c r="O337" s="160"/>
      <c r="P337" s="123"/>
      <c r="Q337" s="123"/>
      <c r="R337" s="123"/>
      <c r="T337" s="42"/>
      <c r="V337" s="123"/>
      <c r="Y337" s="123"/>
      <c r="Z337" s="238"/>
      <c r="AA337" s="123"/>
      <c r="AB337" s="123"/>
      <c r="AC337" s="160"/>
      <c r="AD337" s="160"/>
      <c r="AE337" s="123"/>
      <c r="AF337" s="123"/>
      <c r="AH337" s="236"/>
      <c r="AI337" s="123"/>
      <c r="AJ337" s="123"/>
      <c r="AL337" s="123"/>
      <c r="AM337" s="160"/>
      <c r="AN337" s="160"/>
    </row>
    <row r="338" spans="3:40" x14ac:dyDescent="0.3">
      <c r="C338" s="42"/>
      <c r="J338" s="188"/>
      <c r="K338" s="188"/>
      <c r="T338" s="42"/>
      <c r="Z338" s="188"/>
    </row>
    <row r="339" spans="3:40" x14ac:dyDescent="0.3">
      <c r="C339" s="42"/>
      <c r="F339" s="184"/>
      <c r="H339" s="184"/>
      <c r="I339" s="184"/>
      <c r="J339" s="238"/>
      <c r="K339" s="238"/>
      <c r="L339" s="123"/>
      <c r="M339" s="123"/>
      <c r="N339" s="160"/>
      <c r="O339" s="160"/>
      <c r="P339" s="123"/>
      <c r="Q339" s="123"/>
      <c r="R339" s="123"/>
      <c r="T339" s="42"/>
      <c r="V339" s="123"/>
      <c r="Y339" s="123"/>
      <c r="Z339" s="238"/>
      <c r="AA339" s="123"/>
      <c r="AB339" s="123"/>
      <c r="AC339" s="160"/>
      <c r="AD339" s="160"/>
      <c r="AE339" s="123"/>
      <c r="AF339" s="123"/>
      <c r="AH339" s="236"/>
      <c r="AI339" s="123"/>
      <c r="AJ339" s="123"/>
      <c r="AL339" s="123"/>
      <c r="AM339" s="160"/>
      <c r="AN339" s="160"/>
    </row>
    <row r="340" spans="3:40" x14ac:dyDescent="0.3">
      <c r="C340" s="42"/>
      <c r="F340" s="184"/>
      <c r="H340" s="184"/>
      <c r="I340" s="184"/>
      <c r="J340" s="238"/>
      <c r="K340" s="238"/>
      <c r="L340" s="123"/>
      <c r="M340" s="123"/>
      <c r="N340" s="160"/>
      <c r="O340" s="160"/>
      <c r="P340" s="123"/>
      <c r="Q340" s="123"/>
      <c r="R340" s="123"/>
      <c r="T340" s="42"/>
      <c r="V340" s="123"/>
      <c r="Y340" s="123"/>
      <c r="Z340" s="238"/>
      <c r="AA340" s="123"/>
      <c r="AB340" s="123"/>
      <c r="AC340" s="160"/>
      <c r="AD340" s="160"/>
      <c r="AE340" s="123"/>
      <c r="AF340" s="123"/>
      <c r="AH340" s="236"/>
      <c r="AI340" s="123"/>
      <c r="AJ340" s="123"/>
      <c r="AL340" s="123"/>
      <c r="AM340" s="160"/>
      <c r="AN340" s="160"/>
    </row>
    <row r="341" spans="3:40" x14ac:dyDescent="0.3">
      <c r="C341" s="42"/>
      <c r="F341" s="184"/>
      <c r="H341" s="184"/>
      <c r="I341" s="184"/>
      <c r="J341" s="238"/>
      <c r="K341" s="238"/>
      <c r="L341" s="123"/>
      <c r="M341" s="123"/>
      <c r="N341" s="160"/>
      <c r="O341" s="160"/>
      <c r="P341" s="123"/>
      <c r="Q341" s="123"/>
      <c r="R341" s="123"/>
      <c r="T341" s="42"/>
      <c r="V341" s="123"/>
      <c r="Y341" s="123"/>
      <c r="Z341" s="238"/>
      <c r="AA341" s="123"/>
      <c r="AB341" s="123"/>
      <c r="AC341" s="160"/>
      <c r="AD341" s="160"/>
      <c r="AE341" s="123"/>
      <c r="AF341" s="123"/>
      <c r="AH341" s="236"/>
      <c r="AI341" s="123"/>
      <c r="AJ341" s="123"/>
      <c r="AL341" s="123"/>
      <c r="AM341" s="160"/>
      <c r="AN341" s="160"/>
    </row>
    <row r="342" spans="3:40" x14ac:dyDescent="0.3">
      <c r="C342" s="42"/>
      <c r="J342" s="188"/>
      <c r="K342" s="188"/>
      <c r="T342" s="42"/>
      <c r="Z342" s="188"/>
    </row>
    <row r="343" spans="3:40" x14ac:dyDescent="0.3">
      <c r="C343" s="42"/>
      <c r="F343" s="184"/>
      <c r="H343" s="184"/>
      <c r="I343" s="184"/>
      <c r="J343" s="238"/>
      <c r="K343" s="238"/>
      <c r="L343" s="123"/>
      <c r="M343" s="123"/>
      <c r="N343" s="160"/>
      <c r="O343" s="160"/>
      <c r="P343" s="123"/>
      <c r="Q343" s="123"/>
      <c r="R343" s="123"/>
      <c r="T343" s="42"/>
      <c r="V343" s="123"/>
      <c r="Y343" s="123"/>
      <c r="Z343" s="238"/>
      <c r="AA343" s="123"/>
      <c r="AB343" s="123"/>
      <c r="AC343" s="160"/>
      <c r="AD343" s="160"/>
      <c r="AE343" s="123"/>
      <c r="AF343" s="123"/>
      <c r="AH343" s="236"/>
      <c r="AI343" s="123"/>
      <c r="AJ343" s="123"/>
      <c r="AL343" s="123"/>
      <c r="AM343" s="160"/>
      <c r="AN343" s="160"/>
    </row>
    <row r="344" spans="3:40" x14ac:dyDescent="0.3">
      <c r="C344" s="42"/>
      <c r="F344" s="184"/>
      <c r="H344" s="184"/>
      <c r="I344" s="184"/>
      <c r="J344" s="238"/>
      <c r="K344" s="238"/>
      <c r="L344" s="123"/>
      <c r="M344" s="123"/>
      <c r="N344" s="160"/>
      <c r="O344" s="160"/>
      <c r="P344" s="123"/>
      <c r="Q344" s="123"/>
      <c r="R344" s="123"/>
      <c r="T344" s="42"/>
      <c r="V344" s="123"/>
      <c r="Y344" s="123"/>
      <c r="Z344" s="238"/>
      <c r="AA344" s="123"/>
      <c r="AB344" s="123"/>
      <c r="AC344" s="160"/>
      <c r="AD344" s="160"/>
      <c r="AE344" s="123"/>
      <c r="AF344" s="123"/>
      <c r="AH344" s="236"/>
      <c r="AI344" s="123"/>
      <c r="AJ344" s="123"/>
      <c r="AL344" s="123"/>
      <c r="AM344" s="160"/>
      <c r="AN344" s="160"/>
    </row>
    <row r="345" spans="3:40" x14ac:dyDescent="0.3">
      <c r="C345" s="42"/>
      <c r="J345" s="188"/>
      <c r="K345" s="188"/>
      <c r="T345" s="42"/>
      <c r="Z345" s="188"/>
    </row>
    <row r="346" spans="3:40" x14ac:dyDescent="0.3">
      <c r="C346" s="42"/>
      <c r="F346" s="184"/>
      <c r="H346" s="184"/>
      <c r="I346" s="184"/>
      <c r="J346" s="238"/>
      <c r="K346" s="238"/>
      <c r="L346" s="123"/>
      <c r="M346" s="123"/>
      <c r="N346" s="160"/>
      <c r="O346" s="160"/>
      <c r="P346" s="123"/>
      <c r="Q346" s="123"/>
      <c r="R346" s="123"/>
      <c r="T346" s="42"/>
      <c r="V346" s="123"/>
      <c r="Y346" s="123"/>
      <c r="Z346" s="238"/>
      <c r="AA346" s="123"/>
      <c r="AB346" s="123"/>
      <c r="AC346" s="160"/>
      <c r="AD346" s="160"/>
      <c r="AE346" s="123"/>
      <c r="AF346" s="123"/>
      <c r="AH346" s="236"/>
      <c r="AI346" s="123"/>
      <c r="AJ346" s="123"/>
      <c r="AL346" s="123"/>
      <c r="AM346" s="160"/>
      <c r="AN346" s="160"/>
    </row>
    <row r="347" spans="3:40" x14ac:dyDescent="0.3">
      <c r="C347" s="42"/>
      <c r="F347" s="184"/>
      <c r="H347" s="184"/>
      <c r="I347" s="184"/>
      <c r="J347" s="238"/>
      <c r="K347" s="238"/>
      <c r="L347" s="123"/>
      <c r="M347" s="123"/>
      <c r="N347" s="160"/>
      <c r="O347" s="160"/>
      <c r="P347" s="123"/>
      <c r="Q347" s="123"/>
      <c r="R347" s="123"/>
      <c r="T347" s="42"/>
      <c r="V347" s="123"/>
      <c r="Y347" s="123"/>
      <c r="Z347" s="238"/>
      <c r="AA347" s="123"/>
      <c r="AB347" s="123"/>
      <c r="AC347" s="160"/>
      <c r="AD347" s="160"/>
      <c r="AE347" s="123"/>
      <c r="AF347" s="123"/>
      <c r="AH347" s="236"/>
      <c r="AI347" s="123"/>
      <c r="AJ347" s="123"/>
      <c r="AL347" s="123"/>
      <c r="AM347" s="160"/>
      <c r="AN347" s="160"/>
    </row>
    <row r="348" spans="3:40" x14ac:dyDescent="0.3">
      <c r="C348" s="42"/>
      <c r="F348" s="184"/>
      <c r="H348" s="184"/>
      <c r="I348" s="184"/>
      <c r="J348" s="238"/>
      <c r="K348" s="238"/>
      <c r="L348" s="123"/>
      <c r="M348" s="123"/>
      <c r="N348" s="160"/>
      <c r="O348" s="160"/>
      <c r="P348" s="123"/>
      <c r="Q348" s="123"/>
      <c r="R348" s="123"/>
      <c r="T348" s="42"/>
      <c r="V348" s="123"/>
      <c r="Y348" s="123"/>
      <c r="Z348" s="238"/>
      <c r="AA348" s="123"/>
      <c r="AB348" s="123"/>
      <c r="AC348" s="160"/>
      <c r="AD348" s="160"/>
      <c r="AE348" s="123"/>
      <c r="AF348" s="123"/>
      <c r="AH348" s="236"/>
      <c r="AI348" s="123"/>
      <c r="AJ348" s="123"/>
      <c r="AL348" s="123"/>
      <c r="AM348" s="160"/>
      <c r="AN348" s="160"/>
    </row>
    <row r="349" spans="3:40" x14ac:dyDescent="0.3">
      <c r="F349" s="210"/>
      <c r="H349" s="210"/>
      <c r="I349" s="210"/>
      <c r="J349" s="238"/>
      <c r="K349" s="238"/>
      <c r="L349" s="210"/>
      <c r="M349" s="210"/>
      <c r="N349" s="210"/>
      <c r="O349" s="210"/>
      <c r="P349" s="210"/>
      <c r="Q349" s="210"/>
      <c r="R349" s="210"/>
      <c r="V349" s="210"/>
      <c r="Y349" s="210"/>
      <c r="Z349" s="238"/>
      <c r="AA349" s="210"/>
      <c r="AB349" s="210"/>
      <c r="AC349" s="210"/>
      <c r="AD349" s="210"/>
      <c r="AE349" s="210"/>
      <c r="AF349" s="210"/>
      <c r="AI349" s="210"/>
      <c r="AJ349" s="210"/>
      <c r="AK349" s="214"/>
      <c r="AL349" s="210"/>
    </row>
    <row r="350" spans="3:40" x14ac:dyDescent="0.3">
      <c r="C350" s="44"/>
      <c r="F350" s="123"/>
      <c r="H350" s="123"/>
      <c r="I350" s="123"/>
      <c r="J350" s="188"/>
      <c r="K350" s="188"/>
      <c r="L350" s="123"/>
      <c r="M350" s="123"/>
      <c r="N350" s="236"/>
      <c r="O350" s="236"/>
      <c r="P350" s="123"/>
      <c r="Q350" s="123"/>
      <c r="R350" s="123"/>
      <c r="T350" s="44"/>
      <c r="V350" s="123"/>
      <c r="Y350" s="123"/>
      <c r="Z350" s="188"/>
      <c r="AA350" s="123"/>
      <c r="AB350" s="123"/>
      <c r="AC350" s="123"/>
      <c r="AD350" s="123"/>
      <c r="AE350" s="123"/>
      <c r="AF350" s="123"/>
      <c r="AH350" s="236"/>
      <c r="AI350" s="123"/>
      <c r="AJ350" s="123"/>
      <c r="AL350" s="123"/>
      <c r="AM350" s="160"/>
      <c r="AN350" s="160"/>
    </row>
    <row r="351" spans="3:40" x14ac:dyDescent="0.3">
      <c r="F351" s="210"/>
      <c r="H351" s="210"/>
      <c r="I351" s="210"/>
      <c r="J351" s="238"/>
      <c r="K351" s="238"/>
      <c r="L351" s="210"/>
      <c r="M351" s="210"/>
      <c r="N351" s="210"/>
      <c r="O351" s="210"/>
      <c r="P351" s="210"/>
      <c r="Q351" s="210"/>
      <c r="R351" s="210"/>
      <c r="V351" s="210"/>
      <c r="Y351" s="210"/>
      <c r="Z351" s="238"/>
      <c r="AA351" s="210"/>
      <c r="AB351" s="210"/>
      <c r="AC351" s="210"/>
      <c r="AD351" s="210"/>
      <c r="AE351" s="210"/>
      <c r="AF351" s="210"/>
      <c r="AI351" s="210"/>
      <c r="AJ351" s="210"/>
      <c r="AK351" s="214"/>
      <c r="AL351" s="210"/>
    </row>
    <row r="352" spans="3:40" x14ac:dyDescent="0.3">
      <c r="C352" s="42"/>
      <c r="J352" s="188"/>
      <c r="K352" s="188"/>
      <c r="T352" s="42"/>
      <c r="Z352" s="188"/>
    </row>
    <row r="353" spans="3:40" x14ac:dyDescent="0.3">
      <c r="C353" s="42"/>
      <c r="J353" s="188"/>
      <c r="K353" s="188"/>
      <c r="T353" s="42"/>
      <c r="Z353" s="188"/>
    </row>
    <row r="354" spans="3:40" x14ac:dyDescent="0.3">
      <c r="C354" s="42"/>
      <c r="F354" s="184"/>
      <c r="H354" s="184"/>
      <c r="I354" s="184"/>
      <c r="J354" s="238"/>
      <c r="K354" s="238"/>
      <c r="L354" s="123"/>
      <c r="M354" s="123"/>
      <c r="N354" s="160"/>
      <c r="O354" s="160"/>
      <c r="P354" s="123"/>
      <c r="Q354" s="123"/>
      <c r="R354" s="123"/>
      <c r="T354" s="42"/>
      <c r="V354" s="123"/>
      <c r="Y354" s="123"/>
      <c r="Z354" s="238"/>
      <c r="AA354" s="123"/>
      <c r="AB354" s="123"/>
      <c r="AC354" s="160"/>
      <c r="AD354" s="160"/>
      <c r="AE354" s="123"/>
      <c r="AF354" s="123"/>
      <c r="AH354" s="236"/>
      <c r="AI354" s="123"/>
      <c r="AJ354" s="123"/>
      <c r="AL354" s="123"/>
      <c r="AM354" s="160"/>
      <c r="AN354" s="160"/>
    </row>
    <row r="355" spans="3:40" x14ac:dyDescent="0.3">
      <c r="C355" s="42"/>
      <c r="F355" s="184"/>
      <c r="H355" s="184"/>
      <c r="I355" s="184"/>
      <c r="J355" s="238"/>
      <c r="K355" s="238"/>
      <c r="L355" s="123"/>
      <c r="M355" s="123"/>
      <c r="N355" s="160"/>
      <c r="O355" s="160"/>
      <c r="P355" s="123"/>
      <c r="Q355" s="123"/>
      <c r="R355" s="123"/>
      <c r="T355" s="42"/>
      <c r="V355" s="123"/>
      <c r="Y355" s="123"/>
      <c r="Z355" s="238"/>
      <c r="AA355" s="123"/>
      <c r="AB355" s="123"/>
      <c r="AC355" s="160"/>
      <c r="AD355" s="160"/>
      <c r="AE355" s="123"/>
      <c r="AF355" s="123"/>
      <c r="AH355" s="236"/>
      <c r="AI355" s="123"/>
      <c r="AJ355" s="123"/>
      <c r="AL355" s="123"/>
      <c r="AM355" s="160"/>
      <c r="AN355" s="160"/>
    </row>
    <row r="356" spans="3:40" x14ac:dyDescent="0.3">
      <c r="C356" s="42"/>
      <c r="F356" s="184"/>
      <c r="H356" s="184"/>
      <c r="I356" s="184"/>
      <c r="J356" s="238"/>
      <c r="K356" s="238"/>
      <c r="L356" s="123"/>
      <c r="M356" s="123"/>
      <c r="N356" s="160"/>
      <c r="O356" s="160"/>
      <c r="P356" s="123"/>
      <c r="Q356" s="123"/>
      <c r="R356" s="123"/>
      <c r="T356" s="42"/>
      <c r="V356" s="123"/>
      <c r="Y356" s="123"/>
      <c r="Z356" s="238"/>
      <c r="AA356" s="123"/>
      <c r="AB356" s="123"/>
      <c r="AC356" s="160"/>
      <c r="AD356" s="160"/>
      <c r="AE356" s="123"/>
      <c r="AF356" s="123"/>
      <c r="AH356" s="236"/>
      <c r="AI356" s="123"/>
      <c r="AJ356" s="123"/>
      <c r="AL356" s="123"/>
      <c r="AM356" s="160"/>
      <c r="AN356" s="160"/>
    </row>
    <row r="357" spans="3:40" x14ac:dyDescent="0.3">
      <c r="C357" s="42"/>
      <c r="F357" s="184"/>
      <c r="H357" s="184"/>
      <c r="I357" s="184"/>
      <c r="J357" s="238"/>
      <c r="K357" s="238"/>
      <c r="L357" s="123"/>
      <c r="M357" s="123"/>
      <c r="N357" s="160"/>
      <c r="O357" s="160"/>
      <c r="P357" s="123"/>
      <c r="Q357" s="123"/>
      <c r="R357" s="123"/>
      <c r="T357" s="42"/>
      <c r="V357" s="123"/>
      <c r="Y357" s="123"/>
      <c r="Z357" s="238"/>
      <c r="AA357" s="123"/>
      <c r="AB357" s="123"/>
      <c r="AC357" s="160"/>
      <c r="AD357" s="160"/>
      <c r="AE357" s="123"/>
      <c r="AF357" s="123"/>
      <c r="AH357" s="236"/>
      <c r="AI357" s="123"/>
      <c r="AJ357" s="123"/>
      <c r="AL357" s="123"/>
      <c r="AM357" s="160"/>
      <c r="AN357" s="160"/>
    </row>
    <row r="358" spans="3:40" x14ac:dyDescent="0.3">
      <c r="C358" s="42"/>
      <c r="F358" s="184"/>
      <c r="H358" s="184"/>
      <c r="I358" s="184"/>
      <c r="J358" s="238"/>
      <c r="K358" s="238"/>
      <c r="L358" s="123"/>
      <c r="M358" s="123"/>
      <c r="N358" s="160"/>
      <c r="O358" s="160"/>
      <c r="P358" s="123"/>
      <c r="Q358" s="123"/>
      <c r="R358" s="123"/>
      <c r="T358" s="42"/>
      <c r="V358" s="123"/>
      <c r="Y358" s="123"/>
      <c r="Z358" s="238"/>
      <c r="AA358" s="123"/>
      <c r="AB358" s="123"/>
      <c r="AC358" s="160"/>
      <c r="AD358" s="160"/>
      <c r="AE358" s="123"/>
      <c r="AF358" s="123"/>
      <c r="AH358" s="236"/>
      <c r="AI358" s="123"/>
      <c r="AJ358" s="123"/>
      <c r="AL358" s="123"/>
      <c r="AM358" s="160"/>
      <c r="AN358" s="160"/>
    </row>
    <row r="359" spans="3:40" x14ac:dyDescent="0.3">
      <c r="C359" s="42"/>
      <c r="F359" s="184"/>
      <c r="H359" s="184"/>
      <c r="I359" s="184"/>
      <c r="J359" s="238"/>
      <c r="K359" s="238"/>
      <c r="L359" s="123"/>
      <c r="M359" s="123"/>
      <c r="N359" s="160"/>
      <c r="O359" s="160"/>
      <c r="P359" s="123"/>
      <c r="Q359" s="123"/>
      <c r="R359" s="123"/>
      <c r="T359" s="42"/>
      <c r="V359" s="123"/>
      <c r="Y359" s="123"/>
      <c r="Z359" s="238"/>
      <c r="AA359" s="123"/>
      <c r="AB359" s="123"/>
      <c r="AC359" s="160"/>
      <c r="AD359" s="160"/>
      <c r="AE359" s="123"/>
      <c r="AF359" s="123"/>
      <c r="AH359" s="236"/>
      <c r="AI359" s="123"/>
      <c r="AJ359" s="123"/>
      <c r="AL359" s="123"/>
      <c r="AM359" s="160"/>
      <c r="AN359" s="160"/>
    </row>
    <row r="360" spans="3:40" x14ac:dyDescent="0.3">
      <c r="C360" s="42"/>
      <c r="F360" s="184"/>
      <c r="H360" s="184"/>
      <c r="I360" s="184"/>
      <c r="J360" s="238"/>
      <c r="K360" s="238"/>
      <c r="L360" s="123"/>
      <c r="M360" s="123"/>
      <c r="N360" s="160"/>
      <c r="O360" s="160"/>
      <c r="P360" s="123"/>
      <c r="Q360" s="123"/>
      <c r="R360" s="123"/>
      <c r="T360" s="42"/>
      <c r="V360" s="123"/>
      <c r="Y360" s="123"/>
      <c r="Z360" s="238"/>
      <c r="AA360" s="123"/>
      <c r="AB360" s="123"/>
      <c r="AC360" s="160"/>
      <c r="AD360" s="160"/>
      <c r="AE360" s="123"/>
      <c r="AF360" s="123"/>
      <c r="AH360" s="236"/>
      <c r="AI360" s="123"/>
      <c r="AJ360" s="123"/>
      <c r="AL360" s="123"/>
      <c r="AM360" s="160"/>
      <c r="AN360" s="160"/>
    </row>
    <row r="361" spans="3:40" x14ac:dyDescent="0.3">
      <c r="C361" s="42"/>
      <c r="J361" s="188"/>
      <c r="K361" s="188"/>
      <c r="T361" s="42"/>
      <c r="Z361" s="188"/>
    </row>
    <row r="362" spans="3:40" x14ac:dyDescent="0.3">
      <c r="C362" s="42"/>
      <c r="F362" s="184"/>
      <c r="H362" s="184"/>
      <c r="I362" s="184"/>
      <c r="J362" s="238"/>
      <c r="K362" s="238"/>
      <c r="L362" s="123"/>
      <c r="M362" s="123"/>
      <c r="N362" s="160"/>
      <c r="O362" s="160"/>
      <c r="P362" s="123"/>
      <c r="Q362" s="123"/>
      <c r="R362" s="123"/>
      <c r="T362" s="42"/>
      <c r="V362" s="123"/>
      <c r="Y362" s="123"/>
      <c r="Z362" s="238"/>
      <c r="AA362" s="123"/>
      <c r="AB362" s="123"/>
      <c r="AC362" s="160"/>
      <c r="AD362" s="160"/>
      <c r="AE362" s="123"/>
      <c r="AF362" s="123"/>
      <c r="AH362" s="236"/>
      <c r="AI362" s="123"/>
      <c r="AJ362" s="123"/>
      <c r="AL362" s="123"/>
      <c r="AM362" s="160"/>
      <c r="AN362" s="160"/>
    </row>
    <row r="363" spans="3:40" x14ac:dyDescent="0.3">
      <c r="C363" s="42"/>
      <c r="F363" s="184"/>
      <c r="H363" s="184"/>
      <c r="I363" s="184"/>
      <c r="J363" s="238"/>
      <c r="K363" s="238"/>
      <c r="L363" s="123"/>
      <c r="M363" s="123"/>
      <c r="N363" s="160"/>
      <c r="O363" s="160"/>
      <c r="P363" s="123"/>
      <c r="Q363" s="123"/>
      <c r="R363" s="123"/>
      <c r="T363" s="42"/>
      <c r="V363" s="123"/>
      <c r="Y363" s="123"/>
      <c r="Z363" s="238"/>
      <c r="AA363" s="123"/>
      <c r="AB363" s="123"/>
      <c r="AC363" s="160"/>
      <c r="AD363" s="160"/>
      <c r="AE363" s="123"/>
      <c r="AF363" s="123"/>
      <c r="AH363" s="236"/>
      <c r="AI363" s="123"/>
      <c r="AJ363" s="123"/>
      <c r="AL363" s="123"/>
      <c r="AM363" s="160"/>
      <c r="AN363" s="160"/>
    </row>
    <row r="364" spans="3:40" x14ac:dyDescent="0.3">
      <c r="C364" s="42"/>
      <c r="F364" s="184"/>
      <c r="H364" s="184"/>
      <c r="I364" s="184"/>
      <c r="J364" s="238"/>
      <c r="K364" s="238"/>
      <c r="L364" s="123"/>
      <c r="M364" s="123"/>
      <c r="N364" s="160"/>
      <c r="O364" s="160"/>
      <c r="P364" s="123"/>
      <c r="Q364" s="123"/>
      <c r="R364" s="123"/>
      <c r="T364" s="42"/>
      <c r="V364" s="123"/>
      <c r="Y364" s="123"/>
      <c r="Z364" s="238"/>
      <c r="AA364" s="123"/>
      <c r="AB364" s="123"/>
      <c r="AC364" s="160"/>
      <c r="AD364" s="160"/>
      <c r="AE364" s="123"/>
      <c r="AF364" s="123"/>
      <c r="AH364" s="236"/>
      <c r="AI364" s="123"/>
      <c r="AJ364" s="123"/>
      <c r="AL364" s="123"/>
      <c r="AM364" s="160"/>
      <c r="AN364" s="160"/>
    </row>
    <row r="365" spans="3:40" x14ac:dyDescent="0.3">
      <c r="C365" s="42"/>
      <c r="F365" s="184"/>
      <c r="H365" s="184"/>
      <c r="I365" s="184"/>
      <c r="J365" s="238"/>
      <c r="K365" s="238"/>
      <c r="L365" s="123"/>
      <c r="M365" s="123"/>
      <c r="N365" s="160"/>
      <c r="O365" s="160"/>
      <c r="P365" s="123"/>
      <c r="Q365" s="123"/>
      <c r="R365" s="123"/>
      <c r="T365" s="42"/>
      <c r="V365" s="123"/>
      <c r="Y365" s="123"/>
      <c r="Z365" s="238"/>
      <c r="AA365" s="123"/>
      <c r="AB365" s="123"/>
      <c r="AC365" s="160"/>
      <c r="AD365" s="160"/>
      <c r="AE365" s="123"/>
      <c r="AF365" s="123"/>
      <c r="AH365" s="236"/>
      <c r="AI365" s="123"/>
      <c r="AJ365" s="123"/>
      <c r="AL365" s="123"/>
      <c r="AM365" s="160"/>
      <c r="AN365" s="160"/>
    </row>
    <row r="366" spans="3:40" x14ac:dyDescent="0.3">
      <c r="C366" s="42"/>
      <c r="J366" s="188"/>
      <c r="K366" s="188"/>
      <c r="T366" s="42"/>
      <c r="Z366" s="188"/>
    </row>
    <row r="367" spans="3:40" x14ac:dyDescent="0.3">
      <c r="C367" s="42"/>
      <c r="F367" s="184"/>
      <c r="H367" s="184"/>
      <c r="I367" s="184"/>
      <c r="J367" s="238"/>
      <c r="K367" s="238"/>
      <c r="L367" s="123"/>
      <c r="M367" s="123"/>
      <c r="N367" s="160"/>
      <c r="O367" s="160"/>
      <c r="P367" s="123"/>
      <c r="Q367" s="123"/>
      <c r="R367" s="123"/>
      <c r="T367" s="42"/>
      <c r="V367" s="123"/>
      <c r="Y367" s="123"/>
      <c r="Z367" s="238"/>
      <c r="AA367" s="123"/>
      <c r="AB367" s="123"/>
      <c r="AC367" s="160"/>
      <c r="AD367" s="160"/>
      <c r="AE367" s="123"/>
      <c r="AF367" s="123"/>
      <c r="AH367" s="236"/>
      <c r="AI367" s="123"/>
      <c r="AJ367" s="123"/>
      <c r="AL367" s="123"/>
      <c r="AM367" s="160"/>
      <c r="AN367" s="160"/>
    </row>
    <row r="368" spans="3:40" x14ac:dyDescent="0.3">
      <c r="C368" s="42"/>
      <c r="F368" s="184"/>
      <c r="H368" s="184"/>
      <c r="I368" s="184"/>
      <c r="J368" s="238"/>
      <c r="K368" s="238"/>
      <c r="L368" s="123"/>
      <c r="M368" s="123"/>
      <c r="N368" s="160"/>
      <c r="O368" s="160"/>
      <c r="P368" s="123"/>
      <c r="Q368" s="123"/>
      <c r="R368" s="123"/>
      <c r="T368" s="42"/>
      <c r="V368" s="123"/>
      <c r="Y368" s="123"/>
      <c r="Z368" s="238"/>
      <c r="AA368" s="123"/>
      <c r="AB368" s="123"/>
      <c r="AC368" s="160"/>
      <c r="AD368" s="160"/>
      <c r="AE368" s="123"/>
      <c r="AF368" s="123"/>
      <c r="AH368" s="236"/>
      <c r="AI368" s="123"/>
      <c r="AJ368" s="123"/>
      <c r="AL368" s="123"/>
      <c r="AM368" s="160"/>
      <c r="AN368" s="160"/>
    </row>
    <row r="369" spans="1:40" x14ac:dyDescent="0.3">
      <c r="C369" s="42"/>
      <c r="F369" s="184"/>
      <c r="H369" s="184"/>
      <c r="I369" s="184"/>
      <c r="J369" s="238"/>
      <c r="K369" s="238"/>
      <c r="L369" s="123"/>
      <c r="M369" s="123"/>
      <c r="N369" s="160"/>
      <c r="O369" s="160"/>
      <c r="P369" s="123"/>
      <c r="Q369" s="123"/>
      <c r="R369" s="123"/>
      <c r="T369" s="42"/>
      <c r="V369" s="123"/>
      <c r="Y369" s="123"/>
      <c r="Z369" s="238"/>
      <c r="AA369" s="123"/>
      <c r="AB369" s="123"/>
      <c r="AC369" s="160"/>
      <c r="AD369" s="160"/>
      <c r="AE369" s="123"/>
      <c r="AF369" s="123"/>
      <c r="AH369" s="236"/>
      <c r="AI369" s="123"/>
      <c r="AJ369" s="123"/>
      <c r="AL369" s="123"/>
      <c r="AM369" s="160"/>
      <c r="AN369" s="160"/>
    </row>
    <row r="370" spans="1:40" x14ac:dyDescent="0.3">
      <c r="C370" s="42"/>
      <c r="F370" s="184"/>
      <c r="H370" s="184"/>
      <c r="I370" s="184"/>
      <c r="J370" s="238"/>
      <c r="K370" s="238"/>
      <c r="L370" s="123"/>
      <c r="M370" s="123"/>
      <c r="N370" s="160"/>
      <c r="O370" s="160"/>
      <c r="P370" s="123"/>
      <c r="Q370" s="123"/>
      <c r="R370" s="123"/>
      <c r="T370" s="42"/>
      <c r="V370" s="123"/>
      <c r="Y370" s="123"/>
      <c r="Z370" s="238"/>
      <c r="AA370" s="123"/>
      <c r="AB370" s="123"/>
      <c r="AC370" s="160"/>
      <c r="AD370" s="160"/>
      <c r="AE370" s="123"/>
      <c r="AF370" s="123"/>
      <c r="AH370" s="236"/>
      <c r="AI370" s="123"/>
      <c r="AJ370" s="123"/>
      <c r="AL370" s="123"/>
      <c r="AM370" s="160"/>
      <c r="AN370" s="160"/>
    </row>
    <row r="371" spans="1:40" x14ac:dyDescent="0.3">
      <c r="C371" s="42"/>
      <c r="F371" s="184"/>
      <c r="H371" s="184"/>
      <c r="I371" s="184"/>
      <c r="J371" s="238"/>
      <c r="K371" s="238"/>
      <c r="L371" s="123"/>
      <c r="M371" s="123"/>
      <c r="N371" s="160"/>
      <c r="O371" s="160"/>
      <c r="P371" s="123"/>
      <c r="Q371" s="123"/>
      <c r="R371" s="123"/>
      <c r="T371" s="42"/>
      <c r="V371" s="123"/>
      <c r="Y371" s="123"/>
      <c r="Z371" s="238"/>
      <c r="AA371" s="123"/>
      <c r="AB371" s="123"/>
      <c r="AC371" s="160"/>
      <c r="AD371" s="160"/>
      <c r="AE371" s="123"/>
      <c r="AF371" s="123"/>
      <c r="AH371" s="236"/>
      <c r="AI371" s="123"/>
      <c r="AJ371" s="123"/>
      <c r="AL371" s="123"/>
      <c r="AM371" s="160"/>
      <c r="AN371" s="160"/>
    </row>
    <row r="372" spans="1:40" x14ac:dyDescent="0.3">
      <c r="F372" s="210"/>
      <c r="H372" s="210"/>
      <c r="I372" s="210"/>
      <c r="J372" s="238"/>
      <c r="K372" s="213"/>
      <c r="L372" s="210"/>
      <c r="M372" s="210"/>
      <c r="N372" s="210"/>
      <c r="O372" s="210"/>
      <c r="P372" s="210"/>
      <c r="Q372" s="210"/>
      <c r="R372" s="210"/>
      <c r="V372" s="210"/>
      <c r="Y372" s="210"/>
      <c r="Z372" s="238"/>
      <c r="AA372" s="210"/>
      <c r="AB372" s="210"/>
      <c r="AC372" s="210"/>
      <c r="AD372" s="210"/>
      <c r="AE372" s="210"/>
      <c r="AF372" s="210"/>
      <c r="AI372" s="210"/>
      <c r="AJ372" s="210"/>
      <c r="AK372" s="214"/>
      <c r="AL372" s="210"/>
    </row>
    <row r="373" spans="1:40" x14ac:dyDescent="0.3">
      <c r="C373" s="42"/>
      <c r="F373" s="123"/>
      <c r="H373" s="123"/>
      <c r="I373" s="123"/>
      <c r="J373" s="188"/>
      <c r="L373" s="123"/>
      <c r="M373" s="123"/>
      <c r="N373" s="236"/>
      <c r="O373" s="236"/>
      <c r="P373" s="123"/>
      <c r="Q373" s="123"/>
      <c r="R373" s="123"/>
      <c r="T373" s="42"/>
      <c r="V373" s="123"/>
      <c r="Y373" s="123"/>
      <c r="AA373" s="123"/>
      <c r="AB373" s="123"/>
      <c r="AC373" s="160"/>
      <c r="AD373" s="160"/>
      <c r="AE373" s="123"/>
      <c r="AF373" s="123"/>
      <c r="AH373" s="236"/>
      <c r="AI373" s="123"/>
      <c r="AJ373" s="123"/>
      <c r="AL373" s="123"/>
      <c r="AM373" s="160"/>
      <c r="AN373" s="160"/>
    </row>
    <row r="374" spans="1:40" x14ac:dyDescent="0.3">
      <c r="F374" s="210"/>
      <c r="H374" s="210"/>
      <c r="I374" s="210"/>
      <c r="J374" s="238"/>
      <c r="K374" s="213"/>
      <c r="L374" s="210"/>
      <c r="M374" s="210"/>
      <c r="N374" s="210"/>
      <c r="O374" s="210"/>
      <c r="P374" s="210"/>
      <c r="Q374" s="210"/>
      <c r="R374" s="210"/>
      <c r="V374" s="210"/>
      <c r="Y374" s="210"/>
      <c r="Z374" s="213"/>
      <c r="AA374" s="210"/>
      <c r="AB374" s="210"/>
      <c r="AC374" s="210"/>
      <c r="AD374" s="210"/>
      <c r="AE374" s="210"/>
      <c r="AF374" s="210"/>
      <c r="AI374" s="210"/>
      <c r="AJ374" s="210"/>
      <c r="AK374" s="214"/>
      <c r="AL374" s="210"/>
    </row>
    <row r="375" spans="1:40" x14ac:dyDescent="0.3">
      <c r="C375" s="42"/>
      <c r="J375" s="188"/>
      <c r="T375" s="42"/>
    </row>
    <row r="376" spans="1:40" x14ac:dyDescent="0.3">
      <c r="C376" s="42"/>
      <c r="F376" s="184"/>
      <c r="H376" s="184"/>
      <c r="I376" s="184"/>
      <c r="J376" s="238"/>
      <c r="K376" s="193"/>
      <c r="L376" s="123"/>
      <c r="M376" s="123"/>
      <c r="N376" s="160"/>
      <c r="O376" s="160"/>
      <c r="P376" s="123"/>
      <c r="Q376" s="123"/>
      <c r="R376" s="123"/>
      <c r="T376" s="42"/>
      <c r="V376" s="123"/>
      <c r="Y376" s="123"/>
      <c r="Z376" s="193"/>
      <c r="AA376" s="123"/>
      <c r="AB376" s="123"/>
      <c r="AC376" s="160"/>
      <c r="AD376" s="160"/>
      <c r="AE376" s="123"/>
      <c r="AF376" s="123"/>
      <c r="AH376" s="236"/>
      <c r="AI376" s="123"/>
      <c r="AJ376" s="123"/>
      <c r="AL376" s="123"/>
      <c r="AM376" s="160"/>
      <c r="AN376" s="160"/>
    </row>
    <row r="377" spans="1:40" x14ac:dyDescent="0.3">
      <c r="C377" s="42"/>
      <c r="F377" s="184"/>
      <c r="H377" s="184"/>
      <c r="I377" s="184"/>
      <c r="J377" s="238"/>
      <c r="K377" s="193"/>
      <c r="L377" s="123"/>
      <c r="M377" s="123"/>
      <c r="N377" s="160"/>
      <c r="O377" s="160"/>
      <c r="P377" s="123"/>
      <c r="Q377" s="123"/>
      <c r="R377" s="123"/>
      <c r="T377" s="42"/>
      <c r="V377" s="123"/>
      <c r="Y377" s="123"/>
      <c r="Z377" s="193"/>
      <c r="AA377" s="123"/>
      <c r="AB377" s="123"/>
      <c r="AC377" s="160"/>
      <c r="AD377" s="160"/>
      <c r="AE377" s="123"/>
      <c r="AF377" s="123"/>
      <c r="AH377" s="236"/>
      <c r="AI377" s="123"/>
      <c r="AJ377" s="123"/>
      <c r="AL377" s="123"/>
      <c r="AM377" s="160"/>
      <c r="AN377" s="160"/>
    </row>
    <row r="378" spans="1:40" x14ac:dyDescent="0.3">
      <c r="F378" s="210"/>
      <c r="H378" s="123"/>
      <c r="I378" s="123"/>
      <c r="J378" s="238"/>
      <c r="K378" s="213"/>
      <c r="L378" s="210"/>
      <c r="M378" s="210"/>
      <c r="N378" s="210"/>
      <c r="O378" s="210"/>
      <c r="P378" s="210"/>
      <c r="Q378" s="210"/>
      <c r="R378" s="210"/>
      <c r="V378" s="210"/>
      <c r="Y378" s="123"/>
      <c r="Z378" s="213"/>
      <c r="AA378" s="210"/>
      <c r="AB378" s="210"/>
      <c r="AC378" s="210"/>
      <c r="AD378" s="210"/>
      <c r="AE378" s="210"/>
      <c r="AF378" s="210"/>
      <c r="AI378" s="210"/>
      <c r="AJ378" s="210"/>
      <c r="AK378" s="214"/>
      <c r="AL378" s="210"/>
    </row>
    <row r="379" spans="1:40" x14ac:dyDescent="0.3">
      <c r="F379" s="123"/>
      <c r="H379" s="123"/>
      <c r="I379" s="123"/>
      <c r="J379" s="238"/>
      <c r="K379" s="213"/>
      <c r="L379" s="123"/>
      <c r="M379" s="123"/>
      <c r="N379" s="123"/>
      <c r="O379" s="123"/>
      <c r="P379" s="123"/>
      <c r="Q379" s="123"/>
      <c r="R379" s="123"/>
      <c r="V379" s="123"/>
      <c r="Y379" s="123"/>
      <c r="Z379" s="213"/>
      <c r="AA379" s="123"/>
      <c r="AB379" s="123"/>
      <c r="AC379" s="123"/>
      <c r="AD379" s="123"/>
      <c r="AE379" s="123"/>
      <c r="AF379" s="123"/>
      <c r="AI379" s="123"/>
      <c r="AJ379" s="123"/>
      <c r="AL379" s="123"/>
    </row>
    <row r="380" spans="1:40" x14ac:dyDescent="0.3">
      <c r="C380" s="42"/>
      <c r="F380" s="123"/>
      <c r="H380" s="123"/>
      <c r="I380" s="123"/>
      <c r="J380" s="188"/>
      <c r="L380" s="123"/>
      <c r="M380" s="123"/>
      <c r="N380" s="160"/>
      <c r="O380" s="160"/>
      <c r="P380" s="123"/>
      <c r="Q380" s="123"/>
      <c r="R380" s="123"/>
      <c r="T380" s="42"/>
      <c r="V380" s="123"/>
      <c r="Y380" s="123"/>
      <c r="AA380" s="123"/>
      <c r="AB380" s="123"/>
      <c r="AC380" s="160"/>
      <c r="AD380" s="160"/>
      <c r="AE380" s="123"/>
      <c r="AF380" s="123"/>
      <c r="AH380" s="236"/>
      <c r="AI380" s="184"/>
      <c r="AJ380" s="184"/>
      <c r="AL380" s="123"/>
      <c r="AM380" s="160"/>
      <c r="AN380" s="160"/>
    </row>
    <row r="381" spans="1:40" x14ac:dyDescent="0.3">
      <c r="H381" s="210"/>
      <c r="I381" s="210"/>
      <c r="J381" s="238"/>
      <c r="K381" s="213"/>
      <c r="L381" s="210"/>
      <c r="M381" s="210"/>
      <c r="N381" s="210"/>
      <c r="O381" s="210"/>
      <c r="P381" s="210"/>
      <c r="Q381" s="210"/>
      <c r="R381" s="210"/>
      <c r="V381" s="210"/>
      <c r="Y381" s="210"/>
      <c r="Z381" s="213"/>
      <c r="AA381" s="210"/>
      <c r="AB381" s="210"/>
      <c r="AC381" s="210"/>
      <c r="AD381" s="210"/>
      <c r="AE381" s="210"/>
      <c r="AF381" s="210"/>
      <c r="AI381" s="210"/>
      <c r="AJ381" s="210"/>
      <c r="AK381" s="214"/>
      <c r="AL381" s="210"/>
    </row>
    <row r="382" spans="1:40" x14ac:dyDescent="0.3">
      <c r="F382" s="210"/>
      <c r="J382" s="188"/>
    </row>
    <row r="383" spans="1:40" x14ac:dyDescent="0.3">
      <c r="A383" s="42"/>
      <c r="J383" s="188"/>
      <c r="T383" s="42"/>
    </row>
    <row r="384" spans="1:40" x14ac:dyDescent="0.3">
      <c r="A384" s="42"/>
      <c r="J384" s="188"/>
      <c r="T384" s="42"/>
    </row>
    <row r="385" spans="1:38" x14ac:dyDescent="0.3">
      <c r="A385" s="42"/>
      <c r="J385" s="188"/>
      <c r="T385" s="42"/>
    </row>
    <row r="386" spans="1:38" x14ac:dyDescent="0.3">
      <c r="A386" s="42"/>
      <c r="J386" s="188"/>
      <c r="T386" s="42"/>
    </row>
    <row r="387" spans="1:38" x14ac:dyDescent="0.3">
      <c r="A387" s="42"/>
      <c r="J387" s="188"/>
      <c r="T387" s="42"/>
    </row>
    <row r="388" spans="1:38" x14ac:dyDescent="0.3">
      <c r="A388" s="42"/>
      <c r="J388" s="188"/>
      <c r="T388" s="42"/>
    </row>
    <row r="389" spans="1:38" x14ac:dyDescent="0.3">
      <c r="A389" s="42"/>
      <c r="J389" s="188"/>
      <c r="T389" s="42"/>
    </row>
    <row r="390" spans="1:38" x14ac:dyDescent="0.3">
      <c r="A390" s="42"/>
      <c r="J390" s="188"/>
      <c r="T390" s="42"/>
    </row>
    <row r="391" spans="1:38" x14ac:dyDescent="0.3">
      <c r="A391" s="42"/>
      <c r="J391" s="188"/>
      <c r="T391" s="42"/>
    </row>
    <row r="392" spans="1:38" x14ac:dyDescent="0.3">
      <c r="J392" s="188"/>
    </row>
    <row r="393" spans="1:38" x14ac:dyDescent="0.3">
      <c r="A393" s="42"/>
      <c r="J393" s="188"/>
    </row>
    <row r="394" spans="1:38" x14ac:dyDescent="0.3">
      <c r="J394" s="188"/>
    </row>
    <row r="395" spans="1:38" x14ac:dyDescent="0.3">
      <c r="H395" s="42"/>
      <c r="I395" s="42"/>
      <c r="J395" s="188"/>
      <c r="Y395" s="42"/>
    </row>
    <row r="396" spans="1:38" x14ac:dyDescent="0.3">
      <c r="J396" s="188"/>
    </row>
    <row r="397" spans="1:38" x14ac:dyDescent="0.3">
      <c r="J397" s="188"/>
      <c r="L397" s="42"/>
      <c r="M397" s="42"/>
      <c r="AA397" s="42"/>
      <c r="AB397" s="42"/>
    </row>
    <row r="398" spans="1:38" x14ac:dyDescent="0.3">
      <c r="J398" s="188"/>
      <c r="R398" s="42"/>
      <c r="AK398" s="206"/>
      <c r="AL398" s="42"/>
    </row>
    <row r="399" spans="1:38" x14ac:dyDescent="0.3">
      <c r="J399" s="188"/>
      <c r="R399" s="42"/>
      <c r="AK399" s="206"/>
      <c r="AL399" s="42"/>
    </row>
    <row r="400" spans="1:38" x14ac:dyDescent="0.3">
      <c r="A400" s="42"/>
      <c r="J400" s="188"/>
      <c r="R400" s="42"/>
      <c r="AK400" s="206"/>
      <c r="AL400" s="42"/>
    </row>
    <row r="401" spans="1:40" x14ac:dyDescent="0.3">
      <c r="J401" s="188"/>
      <c r="L401" s="42"/>
      <c r="M401" s="42"/>
      <c r="AA401" s="42"/>
      <c r="AB401" s="42"/>
    </row>
    <row r="402" spans="1:40" x14ac:dyDescent="0.3">
      <c r="A402" s="135"/>
      <c r="B402" s="135"/>
      <c r="C402" s="135"/>
      <c r="D402" s="135"/>
      <c r="E402" s="135"/>
      <c r="F402" s="135"/>
      <c r="G402" s="135"/>
      <c r="H402" s="135"/>
      <c r="I402" s="135"/>
      <c r="J402" s="244"/>
      <c r="K402" s="135"/>
      <c r="L402" s="135"/>
      <c r="M402" s="135"/>
      <c r="N402" s="135"/>
      <c r="O402" s="135"/>
      <c r="P402" s="135"/>
      <c r="Q402" s="135"/>
      <c r="R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207"/>
      <c r="AH402" s="135"/>
      <c r="AI402" s="135"/>
      <c r="AJ402" s="135"/>
      <c r="AK402" s="207"/>
      <c r="AL402" s="135"/>
      <c r="AM402" s="135"/>
      <c r="AN402" s="135"/>
    </row>
    <row r="403" spans="1:40" x14ac:dyDescent="0.3">
      <c r="J403" s="188"/>
      <c r="L403" s="44"/>
      <c r="M403" s="44"/>
      <c r="N403" s="44"/>
      <c r="O403" s="44"/>
      <c r="R403" s="44"/>
      <c r="AA403" s="44"/>
      <c r="AB403" s="44"/>
      <c r="AC403" s="44"/>
      <c r="AD403" s="44"/>
      <c r="AE403" s="44"/>
      <c r="AF403" s="44"/>
      <c r="AG403" s="168"/>
      <c r="AH403" s="44"/>
      <c r="AK403" s="168"/>
      <c r="AL403" s="44"/>
      <c r="AM403" s="44"/>
      <c r="AN403" s="44"/>
    </row>
    <row r="404" spans="1:40" x14ac:dyDescent="0.3">
      <c r="J404" s="188"/>
      <c r="L404" s="44"/>
      <c r="M404" s="44"/>
      <c r="N404" s="44"/>
      <c r="O404" s="44"/>
      <c r="R404" s="44"/>
      <c r="Z404" s="44"/>
      <c r="AA404" s="44"/>
      <c r="AB404" s="44"/>
      <c r="AC404" s="44"/>
      <c r="AD404" s="44"/>
      <c r="AE404" s="44"/>
      <c r="AF404" s="44"/>
      <c r="AG404" s="168"/>
      <c r="AH404" s="44"/>
      <c r="AK404" s="168"/>
      <c r="AL404" s="44"/>
      <c r="AM404" s="44"/>
      <c r="AN404" s="44"/>
    </row>
    <row r="405" spans="1:40" x14ac:dyDescent="0.3">
      <c r="A405" s="44"/>
      <c r="C405" s="44"/>
      <c r="D405" s="44"/>
      <c r="E405" s="44"/>
      <c r="F405" s="44"/>
      <c r="J405" s="245"/>
      <c r="K405" s="44"/>
      <c r="L405" s="44"/>
      <c r="M405" s="44"/>
      <c r="N405" s="44"/>
      <c r="O405" s="44"/>
      <c r="P405" s="44"/>
      <c r="Q405" s="44"/>
      <c r="R405" s="44"/>
      <c r="T405" s="44"/>
      <c r="U405" s="44"/>
      <c r="V405" s="44"/>
      <c r="Z405" s="44"/>
      <c r="AA405" s="44"/>
      <c r="AB405" s="44"/>
      <c r="AC405" s="44"/>
      <c r="AD405" s="44"/>
      <c r="AE405" s="44"/>
      <c r="AF405" s="44"/>
      <c r="AG405" s="168"/>
      <c r="AH405" s="44"/>
      <c r="AI405" s="44"/>
      <c r="AJ405" s="44"/>
      <c r="AK405" s="168"/>
      <c r="AL405" s="44"/>
      <c r="AM405" s="44"/>
      <c r="AN405" s="44"/>
    </row>
    <row r="406" spans="1:40" x14ac:dyDescent="0.3">
      <c r="A406" s="44"/>
      <c r="C406" s="44"/>
      <c r="D406" s="44"/>
      <c r="E406" s="44"/>
      <c r="F406" s="44"/>
      <c r="H406" s="44"/>
      <c r="I406" s="44"/>
      <c r="J406" s="245"/>
      <c r="K406" s="44"/>
      <c r="L406" s="44"/>
      <c r="M406" s="44"/>
      <c r="N406" s="44"/>
      <c r="O406" s="44"/>
      <c r="P406" s="44"/>
      <c r="Q406" s="44"/>
      <c r="R406" s="44"/>
      <c r="T406" s="44"/>
      <c r="U406" s="44"/>
      <c r="V406" s="44"/>
      <c r="Y406" s="44"/>
      <c r="Z406" s="44"/>
      <c r="AA406" s="44"/>
      <c r="AB406" s="44"/>
      <c r="AC406" s="44"/>
      <c r="AD406" s="44"/>
      <c r="AE406" s="44"/>
      <c r="AF406" s="44"/>
      <c r="AG406" s="168"/>
      <c r="AH406" s="44"/>
      <c r="AI406" s="44"/>
      <c r="AJ406" s="44"/>
      <c r="AK406" s="168"/>
      <c r="AL406" s="44"/>
      <c r="AM406" s="44"/>
      <c r="AN406" s="44"/>
    </row>
    <row r="407" spans="1:40" x14ac:dyDescent="0.3">
      <c r="C407" s="44"/>
      <c r="D407" s="44"/>
      <c r="E407" s="44"/>
      <c r="F407" s="44"/>
      <c r="H407" s="44"/>
      <c r="I407" s="44"/>
      <c r="J407" s="245"/>
      <c r="K407" s="44"/>
      <c r="L407" s="44"/>
      <c r="M407" s="44"/>
      <c r="N407" s="44"/>
      <c r="O407" s="44"/>
      <c r="P407" s="44"/>
      <c r="Q407" s="44"/>
      <c r="R407" s="44"/>
      <c r="T407" s="44"/>
      <c r="U407" s="44"/>
      <c r="V407" s="44"/>
      <c r="Y407" s="44"/>
      <c r="Z407" s="44"/>
      <c r="AA407" s="44"/>
      <c r="AB407" s="44"/>
      <c r="AC407" s="44"/>
      <c r="AD407" s="44"/>
      <c r="AE407" s="44"/>
      <c r="AF407" s="44"/>
      <c r="AG407" s="168"/>
      <c r="AH407" s="44"/>
      <c r="AI407" s="44"/>
      <c r="AJ407" s="44"/>
      <c r="AK407" s="168"/>
      <c r="AL407" s="44"/>
      <c r="AM407" s="44"/>
      <c r="AN407" s="44"/>
    </row>
    <row r="408" spans="1:40" x14ac:dyDescent="0.3">
      <c r="A408" s="135"/>
      <c r="B408" s="135"/>
      <c r="C408" s="135"/>
      <c r="D408" s="135"/>
      <c r="E408" s="135"/>
      <c r="F408" s="135"/>
      <c r="G408" s="135"/>
      <c r="H408" s="135"/>
      <c r="I408" s="135"/>
      <c r="J408" s="244"/>
      <c r="K408" s="135"/>
      <c r="L408" s="135"/>
      <c r="M408" s="135"/>
      <c r="N408" s="135"/>
      <c r="O408" s="135"/>
      <c r="P408" s="135"/>
      <c r="Q408" s="135"/>
      <c r="R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207"/>
      <c r="AH408" s="135"/>
      <c r="AI408" s="135"/>
      <c r="AJ408" s="135"/>
      <c r="AK408" s="207"/>
      <c r="AL408" s="135"/>
      <c r="AM408" s="135"/>
      <c r="AN408" s="135"/>
    </row>
    <row r="409" spans="1:40" x14ac:dyDescent="0.3">
      <c r="H409" s="44"/>
      <c r="I409" s="44"/>
      <c r="J409" s="245"/>
      <c r="K409" s="44"/>
      <c r="L409" s="44"/>
      <c r="M409" s="44"/>
      <c r="N409" s="44"/>
      <c r="O409" s="44"/>
      <c r="P409" s="44"/>
      <c r="Q409" s="44"/>
      <c r="R409" s="44"/>
      <c r="Y409" s="44"/>
      <c r="Z409" s="44"/>
      <c r="AA409" s="44"/>
      <c r="AB409" s="44"/>
      <c r="AC409" s="44"/>
      <c r="AD409" s="44"/>
      <c r="AE409" s="44"/>
      <c r="AF409" s="44"/>
      <c r="AG409" s="168"/>
      <c r="AH409" s="44"/>
      <c r="AI409" s="44"/>
      <c r="AJ409" s="44"/>
      <c r="AK409" s="168"/>
      <c r="AL409" s="44"/>
      <c r="AM409" s="44"/>
      <c r="AN409" s="44"/>
    </row>
    <row r="410" spans="1:40" x14ac:dyDescent="0.3">
      <c r="C410" s="42"/>
      <c r="D410" s="42"/>
      <c r="E410" s="42"/>
      <c r="J410" s="188"/>
      <c r="T410" s="42"/>
      <c r="U410" s="42"/>
    </row>
    <row r="411" spans="1:40" x14ac:dyDescent="0.3">
      <c r="D411" s="42"/>
      <c r="E411" s="42"/>
      <c r="J411" s="188"/>
      <c r="U411" s="42"/>
    </row>
    <row r="412" spans="1:40" x14ac:dyDescent="0.3">
      <c r="J412" s="188"/>
    </row>
    <row r="413" spans="1:40" x14ac:dyDescent="0.3">
      <c r="C413" s="42"/>
      <c r="F413" s="123"/>
      <c r="J413" s="188"/>
      <c r="K413" s="209"/>
      <c r="L413" s="123"/>
      <c r="M413" s="123"/>
      <c r="R413" s="123"/>
      <c r="T413" s="42"/>
      <c r="V413" s="123"/>
      <c r="Z413" s="209"/>
      <c r="AA413" s="123"/>
      <c r="AB413" s="123"/>
      <c r="AH413" s="123"/>
      <c r="AL413" s="123"/>
    </row>
    <row r="414" spans="1:40" x14ac:dyDescent="0.3">
      <c r="C414" s="42"/>
      <c r="F414" s="123"/>
      <c r="J414" s="188"/>
      <c r="R414" s="123"/>
      <c r="T414" s="42"/>
      <c r="V414" s="123"/>
      <c r="AH414" s="123"/>
      <c r="AL414" s="123"/>
    </row>
    <row r="415" spans="1:40" x14ac:dyDescent="0.3">
      <c r="J415" s="188"/>
      <c r="AI415" s="123"/>
      <c r="AJ415" s="123"/>
      <c r="AL415" s="123"/>
      <c r="AM415" s="160"/>
      <c r="AN415" s="160"/>
    </row>
    <row r="416" spans="1:40" x14ac:dyDescent="0.3">
      <c r="C416" s="42"/>
      <c r="F416" s="184"/>
      <c r="H416" s="184"/>
      <c r="I416" s="184"/>
      <c r="J416" s="238"/>
      <c r="K416" s="237"/>
      <c r="L416" s="123"/>
      <c r="M416" s="123"/>
      <c r="N416" s="160"/>
      <c r="O416" s="160"/>
      <c r="P416" s="123"/>
      <c r="Q416" s="123"/>
      <c r="R416" s="123"/>
      <c r="T416" s="42"/>
      <c r="V416" s="123"/>
      <c r="Y416" s="123"/>
      <c r="Z416" s="237"/>
      <c r="AA416" s="123"/>
      <c r="AB416" s="123"/>
      <c r="AC416" s="160"/>
      <c r="AD416" s="160"/>
      <c r="AE416" s="123"/>
      <c r="AF416" s="123"/>
      <c r="AH416" s="236"/>
      <c r="AI416" s="123"/>
      <c r="AJ416" s="123"/>
      <c r="AL416" s="123"/>
      <c r="AM416" s="160"/>
      <c r="AN416" s="160"/>
    </row>
    <row r="417" spans="1:40" x14ac:dyDescent="0.3">
      <c r="F417" s="123"/>
      <c r="H417" s="123"/>
      <c r="I417" s="123"/>
      <c r="J417" s="188"/>
      <c r="K417" s="219"/>
      <c r="L417" s="123"/>
      <c r="M417" s="123"/>
      <c r="P417" s="123"/>
      <c r="Q417" s="123"/>
      <c r="R417" s="123"/>
      <c r="V417" s="123"/>
      <c r="Y417" s="123"/>
      <c r="Z417" s="219"/>
      <c r="AA417" s="123"/>
      <c r="AB417" s="123"/>
      <c r="AI417" s="123"/>
      <c r="AJ417" s="123"/>
      <c r="AL417" s="123"/>
      <c r="AM417" s="160"/>
      <c r="AN417" s="160"/>
    </row>
    <row r="418" spans="1:40" x14ac:dyDescent="0.3">
      <c r="F418" s="123"/>
      <c r="J418" s="188"/>
      <c r="R418" s="123"/>
      <c r="V418" s="123"/>
      <c r="AL418" s="123"/>
      <c r="AM418" s="160"/>
      <c r="AN418" s="160"/>
    </row>
    <row r="419" spans="1:40" x14ac:dyDescent="0.3">
      <c r="C419" s="42"/>
      <c r="F419" s="123"/>
      <c r="J419" s="188"/>
      <c r="K419" s="209"/>
      <c r="L419" s="123"/>
      <c r="M419" s="123"/>
      <c r="N419" s="160"/>
      <c r="O419" s="160"/>
      <c r="R419" s="123"/>
      <c r="T419" s="42"/>
      <c r="V419" s="123"/>
      <c r="Z419" s="209"/>
      <c r="AA419" s="123"/>
      <c r="AB419" s="123"/>
      <c r="AC419" s="160"/>
      <c r="AD419" s="160"/>
      <c r="AL419" s="123"/>
      <c r="AM419" s="160"/>
      <c r="AN419" s="160"/>
    </row>
    <row r="420" spans="1:40" x14ac:dyDescent="0.3">
      <c r="C420" s="42"/>
      <c r="F420" s="123"/>
      <c r="H420" s="123"/>
      <c r="I420" s="123"/>
      <c r="J420" s="188"/>
      <c r="K420" s="209"/>
      <c r="L420" s="123"/>
      <c r="M420" s="123"/>
      <c r="N420" s="160"/>
      <c r="O420" s="160"/>
      <c r="P420" s="123"/>
      <c r="Q420" s="123"/>
      <c r="R420" s="123"/>
      <c r="T420" s="42"/>
      <c r="V420" s="123"/>
      <c r="Y420" s="123"/>
      <c r="Z420" s="209"/>
      <c r="AA420" s="123"/>
      <c r="AB420" s="123"/>
      <c r="AC420" s="160"/>
      <c r="AD420" s="160"/>
      <c r="AI420" s="123"/>
      <c r="AJ420" s="123"/>
      <c r="AL420" s="123"/>
      <c r="AM420" s="160"/>
      <c r="AN420" s="160"/>
    </row>
    <row r="421" spans="1:40" x14ac:dyDescent="0.3">
      <c r="C421" s="42"/>
      <c r="J421" s="188"/>
      <c r="T421" s="42"/>
      <c r="AM421" s="160"/>
      <c r="AN421" s="160"/>
    </row>
    <row r="422" spans="1:40" x14ac:dyDescent="0.3">
      <c r="C422" s="42"/>
      <c r="J422" s="188"/>
      <c r="T422" s="42"/>
      <c r="AM422" s="160"/>
      <c r="AN422" s="160"/>
    </row>
    <row r="423" spans="1:40" x14ac:dyDescent="0.3">
      <c r="J423" s="188"/>
      <c r="AM423" s="160"/>
      <c r="AN423" s="160"/>
    </row>
    <row r="424" spans="1:40" x14ac:dyDescent="0.3">
      <c r="C424" s="42"/>
      <c r="F424" s="184"/>
      <c r="H424" s="184"/>
      <c r="I424" s="184"/>
      <c r="J424" s="238"/>
      <c r="K424" s="237"/>
      <c r="L424" s="123"/>
      <c r="M424" s="123"/>
      <c r="N424" s="160"/>
      <c r="O424" s="160"/>
      <c r="P424" s="123"/>
      <c r="Q424" s="123"/>
      <c r="R424" s="123"/>
      <c r="T424" s="42"/>
      <c r="V424" s="123"/>
      <c r="Y424" s="123"/>
      <c r="Z424" s="237"/>
      <c r="AA424" s="123"/>
      <c r="AB424" s="123"/>
      <c r="AC424" s="160"/>
      <c r="AD424" s="160"/>
      <c r="AE424" s="123"/>
      <c r="AF424" s="123"/>
      <c r="AH424" s="236"/>
      <c r="AI424" s="123"/>
      <c r="AJ424" s="123"/>
      <c r="AL424" s="123"/>
      <c r="AM424" s="160"/>
      <c r="AN424" s="160"/>
    </row>
    <row r="425" spans="1:40" x14ac:dyDescent="0.3">
      <c r="F425" s="210"/>
      <c r="H425" s="210"/>
      <c r="I425" s="210"/>
      <c r="J425" s="238"/>
      <c r="K425" s="213"/>
      <c r="L425" s="210"/>
      <c r="M425" s="210"/>
      <c r="N425" s="210"/>
      <c r="O425" s="210"/>
      <c r="P425" s="210"/>
      <c r="Q425" s="210"/>
      <c r="R425" s="210"/>
      <c r="V425" s="210"/>
      <c r="Y425" s="210"/>
      <c r="Z425" s="213"/>
      <c r="AA425" s="210"/>
      <c r="AB425" s="210"/>
      <c r="AC425" s="210"/>
      <c r="AD425" s="210"/>
      <c r="AE425" s="210"/>
      <c r="AF425" s="210"/>
      <c r="AI425" s="210"/>
      <c r="AJ425" s="210"/>
      <c r="AK425" s="214"/>
      <c r="AL425" s="210"/>
      <c r="AM425" s="160"/>
      <c r="AN425" s="160"/>
    </row>
    <row r="426" spans="1:40" x14ac:dyDescent="0.3">
      <c r="H426" s="123"/>
      <c r="I426" s="123"/>
      <c r="J426" s="188"/>
      <c r="Y426" s="123"/>
      <c r="AM426" s="160"/>
      <c r="AN426" s="160"/>
    </row>
    <row r="427" spans="1:40" x14ac:dyDescent="0.3">
      <c r="C427" s="42"/>
      <c r="F427" s="123"/>
      <c r="H427" s="123"/>
      <c r="I427" s="123"/>
      <c r="J427" s="188"/>
      <c r="L427" s="123"/>
      <c r="M427" s="123"/>
      <c r="N427" s="160"/>
      <c r="O427" s="160"/>
      <c r="P427" s="184"/>
      <c r="Q427" s="184"/>
      <c r="R427" s="123"/>
      <c r="T427" s="42"/>
      <c r="V427" s="123"/>
      <c r="Y427" s="123"/>
      <c r="AA427" s="123"/>
      <c r="AB427" s="123"/>
      <c r="AC427" s="160"/>
      <c r="AD427" s="160"/>
      <c r="AE427" s="123"/>
      <c r="AF427" s="123"/>
      <c r="AH427" s="236"/>
      <c r="AI427" s="184"/>
      <c r="AJ427" s="184"/>
      <c r="AL427" s="123"/>
      <c r="AM427" s="160"/>
      <c r="AN427" s="160"/>
    </row>
    <row r="428" spans="1:40" x14ac:dyDescent="0.3">
      <c r="H428" s="210"/>
      <c r="I428" s="210"/>
      <c r="J428" s="238"/>
      <c r="K428" s="213"/>
      <c r="L428" s="210"/>
      <c r="M428" s="210"/>
      <c r="N428" s="210"/>
      <c r="O428" s="210"/>
      <c r="P428" s="210"/>
      <c r="Q428" s="210"/>
      <c r="R428" s="210"/>
      <c r="V428" s="210"/>
      <c r="Y428" s="210"/>
      <c r="Z428" s="213"/>
      <c r="AA428" s="210"/>
      <c r="AB428" s="210"/>
      <c r="AC428" s="210"/>
      <c r="AD428" s="210"/>
      <c r="AE428" s="210"/>
      <c r="AF428" s="210"/>
      <c r="AI428" s="210"/>
      <c r="AJ428" s="210"/>
      <c r="AK428" s="214"/>
      <c r="AL428" s="210"/>
      <c r="AM428" s="160"/>
      <c r="AN428" s="160"/>
    </row>
    <row r="429" spans="1:40" x14ac:dyDescent="0.3">
      <c r="F429" s="210"/>
      <c r="J429" s="188"/>
    </row>
    <row r="430" spans="1:40" x14ac:dyDescent="0.3">
      <c r="F430" s="123"/>
      <c r="H430" s="123"/>
      <c r="I430" s="123"/>
      <c r="J430" s="188"/>
      <c r="K430" s="219"/>
      <c r="L430" s="123"/>
      <c r="M430" s="123"/>
      <c r="N430" s="123"/>
      <c r="O430" s="123"/>
      <c r="P430" s="123"/>
      <c r="Q430" s="123"/>
      <c r="R430" s="123"/>
      <c r="V430" s="123"/>
      <c r="Y430" s="123"/>
      <c r="Z430" s="219"/>
      <c r="AA430" s="123"/>
      <c r="AB430" s="123"/>
      <c r="AC430" s="123"/>
      <c r="AD430" s="123"/>
      <c r="AE430" s="123"/>
      <c r="AF430" s="123"/>
      <c r="AH430" s="123"/>
      <c r="AI430" s="123"/>
      <c r="AJ430" s="123"/>
      <c r="AL430" s="123"/>
    </row>
    <row r="431" spans="1:40" x14ac:dyDescent="0.3">
      <c r="A431" s="42"/>
      <c r="J431" s="188"/>
    </row>
    <row r="432" spans="1:40" x14ac:dyDescent="0.3">
      <c r="J432" s="188"/>
    </row>
    <row r="433" spans="1:40" x14ac:dyDescent="0.3">
      <c r="H433" s="42"/>
      <c r="I433" s="42"/>
      <c r="J433" s="188"/>
      <c r="Y433" s="42"/>
    </row>
    <row r="434" spans="1:40" x14ac:dyDescent="0.3">
      <c r="J434" s="188"/>
    </row>
    <row r="435" spans="1:40" x14ac:dyDescent="0.3">
      <c r="J435" s="188"/>
      <c r="L435" s="42"/>
      <c r="M435" s="42"/>
      <c r="AA435" s="42"/>
      <c r="AB435" s="42"/>
    </row>
    <row r="436" spans="1:40" x14ac:dyDescent="0.3">
      <c r="J436" s="188"/>
      <c r="R436" s="42"/>
      <c r="AK436" s="206"/>
      <c r="AL436" s="42"/>
    </row>
    <row r="437" spans="1:40" x14ac:dyDescent="0.3">
      <c r="J437" s="188"/>
      <c r="R437" s="42"/>
      <c r="AK437" s="206"/>
      <c r="AL437" s="42"/>
    </row>
    <row r="438" spans="1:40" x14ac:dyDescent="0.3">
      <c r="A438" s="42"/>
      <c r="J438" s="188"/>
      <c r="R438" s="42"/>
      <c r="AK438" s="206"/>
      <c r="AL438" s="42"/>
    </row>
    <row r="439" spans="1:40" x14ac:dyDescent="0.3">
      <c r="J439" s="188"/>
      <c r="L439" s="42"/>
      <c r="M439" s="42"/>
      <c r="AA439" s="42"/>
      <c r="AB439" s="42"/>
    </row>
    <row r="440" spans="1:40" x14ac:dyDescent="0.3">
      <c r="A440" s="135"/>
      <c r="B440" s="135"/>
      <c r="C440" s="135"/>
      <c r="D440" s="135"/>
      <c r="E440" s="135"/>
      <c r="F440" s="135"/>
      <c r="G440" s="135"/>
      <c r="H440" s="135"/>
      <c r="I440" s="135"/>
      <c r="J440" s="244"/>
      <c r="K440" s="135"/>
      <c r="L440" s="135"/>
      <c r="M440" s="135"/>
      <c r="N440" s="135"/>
      <c r="O440" s="135"/>
      <c r="P440" s="135"/>
      <c r="Q440" s="135"/>
      <c r="R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207"/>
      <c r="AH440" s="135"/>
      <c r="AI440" s="135"/>
      <c r="AJ440" s="135"/>
      <c r="AK440" s="207"/>
      <c r="AL440" s="135"/>
      <c r="AM440" s="135"/>
      <c r="AN440" s="135"/>
    </row>
    <row r="441" spans="1:40" x14ac:dyDescent="0.3">
      <c r="J441" s="188"/>
      <c r="L441" s="44"/>
      <c r="M441" s="44"/>
      <c r="N441" s="44"/>
      <c r="O441" s="44"/>
      <c r="R441" s="44"/>
      <c r="AA441" s="44"/>
      <c r="AB441" s="44"/>
      <c r="AC441" s="44"/>
      <c r="AD441" s="44"/>
      <c r="AE441" s="44"/>
      <c r="AF441" s="44"/>
      <c r="AG441" s="168"/>
      <c r="AH441" s="44"/>
      <c r="AK441" s="168"/>
      <c r="AL441" s="44"/>
      <c r="AM441" s="44"/>
      <c r="AN441" s="44"/>
    </row>
    <row r="442" spans="1:40" x14ac:dyDescent="0.3">
      <c r="J442" s="188"/>
      <c r="L442" s="44"/>
      <c r="M442" s="44"/>
      <c r="N442" s="44"/>
      <c r="O442" s="44"/>
      <c r="R442" s="44"/>
      <c r="Z442" s="44"/>
      <c r="AA442" s="44"/>
      <c r="AB442" s="44"/>
      <c r="AC442" s="44"/>
      <c r="AD442" s="44"/>
      <c r="AE442" s="44"/>
      <c r="AF442" s="44"/>
      <c r="AG442" s="168"/>
      <c r="AH442" s="44"/>
      <c r="AK442" s="168"/>
      <c r="AL442" s="44"/>
      <c r="AM442" s="44"/>
      <c r="AN442" s="44"/>
    </row>
    <row r="443" spans="1:40" x14ac:dyDescent="0.3">
      <c r="A443" s="44"/>
      <c r="C443" s="44"/>
      <c r="D443" s="44"/>
      <c r="E443" s="44"/>
      <c r="F443" s="44"/>
      <c r="J443" s="245"/>
      <c r="K443" s="44"/>
      <c r="L443" s="44"/>
      <c r="M443" s="44"/>
      <c r="N443" s="44"/>
      <c r="O443" s="44"/>
      <c r="P443" s="44"/>
      <c r="Q443" s="44"/>
      <c r="R443" s="44"/>
      <c r="T443" s="44"/>
      <c r="U443" s="44"/>
      <c r="V443" s="44"/>
      <c r="Z443" s="44"/>
      <c r="AA443" s="44"/>
      <c r="AB443" s="44"/>
      <c r="AC443" s="44"/>
      <c r="AD443" s="44"/>
      <c r="AE443" s="44"/>
      <c r="AF443" s="44"/>
      <c r="AG443" s="168"/>
      <c r="AH443" s="44"/>
      <c r="AI443" s="44"/>
      <c r="AJ443" s="44"/>
      <c r="AK443" s="168"/>
      <c r="AL443" s="44"/>
      <c r="AM443" s="44"/>
      <c r="AN443" s="44"/>
    </row>
    <row r="444" spans="1:40" x14ac:dyDescent="0.3">
      <c r="A444" s="44"/>
      <c r="C444" s="44"/>
      <c r="D444" s="44"/>
      <c r="E444" s="44"/>
      <c r="F444" s="44"/>
      <c r="H444" s="44"/>
      <c r="I444" s="44"/>
      <c r="J444" s="245"/>
      <c r="K444" s="44"/>
      <c r="L444" s="44"/>
      <c r="M444" s="44"/>
      <c r="N444" s="44"/>
      <c r="O444" s="44"/>
      <c r="P444" s="44"/>
      <c r="Q444" s="44"/>
      <c r="R444" s="44"/>
      <c r="T444" s="44"/>
      <c r="U444" s="44"/>
      <c r="V444" s="44"/>
      <c r="Y444" s="44"/>
      <c r="Z444" s="44"/>
      <c r="AA444" s="44"/>
      <c r="AB444" s="44"/>
      <c r="AC444" s="44"/>
      <c r="AD444" s="44"/>
      <c r="AE444" s="44"/>
      <c r="AF444" s="44"/>
      <c r="AG444" s="168"/>
      <c r="AH444" s="44"/>
      <c r="AI444" s="44"/>
      <c r="AJ444" s="44"/>
      <c r="AK444" s="168"/>
      <c r="AL444" s="44"/>
      <c r="AM444" s="44"/>
      <c r="AN444" s="44"/>
    </row>
    <row r="445" spans="1:40" x14ac:dyDescent="0.3">
      <c r="C445" s="44"/>
      <c r="D445" s="44"/>
      <c r="E445" s="44"/>
      <c r="F445" s="44"/>
      <c r="H445" s="44"/>
      <c r="I445" s="44"/>
      <c r="J445" s="245"/>
      <c r="K445" s="44"/>
      <c r="L445" s="44"/>
      <c r="M445" s="44"/>
      <c r="N445" s="44"/>
      <c r="O445" s="44"/>
      <c r="P445" s="44"/>
      <c r="Q445" s="44"/>
      <c r="R445" s="44"/>
      <c r="T445" s="44"/>
      <c r="U445" s="44"/>
      <c r="V445" s="44"/>
      <c r="Y445" s="44"/>
      <c r="Z445" s="44"/>
      <c r="AA445" s="44"/>
      <c r="AB445" s="44"/>
      <c r="AC445" s="44"/>
      <c r="AD445" s="44"/>
      <c r="AE445" s="44"/>
      <c r="AF445" s="44"/>
      <c r="AG445" s="168"/>
      <c r="AH445" s="44"/>
      <c r="AI445" s="44"/>
      <c r="AJ445" s="44"/>
      <c r="AK445" s="168"/>
      <c r="AL445" s="44"/>
      <c r="AM445" s="44"/>
      <c r="AN445" s="44"/>
    </row>
    <row r="446" spans="1:40" x14ac:dyDescent="0.3">
      <c r="A446" s="135"/>
      <c r="B446" s="135"/>
      <c r="C446" s="135"/>
      <c r="D446" s="135"/>
      <c r="E446" s="135"/>
      <c r="F446" s="135"/>
      <c r="G446" s="135"/>
      <c r="H446" s="135"/>
      <c r="I446" s="135"/>
      <c r="J446" s="244"/>
      <c r="K446" s="135"/>
      <c r="L446" s="135"/>
      <c r="M446" s="135"/>
      <c r="N446" s="135"/>
      <c r="O446" s="135"/>
      <c r="P446" s="135"/>
      <c r="Q446" s="135"/>
      <c r="R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207"/>
      <c r="AH446" s="135"/>
      <c r="AI446" s="135"/>
      <c r="AJ446" s="135"/>
      <c r="AK446" s="207"/>
      <c r="AL446" s="135"/>
      <c r="AM446" s="135"/>
      <c r="AN446" s="135"/>
    </row>
    <row r="447" spans="1:40" x14ac:dyDescent="0.3">
      <c r="H447" s="44"/>
      <c r="I447" s="44"/>
      <c r="J447" s="245"/>
      <c r="K447" s="44"/>
      <c r="L447" s="44"/>
      <c r="M447" s="44"/>
      <c r="N447" s="44"/>
      <c r="O447" s="44"/>
      <c r="P447" s="44"/>
      <c r="Q447" s="44"/>
      <c r="R447" s="44"/>
      <c r="Y447" s="44"/>
      <c r="Z447" s="44"/>
      <c r="AA447" s="44"/>
      <c r="AB447" s="44"/>
      <c r="AC447" s="44"/>
      <c r="AD447" s="44"/>
      <c r="AE447" s="44"/>
      <c r="AF447" s="44"/>
      <c r="AG447" s="168"/>
      <c r="AH447" s="44"/>
      <c r="AI447" s="44"/>
      <c r="AJ447" s="44"/>
      <c r="AK447" s="168"/>
      <c r="AL447" s="44"/>
      <c r="AM447" s="44"/>
      <c r="AN447" s="44"/>
    </row>
    <row r="448" spans="1:40" x14ac:dyDescent="0.3">
      <c r="C448" s="42"/>
      <c r="D448" s="42"/>
      <c r="E448" s="42"/>
      <c r="J448" s="188"/>
      <c r="T448" s="42"/>
      <c r="U448" s="42"/>
      <c r="V448" s="123"/>
      <c r="W448" s="123"/>
      <c r="X448" s="123"/>
      <c r="Y448" s="123"/>
      <c r="Z448" s="237"/>
    </row>
    <row r="449" spans="3:40" x14ac:dyDescent="0.3">
      <c r="J449" s="188"/>
    </row>
    <row r="450" spans="3:40" x14ac:dyDescent="0.3">
      <c r="C450" s="42"/>
      <c r="J450" s="188"/>
      <c r="T450" s="42"/>
      <c r="V450" s="123"/>
      <c r="W450" s="123"/>
      <c r="X450" s="123"/>
      <c r="Y450" s="123"/>
      <c r="Z450" s="237"/>
    </row>
    <row r="451" spans="3:40" x14ac:dyDescent="0.3">
      <c r="C451" s="42"/>
      <c r="F451" s="184"/>
      <c r="H451" s="184"/>
      <c r="I451" s="184"/>
      <c r="J451" s="238"/>
      <c r="K451" s="238"/>
      <c r="L451" s="123"/>
      <c r="M451" s="123"/>
      <c r="N451" s="160"/>
      <c r="O451" s="160"/>
      <c r="P451" s="123"/>
      <c r="Q451" s="123"/>
      <c r="R451" s="123"/>
      <c r="T451" s="42"/>
      <c r="V451" s="123"/>
      <c r="W451" s="123"/>
      <c r="X451" s="123"/>
      <c r="Y451" s="123"/>
      <c r="Z451" s="238"/>
      <c r="AA451" s="123"/>
      <c r="AB451" s="123"/>
      <c r="AC451" s="160"/>
      <c r="AD451" s="160"/>
      <c r="AE451" s="123"/>
      <c r="AF451" s="123"/>
      <c r="AH451" s="236"/>
      <c r="AI451" s="123"/>
      <c r="AJ451" s="123"/>
      <c r="AL451" s="123"/>
      <c r="AM451" s="160"/>
      <c r="AN451" s="160"/>
    </row>
    <row r="452" spans="3:40" x14ac:dyDescent="0.3">
      <c r="C452" s="42"/>
      <c r="F452" s="184"/>
      <c r="H452" s="184"/>
      <c r="I452" s="184"/>
      <c r="J452" s="238"/>
      <c r="K452" s="238"/>
      <c r="L452" s="123"/>
      <c r="M452" s="123"/>
      <c r="N452" s="160"/>
      <c r="O452" s="160"/>
      <c r="P452" s="123"/>
      <c r="Q452" s="123"/>
      <c r="R452" s="123"/>
      <c r="T452" s="42"/>
      <c r="V452" s="123"/>
      <c r="W452" s="123"/>
      <c r="X452" s="123"/>
      <c r="Y452" s="123"/>
      <c r="Z452" s="238"/>
      <c r="AA452" s="123"/>
      <c r="AB452" s="123"/>
      <c r="AC452" s="160"/>
      <c r="AD452" s="160"/>
      <c r="AE452" s="123"/>
      <c r="AF452" s="123"/>
      <c r="AH452" s="236"/>
      <c r="AI452" s="123"/>
      <c r="AJ452" s="123"/>
      <c r="AL452" s="123"/>
      <c r="AM452" s="160"/>
      <c r="AN452" s="160"/>
    </row>
    <row r="453" spans="3:40" x14ac:dyDescent="0.3">
      <c r="C453" s="42"/>
      <c r="F453" s="184"/>
      <c r="H453" s="184"/>
      <c r="I453" s="184"/>
      <c r="J453" s="238"/>
      <c r="K453" s="238"/>
      <c r="L453" s="123"/>
      <c r="M453" s="123"/>
      <c r="N453" s="160"/>
      <c r="O453" s="160"/>
      <c r="P453" s="123"/>
      <c r="Q453" s="123"/>
      <c r="R453" s="123"/>
      <c r="T453" s="42"/>
      <c r="V453" s="123"/>
      <c r="W453" s="123"/>
      <c r="X453" s="123"/>
      <c r="Y453" s="123"/>
      <c r="Z453" s="238"/>
      <c r="AA453" s="123"/>
      <c r="AB453" s="123"/>
      <c r="AC453" s="160"/>
      <c r="AD453" s="160"/>
      <c r="AE453" s="123"/>
      <c r="AF453" s="123"/>
      <c r="AH453" s="236"/>
      <c r="AI453" s="123"/>
      <c r="AJ453" s="123"/>
      <c r="AL453" s="123"/>
      <c r="AM453" s="160"/>
      <c r="AN453" s="160"/>
    </row>
    <row r="454" spans="3:40" x14ac:dyDescent="0.3">
      <c r="C454" s="42"/>
      <c r="F454" s="184"/>
      <c r="H454" s="184"/>
      <c r="I454" s="184"/>
      <c r="J454" s="238"/>
      <c r="K454" s="238"/>
      <c r="L454" s="123"/>
      <c r="M454" s="123"/>
      <c r="N454" s="160"/>
      <c r="O454" s="160"/>
      <c r="P454" s="123"/>
      <c r="Q454" s="123"/>
      <c r="R454" s="123"/>
      <c r="T454" s="42"/>
      <c r="V454" s="123"/>
      <c r="W454" s="123"/>
      <c r="X454" s="123"/>
      <c r="Y454" s="123"/>
      <c r="Z454" s="238"/>
      <c r="AA454" s="123"/>
      <c r="AB454" s="123"/>
      <c r="AC454" s="160"/>
      <c r="AD454" s="160"/>
      <c r="AE454" s="123"/>
      <c r="AF454" s="123"/>
      <c r="AH454" s="236"/>
      <c r="AI454" s="123"/>
      <c r="AJ454" s="123"/>
      <c r="AL454" s="123"/>
      <c r="AM454" s="160"/>
      <c r="AN454" s="160"/>
    </row>
    <row r="455" spans="3:40" x14ac:dyDescent="0.3">
      <c r="J455" s="188"/>
      <c r="K455" s="188"/>
      <c r="V455" s="123"/>
      <c r="W455" s="123"/>
      <c r="X455" s="123"/>
      <c r="Y455" s="123"/>
      <c r="Z455" s="238"/>
    </row>
    <row r="456" spans="3:40" x14ac:dyDescent="0.3">
      <c r="C456" s="42"/>
      <c r="F456" s="184"/>
      <c r="H456" s="184"/>
      <c r="I456" s="184"/>
      <c r="J456" s="238"/>
      <c r="K456" s="238"/>
      <c r="L456" s="123"/>
      <c r="M456" s="123"/>
      <c r="N456" s="160"/>
      <c r="O456" s="160"/>
      <c r="P456" s="123"/>
      <c r="Q456" s="123"/>
      <c r="R456" s="123"/>
      <c r="T456" s="42"/>
      <c r="V456" s="123"/>
      <c r="W456" s="123"/>
      <c r="X456" s="123"/>
      <c r="Y456" s="123"/>
      <c r="Z456" s="238"/>
      <c r="AA456" s="123"/>
      <c r="AB456" s="123"/>
      <c r="AC456" s="160"/>
      <c r="AD456" s="160"/>
      <c r="AE456" s="123"/>
      <c r="AF456" s="123"/>
      <c r="AH456" s="236"/>
      <c r="AI456" s="123"/>
      <c r="AJ456" s="123"/>
      <c r="AL456" s="123"/>
      <c r="AM456" s="236"/>
      <c r="AN456" s="236"/>
    </row>
    <row r="457" spans="3:40" x14ac:dyDescent="0.3">
      <c r="C457" s="42"/>
      <c r="J457" s="188"/>
      <c r="K457" s="188"/>
      <c r="T457" s="42"/>
      <c r="V457" s="123"/>
      <c r="W457" s="123"/>
      <c r="X457" s="123"/>
      <c r="Y457" s="123"/>
      <c r="Z457" s="238"/>
    </row>
    <row r="458" spans="3:40" x14ac:dyDescent="0.3">
      <c r="C458" s="42"/>
      <c r="F458" s="184"/>
      <c r="H458" s="184"/>
      <c r="I458" s="184"/>
      <c r="J458" s="238"/>
      <c r="K458" s="238"/>
      <c r="L458" s="123"/>
      <c r="M458" s="123"/>
      <c r="N458" s="160"/>
      <c r="O458" s="160"/>
      <c r="P458" s="123"/>
      <c r="Q458" s="123"/>
      <c r="R458" s="123"/>
      <c r="T458" s="42"/>
      <c r="V458" s="123"/>
      <c r="W458" s="123"/>
      <c r="X458" s="123"/>
      <c r="Y458" s="123"/>
      <c r="Z458" s="238"/>
      <c r="AA458" s="123"/>
      <c r="AB458" s="123"/>
      <c r="AC458" s="160"/>
      <c r="AD458" s="160"/>
      <c r="AE458" s="123"/>
      <c r="AF458" s="123"/>
      <c r="AH458" s="236"/>
      <c r="AI458" s="123"/>
      <c r="AJ458" s="123"/>
      <c r="AL458" s="123"/>
      <c r="AM458" s="236"/>
      <c r="AN458" s="236"/>
    </row>
    <row r="459" spans="3:40" x14ac:dyDescent="0.3">
      <c r="J459" s="188"/>
      <c r="K459" s="188"/>
      <c r="Z459" s="188"/>
    </row>
    <row r="460" spans="3:40" x14ac:dyDescent="0.3">
      <c r="C460" s="42"/>
      <c r="J460" s="188"/>
      <c r="K460" s="188"/>
      <c r="T460" s="42"/>
      <c r="V460" s="123"/>
      <c r="W460" s="123"/>
      <c r="X460" s="123"/>
      <c r="Y460" s="123"/>
      <c r="Z460" s="238"/>
    </row>
    <row r="461" spans="3:40" x14ac:dyDescent="0.3">
      <c r="C461" s="42"/>
      <c r="F461" s="184"/>
      <c r="H461" s="184"/>
      <c r="I461" s="184"/>
      <c r="J461" s="238"/>
      <c r="K461" s="238"/>
      <c r="L461" s="123"/>
      <c r="M461" s="123"/>
      <c r="N461" s="160"/>
      <c r="O461" s="160"/>
      <c r="P461" s="123"/>
      <c r="Q461" s="123"/>
      <c r="R461" s="123"/>
      <c r="T461" s="42"/>
      <c r="V461" s="123"/>
      <c r="W461" s="123"/>
      <c r="X461" s="123"/>
      <c r="Y461" s="123"/>
      <c r="Z461" s="238"/>
      <c r="AA461" s="123"/>
      <c r="AB461" s="123"/>
      <c r="AC461" s="160"/>
      <c r="AD461" s="160"/>
      <c r="AE461" s="123"/>
      <c r="AF461" s="123"/>
      <c r="AH461" s="236"/>
      <c r="AI461" s="123"/>
      <c r="AJ461" s="123"/>
      <c r="AL461" s="123"/>
      <c r="AM461" s="236"/>
      <c r="AN461" s="236"/>
    </row>
    <row r="462" spans="3:40" x14ac:dyDescent="0.3">
      <c r="C462" s="42"/>
      <c r="F462" s="184"/>
      <c r="H462" s="184"/>
      <c r="I462" s="184"/>
      <c r="J462" s="238"/>
      <c r="K462" s="238"/>
      <c r="L462" s="123"/>
      <c r="M462" s="123"/>
      <c r="N462" s="160"/>
      <c r="O462" s="160"/>
      <c r="P462" s="123"/>
      <c r="Q462" s="123"/>
      <c r="R462" s="123"/>
      <c r="T462" s="42"/>
      <c r="V462" s="123"/>
      <c r="W462" s="123"/>
      <c r="X462" s="123"/>
      <c r="Y462" s="123"/>
      <c r="Z462" s="238"/>
      <c r="AA462" s="123"/>
      <c r="AB462" s="123"/>
      <c r="AC462" s="160"/>
      <c r="AD462" s="160"/>
      <c r="AE462" s="123"/>
      <c r="AF462" s="123"/>
      <c r="AH462" s="236"/>
      <c r="AI462" s="123"/>
      <c r="AJ462" s="123"/>
      <c r="AL462" s="123"/>
      <c r="AM462" s="236"/>
      <c r="AN462" s="236"/>
    </row>
    <row r="463" spans="3:40" x14ac:dyDescent="0.3">
      <c r="F463" s="210"/>
      <c r="H463" s="210"/>
      <c r="I463" s="210"/>
      <c r="J463" s="238"/>
      <c r="K463" s="238"/>
      <c r="L463" s="210"/>
      <c r="M463" s="210"/>
      <c r="N463" s="210"/>
      <c r="O463" s="210"/>
      <c r="P463" s="210"/>
      <c r="Q463" s="210"/>
      <c r="R463" s="210"/>
      <c r="V463" s="210"/>
      <c r="Y463" s="210"/>
      <c r="Z463" s="213"/>
      <c r="AA463" s="210"/>
      <c r="AB463" s="210"/>
      <c r="AC463" s="210"/>
      <c r="AD463" s="210"/>
      <c r="AE463" s="210"/>
      <c r="AF463" s="210"/>
      <c r="AI463" s="210"/>
      <c r="AJ463" s="210"/>
      <c r="AK463" s="214"/>
      <c r="AL463" s="210"/>
    </row>
    <row r="464" spans="3:40" x14ac:dyDescent="0.3">
      <c r="C464" s="42"/>
      <c r="F464" s="123"/>
      <c r="H464" s="123"/>
      <c r="I464" s="123"/>
      <c r="J464" s="188"/>
      <c r="L464" s="123"/>
      <c r="M464" s="123"/>
      <c r="N464" s="160"/>
      <c r="O464" s="160"/>
      <c r="P464" s="184"/>
      <c r="Q464" s="184"/>
      <c r="R464" s="123"/>
      <c r="T464" s="42"/>
      <c r="V464" s="123"/>
      <c r="W464" s="123"/>
      <c r="X464" s="123"/>
      <c r="Y464" s="123"/>
      <c r="Z464" s="237"/>
      <c r="AA464" s="123"/>
      <c r="AB464" s="123"/>
      <c r="AC464" s="160"/>
      <c r="AD464" s="160"/>
      <c r="AE464" s="123"/>
      <c r="AF464" s="123"/>
      <c r="AH464" s="236"/>
      <c r="AI464" s="184"/>
      <c r="AJ464" s="184"/>
      <c r="AL464" s="123"/>
      <c r="AM464" s="236"/>
      <c r="AN464" s="236"/>
    </row>
    <row r="465" spans="1:40" x14ac:dyDescent="0.3">
      <c r="H465" s="210"/>
      <c r="I465" s="210"/>
      <c r="J465" s="238"/>
      <c r="K465" s="213"/>
      <c r="L465" s="210"/>
      <c r="M465" s="210"/>
      <c r="N465" s="210"/>
      <c r="O465" s="210"/>
      <c r="P465" s="210"/>
      <c r="Q465" s="210"/>
      <c r="R465" s="210"/>
      <c r="V465" s="210"/>
      <c r="Y465" s="210"/>
      <c r="Z465" s="213"/>
      <c r="AA465" s="210"/>
      <c r="AB465" s="210"/>
      <c r="AC465" s="210"/>
      <c r="AD465" s="210"/>
      <c r="AE465" s="210"/>
      <c r="AF465" s="210"/>
      <c r="AI465" s="210"/>
      <c r="AJ465" s="210"/>
      <c r="AK465" s="214"/>
      <c r="AL465" s="210"/>
    </row>
    <row r="466" spans="1:40" x14ac:dyDescent="0.3">
      <c r="F466" s="210"/>
      <c r="J466" s="188"/>
    </row>
    <row r="467" spans="1:40" x14ac:dyDescent="0.3">
      <c r="J467" s="188"/>
    </row>
    <row r="468" spans="1:40" x14ac:dyDescent="0.3">
      <c r="A468" s="42"/>
      <c r="J468" s="188"/>
    </row>
    <row r="469" spans="1:40" x14ac:dyDescent="0.3">
      <c r="J469" s="188"/>
    </row>
    <row r="470" spans="1:40" x14ac:dyDescent="0.3">
      <c r="H470" s="42"/>
      <c r="I470" s="42"/>
      <c r="J470" s="188"/>
      <c r="Y470" s="42"/>
    </row>
    <row r="471" spans="1:40" x14ac:dyDescent="0.3">
      <c r="J471" s="188"/>
    </row>
    <row r="472" spans="1:40" x14ac:dyDescent="0.3">
      <c r="J472" s="188"/>
      <c r="L472" s="42"/>
      <c r="M472" s="42"/>
      <c r="AA472" s="42"/>
      <c r="AB472" s="42"/>
    </row>
    <row r="473" spans="1:40" x14ac:dyDescent="0.3">
      <c r="J473" s="188"/>
      <c r="R473" s="42"/>
      <c r="AK473" s="206"/>
      <c r="AL473" s="42"/>
    </row>
    <row r="474" spans="1:40" x14ac:dyDescent="0.3">
      <c r="J474" s="188"/>
      <c r="R474" s="42"/>
      <c r="AK474" s="206"/>
      <c r="AL474" s="42"/>
    </row>
    <row r="475" spans="1:40" x14ac:dyDescent="0.3">
      <c r="A475" s="42"/>
      <c r="J475" s="188"/>
      <c r="R475" s="42"/>
      <c r="AK475" s="206"/>
      <c r="AL475" s="42"/>
    </row>
    <row r="476" spans="1:40" x14ac:dyDescent="0.3">
      <c r="J476" s="188"/>
      <c r="L476" s="42"/>
      <c r="M476" s="42"/>
      <c r="AA476" s="42"/>
      <c r="AB476" s="42"/>
    </row>
    <row r="477" spans="1:40" x14ac:dyDescent="0.3">
      <c r="A477" s="135"/>
      <c r="B477" s="135"/>
      <c r="C477" s="135"/>
      <c r="D477" s="135"/>
      <c r="E477" s="135"/>
      <c r="F477" s="135"/>
      <c r="G477" s="135"/>
      <c r="H477" s="135"/>
      <c r="I477" s="135"/>
      <c r="J477" s="244"/>
      <c r="K477" s="135"/>
      <c r="L477" s="135"/>
      <c r="M477" s="135"/>
      <c r="N477" s="135"/>
      <c r="O477" s="135"/>
      <c r="P477" s="135"/>
      <c r="Q477" s="135"/>
      <c r="R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207"/>
      <c r="AH477" s="135"/>
      <c r="AI477" s="135"/>
      <c r="AJ477" s="135"/>
      <c r="AK477" s="207"/>
      <c r="AL477" s="135"/>
      <c r="AM477" s="135"/>
      <c r="AN477" s="135"/>
    </row>
    <row r="478" spans="1:40" x14ac:dyDescent="0.3">
      <c r="J478" s="188"/>
      <c r="L478" s="44"/>
      <c r="M478" s="44"/>
      <c r="N478" s="44"/>
      <c r="O478" s="44"/>
      <c r="R478" s="44"/>
      <c r="AA478" s="44"/>
      <c r="AB478" s="44"/>
      <c r="AC478" s="44"/>
      <c r="AD478" s="44"/>
      <c r="AE478" s="44"/>
      <c r="AF478" s="44"/>
      <c r="AG478" s="168"/>
      <c r="AH478" s="44"/>
      <c r="AK478" s="168"/>
      <c r="AL478" s="44"/>
      <c r="AM478" s="44"/>
      <c r="AN478" s="44"/>
    </row>
    <row r="479" spans="1:40" x14ac:dyDescent="0.3">
      <c r="J479" s="188"/>
      <c r="L479" s="44"/>
      <c r="M479" s="44"/>
      <c r="N479" s="44"/>
      <c r="O479" s="44"/>
      <c r="R479" s="44"/>
      <c r="Z479" s="44"/>
      <c r="AA479" s="44"/>
      <c r="AB479" s="44"/>
      <c r="AC479" s="44"/>
      <c r="AD479" s="44"/>
      <c r="AE479" s="44"/>
      <c r="AF479" s="44"/>
      <c r="AG479" s="168"/>
      <c r="AH479" s="44"/>
      <c r="AK479" s="168"/>
      <c r="AL479" s="44"/>
      <c r="AM479" s="44"/>
      <c r="AN479" s="44"/>
    </row>
    <row r="480" spans="1:40" x14ac:dyDescent="0.3">
      <c r="A480" s="44"/>
      <c r="C480" s="44"/>
      <c r="D480" s="44"/>
      <c r="E480" s="44"/>
      <c r="F480" s="44"/>
      <c r="J480" s="245"/>
      <c r="K480" s="44"/>
      <c r="L480" s="44"/>
      <c r="M480" s="44"/>
      <c r="N480" s="44"/>
      <c r="O480" s="44"/>
      <c r="P480" s="44"/>
      <c r="Q480" s="44"/>
      <c r="R480" s="44"/>
      <c r="T480" s="44"/>
      <c r="U480" s="44"/>
      <c r="V480" s="44"/>
      <c r="Z480" s="44"/>
      <c r="AA480" s="44"/>
      <c r="AB480" s="44"/>
      <c r="AC480" s="44"/>
      <c r="AD480" s="44"/>
      <c r="AE480" s="44"/>
      <c r="AF480" s="44"/>
      <c r="AG480" s="168"/>
      <c r="AH480" s="44"/>
      <c r="AI480" s="44"/>
      <c r="AJ480" s="44"/>
      <c r="AK480" s="168"/>
      <c r="AL480" s="44"/>
      <c r="AM480" s="44"/>
      <c r="AN480" s="44"/>
    </row>
    <row r="481" spans="1:40" x14ac:dyDescent="0.3">
      <c r="A481" s="44"/>
      <c r="C481" s="44"/>
      <c r="D481" s="44"/>
      <c r="E481" s="44"/>
      <c r="F481" s="44"/>
      <c r="H481" s="44"/>
      <c r="I481" s="44"/>
      <c r="J481" s="245"/>
      <c r="K481" s="44"/>
      <c r="L481" s="44"/>
      <c r="M481" s="44"/>
      <c r="N481" s="44"/>
      <c r="O481" s="44"/>
      <c r="P481" s="44"/>
      <c r="Q481" s="44"/>
      <c r="R481" s="44"/>
      <c r="T481" s="44"/>
      <c r="U481" s="44"/>
      <c r="V481" s="44"/>
      <c r="Y481" s="44"/>
      <c r="Z481" s="44"/>
      <c r="AA481" s="44"/>
      <c r="AB481" s="44"/>
      <c r="AC481" s="44"/>
      <c r="AD481" s="44"/>
      <c r="AE481" s="44"/>
      <c r="AF481" s="44"/>
      <c r="AG481" s="168"/>
      <c r="AH481" s="44"/>
      <c r="AI481" s="44"/>
      <c r="AJ481" s="44"/>
      <c r="AK481" s="168"/>
      <c r="AL481" s="44"/>
      <c r="AM481" s="44"/>
      <c r="AN481" s="44"/>
    </row>
    <row r="482" spans="1:40" x14ac:dyDescent="0.3">
      <c r="C482" s="44"/>
      <c r="D482" s="44"/>
      <c r="E482" s="44"/>
      <c r="F482" s="44"/>
      <c r="H482" s="44"/>
      <c r="I482" s="44"/>
      <c r="J482" s="245"/>
      <c r="K482" s="44"/>
      <c r="L482" s="44"/>
      <c r="M482" s="44"/>
      <c r="N482" s="44"/>
      <c r="O482" s="44"/>
      <c r="P482" s="44"/>
      <c r="Q482" s="44"/>
      <c r="R482" s="44"/>
      <c r="T482" s="44"/>
      <c r="U482" s="44"/>
      <c r="V482" s="44"/>
      <c r="Y482" s="44"/>
      <c r="Z482" s="44"/>
      <c r="AA482" s="44"/>
      <c r="AB482" s="44"/>
      <c r="AC482" s="44"/>
      <c r="AD482" s="44"/>
      <c r="AE482" s="44"/>
      <c r="AF482" s="44"/>
      <c r="AG482" s="168"/>
      <c r="AH482" s="44"/>
      <c r="AI482" s="44"/>
      <c r="AJ482" s="44"/>
      <c r="AK482" s="168"/>
      <c r="AL482" s="44"/>
      <c r="AM482" s="44"/>
      <c r="AN482" s="44"/>
    </row>
    <row r="483" spans="1:40" x14ac:dyDescent="0.3">
      <c r="A483" s="135"/>
      <c r="B483" s="135"/>
      <c r="C483" s="135"/>
      <c r="D483" s="135"/>
      <c r="E483" s="135"/>
      <c r="F483" s="135"/>
      <c r="G483" s="135"/>
      <c r="H483" s="135"/>
      <c r="I483" s="135"/>
      <c r="J483" s="244"/>
      <c r="K483" s="135"/>
      <c r="L483" s="135"/>
      <c r="M483" s="135"/>
      <c r="N483" s="135"/>
      <c r="O483" s="135"/>
      <c r="P483" s="135"/>
      <c r="Q483" s="135"/>
      <c r="R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207"/>
      <c r="AH483" s="135"/>
      <c r="AI483" s="135"/>
      <c r="AJ483" s="135"/>
      <c r="AK483" s="207"/>
      <c r="AL483" s="135"/>
      <c r="AM483" s="135"/>
      <c r="AN483" s="135"/>
    </row>
    <row r="484" spans="1:40" x14ac:dyDescent="0.3">
      <c r="H484" s="44"/>
      <c r="I484" s="44"/>
      <c r="J484" s="245"/>
      <c r="K484" s="44"/>
      <c r="L484" s="44"/>
      <c r="M484" s="44"/>
      <c r="N484" s="44"/>
      <c r="O484" s="44"/>
      <c r="P484" s="44"/>
      <c r="Q484" s="44"/>
      <c r="R484" s="44"/>
      <c r="Y484" s="44"/>
      <c r="Z484" s="44"/>
      <c r="AA484" s="44"/>
      <c r="AB484" s="44"/>
      <c r="AC484" s="44"/>
      <c r="AD484" s="44"/>
      <c r="AE484" s="44"/>
      <c r="AF484" s="44"/>
      <c r="AG484" s="168"/>
      <c r="AH484" s="44"/>
      <c r="AI484" s="44"/>
      <c r="AJ484" s="44"/>
      <c r="AK484" s="168"/>
      <c r="AL484" s="44"/>
      <c r="AM484" s="44"/>
      <c r="AN484" s="44"/>
    </row>
    <row r="485" spans="1:40" x14ac:dyDescent="0.3">
      <c r="C485" s="42"/>
      <c r="D485" s="42"/>
      <c r="E485" s="42"/>
      <c r="J485" s="188"/>
      <c r="T485" s="42"/>
      <c r="U485" s="42"/>
    </row>
    <row r="486" spans="1:40" x14ac:dyDescent="0.3">
      <c r="J486" s="188"/>
    </row>
    <row r="487" spans="1:40" x14ac:dyDescent="0.3">
      <c r="C487" s="42"/>
      <c r="J487" s="188"/>
      <c r="T487" s="42"/>
    </row>
    <row r="488" spans="1:40" x14ac:dyDescent="0.3">
      <c r="C488" s="42"/>
      <c r="J488" s="188"/>
      <c r="T488" s="42"/>
    </row>
    <row r="489" spans="1:40" x14ac:dyDescent="0.3">
      <c r="C489" s="42"/>
      <c r="F489" s="184"/>
      <c r="H489" s="184"/>
      <c r="I489" s="184"/>
      <c r="J489" s="238"/>
      <c r="K489" s="238"/>
      <c r="L489" s="123"/>
      <c r="M489" s="123"/>
      <c r="N489" s="160"/>
      <c r="O489" s="160"/>
      <c r="P489" s="123"/>
      <c r="Q489" s="123"/>
      <c r="R489" s="123"/>
      <c r="T489" s="42"/>
      <c r="V489" s="123"/>
      <c r="W489" s="123"/>
      <c r="X489" s="123"/>
      <c r="Y489" s="123"/>
      <c r="Z489" s="238"/>
      <c r="AA489" s="123"/>
      <c r="AB489" s="123"/>
      <c r="AC489" s="160"/>
      <c r="AD489" s="160"/>
      <c r="AE489" s="123"/>
      <c r="AF489" s="123"/>
      <c r="AH489" s="236"/>
      <c r="AI489" s="123"/>
      <c r="AJ489" s="123"/>
      <c r="AL489" s="123"/>
      <c r="AM489" s="236"/>
      <c r="AN489" s="236"/>
    </row>
    <row r="490" spans="1:40" x14ac:dyDescent="0.3">
      <c r="C490" s="42"/>
      <c r="F490" s="123"/>
      <c r="H490" s="123"/>
      <c r="I490" s="123"/>
      <c r="J490" s="188"/>
      <c r="K490" s="188"/>
      <c r="L490" s="123"/>
      <c r="M490" s="123"/>
      <c r="N490" s="160"/>
      <c r="O490" s="160"/>
      <c r="P490" s="123"/>
      <c r="Q490" s="123"/>
      <c r="R490" s="123"/>
      <c r="T490" s="42"/>
      <c r="V490" s="123"/>
      <c r="W490" s="123"/>
      <c r="X490" s="123"/>
      <c r="Y490" s="123"/>
      <c r="Z490" s="188"/>
      <c r="AA490" s="123"/>
      <c r="AB490" s="123"/>
      <c r="AC490" s="160"/>
      <c r="AD490" s="160"/>
      <c r="AE490" s="123"/>
      <c r="AF490" s="123"/>
      <c r="AH490" s="236"/>
      <c r="AI490" s="123"/>
      <c r="AJ490" s="123"/>
      <c r="AL490" s="123"/>
      <c r="AM490" s="236"/>
      <c r="AN490" s="236"/>
    </row>
    <row r="491" spans="1:40" x14ac:dyDescent="0.3">
      <c r="C491" s="42"/>
      <c r="F491" s="123"/>
      <c r="H491" s="123"/>
      <c r="I491" s="123"/>
      <c r="J491" s="188"/>
      <c r="K491" s="188"/>
      <c r="L491" s="123"/>
      <c r="M491" s="123"/>
      <c r="N491" s="160"/>
      <c r="O491" s="160"/>
      <c r="P491" s="123"/>
      <c r="Q491" s="123"/>
      <c r="R491" s="123"/>
      <c r="T491" s="42"/>
      <c r="V491" s="123"/>
      <c r="W491" s="123"/>
      <c r="X491" s="123"/>
      <c r="Y491" s="123"/>
      <c r="Z491" s="188"/>
      <c r="AA491" s="123"/>
      <c r="AB491" s="123"/>
      <c r="AC491" s="160"/>
      <c r="AD491" s="160"/>
      <c r="AE491" s="123"/>
      <c r="AF491" s="123"/>
      <c r="AH491" s="236"/>
      <c r="AI491" s="123"/>
      <c r="AJ491" s="123"/>
      <c r="AL491" s="123"/>
      <c r="AM491" s="236"/>
      <c r="AN491" s="236"/>
    </row>
    <row r="492" spans="1:40" x14ac:dyDescent="0.3">
      <c r="C492" s="42"/>
      <c r="F492" s="123"/>
      <c r="H492" s="123"/>
      <c r="I492" s="123"/>
      <c r="J492" s="188"/>
      <c r="K492" s="188"/>
      <c r="T492" s="42"/>
      <c r="V492" s="123"/>
      <c r="Z492" s="188"/>
    </row>
    <row r="493" spans="1:40" x14ac:dyDescent="0.3">
      <c r="C493" s="42"/>
      <c r="F493" s="184"/>
      <c r="H493" s="184"/>
      <c r="I493" s="184"/>
      <c r="J493" s="238"/>
      <c r="K493" s="238"/>
      <c r="L493" s="123"/>
      <c r="M493" s="123"/>
      <c r="N493" s="160"/>
      <c r="O493" s="160"/>
      <c r="P493" s="123"/>
      <c r="Q493" s="123"/>
      <c r="R493" s="123"/>
      <c r="T493" s="42"/>
      <c r="V493" s="123"/>
      <c r="W493" s="123"/>
      <c r="X493" s="123"/>
      <c r="Y493" s="123"/>
      <c r="Z493" s="238"/>
      <c r="AA493" s="123"/>
      <c r="AB493" s="123"/>
      <c r="AC493" s="160"/>
      <c r="AD493" s="160"/>
      <c r="AE493" s="123"/>
      <c r="AF493" s="123"/>
      <c r="AH493" s="236"/>
      <c r="AI493" s="123"/>
      <c r="AJ493" s="123"/>
      <c r="AL493" s="123"/>
      <c r="AM493" s="236"/>
      <c r="AN493" s="236"/>
    </row>
    <row r="494" spans="1:40" x14ac:dyDescent="0.3">
      <c r="C494" s="42"/>
      <c r="F494" s="123"/>
      <c r="H494" s="123"/>
      <c r="I494" s="123"/>
      <c r="J494" s="188"/>
      <c r="K494" s="188"/>
      <c r="T494" s="42"/>
      <c r="V494" s="123"/>
      <c r="W494" s="123"/>
      <c r="X494" s="123"/>
      <c r="Y494" s="123"/>
      <c r="Z494" s="188"/>
      <c r="AC494" s="160"/>
      <c r="AD494" s="160"/>
      <c r="AE494" s="123"/>
      <c r="AF494" s="123"/>
      <c r="AH494" s="236"/>
      <c r="AI494" s="123"/>
      <c r="AJ494" s="123"/>
      <c r="AL494" s="123"/>
      <c r="AM494" s="236"/>
      <c r="AN494" s="236"/>
    </row>
    <row r="495" spans="1:40" x14ac:dyDescent="0.3">
      <c r="C495" s="42"/>
      <c r="F495" s="184"/>
      <c r="H495" s="184"/>
      <c r="I495" s="184"/>
      <c r="J495" s="238"/>
      <c r="K495" s="238"/>
      <c r="L495" s="123"/>
      <c r="M495" s="123"/>
      <c r="N495" s="160"/>
      <c r="O495" s="160"/>
      <c r="P495" s="123"/>
      <c r="Q495" s="123"/>
      <c r="R495" s="123"/>
      <c r="T495" s="42"/>
      <c r="V495" s="123"/>
      <c r="W495" s="123"/>
      <c r="X495" s="123"/>
      <c r="Y495" s="123"/>
      <c r="Z495" s="238"/>
      <c r="AA495" s="123"/>
      <c r="AB495" s="123"/>
      <c r="AC495" s="160"/>
      <c r="AD495" s="160"/>
      <c r="AE495" s="123"/>
      <c r="AF495" s="123"/>
      <c r="AH495" s="236"/>
      <c r="AI495" s="123"/>
      <c r="AJ495" s="123"/>
      <c r="AL495" s="123"/>
      <c r="AM495" s="236"/>
      <c r="AN495" s="236"/>
    </row>
    <row r="496" spans="1:40" x14ac:dyDescent="0.3">
      <c r="C496" s="42"/>
      <c r="F496" s="123"/>
      <c r="H496" s="123"/>
      <c r="I496" s="123"/>
      <c r="J496" s="188"/>
      <c r="K496" s="188"/>
      <c r="L496" s="123"/>
      <c r="M496" s="123"/>
      <c r="N496" s="160"/>
      <c r="O496" s="160"/>
      <c r="P496" s="123"/>
      <c r="Q496" s="123"/>
      <c r="R496" s="123"/>
      <c r="T496" s="42"/>
      <c r="V496" s="123"/>
      <c r="W496" s="123"/>
      <c r="X496" s="123"/>
      <c r="Y496" s="123"/>
      <c r="Z496" s="188"/>
      <c r="AA496" s="123"/>
      <c r="AB496" s="123"/>
      <c r="AC496" s="160"/>
      <c r="AD496" s="160"/>
      <c r="AE496" s="123"/>
      <c r="AF496" s="123"/>
      <c r="AH496" s="236"/>
      <c r="AI496" s="123"/>
      <c r="AJ496" s="123"/>
      <c r="AL496" s="123"/>
      <c r="AM496" s="236"/>
      <c r="AN496" s="236"/>
    </row>
    <row r="497" spans="3:40" x14ac:dyDescent="0.3">
      <c r="F497" s="123"/>
      <c r="H497" s="123"/>
      <c r="I497" s="123"/>
      <c r="J497" s="188"/>
      <c r="K497" s="188"/>
      <c r="Z497" s="188"/>
    </row>
    <row r="498" spans="3:40" x14ac:dyDescent="0.3">
      <c r="C498" s="42"/>
      <c r="F498" s="123"/>
      <c r="H498" s="184"/>
      <c r="I498" s="184"/>
      <c r="J498" s="238"/>
      <c r="K498" s="238"/>
      <c r="L498" s="123"/>
      <c r="M498" s="123"/>
      <c r="N498" s="160"/>
      <c r="O498" s="160"/>
      <c r="P498" s="123"/>
      <c r="Q498" s="123"/>
      <c r="R498" s="123"/>
      <c r="T498" s="42"/>
      <c r="V498" s="123"/>
      <c r="W498" s="123"/>
      <c r="X498" s="123"/>
      <c r="Y498" s="123"/>
      <c r="Z498" s="238"/>
      <c r="AA498" s="123"/>
      <c r="AB498" s="123"/>
      <c r="AC498" s="160"/>
      <c r="AD498" s="160"/>
      <c r="AE498" s="123"/>
      <c r="AF498" s="123"/>
      <c r="AH498" s="236"/>
      <c r="AI498" s="123"/>
      <c r="AJ498" s="123"/>
      <c r="AL498" s="123"/>
      <c r="AM498" s="236"/>
      <c r="AN498" s="236"/>
    </row>
    <row r="499" spans="3:40" x14ac:dyDescent="0.3">
      <c r="F499" s="210"/>
      <c r="H499" s="210"/>
      <c r="I499" s="210"/>
      <c r="J499" s="238"/>
      <c r="K499" s="238"/>
      <c r="L499" s="210"/>
      <c r="M499" s="210"/>
      <c r="N499" s="210"/>
      <c r="O499" s="210"/>
      <c r="P499" s="210"/>
      <c r="Q499" s="210"/>
      <c r="R499" s="210"/>
      <c r="V499" s="210"/>
      <c r="Y499" s="210"/>
      <c r="Z499" s="238"/>
      <c r="AA499" s="210"/>
      <c r="AB499" s="210"/>
      <c r="AC499" s="210"/>
      <c r="AD499" s="210"/>
      <c r="AE499" s="210"/>
      <c r="AF499" s="210"/>
      <c r="AI499" s="210"/>
      <c r="AJ499" s="210"/>
      <c r="AK499" s="214"/>
      <c r="AL499" s="210"/>
    </row>
    <row r="500" spans="3:40" x14ac:dyDescent="0.3">
      <c r="C500" s="42"/>
      <c r="F500" s="123"/>
      <c r="H500" s="123"/>
      <c r="I500" s="123"/>
      <c r="J500" s="188"/>
      <c r="K500" s="188"/>
      <c r="L500" s="123"/>
      <c r="M500" s="123"/>
      <c r="P500" s="123"/>
      <c r="Q500" s="123"/>
      <c r="R500" s="123"/>
      <c r="T500" s="42"/>
      <c r="V500" s="123"/>
      <c r="Y500" s="123"/>
      <c r="Z500" s="188"/>
      <c r="AA500" s="123"/>
      <c r="AB500" s="123"/>
      <c r="AC500" s="236"/>
      <c r="AD500" s="236"/>
      <c r="AE500" s="123"/>
      <c r="AF500" s="123"/>
      <c r="AH500" s="236"/>
      <c r="AI500" s="123"/>
      <c r="AJ500" s="123"/>
      <c r="AL500" s="123"/>
      <c r="AM500" s="236"/>
      <c r="AN500" s="236"/>
    </row>
    <row r="501" spans="3:40" x14ac:dyDescent="0.3">
      <c r="F501" s="210"/>
      <c r="H501" s="210"/>
      <c r="I501" s="210"/>
      <c r="J501" s="238"/>
      <c r="K501" s="238"/>
      <c r="L501" s="210"/>
      <c r="M501" s="210"/>
      <c r="N501" s="210"/>
      <c r="O501" s="210"/>
      <c r="P501" s="210"/>
      <c r="Q501" s="210"/>
      <c r="R501" s="210"/>
      <c r="V501" s="210"/>
      <c r="Y501" s="210"/>
      <c r="Z501" s="238"/>
      <c r="AA501" s="210"/>
      <c r="AB501" s="210"/>
      <c r="AC501" s="210"/>
      <c r="AD501" s="210"/>
      <c r="AE501" s="210"/>
      <c r="AF501" s="210"/>
      <c r="AI501" s="210"/>
      <c r="AJ501" s="210"/>
      <c r="AK501" s="214"/>
      <c r="AL501" s="210"/>
    </row>
    <row r="502" spans="3:40" x14ac:dyDescent="0.3">
      <c r="J502" s="188"/>
      <c r="K502" s="188"/>
      <c r="Z502" s="188"/>
    </row>
    <row r="503" spans="3:40" x14ac:dyDescent="0.3">
      <c r="C503" s="42"/>
      <c r="J503" s="188"/>
      <c r="K503" s="188"/>
      <c r="T503" s="42"/>
      <c r="Z503" s="188"/>
    </row>
    <row r="504" spans="3:40" x14ac:dyDescent="0.3">
      <c r="C504" s="42"/>
      <c r="J504" s="188"/>
      <c r="K504" s="188"/>
      <c r="T504" s="42"/>
      <c r="Z504" s="188"/>
    </row>
    <row r="505" spans="3:40" x14ac:dyDescent="0.3">
      <c r="C505" s="42"/>
      <c r="F505" s="184"/>
      <c r="H505" s="184"/>
      <c r="I505" s="184"/>
      <c r="J505" s="238"/>
      <c r="K505" s="238"/>
      <c r="L505" s="123"/>
      <c r="M505" s="123"/>
      <c r="N505" s="160"/>
      <c r="O505" s="160"/>
      <c r="P505" s="123"/>
      <c r="Q505" s="123"/>
      <c r="R505" s="123"/>
      <c r="T505" s="42"/>
      <c r="V505" s="123"/>
      <c r="W505" s="123"/>
      <c r="X505" s="123"/>
      <c r="Y505" s="123"/>
      <c r="Z505" s="238"/>
      <c r="AA505" s="123"/>
      <c r="AB505" s="123"/>
      <c r="AC505" s="160"/>
      <c r="AD505" s="160"/>
      <c r="AE505" s="123"/>
      <c r="AF505" s="123"/>
      <c r="AH505" s="236"/>
      <c r="AI505" s="123"/>
      <c r="AJ505" s="123"/>
      <c r="AL505" s="123"/>
      <c r="AM505" s="236"/>
      <c r="AN505" s="236"/>
    </row>
    <row r="506" spans="3:40" x14ac:dyDescent="0.3">
      <c r="C506" s="42"/>
      <c r="J506" s="188"/>
      <c r="K506" s="188"/>
      <c r="T506" s="42"/>
      <c r="Z506" s="188"/>
    </row>
    <row r="507" spans="3:40" x14ac:dyDescent="0.3">
      <c r="C507" s="42"/>
      <c r="F507" s="184"/>
      <c r="H507" s="184"/>
      <c r="I507" s="184"/>
      <c r="J507" s="238"/>
      <c r="K507" s="238"/>
      <c r="L507" s="123"/>
      <c r="M507" s="123"/>
      <c r="N507" s="160"/>
      <c r="O507" s="160"/>
      <c r="P507" s="123"/>
      <c r="Q507" s="123"/>
      <c r="R507" s="123"/>
      <c r="T507" s="42"/>
      <c r="V507" s="123"/>
      <c r="W507" s="123"/>
      <c r="X507" s="123"/>
      <c r="Y507" s="123"/>
      <c r="Z507" s="238"/>
      <c r="AA507" s="123"/>
      <c r="AB507" s="123"/>
      <c r="AC507" s="160"/>
      <c r="AD507" s="160"/>
      <c r="AE507" s="123"/>
      <c r="AF507" s="123"/>
      <c r="AH507" s="236"/>
      <c r="AI507" s="123"/>
      <c r="AJ507" s="123"/>
      <c r="AL507" s="123"/>
      <c r="AM507" s="236"/>
      <c r="AN507" s="236"/>
    </row>
    <row r="508" spans="3:40" x14ac:dyDescent="0.3">
      <c r="F508" s="210"/>
      <c r="H508" s="210"/>
      <c r="I508" s="210"/>
      <c r="J508" s="238"/>
      <c r="K508" s="238"/>
      <c r="L508" s="210"/>
      <c r="M508" s="210"/>
      <c r="N508" s="210"/>
      <c r="O508" s="210"/>
      <c r="P508" s="210"/>
      <c r="Q508" s="210"/>
      <c r="R508" s="210"/>
      <c r="V508" s="210"/>
      <c r="Y508" s="210"/>
      <c r="Z508" s="238"/>
      <c r="AA508" s="210"/>
      <c r="AB508" s="210"/>
      <c r="AC508" s="210"/>
      <c r="AD508" s="210"/>
      <c r="AE508" s="210"/>
      <c r="AF508" s="210"/>
      <c r="AI508" s="210"/>
      <c r="AJ508" s="210"/>
      <c r="AK508" s="214"/>
      <c r="AL508" s="210"/>
    </row>
    <row r="509" spans="3:40" x14ac:dyDescent="0.3">
      <c r="C509" s="42"/>
      <c r="F509" s="123"/>
      <c r="H509" s="123"/>
      <c r="I509" s="123"/>
      <c r="J509" s="188"/>
      <c r="K509" s="188"/>
      <c r="L509" s="123"/>
      <c r="M509" s="123"/>
      <c r="N509" s="236"/>
      <c r="O509" s="236"/>
      <c r="P509" s="123"/>
      <c r="Q509" s="123"/>
      <c r="R509" s="123"/>
      <c r="T509" s="42"/>
      <c r="V509" s="123"/>
      <c r="Y509" s="123"/>
      <c r="Z509" s="188"/>
      <c r="AA509" s="123"/>
      <c r="AB509" s="123"/>
      <c r="AC509" s="236"/>
      <c r="AD509" s="236"/>
      <c r="AE509" s="123"/>
      <c r="AF509" s="123"/>
      <c r="AH509" s="236"/>
      <c r="AI509" s="123"/>
      <c r="AJ509" s="123"/>
      <c r="AL509" s="123"/>
      <c r="AM509" s="236"/>
      <c r="AN509" s="236"/>
    </row>
    <row r="510" spans="3:40" x14ac:dyDescent="0.3">
      <c r="F510" s="210"/>
      <c r="H510" s="210"/>
      <c r="I510" s="210"/>
      <c r="J510" s="238"/>
      <c r="K510" s="238"/>
      <c r="L510" s="210"/>
      <c r="M510" s="210"/>
      <c r="N510" s="210"/>
      <c r="O510" s="210"/>
      <c r="P510" s="210"/>
      <c r="Q510" s="210"/>
      <c r="R510" s="210"/>
      <c r="V510" s="210"/>
      <c r="Y510" s="210"/>
      <c r="Z510" s="213"/>
      <c r="AA510" s="210"/>
      <c r="AB510" s="210"/>
      <c r="AC510" s="210"/>
      <c r="AD510" s="210"/>
      <c r="AE510" s="210"/>
      <c r="AF510" s="210"/>
      <c r="AI510" s="210"/>
      <c r="AJ510" s="210"/>
      <c r="AK510" s="214"/>
      <c r="AL510" s="210"/>
    </row>
    <row r="511" spans="3:40" x14ac:dyDescent="0.3">
      <c r="J511" s="188"/>
      <c r="K511" s="188"/>
    </row>
    <row r="512" spans="3:40" x14ac:dyDescent="0.3">
      <c r="C512" s="42"/>
      <c r="F512" s="123"/>
      <c r="H512" s="123"/>
      <c r="I512" s="123"/>
      <c r="J512" s="188"/>
      <c r="K512" s="188"/>
      <c r="L512" s="123"/>
      <c r="M512" s="123"/>
      <c r="N512" s="160"/>
      <c r="O512" s="160"/>
      <c r="P512" s="184"/>
      <c r="Q512" s="184"/>
      <c r="R512" s="123"/>
      <c r="T512" s="42"/>
      <c r="V512" s="123"/>
      <c r="Y512" s="123"/>
      <c r="AA512" s="123"/>
      <c r="AB512" s="123"/>
      <c r="AC512" s="236"/>
      <c r="AD512" s="236"/>
      <c r="AE512" s="123"/>
      <c r="AF512" s="123"/>
      <c r="AH512" s="236"/>
      <c r="AI512" s="184"/>
      <c r="AJ512" s="184"/>
      <c r="AL512" s="123"/>
      <c r="AM512" s="236"/>
      <c r="AN512" s="236"/>
    </row>
    <row r="513" spans="1:40" x14ac:dyDescent="0.3">
      <c r="H513" s="210"/>
      <c r="I513" s="210"/>
      <c r="J513" s="238"/>
      <c r="K513" s="238"/>
      <c r="L513" s="210"/>
      <c r="M513" s="210"/>
      <c r="N513" s="210"/>
      <c r="O513" s="210"/>
      <c r="P513" s="210"/>
      <c r="Q513" s="210"/>
      <c r="R513" s="210"/>
      <c r="V513" s="210"/>
      <c r="Y513" s="210"/>
      <c r="Z513" s="213"/>
      <c r="AA513" s="210"/>
      <c r="AB513" s="210"/>
      <c r="AC513" s="210"/>
      <c r="AD513" s="210"/>
      <c r="AE513" s="210"/>
      <c r="AF513" s="210"/>
      <c r="AI513" s="210"/>
      <c r="AJ513" s="210"/>
      <c r="AK513" s="214"/>
      <c r="AL513" s="210"/>
    </row>
    <row r="514" spans="1:40" x14ac:dyDescent="0.3">
      <c r="F514" s="210"/>
      <c r="J514" s="188"/>
    </row>
    <row r="515" spans="1:40" x14ac:dyDescent="0.3">
      <c r="J515" s="188"/>
    </row>
    <row r="516" spans="1:40" x14ac:dyDescent="0.3">
      <c r="A516" s="42"/>
      <c r="J516" s="188"/>
    </row>
    <row r="517" spans="1:40" x14ac:dyDescent="0.3">
      <c r="J517" s="188"/>
    </row>
    <row r="518" spans="1:40" x14ac:dyDescent="0.3">
      <c r="H518" s="42"/>
      <c r="I518" s="42"/>
      <c r="J518" s="188"/>
      <c r="Y518" s="42"/>
    </row>
    <row r="519" spans="1:40" x14ac:dyDescent="0.3">
      <c r="J519" s="188"/>
    </row>
    <row r="520" spans="1:40" x14ac:dyDescent="0.3">
      <c r="J520" s="188"/>
      <c r="L520" s="42"/>
      <c r="M520" s="42"/>
      <c r="AA520" s="42"/>
      <c r="AB520" s="42"/>
    </row>
    <row r="521" spans="1:40" x14ac:dyDescent="0.3">
      <c r="J521" s="188"/>
      <c r="R521" s="42"/>
      <c r="AK521" s="206"/>
      <c r="AL521" s="42"/>
    </row>
    <row r="522" spans="1:40" x14ac:dyDescent="0.3">
      <c r="J522" s="188"/>
      <c r="R522" s="42"/>
      <c r="AK522" s="206"/>
      <c r="AL522" s="42"/>
    </row>
    <row r="523" spans="1:40" x14ac:dyDescent="0.3">
      <c r="A523" s="42"/>
      <c r="J523" s="188"/>
      <c r="R523" s="42"/>
      <c r="AK523" s="206"/>
      <c r="AL523" s="42"/>
    </row>
    <row r="524" spans="1:40" x14ac:dyDescent="0.3">
      <c r="J524" s="188"/>
      <c r="L524" s="42"/>
      <c r="M524" s="42"/>
      <c r="AA524" s="42"/>
      <c r="AB524" s="42"/>
    </row>
    <row r="525" spans="1:40" x14ac:dyDescent="0.3">
      <c r="A525" s="135"/>
      <c r="B525" s="135"/>
      <c r="C525" s="135"/>
      <c r="D525" s="135"/>
      <c r="E525" s="135"/>
      <c r="F525" s="135"/>
      <c r="G525" s="135"/>
      <c r="H525" s="135"/>
      <c r="I525" s="135"/>
      <c r="J525" s="244"/>
      <c r="K525" s="135"/>
      <c r="L525" s="135"/>
      <c r="M525" s="135"/>
      <c r="N525" s="135"/>
      <c r="O525" s="135"/>
      <c r="P525" s="135"/>
      <c r="Q525" s="135"/>
      <c r="R525" s="135"/>
      <c r="T525" s="135"/>
      <c r="U525" s="135"/>
      <c r="V525" s="135"/>
      <c r="W525" s="135"/>
      <c r="X525" s="135"/>
      <c r="Y525" s="135"/>
      <c r="Z525" s="135"/>
      <c r="AA525" s="135"/>
      <c r="AB525" s="135"/>
      <c r="AC525" s="135"/>
      <c r="AD525" s="135"/>
      <c r="AE525" s="135"/>
      <c r="AF525" s="135"/>
      <c r="AG525" s="207"/>
      <c r="AH525" s="135"/>
      <c r="AI525" s="135"/>
      <c r="AJ525" s="135"/>
      <c r="AK525" s="207"/>
      <c r="AL525" s="135"/>
      <c r="AM525" s="135"/>
      <c r="AN525" s="135"/>
    </row>
    <row r="526" spans="1:40" x14ac:dyDescent="0.3">
      <c r="J526" s="188"/>
      <c r="L526" s="44"/>
      <c r="M526" s="44"/>
      <c r="N526" s="44"/>
      <c r="O526" s="44"/>
      <c r="R526" s="44"/>
      <c r="AA526" s="44"/>
      <c r="AB526" s="44"/>
      <c r="AC526" s="44"/>
      <c r="AD526" s="44"/>
      <c r="AE526" s="44"/>
      <c r="AF526" s="44"/>
      <c r="AG526" s="168"/>
      <c r="AH526" s="44"/>
      <c r="AK526" s="168"/>
      <c r="AL526" s="44"/>
      <c r="AM526" s="44"/>
      <c r="AN526" s="44"/>
    </row>
    <row r="527" spans="1:40" x14ac:dyDescent="0.3">
      <c r="J527" s="188"/>
      <c r="L527" s="44"/>
      <c r="M527" s="44"/>
      <c r="N527" s="44"/>
      <c r="O527" s="44"/>
      <c r="R527" s="44"/>
      <c r="Z527" s="44"/>
      <c r="AA527" s="44"/>
      <c r="AB527" s="44"/>
      <c r="AC527" s="44"/>
      <c r="AD527" s="44"/>
      <c r="AE527" s="44"/>
      <c r="AF527" s="44"/>
      <c r="AG527" s="168"/>
      <c r="AH527" s="44"/>
      <c r="AK527" s="168"/>
      <c r="AL527" s="44"/>
      <c r="AM527" s="44"/>
      <c r="AN527" s="44"/>
    </row>
    <row r="528" spans="1:40" x14ac:dyDescent="0.3">
      <c r="A528" s="44"/>
      <c r="C528" s="44"/>
      <c r="D528" s="44"/>
      <c r="E528" s="44"/>
      <c r="F528" s="44"/>
      <c r="J528" s="245"/>
      <c r="K528" s="44"/>
      <c r="L528" s="44"/>
      <c r="M528" s="44"/>
      <c r="N528" s="44"/>
      <c r="O528" s="44"/>
      <c r="P528" s="44"/>
      <c r="Q528" s="44"/>
      <c r="R528" s="44"/>
      <c r="T528" s="44"/>
      <c r="U528" s="44"/>
      <c r="V528" s="44"/>
      <c r="Z528" s="44"/>
      <c r="AA528" s="44"/>
      <c r="AB528" s="44"/>
      <c r="AC528" s="44"/>
      <c r="AD528" s="44"/>
      <c r="AE528" s="44"/>
      <c r="AF528" s="44"/>
      <c r="AG528" s="168"/>
      <c r="AH528" s="44"/>
      <c r="AI528" s="44"/>
      <c r="AJ528" s="44"/>
      <c r="AK528" s="168"/>
      <c r="AL528" s="44"/>
      <c r="AM528" s="44"/>
      <c r="AN528" s="44"/>
    </row>
    <row r="529" spans="1:40" x14ac:dyDescent="0.3">
      <c r="A529" s="44"/>
      <c r="C529" s="44"/>
      <c r="D529" s="44"/>
      <c r="E529" s="44"/>
      <c r="F529" s="44"/>
      <c r="H529" s="44"/>
      <c r="I529" s="44"/>
      <c r="J529" s="245"/>
      <c r="K529" s="44"/>
      <c r="L529" s="44"/>
      <c r="M529" s="44"/>
      <c r="N529" s="44"/>
      <c r="O529" s="44"/>
      <c r="P529" s="44"/>
      <c r="Q529" s="44"/>
      <c r="R529" s="44"/>
      <c r="T529" s="44"/>
      <c r="U529" s="44"/>
      <c r="V529" s="44"/>
      <c r="Y529" s="44"/>
      <c r="Z529" s="44"/>
      <c r="AA529" s="44"/>
      <c r="AB529" s="44"/>
      <c r="AC529" s="44"/>
      <c r="AD529" s="44"/>
      <c r="AE529" s="44"/>
      <c r="AF529" s="44"/>
      <c r="AG529" s="168"/>
      <c r="AH529" s="44"/>
      <c r="AI529" s="44"/>
      <c r="AJ529" s="44"/>
      <c r="AK529" s="168"/>
      <c r="AL529" s="44"/>
      <c r="AM529" s="44"/>
      <c r="AN529" s="44"/>
    </row>
    <row r="530" spans="1:40" x14ac:dyDescent="0.3">
      <c r="C530" s="44"/>
      <c r="D530" s="44"/>
      <c r="E530" s="44"/>
      <c r="F530" s="44"/>
      <c r="H530" s="44"/>
      <c r="I530" s="44"/>
      <c r="J530" s="245"/>
      <c r="K530" s="44"/>
      <c r="L530" s="44"/>
      <c r="M530" s="44"/>
      <c r="N530" s="44"/>
      <c r="O530" s="44"/>
      <c r="P530" s="44"/>
      <c r="Q530" s="44"/>
      <c r="R530" s="44"/>
      <c r="T530" s="44"/>
      <c r="U530" s="44"/>
      <c r="V530" s="44"/>
      <c r="Y530" s="44"/>
      <c r="Z530" s="44"/>
      <c r="AA530" s="44"/>
      <c r="AB530" s="44"/>
      <c r="AC530" s="44"/>
      <c r="AD530" s="44"/>
      <c r="AE530" s="44"/>
      <c r="AF530" s="44"/>
      <c r="AG530" s="168"/>
      <c r="AH530" s="44"/>
      <c r="AI530" s="44"/>
      <c r="AJ530" s="44"/>
      <c r="AK530" s="168"/>
      <c r="AL530" s="44"/>
      <c r="AM530" s="44"/>
      <c r="AN530" s="44"/>
    </row>
    <row r="531" spans="1:40" x14ac:dyDescent="0.3">
      <c r="A531" s="135"/>
      <c r="B531" s="135"/>
      <c r="C531" s="135"/>
      <c r="D531" s="135"/>
      <c r="E531" s="135"/>
      <c r="F531" s="135"/>
      <c r="G531" s="135"/>
      <c r="H531" s="135"/>
      <c r="I531" s="135"/>
      <c r="J531" s="244"/>
      <c r="K531" s="135"/>
      <c r="L531" s="135"/>
      <c r="M531" s="135"/>
      <c r="N531" s="135"/>
      <c r="O531" s="135"/>
      <c r="P531" s="135"/>
      <c r="Q531" s="135"/>
      <c r="R531" s="135"/>
      <c r="T531" s="135"/>
      <c r="U531" s="135"/>
      <c r="V531" s="135"/>
      <c r="W531" s="135"/>
      <c r="X531" s="135"/>
      <c r="Y531" s="135"/>
      <c r="Z531" s="135"/>
      <c r="AA531" s="135"/>
      <c r="AB531" s="135"/>
      <c r="AC531" s="135"/>
      <c r="AD531" s="135"/>
      <c r="AE531" s="135"/>
      <c r="AF531" s="135"/>
      <c r="AG531" s="207"/>
      <c r="AH531" s="135"/>
      <c r="AI531" s="135"/>
      <c r="AJ531" s="135"/>
      <c r="AK531" s="207"/>
      <c r="AL531" s="135"/>
      <c r="AM531" s="135"/>
      <c r="AN531" s="135"/>
    </row>
    <row r="532" spans="1:40" x14ac:dyDescent="0.3">
      <c r="H532" s="44"/>
      <c r="I532" s="44"/>
      <c r="J532" s="245"/>
      <c r="K532" s="44"/>
      <c r="L532" s="44"/>
      <c r="M532" s="44"/>
      <c r="N532" s="44"/>
      <c r="O532" s="44"/>
      <c r="P532" s="44"/>
      <c r="Q532" s="44"/>
      <c r="R532" s="44"/>
      <c r="Y532" s="44"/>
      <c r="Z532" s="44"/>
      <c r="AA532" s="44"/>
      <c r="AB532" s="44"/>
      <c r="AC532" s="44"/>
      <c r="AD532" s="44"/>
      <c r="AE532" s="44"/>
      <c r="AF532" s="44"/>
      <c r="AG532" s="168"/>
      <c r="AH532" s="44"/>
      <c r="AI532" s="44"/>
      <c r="AJ532" s="44"/>
      <c r="AK532" s="168"/>
      <c r="AL532" s="44"/>
      <c r="AM532" s="44"/>
      <c r="AN532" s="44"/>
    </row>
    <row r="533" spans="1:40" x14ac:dyDescent="0.3">
      <c r="C533" s="42"/>
      <c r="D533" s="42"/>
      <c r="E533" s="42"/>
      <c r="J533" s="188"/>
      <c r="T533" s="42"/>
      <c r="U533" s="42"/>
    </row>
    <row r="534" spans="1:40" x14ac:dyDescent="0.3">
      <c r="J534" s="188"/>
    </row>
    <row r="535" spans="1:40" x14ac:dyDescent="0.3">
      <c r="C535" s="42"/>
      <c r="D535" s="42"/>
      <c r="E535" s="42"/>
      <c r="J535" s="188"/>
      <c r="T535" s="42"/>
      <c r="U535" s="42"/>
    </row>
    <row r="536" spans="1:40" x14ac:dyDescent="0.3">
      <c r="C536" s="42"/>
      <c r="J536" s="188"/>
      <c r="T536" s="42"/>
    </row>
    <row r="537" spans="1:40" x14ac:dyDescent="0.3">
      <c r="C537" s="42"/>
      <c r="J537" s="188"/>
      <c r="T537" s="42"/>
    </row>
    <row r="538" spans="1:40" x14ac:dyDescent="0.3">
      <c r="C538" s="42"/>
      <c r="H538" s="184"/>
      <c r="I538" s="184"/>
      <c r="J538" s="238"/>
      <c r="K538" s="238"/>
      <c r="L538" s="123"/>
      <c r="M538" s="123"/>
      <c r="N538" s="160"/>
      <c r="O538" s="160"/>
      <c r="P538" s="123"/>
      <c r="Q538" s="123"/>
      <c r="R538" s="123"/>
      <c r="T538" s="42"/>
      <c r="V538" s="123"/>
      <c r="W538" s="123"/>
      <c r="X538" s="123"/>
      <c r="Y538" s="123"/>
      <c r="Z538" s="238"/>
      <c r="AA538" s="123"/>
      <c r="AB538" s="123"/>
      <c r="AC538" s="160"/>
      <c r="AD538" s="160"/>
      <c r="AE538" s="123"/>
      <c r="AF538" s="123"/>
      <c r="AH538" s="236"/>
      <c r="AI538" s="123"/>
      <c r="AJ538" s="123"/>
      <c r="AL538" s="123"/>
      <c r="AM538" s="160"/>
      <c r="AN538" s="160"/>
    </row>
    <row r="539" spans="1:40" x14ac:dyDescent="0.3">
      <c r="C539" s="42"/>
      <c r="F539" s="184"/>
      <c r="J539" s="188"/>
      <c r="K539" s="188"/>
      <c r="T539" s="42"/>
      <c r="V539" s="123"/>
      <c r="W539" s="123"/>
      <c r="X539" s="123"/>
      <c r="Y539" s="123"/>
      <c r="Z539" s="238"/>
    </row>
    <row r="540" spans="1:40" x14ac:dyDescent="0.3">
      <c r="C540" s="42"/>
      <c r="H540" s="184"/>
      <c r="I540" s="184"/>
      <c r="J540" s="238"/>
      <c r="K540" s="238"/>
      <c r="L540" s="123"/>
      <c r="M540" s="123"/>
      <c r="N540" s="160"/>
      <c r="O540" s="160"/>
      <c r="P540" s="123"/>
      <c r="Q540" s="123"/>
      <c r="R540" s="123"/>
      <c r="T540" s="42"/>
      <c r="V540" s="123"/>
      <c r="W540" s="123"/>
      <c r="X540" s="123"/>
      <c r="Y540" s="123"/>
      <c r="Z540" s="238"/>
      <c r="AA540" s="123"/>
      <c r="AB540" s="123"/>
      <c r="AC540" s="160"/>
      <c r="AD540" s="160"/>
      <c r="AE540" s="123"/>
      <c r="AF540" s="123"/>
      <c r="AH540" s="236"/>
      <c r="AI540" s="123"/>
      <c r="AJ540" s="123"/>
      <c r="AL540" s="123"/>
      <c r="AM540" s="160"/>
      <c r="AN540" s="160"/>
    </row>
    <row r="541" spans="1:40" x14ac:dyDescent="0.3">
      <c r="C541" s="42"/>
      <c r="F541" s="184"/>
      <c r="J541" s="188"/>
      <c r="K541" s="188"/>
      <c r="T541" s="42"/>
      <c r="V541" s="123"/>
      <c r="W541" s="123"/>
      <c r="X541" s="123"/>
      <c r="Y541" s="123"/>
      <c r="Z541" s="238"/>
    </row>
    <row r="542" spans="1:40" x14ac:dyDescent="0.3">
      <c r="C542" s="42"/>
      <c r="H542" s="184"/>
      <c r="I542" s="184"/>
      <c r="J542" s="238"/>
      <c r="K542" s="238"/>
      <c r="L542" s="123"/>
      <c r="M542" s="123"/>
      <c r="N542" s="160"/>
      <c r="O542" s="160"/>
      <c r="P542" s="123"/>
      <c r="Q542" s="123"/>
      <c r="R542" s="123"/>
      <c r="T542" s="42"/>
      <c r="V542" s="123"/>
      <c r="W542" s="123"/>
      <c r="X542" s="123"/>
      <c r="Y542" s="123"/>
      <c r="Z542" s="238"/>
      <c r="AA542" s="123"/>
      <c r="AB542" s="123"/>
      <c r="AC542" s="160"/>
      <c r="AD542" s="160"/>
      <c r="AE542" s="123"/>
      <c r="AF542" s="123"/>
      <c r="AH542" s="236"/>
      <c r="AI542" s="123"/>
      <c r="AJ542" s="123"/>
      <c r="AL542" s="123"/>
      <c r="AM542" s="160"/>
      <c r="AN542" s="160"/>
    </row>
    <row r="543" spans="1:40" x14ac:dyDescent="0.3">
      <c r="C543" s="42"/>
      <c r="F543" s="184"/>
      <c r="J543" s="188"/>
      <c r="K543" s="188"/>
      <c r="T543" s="42"/>
      <c r="V543" s="123"/>
      <c r="W543" s="123"/>
      <c r="X543" s="123"/>
      <c r="Y543" s="123"/>
      <c r="Z543" s="238"/>
    </row>
    <row r="544" spans="1:40" x14ac:dyDescent="0.3">
      <c r="C544" s="42"/>
      <c r="H544" s="184"/>
      <c r="I544" s="184"/>
      <c r="J544" s="238"/>
      <c r="K544" s="238"/>
      <c r="L544" s="123"/>
      <c r="M544" s="123"/>
      <c r="N544" s="160"/>
      <c r="O544" s="160"/>
      <c r="P544" s="123"/>
      <c r="Q544" s="123"/>
      <c r="R544" s="123"/>
      <c r="T544" s="42"/>
      <c r="V544" s="123"/>
      <c r="W544" s="123"/>
      <c r="X544" s="123"/>
      <c r="Y544" s="123"/>
      <c r="Z544" s="238"/>
      <c r="AA544" s="123"/>
      <c r="AB544" s="123"/>
      <c r="AC544" s="160"/>
      <c r="AD544" s="160"/>
      <c r="AE544" s="123"/>
      <c r="AF544" s="123"/>
      <c r="AH544" s="236"/>
      <c r="AI544" s="123"/>
      <c r="AJ544" s="123"/>
      <c r="AL544" s="123"/>
      <c r="AM544" s="160"/>
      <c r="AN544" s="160"/>
    </row>
    <row r="545" spans="3:40" x14ac:dyDescent="0.3">
      <c r="C545" s="42"/>
      <c r="F545" s="184"/>
      <c r="J545" s="188"/>
      <c r="K545" s="188"/>
      <c r="T545" s="42"/>
      <c r="V545" s="123"/>
      <c r="W545" s="123"/>
      <c r="X545" s="123"/>
      <c r="Y545" s="123"/>
      <c r="Z545" s="238"/>
    </row>
    <row r="546" spans="3:40" x14ac:dyDescent="0.3">
      <c r="C546" s="42"/>
      <c r="H546" s="184"/>
      <c r="I546" s="184"/>
      <c r="J546" s="238"/>
      <c r="K546" s="238"/>
      <c r="L546" s="123"/>
      <c r="M546" s="123"/>
      <c r="N546" s="160"/>
      <c r="O546" s="160"/>
      <c r="P546" s="123"/>
      <c r="Q546" s="123"/>
      <c r="R546" s="123"/>
      <c r="T546" s="42"/>
      <c r="V546" s="123"/>
      <c r="W546" s="123"/>
      <c r="X546" s="123"/>
      <c r="Y546" s="123"/>
      <c r="Z546" s="238"/>
      <c r="AA546" s="123"/>
      <c r="AB546" s="123"/>
      <c r="AC546" s="160"/>
      <c r="AD546" s="160"/>
      <c r="AE546" s="123"/>
      <c r="AF546" s="123"/>
      <c r="AH546" s="236"/>
      <c r="AI546" s="123"/>
      <c r="AJ546" s="123"/>
      <c r="AL546" s="123"/>
      <c r="AM546" s="160"/>
      <c r="AN546" s="160"/>
    </row>
    <row r="547" spans="3:40" x14ac:dyDescent="0.3">
      <c r="C547" s="42"/>
      <c r="F547" s="184"/>
      <c r="J547" s="188"/>
      <c r="K547" s="188"/>
      <c r="T547" s="42"/>
      <c r="V547" s="123"/>
      <c r="W547" s="123"/>
      <c r="X547" s="123"/>
      <c r="Y547" s="123"/>
      <c r="Z547" s="238"/>
    </row>
    <row r="548" spans="3:40" x14ac:dyDescent="0.3">
      <c r="C548" s="42"/>
      <c r="H548" s="184"/>
      <c r="I548" s="184"/>
      <c r="J548" s="238"/>
      <c r="K548" s="238"/>
      <c r="L548" s="123"/>
      <c r="M548" s="123"/>
      <c r="N548" s="160"/>
      <c r="O548" s="160"/>
      <c r="P548" s="123"/>
      <c r="Q548" s="123"/>
      <c r="R548" s="123"/>
      <c r="T548" s="42"/>
      <c r="V548" s="123"/>
      <c r="W548" s="123"/>
      <c r="X548" s="123"/>
      <c r="Y548" s="123"/>
      <c r="Z548" s="238"/>
      <c r="AA548" s="123"/>
      <c r="AB548" s="123"/>
      <c r="AC548" s="160"/>
      <c r="AD548" s="160"/>
      <c r="AE548" s="123"/>
      <c r="AF548" s="123"/>
      <c r="AH548" s="236"/>
      <c r="AI548" s="123"/>
      <c r="AJ548" s="123"/>
      <c r="AL548" s="123"/>
      <c r="AM548" s="160"/>
      <c r="AN548" s="160"/>
    </row>
    <row r="549" spans="3:40" x14ac:dyDescent="0.3">
      <c r="F549" s="184"/>
      <c r="H549" s="210"/>
      <c r="I549" s="210"/>
      <c r="J549" s="238"/>
      <c r="K549" s="238"/>
      <c r="L549" s="210"/>
      <c r="M549" s="210"/>
      <c r="N549" s="210"/>
      <c r="O549" s="210"/>
      <c r="P549" s="210"/>
      <c r="Q549" s="210"/>
      <c r="R549" s="210"/>
      <c r="V549" s="210"/>
      <c r="Y549" s="210"/>
      <c r="Z549" s="238"/>
      <c r="AA549" s="210"/>
      <c r="AB549" s="210"/>
      <c r="AC549" s="210"/>
      <c r="AD549" s="210"/>
      <c r="AE549" s="210"/>
      <c r="AF549" s="210"/>
      <c r="AI549" s="210"/>
      <c r="AJ549" s="210"/>
      <c r="AK549" s="214"/>
      <c r="AL549" s="210"/>
      <c r="AM549" s="160"/>
      <c r="AN549" s="160"/>
    </row>
    <row r="550" spans="3:40" x14ac:dyDescent="0.3">
      <c r="C550" s="42"/>
      <c r="F550" s="210"/>
      <c r="H550" s="123"/>
      <c r="I550" s="123"/>
      <c r="J550" s="188"/>
      <c r="K550" s="188"/>
      <c r="L550" s="123"/>
      <c r="M550" s="123"/>
      <c r="N550" s="160"/>
      <c r="O550" s="160"/>
      <c r="P550" s="184"/>
      <c r="Q550" s="184"/>
      <c r="R550" s="123"/>
      <c r="T550" s="42"/>
      <c r="V550" s="123"/>
      <c r="W550" s="123"/>
      <c r="X550" s="123"/>
      <c r="Y550" s="123"/>
      <c r="Z550" s="238"/>
      <c r="AA550" s="123"/>
      <c r="AB550" s="123"/>
      <c r="AC550" s="160"/>
      <c r="AD550" s="160"/>
      <c r="AE550" s="123"/>
      <c r="AF550" s="123"/>
      <c r="AH550" s="236"/>
      <c r="AI550" s="184"/>
      <c r="AJ550" s="184"/>
      <c r="AL550" s="123"/>
      <c r="AM550" s="160"/>
      <c r="AN550" s="160"/>
    </row>
    <row r="551" spans="3:40" x14ac:dyDescent="0.3">
      <c r="F551" s="123"/>
      <c r="H551" s="210"/>
      <c r="I551" s="210"/>
      <c r="J551" s="238"/>
      <c r="K551" s="238"/>
      <c r="L551" s="210"/>
      <c r="M551" s="210"/>
      <c r="N551" s="210"/>
      <c r="O551" s="210"/>
      <c r="P551" s="210"/>
      <c r="Q551" s="210"/>
      <c r="R551" s="210"/>
      <c r="V551" s="210"/>
      <c r="Y551" s="210"/>
      <c r="Z551" s="238"/>
      <c r="AA551" s="210"/>
      <c r="AB551" s="210"/>
      <c r="AC551" s="210"/>
      <c r="AD551" s="210"/>
      <c r="AE551" s="210"/>
      <c r="AF551" s="210"/>
      <c r="AI551" s="210"/>
      <c r="AJ551" s="210"/>
      <c r="AK551" s="214"/>
      <c r="AL551" s="210"/>
    </row>
    <row r="552" spans="3:40" x14ac:dyDescent="0.3">
      <c r="C552" s="42"/>
      <c r="D552" s="42"/>
      <c r="E552" s="42"/>
      <c r="F552" s="210"/>
      <c r="J552" s="188"/>
      <c r="K552" s="188"/>
      <c r="T552" s="42"/>
      <c r="U552" s="42"/>
      <c r="V552" s="123"/>
      <c r="W552" s="123"/>
      <c r="X552" s="123"/>
      <c r="Y552" s="123"/>
      <c r="Z552" s="238"/>
    </row>
    <row r="553" spans="3:40" x14ac:dyDescent="0.3">
      <c r="C553" s="42"/>
      <c r="J553" s="188"/>
      <c r="K553" s="188"/>
      <c r="T553" s="42"/>
      <c r="V553" s="123"/>
      <c r="W553" s="123"/>
      <c r="X553" s="123"/>
      <c r="Y553" s="123"/>
      <c r="Z553" s="238"/>
    </row>
    <row r="554" spans="3:40" x14ac:dyDescent="0.3">
      <c r="C554" s="42"/>
      <c r="J554" s="188"/>
      <c r="K554" s="188"/>
      <c r="T554" s="42"/>
      <c r="V554" s="123"/>
      <c r="W554" s="123"/>
      <c r="X554" s="123"/>
      <c r="Y554" s="123"/>
      <c r="Z554" s="238"/>
    </row>
    <row r="555" spans="3:40" x14ac:dyDescent="0.3">
      <c r="C555" s="42"/>
      <c r="H555" s="184"/>
      <c r="I555" s="184"/>
      <c r="J555" s="238"/>
      <c r="K555" s="238"/>
      <c r="L555" s="123"/>
      <c r="M555" s="123"/>
      <c r="N555" s="160"/>
      <c r="O555" s="160"/>
      <c r="P555" s="123"/>
      <c r="Q555" s="123"/>
      <c r="R555" s="123"/>
      <c r="T555" s="42"/>
      <c r="V555" s="123"/>
      <c r="W555" s="123"/>
      <c r="X555" s="123"/>
      <c r="Y555" s="123"/>
      <c r="Z555" s="238"/>
      <c r="AA555" s="123"/>
      <c r="AB555" s="123"/>
      <c r="AC555" s="160"/>
      <c r="AD555" s="160"/>
      <c r="AE555" s="123"/>
      <c r="AF555" s="123"/>
      <c r="AH555" s="236"/>
      <c r="AI555" s="123"/>
      <c r="AJ555" s="123"/>
      <c r="AL555" s="123"/>
      <c r="AM555" s="160"/>
      <c r="AN555" s="160"/>
    </row>
    <row r="556" spans="3:40" x14ac:dyDescent="0.3">
      <c r="C556" s="42"/>
      <c r="F556" s="184"/>
      <c r="J556" s="188"/>
      <c r="K556" s="188"/>
      <c r="T556" s="42"/>
      <c r="V556" s="123"/>
      <c r="W556" s="123"/>
      <c r="X556" s="123"/>
      <c r="Y556" s="123"/>
      <c r="Z556" s="238"/>
    </row>
    <row r="557" spans="3:40" x14ac:dyDescent="0.3">
      <c r="C557" s="42"/>
      <c r="H557" s="184"/>
      <c r="I557" s="184"/>
      <c r="J557" s="238"/>
      <c r="K557" s="238"/>
      <c r="L557" s="123"/>
      <c r="M557" s="123"/>
      <c r="N557" s="160"/>
      <c r="O557" s="160"/>
      <c r="P557" s="123"/>
      <c r="Q557" s="123"/>
      <c r="R557" s="123"/>
      <c r="T557" s="42"/>
      <c r="V557" s="123"/>
      <c r="W557" s="123"/>
      <c r="X557" s="123"/>
      <c r="Y557" s="123"/>
      <c r="Z557" s="238"/>
      <c r="AA557" s="123"/>
      <c r="AB557" s="123"/>
      <c r="AC557" s="160"/>
      <c r="AD557" s="160"/>
      <c r="AE557" s="123"/>
      <c r="AF557" s="123"/>
      <c r="AH557" s="236"/>
      <c r="AI557" s="123"/>
      <c r="AJ557" s="123"/>
      <c r="AL557" s="123"/>
      <c r="AM557" s="160"/>
      <c r="AN557" s="160"/>
    </row>
    <row r="558" spans="3:40" x14ac:dyDescent="0.3">
      <c r="F558" s="184"/>
      <c r="H558" s="210"/>
      <c r="I558" s="210"/>
      <c r="J558" s="238"/>
      <c r="K558" s="238"/>
      <c r="L558" s="210"/>
      <c r="M558" s="210"/>
      <c r="N558" s="210"/>
      <c r="O558" s="210"/>
      <c r="P558" s="210"/>
      <c r="Q558" s="210"/>
      <c r="R558" s="210"/>
      <c r="V558" s="210"/>
      <c r="Y558" s="210"/>
      <c r="Z558" s="213"/>
      <c r="AA558" s="210"/>
      <c r="AB558" s="210"/>
      <c r="AC558" s="210"/>
      <c r="AD558" s="210"/>
      <c r="AE558" s="210"/>
      <c r="AF558" s="210"/>
      <c r="AI558" s="210"/>
      <c r="AJ558" s="210"/>
      <c r="AK558" s="214"/>
      <c r="AL558" s="210"/>
    </row>
    <row r="559" spans="3:40" x14ac:dyDescent="0.3">
      <c r="C559" s="42"/>
      <c r="F559" s="210"/>
      <c r="H559" s="123"/>
      <c r="I559" s="123"/>
      <c r="L559" s="123"/>
      <c r="M559" s="123"/>
      <c r="N559" s="160"/>
      <c r="O559" s="160"/>
      <c r="P559" s="184"/>
      <c r="Q559" s="184"/>
      <c r="R559" s="123"/>
      <c r="T559" s="42"/>
      <c r="V559" s="123"/>
      <c r="W559" s="123"/>
      <c r="X559" s="123"/>
      <c r="Y559" s="123"/>
      <c r="Z559" s="237"/>
      <c r="AA559" s="123"/>
      <c r="AB559" s="123"/>
      <c r="AC559" s="160"/>
      <c r="AD559" s="160"/>
      <c r="AE559" s="123"/>
      <c r="AF559" s="123"/>
      <c r="AH559" s="236"/>
      <c r="AI559" s="184"/>
      <c r="AJ559" s="184"/>
      <c r="AL559" s="123"/>
      <c r="AM559" s="160"/>
      <c r="AN559" s="160"/>
    </row>
    <row r="560" spans="3:40" x14ac:dyDescent="0.3">
      <c r="F560" s="123"/>
      <c r="H560" s="210"/>
      <c r="I560" s="210"/>
      <c r="J560" s="213"/>
      <c r="K560" s="213"/>
      <c r="L560" s="210"/>
      <c r="M560" s="210"/>
      <c r="N560" s="210"/>
      <c r="O560" s="210"/>
      <c r="P560" s="210"/>
      <c r="Q560" s="210"/>
      <c r="R560" s="210"/>
      <c r="V560" s="210"/>
      <c r="Y560" s="210"/>
      <c r="Z560" s="213"/>
      <c r="AA560" s="210"/>
      <c r="AB560" s="210"/>
      <c r="AC560" s="210"/>
      <c r="AD560" s="210"/>
      <c r="AE560" s="210"/>
      <c r="AF560" s="210"/>
      <c r="AI560" s="210"/>
      <c r="AJ560" s="210"/>
      <c r="AK560" s="214"/>
      <c r="AL560" s="210"/>
    </row>
    <row r="561" spans="3:40" x14ac:dyDescent="0.3">
      <c r="C561" s="42"/>
      <c r="D561" s="42"/>
      <c r="E561" s="42"/>
      <c r="F561" s="210"/>
      <c r="T561" s="42"/>
      <c r="U561" s="42"/>
      <c r="V561" s="123"/>
      <c r="W561" s="123"/>
      <c r="X561" s="123"/>
      <c r="Y561" s="123"/>
      <c r="Z561" s="237"/>
    </row>
    <row r="562" spans="3:40" x14ac:dyDescent="0.3">
      <c r="C562" s="42"/>
      <c r="T562" s="42"/>
      <c r="V562" s="123"/>
      <c r="W562" s="123"/>
      <c r="X562" s="123"/>
      <c r="Y562" s="123"/>
      <c r="Z562" s="237"/>
    </row>
    <row r="563" spans="3:40" x14ac:dyDescent="0.3">
      <c r="C563" s="42"/>
      <c r="H563" s="184"/>
      <c r="I563" s="184"/>
      <c r="J563" s="237"/>
      <c r="K563" s="237"/>
      <c r="L563" s="123"/>
      <c r="M563" s="123"/>
      <c r="N563" s="160"/>
      <c r="O563" s="160"/>
      <c r="P563" s="123"/>
      <c r="Q563" s="123"/>
      <c r="R563" s="123"/>
      <c r="T563" s="42"/>
      <c r="V563" s="123"/>
      <c r="W563" s="123"/>
      <c r="X563" s="123"/>
      <c r="Y563" s="123"/>
      <c r="Z563" s="237"/>
      <c r="AA563" s="123"/>
      <c r="AB563" s="123"/>
      <c r="AC563" s="160"/>
      <c r="AD563" s="160"/>
      <c r="AE563" s="123"/>
      <c r="AF563" s="123"/>
      <c r="AH563" s="236"/>
      <c r="AI563" s="123"/>
      <c r="AJ563" s="123"/>
      <c r="AL563" s="123"/>
      <c r="AM563" s="160"/>
      <c r="AN563" s="160"/>
    </row>
    <row r="564" spans="3:40" x14ac:dyDescent="0.3">
      <c r="C564" s="42"/>
      <c r="F564" s="184"/>
      <c r="T564" s="42"/>
      <c r="V564" s="123"/>
      <c r="W564" s="123"/>
      <c r="X564" s="123"/>
      <c r="Y564" s="123"/>
      <c r="Z564" s="237"/>
    </row>
    <row r="565" spans="3:40" x14ac:dyDescent="0.3">
      <c r="C565" s="42"/>
      <c r="H565" s="184"/>
      <c r="I565" s="184"/>
      <c r="J565" s="237"/>
      <c r="K565" s="237"/>
      <c r="L565" s="123"/>
      <c r="M565" s="123"/>
      <c r="N565" s="160"/>
      <c r="O565" s="160"/>
      <c r="P565" s="123"/>
      <c r="Q565" s="123"/>
      <c r="R565" s="123"/>
      <c r="T565" s="42"/>
      <c r="V565" s="123"/>
      <c r="W565" s="123"/>
      <c r="X565" s="123"/>
      <c r="Y565" s="123"/>
      <c r="Z565" s="237"/>
      <c r="AA565" s="123"/>
      <c r="AB565" s="123"/>
      <c r="AC565" s="160"/>
      <c r="AD565" s="160"/>
      <c r="AE565" s="123"/>
      <c r="AF565" s="123"/>
      <c r="AH565" s="236"/>
      <c r="AI565" s="123"/>
      <c r="AJ565" s="123"/>
      <c r="AL565" s="123"/>
      <c r="AM565" s="160"/>
      <c r="AN565" s="160"/>
    </row>
    <row r="566" spans="3:40" x14ac:dyDescent="0.3">
      <c r="C566" s="42"/>
      <c r="F566" s="184"/>
      <c r="T566" s="42"/>
      <c r="V566" s="123"/>
      <c r="W566" s="123"/>
      <c r="X566" s="123"/>
      <c r="Y566" s="123"/>
      <c r="Z566" s="237"/>
    </row>
    <row r="567" spans="3:40" x14ac:dyDescent="0.3">
      <c r="C567" s="42"/>
      <c r="H567" s="184"/>
      <c r="I567" s="184"/>
      <c r="J567" s="237"/>
      <c r="K567" s="237"/>
      <c r="L567" s="123"/>
      <c r="M567" s="123"/>
      <c r="N567" s="160"/>
      <c r="O567" s="160"/>
      <c r="P567" s="123"/>
      <c r="Q567" s="123"/>
      <c r="R567" s="123"/>
      <c r="T567" s="42"/>
      <c r="V567" s="123"/>
      <c r="W567" s="123"/>
      <c r="X567" s="123"/>
      <c r="Y567" s="123"/>
      <c r="Z567" s="237"/>
      <c r="AA567" s="123"/>
      <c r="AB567" s="123"/>
      <c r="AC567" s="160"/>
      <c r="AD567" s="160"/>
      <c r="AE567" s="123"/>
      <c r="AF567" s="123"/>
      <c r="AH567" s="236"/>
      <c r="AI567" s="123"/>
      <c r="AJ567" s="123"/>
      <c r="AL567" s="123"/>
      <c r="AM567" s="160"/>
      <c r="AN567" s="160"/>
    </row>
    <row r="568" spans="3:40" x14ac:dyDescent="0.3">
      <c r="C568" s="42"/>
      <c r="F568" s="184"/>
      <c r="T568" s="42"/>
      <c r="V568" s="123"/>
      <c r="W568" s="123"/>
      <c r="X568" s="123"/>
      <c r="Y568" s="123"/>
      <c r="Z568" s="237"/>
    </row>
    <row r="569" spans="3:40" x14ac:dyDescent="0.3">
      <c r="C569" s="42"/>
      <c r="H569" s="184"/>
      <c r="I569" s="184"/>
      <c r="J569" s="237"/>
      <c r="K569" s="237"/>
      <c r="L569" s="123"/>
      <c r="M569" s="123"/>
      <c r="N569" s="160"/>
      <c r="O569" s="160"/>
      <c r="P569" s="123"/>
      <c r="Q569" s="123"/>
      <c r="R569" s="123"/>
      <c r="T569" s="42"/>
      <c r="V569" s="123"/>
      <c r="W569" s="123"/>
      <c r="X569" s="123"/>
      <c r="Y569" s="123"/>
      <c r="Z569" s="237"/>
      <c r="AA569" s="123"/>
      <c r="AB569" s="123"/>
      <c r="AC569" s="160"/>
      <c r="AD569" s="160"/>
      <c r="AE569" s="123"/>
      <c r="AF569" s="123"/>
      <c r="AH569" s="236"/>
      <c r="AI569" s="123"/>
      <c r="AJ569" s="123"/>
      <c r="AL569" s="123"/>
      <c r="AM569" s="160"/>
      <c r="AN569" s="160"/>
    </row>
    <row r="570" spans="3:40" x14ac:dyDescent="0.3">
      <c r="F570" s="184"/>
      <c r="H570" s="210"/>
      <c r="I570" s="210"/>
      <c r="J570" s="213"/>
      <c r="K570" s="213"/>
      <c r="L570" s="210"/>
      <c r="M570" s="210"/>
      <c r="N570" s="210"/>
      <c r="O570" s="210"/>
      <c r="P570" s="210"/>
      <c r="Q570" s="210"/>
      <c r="R570" s="210"/>
      <c r="V570" s="210"/>
      <c r="Y570" s="210"/>
      <c r="Z570" s="213"/>
      <c r="AA570" s="210"/>
      <c r="AB570" s="210"/>
      <c r="AC570" s="210"/>
      <c r="AD570" s="210"/>
      <c r="AE570" s="210"/>
      <c r="AF570" s="210"/>
      <c r="AI570" s="210"/>
      <c r="AJ570" s="210"/>
      <c r="AK570" s="214"/>
      <c r="AL570" s="210"/>
    </row>
    <row r="571" spans="3:40" x14ac:dyDescent="0.3">
      <c r="C571" s="42"/>
      <c r="F571" s="210"/>
      <c r="H571" s="123"/>
      <c r="I571" s="123"/>
      <c r="L571" s="123"/>
      <c r="M571" s="123"/>
      <c r="N571" s="160"/>
      <c r="O571" s="160"/>
      <c r="P571" s="184"/>
      <c r="Q571" s="184"/>
      <c r="R571" s="123"/>
      <c r="T571" s="42"/>
      <c r="V571" s="123"/>
      <c r="W571" s="123"/>
      <c r="X571" s="123"/>
      <c r="Y571" s="123"/>
      <c r="Z571" s="237"/>
      <c r="AA571" s="123"/>
      <c r="AB571" s="123"/>
      <c r="AC571" s="160"/>
      <c r="AD571" s="160"/>
      <c r="AE571" s="123"/>
      <c r="AF571" s="123"/>
      <c r="AH571" s="236"/>
      <c r="AI571" s="184"/>
      <c r="AJ571" s="184"/>
      <c r="AL571" s="123"/>
      <c r="AM571" s="160"/>
      <c r="AN571" s="160"/>
    </row>
    <row r="572" spans="3:40" x14ac:dyDescent="0.3">
      <c r="F572" s="123"/>
      <c r="H572" s="210"/>
      <c r="I572" s="210"/>
      <c r="J572" s="213"/>
      <c r="K572" s="213"/>
      <c r="L572" s="210"/>
      <c r="M572" s="210"/>
      <c r="N572" s="210"/>
      <c r="O572" s="210"/>
      <c r="P572" s="210"/>
      <c r="Q572" s="210"/>
      <c r="R572" s="210"/>
      <c r="V572" s="210"/>
      <c r="Y572" s="210"/>
      <c r="Z572" s="213"/>
      <c r="AA572" s="210"/>
      <c r="AB572" s="210"/>
      <c r="AC572" s="210"/>
      <c r="AD572" s="210"/>
      <c r="AE572" s="210"/>
      <c r="AF572" s="210"/>
      <c r="AI572" s="210"/>
      <c r="AJ572" s="210"/>
      <c r="AK572" s="214"/>
      <c r="AL572" s="210"/>
    </row>
    <row r="573" spans="3:40" x14ac:dyDescent="0.3">
      <c r="C573" s="42"/>
      <c r="F573" s="210"/>
      <c r="H573" s="123"/>
      <c r="I573" s="123"/>
      <c r="L573" s="123"/>
      <c r="M573" s="123"/>
      <c r="N573" s="160"/>
      <c r="O573" s="160"/>
      <c r="P573" s="123"/>
      <c r="Q573" s="123"/>
      <c r="R573" s="123"/>
      <c r="T573" s="42"/>
      <c r="V573" s="123"/>
      <c r="W573" s="123"/>
      <c r="X573" s="123"/>
      <c r="Y573" s="123"/>
      <c r="AA573" s="123"/>
      <c r="AB573" s="123"/>
      <c r="AC573" s="160"/>
      <c r="AD573" s="160"/>
      <c r="AE573" s="123"/>
      <c r="AF573" s="123"/>
      <c r="AH573" s="236"/>
      <c r="AI573" s="123"/>
      <c r="AJ573" s="123"/>
      <c r="AL573" s="123"/>
      <c r="AM573" s="236"/>
      <c r="AN573" s="236"/>
    </row>
    <row r="574" spans="3:40" x14ac:dyDescent="0.3">
      <c r="F574" s="123"/>
      <c r="H574" s="210"/>
      <c r="I574" s="210"/>
      <c r="J574" s="213"/>
      <c r="K574" s="213"/>
      <c r="L574" s="210"/>
      <c r="M574" s="210"/>
      <c r="N574" s="210"/>
      <c r="O574" s="210"/>
      <c r="P574" s="210"/>
      <c r="Q574" s="210"/>
      <c r="R574" s="210"/>
      <c r="V574" s="210"/>
      <c r="Y574" s="210"/>
      <c r="Z574" s="213"/>
      <c r="AA574" s="210"/>
      <c r="AB574" s="210"/>
      <c r="AC574" s="210"/>
      <c r="AD574" s="210"/>
      <c r="AE574" s="210"/>
      <c r="AF574" s="210"/>
      <c r="AI574" s="210"/>
      <c r="AJ574" s="210"/>
      <c r="AK574" s="214"/>
      <c r="AL574" s="210"/>
    </row>
    <row r="576" spans="3:40" x14ac:dyDescent="0.3">
      <c r="F576" s="210"/>
    </row>
    <row r="577" spans="1:40" x14ac:dyDescent="0.3">
      <c r="A577" s="42"/>
    </row>
    <row r="579" spans="1:40" x14ac:dyDescent="0.3">
      <c r="H579" s="42"/>
      <c r="I579" s="42"/>
      <c r="Y579" s="42"/>
    </row>
    <row r="581" spans="1:40" x14ac:dyDescent="0.3">
      <c r="L581" s="42"/>
      <c r="M581" s="42"/>
      <c r="AA581" s="42"/>
      <c r="AB581" s="42"/>
    </row>
    <row r="582" spans="1:40" x14ac:dyDescent="0.3">
      <c r="R582" s="42"/>
      <c r="AK582" s="206"/>
      <c r="AL582" s="42"/>
    </row>
    <row r="583" spans="1:40" x14ac:dyDescent="0.3">
      <c r="R583" s="42"/>
      <c r="AK583" s="206"/>
      <c r="AL583" s="42"/>
    </row>
    <row r="584" spans="1:40" x14ac:dyDescent="0.3">
      <c r="A584" s="42"/>
      <c r="R584" s="42"/>
      <c r="AK584" s="206"/>
      <c r="AL584" s="42"/>
    </row>
    <row r="585" spans="1:40" x14ac:dyDescent="0.3">
      <c r="L585" s="42"/>
      <c r="M585" s="42"/>
      <c r="AA585" s="42"/>
      <c r="AB585" s="42"/>
    </row>
    <row r="586" spans="1:40" x14ac:dyDescent="0.3">
      <c r="A586" s="135"/>
      <c r="B586" s="135"/>
      <c r="C586" s="135"/>
      <c r="D586" s="135"/>
      <c r="E586" s="135"/>
      <c r="G586" s="135"/>
      <c r="H586" s="135"/>
      <c r="I586" s="135"/>
      <c r="J586" s="135"/>
      <c r="K586" s="135"/>
      <c r="L586" s="135"/>
      <c r="M586" s="135"/>
      <c r="N586" s="135"/>
      <c r="O586" s="135"/>
      <c r="P586" s="135"/>
      <c r="Q586" s="135"/>
      <c r="R586" s="135"/>
      <c r="T586" s="135"/>
      <c r="U586" s="135"/>
      <c r="V586" s="135"/>
      <c r="W586" s="135"/>
      <c r="X586" s="135"/>
      <c r="Y586" s="135"/>
      <c r="Z586" s="135"/>
      <c r="AA586" s="135"/>
      <c r="AB586" s="135"/>
      <c r="AC586" s="135"/>
      <c r="AD586" s="135"/>
      <c r="AE586" s="135"/>
      <c r="AF586" s="135"/>
      <c r="AG586" s="207"/>
      <c r="AH586" s="135"/>
      <c r="AI586" s="135"/>
      <c r="AJ586" s="135"/>
      <c r="AK586" s="207"/>
      <c r="AL586" s="135"/>
      <c r="AM586" s="135"/>
      <c r="AN586" s="135"/>
    </row>
    <row r="587" spans="1:40" x14ac:dyDescent="0.3">
      <c r="F587" s="135"/>
      <c r="L587" s="44"/>
      <c r="M587" s="44"/>
      <c r="N587" s="44"/>
      <c r="O587" s="44"/>
      <c r="R587" s="44"/>
      <c r="AA587" s="44"/>
      <c r="AB587" s="44"/>
      <c r="AC587" s="44"/>
      <c r="AD587" s="44"/>
      <c r="AE587" s="44"/>
      <c r="AF587" s="44"/>
      <c r="AG587" s="168"/>
      <c r="AH587" s="44"/>
      <c r="AK587" s="168"/>
      <c r="AL587" s="44"/>
      <c r="AM587" s="44"/>
      <c r="AN587" s="44"/>
    </row>
    <row r="588" spans="1:40" x14ac:dyDescent="0.3">
      <c r="L588" s="44"/>
      <c r="M588" s="44"/>
      <c r="N588" s="44"/>
      <c r="O588" s="44"/>
      <c r="R588" s="44"/>
      <c r="Z588" s="44"/>
      <c r="AA588" s="44"/>
      <c r="AB588" s="44"/>
      <c r="AC588" s="44"/>
      <c r="AD588" s="44"/>
      <c r="AE588" s="44"/>
      <c r="AF588" s="44"/>
      <c r="AG588" s="168"/>
      <c r="AH588" s="44"/>
      <c r="AK588" s="168"/>
      <c r="AL588" s="44"/>
      <c r="AM588" s="44"/>
      <c r="AN588" s="44"/>
    </row>
    <row r="589" spans="1:40" x14ac:dyDescent="0.3">
      <c r="A589" s="44"/>
      <c r="C589" s="44"/>
      <c r="D589" s="44"/>
      <c r="E589" s="44"/>
      <c r="J589" s="44"/>
      <c r="K589" s="44"/>
      <c r="L589" s="44"/>
      <c r="M589" s="44"/>
      <c r="N589" s="44"/>
      <c r="O589" s="44"/>
      <c r="P589" s="44"/>
      <c r="Q589" s="44"/>
      <c r="R589" s="44"/>
      <c r="T589" s="44"/>
      <c r="U589" s="44"/>
      <c r="V589" s="44"/>
      <c r="Z589" s="44"/>
      <c r="AA589" s="44"/>
      <c r="AB589" s="44"/>
      <c r="AC589" s="44"/>
      <c r="AD589" s="44"/>
      <c r="AE589" s="44"/>
      <c r="AF589" s="44"/>
      <c r="AG589" s="168"/>
      <c r="AH589" s="44"/>
      <c r="AI589" s="44"/>
      <c r="AJ589" s="44"/>
      <c r="AK589" s="168"/>
      <c r="AL589" s="44"/>
      <c r="AM589" s="44"/>
      <c r="AN589" s="44"/>
    </row>
    <row r="590" spans="1:40" x14ac:dyDescent="0.3">
      <c r="A590" s="44"/>
      <c r="C590" s="44"/>
      <c r="D590" s="44"/>
      <c r="E590" s="44"/>
      <c r="F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T590" s="44"/>
      <c r="U590" s="44"/>
      <c r="V590" s="44"/>
      <c r="Y590" s="44"/>
      <c r="Z590" s="44"/>
      <c r="AA590" s="44"/>
      <c r="AB590" s="44"/>
      <c r="AC590" s="44"/>
      <c r="AD590" s="44"/>
      <c r="AE590" s="44"/>
      <c r="AF590" s="44"/>
      <c r="AG590" s="168"/>
      <c r="AH590" s="44"/>
      <c r="AI590" s="44"/>
      <c r="AJ590" s="44"/>
      <c r="AK590" s="168"/>
      <c r="AL590" s="44"/>
      <c r="AM590" s="44"/>
      <c r="AN590" s="44"/>
    </row>
    <row r="591" spans="1:40" x14ac:dyDescent="0.3">
      <c r="C591" s="44"/>
      <c r="D591" s="44"/>
      <c r="E591" s="44"/>
      <c r="F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T591" s="44"/>
      <c r="U591" s="44"/>
      <c r="V591" s="44"/>
      <c r="Y591" s="44"/>
      <c r="Z591" s="44"/>
      <c r="AA591" s="44"/>
      <c r="AB591" s="44"/>
      <c r="AC591" s="44"/>
      <c r="AD591" s="44"/>
      <c r="AE591" s="44"/>
      <c r="AF591" s="44"/>
      <c r="AG591" s="168"/>
      <c r="AH591" s="44"/>
      <c r="AI591" s="44"/>
      <c r="AJ591" s="44"/>
      <c r="AK591" s="168"/>
      <c r="AL591" s="44"/>
      <c r="AM591" s="44"/>
      <c r="AN591" s="44"/>
    </row>
    <row r="592" spans="1:40" x14ac:dyDescent="0.3">
      <c r="A592" s="135"/>
      <c r="B592" s="135"/>
      <c r="C592" s="135"/>
      <c r="D592" s="135"/>
      <c r="E592" s="135"/>
      <c r="F592" s="44"/>
      <c r="G592" s="135"/>
      <c r="H592" s="135"/>
      <c r="I592" s="135"/>
      <c r="J592" s="135"/>
      <c r="K592" s="135"/>
      <c r="L592" s="135"/>
      <c r="M592" s="135"/>
      <c r="N592" s="135"/>
      <c r="O592" s="135"/>
      <c r="P592" s="135"/>
      <c r="Q592" s="135"/>
      <c r="R592" s="135"/>
      <c r="T592" s="135"/>
      <c r="U592" s="135"/>
      <c r="V592" s="135"/>
      <c r="W592" s="135"/>
      <c r="X592" s="135"/>
      <c r="Y592" s="135"/>
      <c r="Z592" s="135"/>
      <c r="AA592" s="135"/>
      <c r="AB592" s="135"/>
      <c r="AC592" s="135"/>
      <c r="AD592" s="135"/>
      <c r="AE592" s="135"/>
      <c r="AF592" s="135"/>
      <c r="AG592" s="207"/>
      <c r="AH592" s="135"/>
      <c r="AI592" s="135"/>
      <c r="AJ592" s="135"/>
      <c r="AK592" s="207"/>
      <c r="AL592" s="135"/>
      <c r="AM592" s="135"/>
      <c r="AN592" s="135"/>
    </row>
    <row r="593" spans="3:40" x14ac:dyDescent="0.3">
      <c r="F593" s="135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Y593" s="44"/>
      <c r="Z593" s="44"/>
      <c r="AA593" s="44"/>
      <c r="AB593" s="44"/>
      <c r="AC593" s="44"/>
      <c r="AD593" s="44"/>
      <c r="AE593" s="44"/>
      <c r="AF593" s="44"/>
      <c r="AG593" s="168"/>
      <c r="AH593" s="44"/>
      <c r="AI593" s="44"/>
      <c r="AJ593" s="44"/>
      <c r="AK593" s="168"/>
      <c r="AL593" s="44"/>
      <c r="AM593" s="44"/>
      <c r="AN593" s="44"/>
    </row>
    <row r="594" spans="3:40" x14ac:dyDescent="0.3">
      <c r="C594" s="42"/>
      <c r="D594" s="42"/>
      <c r="E594" s="42"/>
      <c r="H594" s="123"/>
      <c r="I594" s="123"/>
      <c r="J594" s="219"/>
      <c r="K594" s="219"/>
      <c r="L594" s="123"/>
      <c r="M594" s="123"/>
      <c r="N594" s="219"/>
      <c r="O594" s="219"/>
      <c r="P594" s="123"/>
      <c r="Q594" s="123"/>
      <c r="R594" s="123"/>
      <c r="T594" s="42"/>
      <c r="U594" s="42"/>
      <c r="V594" s="123"/>
      <c r="Y594" s="123"/>
      <c r="Z594" s="219"/>
      <c r="AA594" s="123"/>
      <c r="AB594" s="123"/>
      <c r="AC594" s="219"/>
      <c r="AD594" s="219"/>
      <c r="AE594" s="123"/>
      <c r="AF594" s="123"/>
      <c r="AH594" s="236"/>
      <c r="AI594" s="123"/>
      <c r="AJ594" s="123"/>
      <c r="AL594" s="123"/>
      <c r="AM594" s="160"/>
      <c r="AN594" s="160"/>
    </row>
    <row r="595" spans="3:40" x14ac:dyDescent="0.3">
      <c r="F595" s="123"/>
      <c r="H595" s="210"/>
      <c r="I595" s="210"/>
      <c r="J595" s="213"/>
      <c r="K595" s="213"/>
      <c r="L595" s="210"/>
      <c r="M595" s="210"/>
      <c r="N595" s="210"/>
      <c r="O595" s="210"/>
      <c r="P595" s="210"/>
      <c r="Q595" s="210"/>
      <c r="R595" s="210"/>
      <c r="V595" s="210"/>
      <c r="Y595" s="210"/>
      <c r="Z595" s="213"/>
      <c r="AA595" s="210"/>
      <c r="AB595" s="210"/>
      <c r="AC595" s="210"/>
      <c r="AD595" s="210"/>
      <c r="AE595" s="210"/>
      <c r="AF595" s="210"/>
      <c r="AI595" s="210"/>
      <c r="AJ595" s="210"/>
      <c r="AK595" s="214"/>
      <c r="AL595" s="210"/>
      <c r="AM595" s="160"/>
      <c r="AN595" s="160"/>
    </row>
    <row r="596" spans="3:40" x14ac:dyDescent="0.3">
      <c r="C596" s="42"/>
      <c r="F596" s="210"/>
      <c r="H596" s="123"/>
      <c r="I596" s="123"/>
      <c r="J596" s="219"/>
      <c r="K596" s="219"/>
      <c r="L596" s="123"/>
      <c r="M596" s="123"/>
      <c r="N596" s="219"/>
      <c r="O596" s="219"/>
      <c r="P596" s="123"/>
      <c r="Q596" s="123"/>
      <c r="R596" s="123"/>
      <c r="T596" s="42"/>
      <c r="V596" s="123"/>
      <c r="Y596" s="123"/>
      <c r="Z596" s="219"/>
      <c r="AA596" s="123"/>
      <c r="AB596" s="123"/>
      <c r="AC596" s="219"/>
      <c r="AD596" s="219"/>
      <c r="AE596" s="123"/>
      <c r="AF596" s="123"/>
      <c r="AH596" s="236"/>
      <c r="AI596" s="123"/>
      <c r="AJ596" s="123"/>
      <c r="AL596" s="123"/>
      <c r="AM596" s="160"/>
      <c r="AN596" s="160"/>
    </row>
    <row r="597" spans="3:40" x14ac:dyDescent="0.3">
      <c r="F597" s="123"/>
      <c r="H597" s="123"/>
      <c r="I597" s="123"/>
      <c r="J597" s="219"/>
      <c r="K597" s="219"/>
      <c r="L597" s="123"/>
      <c r="M597" s="123"/>
      <c r="N597" s="219"/>
      <c r="O597" s="219"/>
      <c r="P597" s="123"/>
      <c r="Q597" s="123"/>
      <c r="R597" s="123"/>
      <c r="V597" s="123"/>
      <c r="Y597" s="123"/>
      <c r="Z597" s="219"/>
      <c r="AA597" s="123"/>
      <c r="AB597" s="123"/>
      <c r="AC597" s="219"/>
      <c r="AD597" s="219"/>
      <c r="AH597" s="236"/>
      <c r="AI597" s="123"/>
      <c r="AJ597" s="123"/>
      <c r="AL597" s="123"/>
      <c r="AM597" s="160"/>
      <c r="AN597" s="160"/>
    </row>
    <row r="598" spans="3:40" x14ac:dyDescent="0.3">
      <c r="C598" s="42"/>
      <c r="D598" s="42"/>
      <c r="E598" s="42"/>
      <c r="F598" s="123"/>
      <c r="H598" s="123"/>
      <c r="I598" s="123"/>
      <c r="J598" s="219"/>
      <c r="K598" s="219"/>
      <c r="L598" s="123"/>
      <c r="M598" s="123"/>
      <c r="N598" s="219"/>
      <c r="O598" s="219"/>
      <c r="P598" s="123"/>
      <c r="Q598" s="123"/>
      <c r="R598" s="123"/>
      <c r="T598" s="42"/>
      <c r="U598" s="42"/>
      <c r="V598" s="123"/>
      <c r="Y598" s="123"/>
      <c r="Z598" s="219"/>
      <c r="AA598" s="123"/>
      <c r="AB598" s="123"/>
      <c r="AC598" s="219"/>
      <c r="AD598" s="219"/>
      <c r="AE598" s="123"/>
      <c r="AF598" s="123"/>
      <c r="AH598" s="236"/>
      <c r="AI598" s="123"/>
      <c r="AJ598" s="123"/>
      <c r="AL598" s="123"/>
      <c r="AM598" s="160"/>
      <c r="AN598" s="160"/>
    </row>
    <row r="599" spans="3:40" x14ac:dyDescent="0.3">
      <c r="C599" s="42"/>
      <c r="D599" s="42"/>
      <c r="E599" s="42"/>
      <c r="F599" s="123"/>
      <c r="H599" s="123"/>
      <c r="I599" s="123"/>
      <c r="J599" s="219"/>
      <c r="K599" s="219"/>
      <c r="L599" s="123"/>
      <c r="M599" s="123"/>
      <c r="N599" s="219"/>
      <c r="O599" s="219"/>
      <c r="P599" s="123"/>
      <c r="Q599" s="123"/>
      <c r="R599" s="123"/>
      <c r="T599" s="42"/>
      <c r="U599" s="42"/>
      <c r="V599" s="123"/>
      <c r="Y599" s="123"/>
      <c r="Z599" s="219"/>
      <c r="AA599" s="123"/>
      <c r="AB599" s="123"/>
      <c r="AC599" s="219"/>
      <c r="AD599" s="219"/>
      <c r="AE599" s="123"/>
      <c r="AF599" s="123"/>
      <c r="AH599" s="236"/>
      <c r="AI599" s="123"/>
      <c r="AJ599" s="123"/>
      <c r="AL599" s="123"/>
      <c r="AM599" s="160"/>
      <c r="AN599" s="160"/>
    </row>
    <row r="600" spans="3:40" x14ac:dyDescent="0.3">
      <c r="C600" s="42"/>
      <c r="D600" s="42"/>
      <c r="E600" s="42"/>
      <c r="F600" s="123"/>
      <c r="H600" s="123"/>
      <c r="I600" s="123"/>
      <c r="J600" s="219"/>
      <c r="K600" s="219"/>
      <c r="L600" s="123"/>
      <c r="M600" s="123"/>
      <c r="N600" s="219"/>
      <c r="O600" s="219"/>
      <c r="P600" s="123"/>
      <c r="Q600" s="123"/>
      <c r="R600" s="123"/>
      <c r="T600" s="42"/>
      <c r="U600" s="42"/>
      <c r="V600" s="123"/>
      <c r="Y600" s="123"/>
      <c r="Z600" s="219"/>
      <c r="AA600" s="123"/>
      <c r="AB600" s="123"/>
      <c r="AC600" s="219"/>
      <c r="AD600" s="219"/>
      <c r="AE600" s="123"/>
      <c r="AF600" s="123"/>
      <c r="AH600" s="236"/>
      <c r="AI600" s="123"/>
      <c r="AJ600" s="123"/>
      <c r="AL600" s="123"/>
      <c r="AM600" s="160"/>
      <c r="AN600" s="160"/>
    </row>
    <row r="601" spans="3:40" x14ac:dyDescent="0.3">
      <c r="C601" s="42"/>
      <c r="D601" s="42"/>
      <c r="E601" s="42"/>
      <c r="F601" s="123"/>
      <c r="H601" s="123"/>
      <c r="I601" s="123"/>
      <c r="J601" s="219"/>
      <c r="K601" s="219"/>
      <c r="L601" s="123"/>
      <c r="M601" s="123"/>
      <c r="N601" s="219"/>
      <c r="O601" s="219"/>
      <c r="P601" s="123"/>
      <c r="Q601" s="123"/>
      <c r="R601" s="123"/>
      <c r="T601" s="42"/>
      <c r="U601" s="42"/>
      <c r="V601" s="123"/>
      <c r="Y601" s="123"/>
      <c r="Z601" s="219"/>
      <c r="AA601" s="123"/>
      <c r="AB601" s="123"/>
      <c r="AC601" s="219"/>
      <c r="AD601" s="219"/>
      <c r="AE601" s="123"/>
      <c r="AF601" s="123"/>
      <c r="AH601" s="236"/>
      <c r="AI601" s="123"/>
      <c r="AJ601" s="123"/>
      <c r="AL601" s="123"/>
      <c r="AM601" s="160"/>
      <c r="AN601" s="160"/>
    </row>
    <row r="602" spans="3:40" x14ac:dyDescent="0.3">
      <c r="C602" s="42"/>
      <c r="D602" s="42"/>
      <c r="E602" s="42"/>
      <c r="F602" s="123"/>
      <c r="H602" s="123"/>
      <c r="I602" s="123"/>
      <c r="J602" s="219"/>
      <c r="K602" s="219"/>
      <c r="L602" s="123"/>
      <c r="M602" s="123"/>
      <c r="N602" s="219"/>
      <c r="O602" s="219"/>
      <c r="P602" s="123"/>
      <c r="Q602" s="123"/>
      <c r="R602" s="123"/>
      <c r="T602" s="42"/>
      <c r="U602" s="42"/>
      <c r="V602" s="123"/>
      <c r="Y602" s="123"/>
      <c r="Z602" s="219"/>
      <c r="AA602" s="123"/>
      <c r="AB602" s="123"/>
      <c r="AC602" s="219"/>
      <c r="AD602" s="219"/>
      <c r="AE602" s="123"/>
      <c r="AF602" s="123"/>
      <c r="AH602" s="236"/>
      <c r="AI602" s="123"/>
      <c r="AJ602" s="123"/>
      <c r="AL602" s="123"/>
      <c r="AM602" s="160"/>
      <c r="AN602" s="160"/>
    </row>
    <row r="603" spans="3:40" x14ac:dyDescent="0.3">
      <c r="C603" s="42"/>
      <c r="D603" s="42"/>
      <c r="E603" s="42"/>
      <c r="F603" s="123"/>
      <c r="H603" s="123"/>
      <c r="I603" s="123"/>
      <c r="J603" s="219"/>
      <c r="K603" s="219"/>
      <c r="L603" s="123"/>
      <c r="M603" s="123"/>
      <c r="N603" s="219"/>
      <c r="O603" s="219"/>
      <c r="P603" s="123"/>
      <c r="Q603" s="123"/>
      <c r="R603" s="123"/>
      <c r="T603" s="42"/>
      <c r="U603" s="42"/>
      <c r="V603" s="123"/>
      <c r="Y603" s="123"/>
      <c r="Z603" s="219"/>
      <c r="AA603" s="123"/>
      <c r="AB603" s="123"/>
      <c r="AC603" s="219"/>
      <c r="AD603" s="219"/>
      <c r="AE603" s="123"/>
      <c r="AF603" s="123"/>
      <c r="AH603" s="236"/>
      <c r="AI603" s="123"/>
      <c r="AJ603" s="123"/>
      <c r="AL603" s="123"/>
      <c r="AM603" s="160"/>
      <c r="AN603" s="160"/>
    </row>
    <row r="604" spans="3:40" x14ac:dyDescent="0.3">
      <c r="F604" s="123"/>
      <c r="H604" s="210"/>
      <c r="I604" s="210"/>
      <c r="J604" s="213"/>
      <c r="K604" s="213"/>
      <c r="L604" s="210"/>
      <c r="M604" s="210"/>
      <c r="N604" s="210"/>
      <c r="O604" s="210"/>
      <c r="P604" s="210"/>
      <c r="Q604" s="210"/>
      <c r="R604" s="210"/>
      <c r="V604" s="210"/>
      <c r="Y604" s="210"/>
      <c r="Z604" s="213"/>
      <c r="AA604" s="210"/>
      <c r="AB604" s="210"/>
      <c r="AC604" s="210"/>
      <c r="AD604" s="210"/>
      <c r="AE604" s="210"/>
      <c r="AF604" s="210"/>
      <c r="AI604" s="210"/>
      <c r="AJ604" s="210"/>
      <c r="AK604" s="214"/>
      <c r="AL604" s="210"/>
      <c r="AM604" s="160"/>
      <c r="AN604" s="160"/>
    </row>
    <row r="605" spans="3:40" x14ac:dyDescent="0.3">
      <c r="C605" s="42"/>
      <c r="F605" s="210"/>
      <c r="H605" s="123"/>
      <c r="I605" s="123"/>
      <c r="J605" s="219"/>
      <c r="K605" s="219"/>
      <c r="L605" s="123"/>
      <c r="M605" s="123"/>
      <c r="N605" s="219"/>
      <c r="O605" s="219"/>
      <c r="P605" s="123"/>
      <c r="Q605" s="123"/>
      <c r="R605" s="123"/>
      <c r="T605" s="42"/>
      <c r="V605" s="123"/>
      <c r="Y605" s="123"/>
      <c r="Z605" s="219"/>
      <c r="AA605" s="123"/>
      <c r="AB605" s="123"/>
      <c r="AC605" s="219"/>
      <c r="AD605" s="219"/>
      <c r="AE605" s="123"/>
      <c r="AF605" s="123"/>
      <c r="AH605" s="236"/>
      <c r="AI605" s="123"/>
      <c r="AJ605" s="123"/>
      <c r="AL605" s="123"/>
      <c r="AM605" s="160"/>
      <c r="AN605" s="160"/>
    </row>
    <row r="606" spans="3:40" x14ac:dyDescent="0.3">
      <c r="F606" s="123"/>
      <c r="H606" s="123"/>
      <c r="I606" s="123"/>
      <c r="J606" s="219"/>
      <c r="K606" s="219"/>
      <c r="L606" s="123"/>
      <c r="M606" s="123"/>
      <c r="N606" s="219"/>
      <c r="O606" s="219"/>
      <c r="P606" s="123"/>
      <c r="Q606" s="123"/>
      <c r="R606" s="123"/>
      <c r="V606" s="123"/>
      <c r="Y606" s="123"/>
      <c r="Z606" s="219"/>
      <c r="AA606" s="123"/>
      <c r="AB606" s="123"/>
      <c r="AC606" s="219"/>
      <c r="AD606" s="219"/>
      <c r="AH606" s="236"/>
      <c r="AI606" s="123"/>
      <c r="AJ606" s="123"/>
      <c r="AL606" s="123"/>
      <c r="AM606" s="160"/>
      <c r="AN606" s="160"/>
    </row>
    <row r="607" spans="3:40" x14ac:dyDescent="0.3">
      <c r="C607" s="42"/>
      <c r="D607" s="42"/>
      <c r="E607" s="42"/>
      <c r="F607" s="123"/>
      <c r="H607" s="123"/>
      <c r="I607" s="123"/>
      <c r="J607" s="219"/>
      <c r="K607" s="219"/>
      <c r="L607" s="123"/>
      <c r="M607" s="123"/>
      <c r="N607" s="219"/>
      <c r="O607" s="219"/>
      <c r="P607" s="123"/>
      <c r="Q607" s="123"/>
      <c r="R607" s="123"/>
      <c r="T607" s="42"/>
      <c r="U607" s="42"/>
      <c r="V607" s="123"/>
      <c r="Y607" s="123"/>
      <c r="Z607" s="219"/>
      <c r="AA607" s="123"/>
      <c r="AB607" s="123"/>
      <c r="AC607" s="219"/>
      <c r="AD607" s="219"/>
      <c r="AE607" s="123"/>
      <c r="AF607" s="123"/>
      <c r="AH607" s="236"/>
      <c r="AI607" s="123"/>
      <c r="AJ607" s="123"/>
      <c r="AL607" s="123"/>
      <c r="AM607" s="160"/>
      <c r="AN607" s="160"/>
    </row>
    <row r="608" spans="3:40" x14ac:dyDescent="0.3">
      <c r="F608" s="123"/>
      <c r="H608" s="210"/>
      <c r="I608" s="210"/>
      <c r="J608" s="213"/>
      <c r="K608" s="213"/>
      <c r="L608" s="210"/>
      <c r="M608" s="210"/>
      <c r="N608" s="210"/>
      <c r="O608" s="210"/>
      <c r="P608" s="210"/>
      <c r="Q608" s="210"/>
      <c r="R608" s="210"/>
      <c r="V608" s="210"/>
      <c r="Y608" s="210"/>
      <c r="Z608" s="213"/>
      <c r="AA608" s="210"/>
      <c r="AB608" s="210"/>
      <c r="AC608" s="210"/>
      <c r="AD608" s="210"/>
      <c r="AE608" s="210"/>
      <c r="AF608" s="210"/>
      <c r="AI608" s="210"/>
      <c r="AJ608" s="210"/>
      <c r="AK608" s="214"/>
      <c r="AL608" s="210"/>
      <c r="AM608" s="160"/>
      <c r="AN608" s="160"/>
    </row>
    <row r="609" spans="3:40" x14ac:dyDescent="0.3">
      <c r="C609" s="42"/>
      <c r="F609" s="210"/>
      <c r="H609" s="123"/>
      <c r="I609" s="123"/>
      <c r="J609" s="219"/>
      <c r="K609" s="219"/>
      <c r="L609" s="123"/>
      <c r="M609" s="123"/>
      <c r="N609" s="219"/>
      <c r="O609" s="219"/>
      <c r="P609" s="123"/>
      <c r="Q609" s="123"/>
      <c r="R609" s="123"/>
      <c r="T609" s="42"/>
      <c r="V609" s="123"/>
      <c r="Y609" s="123"/>
      <c r="Z609" s="219"/>
      <c r="AA609" s="123"/>
      <c r="AB609" s="123"/>
      <c r="AC609" s="219"/>
      <c r="AD609" s="219"/>
      <c r="AE609" s="123"/>
      <c r="AF609" s="123"/>
      <c r="AH609" s="236"/>
      <c r="AI609" s="123"/>
      <c r="AJ609" s="123"/>
      <c r="AL609" s="123"/>
      <c r="AM609" s="160"/>
      <c r="AN609" s="160"/>
    </row>
    <row r="610" spans="3:40" x14ac:dyDescent="0.3">
      <c r="F610" s="123"/>
      <c r="H610" s="123"/>
      <c r="I610" s="123"/>
      <c r="J610" s="219"/>
      <c r="K610" s="219"/>
      <c r="L610" s="123"/>
      <c r="M610" s="123"/>
      <c r="N610" s="219"/>
      <c r="O610" s="219"/>
      <c r="P610" s="123"/>
      <c r="Q610" s="123"/>
      <c r="R610" s="123"/>
      <c r="V610" s="123"/>
      <c r="Y610" s="123"/>
      <c r="Z610" s="219"/>
      <c r="AA610" s="123"/>
      <c r="AB610" s="123"/>
      <c r="AC610" s="219"/>
      <c r="AD610" s="219"/>
      <c r="AH610" s="236"/>
      <c r="AI610" s="123"/>
      <c r="AJ610" s="123"/>
      <c r="AL610" s="123"/>
      <c r="AM610" s="160"/>
      <c r="AN610" s="160"/>
    </row>
    <row r="611" spans="3:40" x14ac:dyDescent="0.3">
      <c r="C611" s="42"/>
      <c r="D611" s="42"/>
      <c r="E611" s="42"/>
      <c r="F611" s="123"/>
      <c r="H611" s="123"/>
      <c r="I611" s="123"/>
      <c r="J611" s="219"/>
      <c r="K611" s="219"/>
      <c r="L611" s="123"/>
      <c r="M611" s="123"/>
      <c r="N611" s="219"/>
      <c r="O611" s="219"/>
      <c r="P611" s="123"/>
      <c r="Q611" s="123"/>
      <c r="R611" s="123"/>
      <c r="T611" s="42"/>
      <c r="U611" s="42"/>
      <c r="V611" s="123"/>
      <c r="Y611" s="123"/>
      <c r="Z611" s="219"/>
      <c r="AA611" s="123"/>
      <c r="AB611" s="123"/>
      <c r="AC611" s="219"/>
      <c r="AD611" s="219"/>
      <c r="AE611" s="123"/>
      <c r="AF611" s="123"/>
      <c r="AH611" s="236"/>
      <c r="AI611" s="123"/>
      <c r="AJ611" s="123"/>
      <c r="AL611" s="123"/>
      <c r="AM611" s="160"/>
      <c r="AN611" s="160"/>
    </row>
    <row r="612" spans="3:40" x14ac:dyDescent="0.3">
      <c r="C612" s="42"/>
      <c r="D612" s="42"/>
      <c r="E612" s="42"/>
      <c r="F612" s="123"/>
      <c r="G612" s="123"/>
      <c r="H612" s="123"/>
      <c r="I612" s="123"/>
      <c r="J612" s="219"/>
      <c r="K612" s="219"/>
      <c r="L612" s="123"/>
      <c r="M612" s="123"/>
      <c r="N612" s="219"/>
      <c r="O612" s="219"/>
      <c r="P612" s="123"/>
      <c r="Q612" s="123"/>
      <c r="R612" s="123"/>
      <c r="T612" s="42"/>
      <c r="U612" s="42"/>
      <c r="V612" s="123"/>
      <c r="W612" s="123"/>
      <c r="X612" s="123"/>
      <c r="Y612" s="123"/>
      <c r="Z612" s="219"/>
      <c r="AA612" s="123"/>
      <c r="AB612" s="123"/>
      <c r="AC612" s="219"/>
      <c r="AD612" s="219"/>
      <c r="AE612" s="123"/>
      <c r="AF612" s="123"/>
      <c r="AH612" s="236"/>
      <c r="AI612" s="123"/>
      <c r="AJ612" s="123"/>
      <c r="AL612" s="123"/>
      <c r="AM612" s="160"/>
      <c r="AN612" s="160"/>
    </row>
    <row r="613" spans="3:40" x14ac:dyDescent="0.3">
      <c r="C613" s="42"/>
      <c r="D613" s="42"/>
      <c r="E613" s="42"/>
      <c r="F613" s="123"/>
      <c r="G613" s="123"/>
      <c r="H613" s="123"/>
      <c r="I613" s="123"/>
      <c r="J613" s="219"/>
      <c r="K613" s="219"/>
      <c r="L613" s="123"/>
      <c r="M613" s="123"/>
      <c r="N613" s="219"/>
      <c r="O613" s="219"/>
      <c r="P613" s="123"/>
      <c r="Q613" s="123"/>
      <c r="R613" s="123"/>
      <c r="T613" s="42"/>
      <c r="U613" s="42"/>
      <c r="V613" s="123"/>
      <c r="W613" s="123"/>
      <c r="X613" s="123"/>
      <c r="Y613" s="123"/>
      <c r="Z613" s="219"/>
      <c r="AA613" s="123"/>
      <c r="AB613" s="123"/>
      <c r="AC613" s="219"/>
      <c r="AD613" s="219"/>
      <c r="AE613" s="123"/>
      <c r="AF613" s="123"/>
      <c r="AH613" s="236"/>
      <c r="AI613" s="123"/>
      <c r="AJ613" s="123"/>
      <c r="AL613" s="123"/>
      <c r="AM613" s="160"/>
      <c r="AN613" s="160"/>
    </row>
    <row r="614" spans="3:40" x14ac:dyDescent="0.3">
      <c r="C614" s="42"/>
      <c r="D614" s="42"/>
      <c r="E614" s="42"/>
      <c r="F614" s="123"/>
      <c r="H614" s="123"/>
      <c r="I614" s="123"/>
      <c r="J614" s="219"/>
      <c r="K614" s="219"/>
      <c r="L614" s="123"/>
      <c r="M614" s="123"/>
      <c r="N614" s="219"/>
      <c r="O614" s="219"/>
      <c r="P614" s="123"/>
      <c r="Q614" s="123"/>
      <c r="R614" s="123"/>
      <c r="T614" s="42"/>
      <c r="U614" s="42"/>
      <c r="V614" s="123"/>
      <c r="Y614" s="123"/>
      <c r="Z614" s="219"/>
      <c r="AA614" s="123"/>
      <c r="AB614" s="123"/>
      <c r="AC614" s="219"/>
      <c r="AD614" s="219"/>
      <c r="AE614" s="123"/>
      <c r="AF614" s="123"/>
      <c r="AH614" s="236"/>
      <c r="AI614" s="123"/>
      <c r="AJ614" s="123"/>
      <c r="AL614" s="123"/>
      <c r="AM614" s="160"/>
      <c r="AN614" s="160"/>
    </row>
    <row r="615" spans="3:40" x14ac:dyDescent="0.3">
      <c r="C615" s="42"/>
      <c r="D615" s="42"/>
      <c r="E615" s="42"/>
      <c r="F615" s="123"/>
      <c r="H615" s="123"/>
      <c r="I615" s="123"/>
      <c r="J615" s="219"/>
      <c r="K615" s="219"/>
      <c r="L615" s="123"/>
      <c r="M615" s="123"/>
      <c r="N615" s="219"/>
      <c r="O615" s="219"/>
      <c r="P615" s="123"/>
      <c r="Q615" s="123"/>
      <c r="R615" s="123"/>
      <c r="T615" s="42"/>
      <c r="U615" s="42"/>
      <c r="V615" s="123"/>
      <c r="Y615" s="123"/>
      <c r="Z615" s="219"/>
      <c r="AA615" s="123"/>
      <c r="AB615" s="123"/>
      <c r="AC615" s="219"/>
      <c r="AD615" s="219"/>
      <c r="AE615" s="123"/>
      <c r="AF615" s="123"/>
      <c r="AH615" s="236"/>
      <c r="AI615" s="123"/>
      <c r="AJ615" s="123"/>
      <c r="AL615" s="123"/>
      <c r="AM615" s="160"/>
      <c r="AN615" s="160"/>
    </row>
    <row r="616" spans="3:40" x14ac:dyDescent="0.3">
      <c r="C616" s="42"/>
      <c r="D616" s="42"/>
      <c r="E616" s="42"/>
      <c r="F616" s="123"/>
      <c r="H616" s="123"/>
      <c r="I616" s="123"/>
      <c r="J616" s="219"/>
      <c r="K616" s="219"/>
      <c r="L616" s="123"/>
      <c r="M616" s="123"/>
      <c r="N616" s="219"/>
      <c r="O616" s="219"/>
      <c r="P616" s="123"/>
      <c r="Q616" s="123"/>
      <c r="R616" s="123"/>
      <c r="T616" s="42"/>
      <c r="U616" s="42"/>
      <c r="V616" s="123"/>
      <c r="Y616" s="123"/>
      <c r="Z616" s="219"/>
      <c r="AA616" s="123"/>
      <c r="AB616" s="123"/>
      <c r="AC616" s="219"/>
      <c r="AD616" s="219"/>
      <c r="AE616" s="123"/>
      <c r="AF616" s="123"/>
      <c r="AH616" s="236"/>
      <c r="AI616" s="123"/>
      <c r="AJ616" s="123"/>
      <c r="AL616" s="123"/>
      <c r="AM616" s="160"/>
      <c r="AN616" s="160"/>
    </row>
    <row r="617" spans="3:40" x14ac:dyDescent="0.3">
      <c r="C617" s="42"/>
      <c r="D617" s="42"/>
      <c r="E617" s="42"/>
      <c r="F617" s="123"/>
      <c r="H617" s="123"/>
      <c r="I617" s="123"/>
      <c r="J617" s="219"/>
      <c r="K617" s="219"/>
      <c r="L617" s="123"/>
      <c r="M617" s="123"/>
      <c r="N617" s="219"/>
      <c r="O617" s="219"/>
      <c r="P617" s="123"/>
      <c r="Q617" s="123"/>
      <c r="R617" s="123"/>
      <c r="T617" s="42"/>
      <c r="U617" s="42"/>
      <c r="V617" s="123"/>
      <c r="Y617" s="123"/>
      <c r="Z617" s="219"/>
      <c r="AA617" s="123"/>
      <c r="AB617" s="123"/>
      <c r="AC617" s="219"/>
      <c r="AD617" s="219"/>
      <c r="AE617" s="123"/>
      <c r="AF617" s="123"/>
      <c r="AH617" s="236"/>
      <c r="AI617" s="123"/>
      <c r="AJ617" s="123"/>
      <c r="AL617" s="123"/>
      <c r="AM617" s="160"/>
      <c r="AN617" s="160"/>
    </row>
    <row r="618" spans="3:40" x14ac:dyDescent="0.3">
      <c r="F618" s="123"/>
      <c r="H618" s="210"/>
      <c r="I618" s="210"/>
      <c r="J618" s="213"/>
      <c r="K618" s="213"/>
      <c r="L618" s="210"/>
      <c r="M618" s="210"/>
      <c r="N618" s="210"/>
      <c r="O618" s="210"/>
      <c r="P618" s="210"/>
      <c r="Q618" s="210"/>
      <c r="R618" s="210"/>
      <c r="V618" s="210"/>
      <c r="Y618" s="210"/>
      <c r="Z618" s="213"/>
      <c r="AA618" s="210"/>
      <c r="AB618" s="210"/>
      <c r="AC618" s="210"/>
      <c r="AD618" s="210"/>
      <c r="AE618" s="210"/>
      <c r="AF618" s="210"/>
      <c r="AI618" s="210"/>
      <c r="AJ618" s="210"/>
      <c r="AK618" s="214"/>
      <c r="AL618" s="210"/>
      <c r="AM618" s="160"/>
      <c r="AN618" s="160"/>
    </row>
    <row r="619" spans="3:40" x14ac:dyDescent="0.3">
      <c r="C619" s="42"/>
      <c r="F619" s="210"/>
      <c r="H619" s="123"/>
      <c r="I619" s="123"/>
      <c r="J619" s="219"/>
      <c r="K619" s="219"/>
      <c r="L619" s="123"/>
      <c r="M619" s="123"/>
      <c r="N619" s="219"/>
      <c r="O619" s="219"/>
      <c r="P619" s="123"/>
      <c r="Q619" s="123"/>
      <c r="R619" s="123"/>
      <c r="T619" s="42"/>
      <c r="V619" s="123"/>
      <c r="Y619" s="123"/>
      <c r="Z619" s="219"/>
      <c r="AA619" s="123"/>
      <c r="AB619" s="123"/>
      <c r="AC619" s="219"/>
      <c r="AD619" s="219"/>
      <c r="AE619" s="123"/>
      <c r="AF619" s="123"/>
      <c r="AH619" s="236"/>
      <c r="AI619" s="123"/>
      <c r="AJ619" s="123"/>
      <c r="AL619" s="123"/>
      <c r="AM619" s="160"/>
      <c r="AN619" s="160"/>
    </row>
    <row r="620" spans="3:40" x14ac:dyDescent="0.3">
      <c r="F620" s="123"/>
      <c r="V620" s="123"/>
      <c r="Y620" s="123"/>
      <c r="Z620" s="213"/>
      <c r="AA620" s="123"/>
      <c r="AB620" s="123"/>
      <c r="AC620" s="123"/>
      <c r="AD620" s="123"/>
      <c r="AE620" s="123"/>
      <c r="AF620" s="123"/>
      <c r="AI620" s="123"/>
      <c r="AJ620" s="123"/>
      <c r="AL620" s="123"/>
      <c r="AM620" s="160"/>
      <c r="AN620" s="160"/>
    </row>
    <row r="621" spans="3:40" x14ac:dyDescent="0.3">
      <c r="C621" s="42"/>
      <c r="D621" s="42"/>
      <c r="E621" s="42"/>
      <c r="L621" s="123"/>
      <c r="M621" s="123"/>
      <c r="N621" s="219"/>
      <c r="O621" s="219"/>
      <c r="R621" s="123"/>
      <c r="T621" s="42"/>
      <c r="U621" s="42"/>
      <c r="AA621" s="123"/>
      <c r="AB621" s="123"/>
      <c r="AC621" s="219"/>
      <c r="AD621" s="219"/>
      <c r="AE621" s="123"/>
      <c r="AF621" s="123"/>
      <c r="AH621" s="236"/>
      <c r="AL621" s="123"/>
      <c r="AM621" s="160"/>
      <c r="AN621" s="160"/>
    </row>
    <row r="622" spans="3:40" x14ac:dyDescent="0.3">
      <c r="D622" s="42"/>
      <c r="E622" s="42"/>
      <c r="H622" s="184"/>
      <c r="I622" s="184"/>
      <c r="J622" s="219"/>
      <c r="K622" s="219"/>
      <c r="L622" s="123"/>
      <c r="M622" s="123"/>
      <c r="N622" s="219"/>
      <c r="O622" s="219"/>
      <c r="P622" s="184"/>
      <c r="Q622" s="184"/>
      <c r="R622" s="123"/>
      <c r="U622" s="42"/>
      <c r="V622" s="123"/>
      <c r="Y622" s="123"/>
      <c r="Z622" s="219"/>
      <c r="AA622" s="123"/>
      <c r="AB622" s="123"/>
      <c r="AC622" s="219"/>
      <c r="AD622" s="219"/>
      <c r="AE622" s="123"/>
      <c r="AF622" s="123"/>
      <c r="AH622" s="236"/>
      <c r="AI622" s="123"/>
      <c r="AJ622" s="123"/>
      <c r="AL622" s="123"/>
      <c r="AM622" s="160"/>
      <c r="AN622" s="160"/>
    </row>
    <row r="623" spans="3:40" x14ac:dyDescent="0.3">
      <c r="F623" s="184"/>
      <c r="H623" s="210"/>
      <c r="I623" s="210"/>
      <c r="J623" s="213"/>
      <c r="K623" s="213"/>
      <c r="L623" s="210"/>
      <c r="M623" s="210"/>
      <c r="N623" s="210"/>
      <c r="O623" s="210"/>
      <c r="P623" s="210"/>
      <c r="Q623" s="210"/>
      <c r="R623" s="210"/>
      <c r="V623" s="210"/>
      <c r="Y623" s="210"/>
      <c r="Z623" s="213"/>
      <c r="AA623" s="210"/>
      <c r="AB623" s="210"/>
      <c r="AC623" s="210"/>
      <c r="AD623" s="210"/>
      <c r="AE623" s="210"/>
      <c r="AF623" s="210"/>
      <c r="AI623" s="210"/>
      <c r="AJ623" s="210"/>
      <c r="AK623" s="214"/>
      <c r="AL623" s="210"/>
      <c r="AM623" s="160"/>
      <c r="AN623" s="160"/>
    </row>
    <row r="624" spans="3:40" x14ac:dyDescent="0.3">
      <c r="C624" s="42"/>
      <c r="F624" s="210"/>
      <c r="H624" s="123"/>
      <c r="I624" s="123"/>
      <c r="J624" s="219"/>
      <c r="K624" s="219"/>
      <c r="L624" s="123"/>
      <c r="M624" s="123"/>
      <c r="N624" s="219"/>
      <c r="O624" s="219"/>
      <c r="P624" s="123"/>
      <c r="Q624" s="123"/>
      <c r="R624" s="123"/>
      <c r="T624" s="42"/>
      <c r="V624" s="123"/>
      <c r="Y624" s="123"/>
      <c r="Z624" s="219"/>
      <c r="AA624" s="123"/>
      <c r="AB624" s="123"/>
      <c r="AC624" s="219"/>
      <c r="AD624" s="219"/>
      <c r="AE624" s="123"/>
      <c r="AF624" s="123"/>
      <c r="AH624" s="236"/>
      <c r="AI624" s="123"/>
      <c r="AJ624" s="123"/>
      <c r="AL624" s="123"/>
      <c r="AM624" s="160"/>
      <c r="AN624" s="160"/>
    </row>
    <row r="625" spans="1:40" x14ac:dyDescent="0.3">
      <c r="F625" s="123"/>
      <c r="H625" s="123"/>
      <c r="I625" s="123"/>
      <c r="J625" s="219"/>
      <c r="K625" s="219"/>
      <c r="L625" s="123"/>
      <c r="M625" s="123"/>
      <c r="N625" s="219"/>
      <c r="O625" s="219"/>
      <c r="P625" s="123"/>
      <c r="Q625" s="123"/>
      <c r="R625" s="123"/>
      <c r="V625" s="123"/>
      <c r="Y625" s="123"/>
      <c r="Z625" s="219"/>
      <c r="AA625" s="123"/>
      <c r="AB625" s="123"/>
      <c r="AC625" s="219"/>
      <c r="AD625" s="219"/>
      <c r="AH625" s="236"/>
      <c r="AI625" s="123"/>
      <c r="AJ625" s="123"/>
      <c r="AL625" s="123"/>
      <c r="AM625" s="160"/>
      <c r="AN625" s="160"/>
    </row>
    <row r="626" spans="1:40" x14ac:dyDescent="0.3">
      <c r="D626" s="42"/>
      <c r="E626" s="42"/>
      <c r="F626" s="123"/>
      <c r="H626" s="123"/>
      <c r="I626" s="123"/>
      <c r="J626" s="219"/>
      <c r="K626" s="219"/>
      <c r="L626" s="184"/>
      <c r="M626" s="184"/>
      <c r="N626" s="219"/>
      <c r="O626" s="219"/>
      <c r="P626" s="123"/>
      <c r="Q626" s="123"/>
      <c r="R626" s="123"/>
      <c r="U626" s="42"/>
      <c r="V626" s="123"/>
      <c r="Y626" s="123"/>
      <c r="Z626" s="219"/>
      <c r="AA626" s="184"/>
      <c r="AB626" s="184"/>
      <c r="AC626" s="219"/>
      <c r="AD626" s="219"/>
      <c r="AE626" s="123"/>
      <c r="AF626" s="123"/>
      <c r="AH626" s="236"/>
      <c r="AI626" s="123"/>
      <c r="AJ626" s="123"/>
      <c r="AL626" s="123"/>
      <c r="AM626" s="160"/>
      <c r="AN626" s="160"/>
    </row>
    <row r="627" spans="1:40" x14ac:dyDescent="0.3">
      <c r="D627" s="42"/>
      <c r="E627" s="42"/>
      <c r="F627" s="123"/>
      <c r="H627" s="123"/>
      <c r="I627" s="123"/>
      <c r="J627" s="219"/>
      <c r="K627" s="219"/>
      <c r="L627" s="184"/>
      <c r="M627" s="184"/>
      <c r="N627" s="219"/>
      <c r="O627" s="219"/>
      <c r="P627" s="123"/>
      <c r="Q627" s="123"/>
      <c r="R627" s="123"/>
      <c r="U627" s="42"/>
      <c r="V627" s="123"/>
      <c r="Y627" s="123"/>
      <c r="Z627" s="219"/>
      <c r="AA627" s="184"/>
      <c r="AB627" s="184"/>
      <c r="AC627" s="219"/>
      <c r="AD627" s="219"/>
      <c r="AE627" s="123"/>
      <c r="AF627" s="123"/>
      <c r="AH627" s="236"/>
      <c r="AI627" s="123"/>
      <c r="AJ627" s="123"/>
      <c r="AL627" s="123"/>
      <c r="AM627" s="160"/>
      <c r="AN627" s="160"/>
    </row>
    <row r="628" spans="1:40" x14ac:dyDescent="0.3">
      <c r="D628" s="42"/>
      <c r="E628" s="42"/>
      <c r="F628" s="123"/>
      <c r="H628" s="123"/>
      <c r="I628" s="123"/>
      <c r="J628" s="219"/>
      <c r="K628" s="219"/>
      <c r="L628" s="184"/>
      <c r="M628" s="184"/>
      <c r="N628" s="219"/>
      <c r="O628" s="219"/>
      <c r="P628" s="123"/>
      <c r="Q628" s="123"/>
      <c r="R628" s="123"/>
      <c r="U628" s="42"/>
      <c r="V628" s="123"/>
      <c r="Y628" s="123"/>
      <c r="Z628" s="219"/>
      <c r="AA628" s="184"/>
      <c r="AB628" s="184"/>
      <c r="AC628" s="219"/>
      <c r="AD628" s="219"/>
      <c r="AE628" s="123"/>
      <c r="AF628" s="123"/>
      <c r="AH628" s="236"/>
      <c r="AI628" s="123"/>
      <c r="AJ628" s="123"/>
      <c r="AL628" s="123"/>
      <c r="AM628" s="160"/>
      <c r="AN628" s="160"/>
    </row>
    <row r="629" spans="1:40" x14ac:dyDescent="0.3">
      <c r="F629" s="123"/>
      <c r="H629" s="210"/>
      <c r="I629" s="210"/>
      <c r="J629" s="213"/>
      <c r="K629" s="213"/>
      <c r="L629" s="210"/>
      <c r="M629" s="210"/>
      <c r="N629" s="210"/>
      <c r="O629" s="210"/>
      <c r="P629" s="210"/>
      <c r="Q629" s="210"/>
      <c r="R629" s="210"/>
      <c r="V629" s="210"/>
      <c r="Y629" s="210"/>
      <c r="Z629" s="213"/>
      <c r="AA629" s="210"/>
      <c r="AB629" s="210"/>
      <c r="AC629" s="210"/>
      <c r="AD629" s="210"/>
      <c r="AE629" s="210"/>
      <c r="AF629" s="210"/>
      <c r="AI629" s="210"/>
      <c r="AJ629" s="210"/>
      <c r="AK629" s="214"/>
      <c r="AL629" s="210"/>
      <c r="AM629" s="160"/>
      <c r="AN629" s="160"/>
    </row>
    <row r="630" spans="1:40" x14ac:dyDescent="0.3">
      <c r="C630" s="42"/>
      <c r="F630" s="210"/>
      <c r="H630" s="123"/>
      <c r="I630" s="123"/>
      <c r="J630" s="219"/>
      <c r="K630" s="219"/>
      <c r="L630" s="123"/>
      <c r="M630" s="123"/>
      <c r="N630" s="219"/>
      <c r="O630" s="219"/>
      <c r="P630" s="123"/>
      <c r="Q630" s="123"/>
      <c r="R630" s="123"/>
      <c r="T630" s="42"/>
      <c r="V630" s="123"/>
      <c r="Y630" s="123"/>
      <c r="Z630" s="219"/>
      <c r="AA630" s="123"/>
      <c r="AB630" s="123"/>
      <c r="AC630" s="219"/>
      <c r="AD630" s="219"/>
      <c r="AE630" s="123"/>
      <c r="AF630" s="123"/>
      <c r="AH630" s="236"/>
      <c r="AI630" s="123"/>
      <c r="AJ630" s="123"/>
      <c r="AL630" s="123"/>
      <c r="AM630" s="160"/>
      <c r="AN630" s="160"/>
    </row>
    <row r="631" spans="1:40" x14ac:dyDescent="0.3">
      <c r="F631" s="123"/>
      <c r="H631" s="123"/>
      <c r="I631" s="123"/>
      <c r="J631" s="219"/>
      <c r="K631" s="219"/>
      <c r="L631" s="123"/>
      <c r="M631" s="123"/>
      <c r="N631" s="219"/>
      <c r="O631" s="219"/>
      <c r="P631" s="123"/>
      <c r="Q631" s="123"/>
      <c r="R631" s="123"/>
      <c r="V631" s="123"/>
      <c r="Y631" s="123"/>
      <c r="Z631" s="219"/>
      <c r="AA631" s="123"/>
      <c r="AB631" s="123"/>
      <c r="AC631" s="219"/>
      <c r="AD631" s="219"/>
      <c r="AH631" s="236"/>
      <c r="AI631" s="123"/>
      <c r="AJ631" s="123"/>
      <c r="AL631" s="123"/>
      <c r="AM631" s="160"/>
      <c r="AN631" s="160"/>
    </row>
    <row r="632" spans="1:40" x14ac:dyDescent="0.3">
      <c r="C632" s="42"/>
      <c r="F632" s="123"/>
      <c r="H632" s="123"/>
      <c r="I632" s="123"/>
      <c r="J632" s="219"/>
      <c r="K632" s="219"/>
      <c r="L632" s="123"/>
      <c r="M632" s="123"/>
      <c r="N632" s="219"/>
      <c r="O632" s="219"/>
      <c r="P632" s="123"/>
      <c r="Q632" s="123"/>
      <c r="R632" s="123"/>
      <c r="T632" s="42"/>
      <c r="V632" s="123"/>
      <c r="Y632" s="123"/>
      <c r="Z632" s="219"/>
      <c r="AA632" s="123"/>
      <c r="AB632" s="123"/>
      <c r="AC632" s="219"/>
      <c r="AD632" s="219"/>
      <c r="AE632" s="123"/>
      <c r="AF632" s="123"/>
      <c r="AH632" s="236"/>
      <c r="AI632" s="123"/>
      <c r="AJ632" s="123"/>
      <c r="AL632" s="123"/>
      <c r="AM632" s="160"/>
      <c r="AN632" s="160"/>
    </row>
    <row r="633" spans="1:40" x14ac:dyDescent="0.3">
      <c r="F633" s="123"/>
      <c r="H633" s="210"/>
      <c r="I633" s="210"/>
      <c r="J633" s="213"/>
      <c r="K633" s="213"/>
      <c r="L633" s="210"/>
      <c r="M633" s="210"/>
      <c r="N633" s="210"/>
      <c r="O633" s="210"/>
      <c r="P633" s="210"/>
      <c r="Q633" s="210"/>
      <c r="R633" s="210"/>
      <c r="V633" s="210"/>
      <c r="Y633" s="210"/>
      <c r="Z633" s="213"/>
      <c r="AA633" s="210"/>
      <c r="AB633" s="210"/>
      <c r="AC633" s="210"/>
      <c r="AD633" s="210"/>
      <c r="AE633" s="210"/>
      <c r="AF633" s="210"/>
      <c r="AI633" s="210"/>
      <c r="AJ633" s="210"/>
      <c r="AK633" s="214"/>
      <c r="AL633" s="210"/>
    </row>
    <row r="635" spans="1:40" x14ac:dyDescent="0.3">
      <c r="C635" s="42"/>
      <c r="F635" s="210"/>
      <c r="L635" s="123"/>
      <c r="M635" s="123"/>
      <c r="P635" s="123"/>
      <c r="Q635" s="123"/>
      <c r="R635" s="123"/>
      <c r="T635" s="42"/>
    </row>
    <row r="636" spans="1:40" x14ac:dyDescent="0.3">
      <c r="A636" s="42"/>
      <c r="L636" s="123"/>
      <c r="M636" s="123"/>
      <c r="P636" s="123"/>
      <c r="Q636" s="123"/>
      <c r="R636" s="123"/>
    </row>
    <row r="637" spans="1:40" x14ac:dyDescent="0.3">
      <c r="L637" s="123"/>
      <c r="M637" s="123"/>
      <c r="P637" s="123"/>
      <c r="Q637" s="123"/>
      <c r="R637" s="123"/>
    </row>
    <row r="638" spans="1:40" x14ac:dyDescent="0.3">
      <c r="L638" s="123"/>
      <c r="M638" s="123"/>
      <c r="P638" s="123"/>
      <c r="Q638" s="123"/>
      <c r="R638" s="123"/>
    </row>
    <row r="639" spans="1:40" x14ac:dyDescent="0.3">
      <c r="L639" s="123"/>
      <c r="M639" s="123"/>
      <c r="P639" s="123"/>
      <c r="Q639" s="123"/>
      <c r="R639" s="123"/>
    </row>
    <row r="640" spans="1:40" x14ac:dyDescent="0.3">
      <c r="L640" s="123"/>
      <c r="M640" s="123"/>
      <c r="P640" s="123"/>
      <c r="Q640" s="123"/>
      <c r="R640" s="123"/>
    </row>
    <row r="641" spans="12:18" x14ac:dyDescent="0.3">
      <c r="L641" s="123"/>
      <c r="M641" s="123"/>
      <c r="P641" s="123"/>
      <c r="Q641" s="123"/>
      <c r="R641" s="123"/>
    </row>
    <row r="674" spans="49:49" x14ac:dyDescent="0.3">
      <c r="AW674" s="123"/>
    </row>
    <row r="675" spans="49:49" x14ac:dyDescent="0.3">
      <c r="AW675" s="123"/>
    </row>
    <row r="676" spans="49:49" x14ac:dyDescent="0.3">
      <c r="AW676" s="123"/>
    </row>
    <row r="677" spans="49:49" x14ac:dyDescent="0.3">
      <c r="AW677" s="123"/>
    </row>
    <row r="678" spans="49:49" x14ac:dyDescent="0.3">
      <c r="AW678" s="123"/>
    </row>
    <row r="679" spans="49:49" x14ac:dyDescent="0.3">
      <c r="AW679" s="123"/>
    </row>
    <row r="682" spans="49:49" x14ac:dyDescent="0.3">
      <c r="AW682" s="123"/>
    </row>
    <row r="683" spans="49:49" x14ac:dyDescent="0.3">
      <c r="AW683" s="123"/>
    </row>
    <row r="684" spans="49:49" x14ac:dyDescent="0.3">
      <c r="AW684" s="123"/>
    </row>
    <row r="685" spans="49:49" x14ac:dyDescent="0.3">
      <c r="AW685" s="123"/>
    </row>
    <row r="686" spans="49:49" x14ac:dyDescent="0.3">
      <c r="AW686" s="123"/>
    </row>
    <row r="687" spans="49:49" x14ac:dyDescent="0.3">
      <c r="AW687" s="123"/>
    </row>
    <row r="688" spans="49:49" x14ac:dyDescent="0.3">
      <c r="AW688" s="123"/>
    </row>
    <row r="689" spans="49:49" x14ac:dyDescent="0.3">
      <c r="AW689" s="123"/>
    </row>
    <row r="692" spans="49:49" x14ac:dyDescent="0.3">
      <c r="AW692" s="123"/>
    </row>
    <row r="693" spans="49:49" x14ac:dyDescent="0.3">
      <c r="AW693" s="123"/>
    </row>
    <row r="696" spans="49:49" x14ac:dyDescent="0.3">
      <c r="AW696" s="123"/>
    </row>
    <row r="697" spans="49:49" x14ac:dyDescent="0.3">
      <c r="AW697" s="123"/>
    </row>
    <row r="698" spans="49:49" x14ac:dyDescent="0.3">
      <c r="AW698" s="123"/>
    </row>
    <row r="699" spans="49:49" x14ac:dyDescent="0.3">
      <c r="AW699" s="123"/>
    </row>
    <row r="707" spans="45:69" x14ac:dyDescent="0.3">
      <c r="AY707" s="42"/>
    </row>
    <row r="708" spans="45:69" x14ac:dyDescent="0.3">
      <c r="AY708" s="42"/>
    </row>
    <row r="709" spans="45:69" x14ac:dyDescent="0.3">
      <c r="BD709" s="42"/>
    </row>
    <row r="710" spans="45:69" x14ac:dyDescent="0.3">
      <c r="BD710" s="42"/>
    </row>
    <row r="711" spans="45:69" x14ac:dyDescent="0.3">
      <c r="AS711" s="42"/>
      <c r="BD711" s="42"/>
    </row>
    <row r="713" spans="45:69" x14ac:dyDescent="0.3">
      <c r="AS713" s="135"/>
      <c r="AT713" s="135"/>
      <c r="AU713" s="135"/>
      <c r="AV713" s="135"/>
      <c r="AW713" s="135"/>
      <c r="AX713" s="135"/>
      <c r="AY713" s="135"/>
      <c r="AZ713" s="135"/>
      <c r="BA713" s="135"/>
      <c r="BB713" s="135"/>
      <c r="BC713" s="135"/>
      <c r="BD713" s="135"/>
      <c r="BE713" s="135"/>
    </row>
    <row r="714" spans="45:69" x14ac:dyDescent="0.3">
      <c r="AX714" s="42"/>
    </row>
    <row r="715" spans="45:69" x14ac:dyDescent="0.3">
      <c r="AX715" s="135"/>
      <c r="AY715" s="135"/>
      <c r="AZ715" s="135"/>
      <c r="BA715" s="135"/>
      <c r="BC715" s="44"/>
      <c r="BD715" s="44"/>
    </row>
    <row r="716" spans="45:69" x14ac:dyDescent="0.3">
      <c r="AV716" s="44"/>
      <c r="AW716" s="44"/>
      <c r="AZ716" s="44"/>
      <c r="BA716" s="44"/>
      <c r="BC716" s="44"/>
      <c r="BD716" s="44"/>
      <c r="BE716" s="44"/>
      <c r="BG716" s="135"/>
      <c r="BH716" s="42"/>
      <c r="BK716" s="135"/>
      <c r="BM716" s="135"/>
      <c r="BN716" s="42"/>
      <c r="BQ716" s="135"/>
    </row>
    <row r="717" spans="45:69" x14ac:dyDescent="0.3"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H717" s="44"/>
      <c r="BI717" s="44"/>
      <c r="BJ717" s="44"/>
      <c r="BN717" s="44"/>
      <c r="BO717" s="44"/>
      <c r="BP717" s="44"/>
    </row>
    <row r="718" spans="45:69" x14ac:dyDescent="0.3">
      <c r="AS718" s="44"/>
      <c r="AU718" s="42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G718" s="44"/>
      <c r="BH718" s="44"/>
      <c r="BI718" s="44"/>
      <c r="BJ718" s="44"/>
      <c r="BK718" s="44"/>
      <c r="BM718" s="44"/>
      <c r="BN718" s="44"/>
      <c r="BO718" s="44"/>
      <c r="BP718" s="44"/>
      <c r="BQ718" s="44"/>
    </row>
    <row r="719" spans="45:69" x14ac:dyDescent="0.3">
      <c r="AS719" s="44"/>
      <c r="AU719" s="42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G719" s="44"/>
      <c r="BH719" s="44"/>
      <c r="BI719" s="44"/>
      <c r="BJ719" s="44"/>
      <c r="BK719" s="44"/>
      <c r="BM719" s="44"/>
      <c r="BN719" s="44"/>
      <c r="BO719" s="44"/>
      <c r="BP719" s="44"/>
      <c r="BQ719" s="44"/>
    </row>
    <row r="720" spans="45:69" x14ac:dyDescent="0.3">
      <c r="AS720" s="135"/>
      <c r="AT720" s="135"/>
      <c r="AU720" s="135"/>
      <c r="AV720" s="135"/>
      <c r="AW720" s="135"/>
      <c r="AX720" s="135"/>
      <c r="AY720" s="135"/>
      <c r="AZ720" s="135"/>
      <c r="BA720" s="135"/>
      <c r="BB720" s="135"/>
      <c r="BC720" s="135"/>
      <c r="BD720" s="135"/>
      <c r="BE720" s="135"/>
      <c r="BG720" s="135"/>
      <c r="BH720" s="135"/>
      <c r="BI720" s="135"/>
      <c r="BJ720" s="135"/>
      <c r="BK720" s="135"/>
      <c r="BM720" s="135"/>
      <c r="BN720" s="135"/>
      <c r="BO720" s="135"/>
      <c r="BP720" s="135"/>
      <c r="BQ720" s="135"/>
    </row>
    <row r="721" spans="47:69" x14ac:dyDescent="0.3"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</row>
    <row r="722" spans="47:69" x14ac:dyDescent="0.3">
      <c r="AU722" s="42"/>
      <c r="AV722" s="44"/>
      <c r="AY722" s="219"/>
    </row>
    <row r="723" spans="47:69" x14ac:dyDescent="0.3">
      <c r="AV723" s="44"/>
      <c r="AW723" s="123"/>
      <c r="AX723" s="188"/>
      <c r="AY723" s="188"/>
      <c r="AZ723" s="188"/>
      <c r="BA723" s="160"/>
      <c r="BB723" s="188"/>
      <c r="BC723" s="219"/>
      <c r="BD723" s="219"/>
      <c r="BE723" s="160"/>
      <c r="BG723" s="188"/>
      <c r="BH723" s="188"/>
      <c r="BI723" s="188"/>
      <c r="BJ723" s="188"/>
      <c r="BK723" s="188"/>
      <c r="BM723" s="188"/>
      <c r="BN723" s="188"/>
      <c r="BO723" s="188"/>
      <c r="BP723" s="188"/>
      <c r="BQ723" s="188"/>
    </row>
    <row r="724" spans="47:69" x14ac:dyDescent="0.3">
      <c r="AV724" s="44"/>
      <c r="AW724" s="123"/>
      <c r="AX724" s="188"/>
      <c r="AY724" s="188"/>
      <c r="AZ724" s="188"/>
      <c r="BA724" s="160"/>
      <c r="BB724" s="188"/>
      <c r="BC724" s="219"/>
      <c r="BD724" s="219"/>
      <c r="BE724" s="160"/>
      <c r="BG724" s="188"/>
      <c r="BH724" s="188"/>
      <c r="BI724" s="188"/>
      <c r="BJ724" s="188"/>
      <c r="BK724" s="188"/>
      <c r="BM724" s="188"/>
      <c r="BN724" s="188"/>
      <c r="BO724" s="188"/>
      <c r="BP724" s="188"/>
      <c r="BQ724" s="188"/>
    </row>
    <row r="725" spans="47:69" x14ac:dyDescent="0.3">
      <c r="AV725" s="44"/>
      <c r="AW725" s="123"/>
      <c r="AX725" s="188"/>
      <c r="AY725" s="188"/>
      <c r="AZ725" s="188"/>
      <c r="BA725" s="160"/>
      <c r="BB725" s="188"/>
      <c r="BC725" s="219"/>
      <c r="BD725" s="219"/>
      <c r="BE725" s="160"/>
      <c r="BG725" s="188"/>
      <c r="BH725" s="188"/>
      <c r="BI725" s="188"/>
      <c r="BJ725" s="188"/>
      <c r="BK725" s="188"/>
      <c r="BM725" s="188"/>
      <c r="BN725" s="188"/>
      <c r="BO725" s="188"/>
      <c r="BP725" s="188"/>
      <c r="BQ725" s="188"/>
    </row>
    <row r="726" spans="47:69" x14ac:dyDescent="0.3">
      <c r="AV726" s="44"/>
      <c r="AW726" s="123"/>
      <c r="AX726" s="188"/>
      <c r="AY726" s="188"/>
      <c r="AZ726" s="188"/>
      <c r="BA726" s="160"/>
      <c r="BB726" s="188"/>
      <c r="BC726" s="219"/>
      <c r="BD726" s="219"/>
      <c r="BE726" s="160"/>
      <c r="BG726" s="188"/>
      <c r="BH726" s="188"/>
      <c r="BI726" s="188"/>
      <c r="BJ726" s="188"/>
      <c r="BK726" s="188"/>
      <c r="BM726" s="188"/>
      <c r="BN726" s="188"/>
      <c r="BO726" s="188"/>
      <c r="BP726" s="188"/>
      <c r="BQ726" s="188"/>
    </row>
    <row r="727" spans="47:69" x14ac:dyDescent="0.3">
      <c r="AV727" s="44"/>
      <c r="AW727" s="123"/>
      <c r="AX727" s="188"/>
      <c r="AY727" s="188"/>
      <c r="AZ727" s="188"/>
      <c r="BA727" s="160"/>
      <c r="BB727" s="188"/>
      <c r="BC727" s="219"/>
      <c r="BD727" s="219"/>
      <c r="BE727" s="160"/>
      <c r="BG727" s="188"/>
      <c r="BH727" s="188"/>
      <c r="BI727" s="188"/>
      <c r="BJ727" s="188"/>
      <c r="BK727" s="188"/>
      <c r="BM727" s="188"/>
      <c r="BN727" s="188"/>
      <c r="BO727" s="188"/>
      <c r="BP727" s="188"/>
      <c r="BQ727" s="188"/>
    </row>
    <row r="728" spans="47:69" x14ac:dyDescent="0.3">
      <c r="AV728" s="44"/>
      <c r="AW728" s="123"/>
      <c r="AX728" s="188"/>
      <c r="AY728" s="188"/>
      <c r="AZ728" s="188"/>
      <c r="BA728" s="160"/>
      <c r="BB728" s="188"/>
      <c r="BC728" s="219"/>
      <c r="BD728" s="219"/>
      <c r="BE728" s="160"/>
      <c r="BG728" s="188"/>
      <c r="BH728" s="188"/>
      <c r="BI728" s="188"/>
      <c r="BJ728" s="188"/>
      <c r="BK728" s="188"/>
      <c r="BM728" s="188"/>
      <c r="BN728" s="188"/>
      <c r="BO728" s="188"/>
      <c r="BP728" s="188"/>
      <c r="BQ728" s="188"/>
    </row>
    <row r="729" spans="47:69" x14ac:dyDescent="0.3">
      <c r="AV729" s="44"/>
      <c r="AW729" s="123"/>
      <c r="AX729" s="188"/>
      <c r="AY729" s="188"/>
      <c r="AZ729" s="188"/>
      <c r="BA729" s="160"/>
      <c r="BB729" s="188"/>
      <c r="BC729" s="219"/>
      <c r="BD729" s="219"/>
      <c r="BE729" s="160"/>
      <c r="BG729" s="188"/>
      <c r="BH729" s="188"/>
      <c r="BI729" s="188"/>
      <c r="BJ729" s="188"/>
      <c r="BK729" s="188"/>
      <c r="BM729" s="188"/>
      <c r="BN729" s="188"/>
      <c r="BO729" s="188"/>
      <c r="BP729" s="188"/>
      <c r="BQ729" s="188"/>
    </row>
    <row r="730" spans="47:69" x14ac:dyDescent="0.3">
      <c r="AY730" s="219"/>
      <c r="AZ730" s="188"/>
      <c r="BA730" s="160"/>
      <c r="BB730" s="188"/>
      <c r="BC730" s="219"/>
      <c r="BD730" s="219"/>
      <c r="BE730" s="160"/>
      <c r="BK730" s="188"/>
      <c r="BQ730" s="188"/>
    </row>
    <row r="731" spans="47:69" x14ac:dyDescent="0.3">
      <c r="AV731" s="44"/>
      <c r="AY731" s="219"/>
      <c r="AZ731" s="188"/>
      <c r="BA731" s="160"/>
      <c r="BB731" s="188"/>
      <c r="BC731" s="219"/>
      <c r="BD731" s="219"/>
      <c r="BE731" s="160"/>
      <c r="BK731" s="188"/>
      <c r="BQ731" s="188"/>
    </row>
    <row r="732" spans="47:69" x14ac:dyDescent="0.3">
      <c r="AV732" s="44"/>
      <c r="AW732" s="123"/>
      <c r="AX732" s="188"/>
      <c r="AY732" s="188"/>
      <c r="AZ732" s="188"/>
      <c r="BA732" s="160"/>
      <c r="BB732" s="188"/>
      <c r="BC732" s="219"/>
      <c r="BD732" s="219"/>
      <c r="BE732" s="160"/>
      <c r="BG732" s="188"/>
      <c r="BH732" s="188"/>
      <c r="BI732" s="188"/>
      <c r="BJ732" s="188"/>
      <c r="BK732" s="188"/>
      <c r="BM732" s="188"/>
      <c r="BN732" s="188"/>
      <c r="BO732" s="188"/>
      <c r="BP732" s="188"/>
      <c r="BQ732" s="188"/>
    </row>
    <row r="733" spans="47:69" x14ac:dyDescent="0.3">
      <c r="AV733" s="44"/>
      <c r="AW733" s="123"/>
      <c r="AX733" s="188"/>
      <c r="AY733" s="188"/>
      <c r="AZ733" s="188"/>
      <c r="BA733" s="160"/>
      <c r="BB733" s="188"/>
      <c r="BC733" s="219"/>
      <c r="BD733" s="219"/>
      <c r="BE733" s="160"/>
      <c r="BG733" s="188"/>
      <c r="BH733" s="188"/>
      <c r="BI733" s="188"/>
      <c r="BJ733" s="188"/>
      <c r="BK733" s="188"/>
      <c r="BM733" s="188"/>
      <c r="BN733" s="188"/>
      <c r="BO733" s="188"/>
      <c r="BP733" s="188"/>
      <c r="BQ733" s="188"/>
    </row>
    <row r="734" spans="47:69" x14ac:dyDescent="0.3">
      <c r="AV734" s="44"/>
      <c r="AW734" s="123"/>
      <c r="AX734" s="188"/>
      <c r="AY734" s="188"/>
      <c r="AZ734" s="188"/>
      <c r="BA734" s="160"/>
      <c r="BB734" s="188"/>
      <c r="BC734" s="219"/>
      <c r="BD734" s="219"/>
      <c r="BE734" s="160"/>
      <c r="BG734" s="188"/>
      <c r="BH734" s="188"/>
      <c r="BI734" s="188"/>
      <c r="BJ734" s="188"/>
      <c r="BK734" s="188"/>
      <c r="BM734" s="188"/>
      <c r="BN734" s="188"/>
      <c r="BO734" s="188"/>
      <c r="BP734" s="188"/>
      <c r="BQ734" s="188"/>
    </row>
    <row r="735" spans="47:69" x14ac:dyDescent="0.3">
      <c r="AV735" s="44"/>
      <c r="AW735" s="123"/>
      <c r="AX735" s="188"/>
      <c r="AY735" s="188"/>
      <c r="AZ735" s="188"/>
      <c r="BA735" s="160"/>
      <c r="BB735" s="188"/>
      <c r="BC735" s="219"/>
      <c r="BD735" s="219"/>
      <c r="BE735" s="160"/>
      <c r="BG735" s="188"/>
      <c r="BH735" s="188"/>
      <c r="BI735" s="188"/>
      <c r="BJ735" s="188"/>
      <c r="BK735" s="188"/>
      <c r="BM735" s="188"/>
      <c r="BN735" s="188"/>
      <c r="BO735" s="188"/>
      <c r="BP735" s="188"/>
      <c r="BQ735" s="188"/>
    </row>
    <row r="736" spans="47:69" x14ac:dyDescent="0.3">
      <c r="AV736" s="44"/>
      <c r="AW736" s="123"/>
      <c r="AX736" s="188"/>
      <c r="AY736" s="188"/>
      <c r="AZ736" s="188"/>
      <c r="BA736" s="160"/>
      <c r="BB736" s="188"/>
      <c r="BC736" s="219"/>
      <c r="BD736" s="219"/>
      <c r="BE736" s="160"/>
      <c r="BG736" s="188"/>
      <c r="BH736" s="188"/>
      <c r="BI736" s="188"/>
      <c r="BJ736" s="188"/>
      <c r="BK736" s="188"/>
      <c r="BM736" s="188"/>
      <c r="BN736" s="188"/>
      <c r="BO736" s="188"/>
      <c r="BP736" s="188"/>
      <c r="BQ736" s="188"/>
    </row>
    <row r="737" spans="45:69" x14ac:dyDescent="0.3">
      <c r="AV737" s="44"/>
      <c r="AW737" s="123"/>
      <c r="AX737" s="188"/>
      <c r="AY737" s="188"/>
      <c r="AZ737" s="188"/>
      <c r="BA737" s="160"/>
      <c r="BB737" s="188"/>
      <c r="BC737" s="219"/>
      <c r="BD737" s="219"/>
      <c r="BE737" s="160"/>
      <c r="BG737" s="188"/>
      <c r="BH737" s="188"/>
      <c r="BI737" s="188"/>
      <c r="BJ737" s="188"/>
      <c r="BK737" s="188"/>
      <c r="BM737" s="188"/>
      <c r="BN737" s="188"/>
      <c r="BO737" s="188"/>
      <c r="BP737" s="188"/>
      <c r="BQ737" s="188"/>
    </row>
    <row r="738" spans="45:69" x14ac:dyDescent="0.3">
      <c r="AV738" s="44"/>
      <c r="AW738" s="123"/>
      <c r="AX738" s="188"/>
      <c r="AY738" s="188"/>
      <c r="AZ738" s="188"/>
      <c r="BA738" s="160"/>
      <c r="BB738" s="188"/>
      <c r="BC738" s="219"/>
      <c r="BD738" s="219"/>
      <c r="BE738" s="160"/>
      <c r="BG738" s="188"/>
      <c r="BH738" s="188"/>
      <c r="BI738" s="188"/>
      <c r="BJ738" s="188"/>
      <c r="BK738" s="188"/>
      <c r="BM738" s="188"/>
      <c r="BN738" s="188"/>
      <c r="BO738" s="188"/>
      <c r="BP738" s="188"/>
      <c r="BQ738" s="188"/>
    </row>
    <row r="739" spans="45:69" x14ac:dyDescent="0.3">
      <c r="AV739" s="44"/>
      <c r="AW739" s="123"/>
      <c r="AX739" s="188"/>
      <c r="AY739" s="188"/>
      <c r="AZ739" s="188"/>
      <c r="BA739" s="160"/>
      <c r="BB739" s="188"/>
      <c r="BC739" s="219"/>
      <c r="BD739" s="219"/>
      <c r="BE739" s="160"/>
      <c r="BG739" s="188"/>
      <c r="BH739" s="188"/>
      <c r="BI739" s="188"/>
      <c r="BJ739" s="188"/>
      <c r="BK739" s="188"/>
      <c r="BM739" s="188"/>
      <c r="BN739" s="188"/>
      <c r="BO739" s="188"/>
      <c r="BP739" s="188"/>
      <c r="BQ739" s="188"/>
    </row>
    <row r="740" spans="45:69" x14ac:dyDescent="0.3">
      <c r="AY740" s="219"/>
      <c r="AZ740" s="188"/>
      <c r="BA740" s="160"/>
      <c r="BB740" s="188"/>
      <c r="BC740" s="219"/>
      <c r="BD740" s="219"/>
      <c r="BE740" s="160"/>
      <c r="BK740" s="188"/>
      <c r="BQ740" s="188"/>
    </row>
    <row r="741" spans="45:69" x14ac:dyDescent="0.3">
      <c r="AU741" s="42"/>
      <c r="AZ741" s="188"/>
      <c r="BB741" s="188"/>
      <c r="BG741" s="188"/>
      <c r="BH741" s="188"/>
      <c r="BJ741" s="188"/>
      <c r="BK741" s="188"/>
    </row>
    <row r="742" spans="45:69" x14ac:dyDescent="0.3">
      <c r="AZ742" s="188"/>
      <c r="BB742" s="188"/>
    </row>
    <row r="743" spans="45:69" x14ac:dyDescent="0.3">
      <c r="AS743" s="42"/>
      <c r="AZ743" s="188"/>
      <c r="BB743" s="188"/>
      <c r="BI743" s="188"/>
    </row>
    <row r="744" spans="45:69" x14ac:dyDescent="0.3">
      <c r="AZ744" s="188"/>
      <c r="BB744" s="188"/>
    </row>
    <row r="745" spans="45:69" x14ac:dyDescent="0.3">
      <c r="AY745" s="188"/>
      <c r="BB745" s="188"/>
    </row>
    <row r="746" spans="45:69" x14ac:dyDescent="0.3">
      <c r="AY746" s="42"/>
      <c r="AZ746" s="188"/>
      <c r="BB746" s="188"/>
    </row>
    <row r="747" spans="45:69" x14ac:dyDescent="0.3">
      <c r="AY747" s="42"/>
      <c r="AZ747" s="188"/>
      <c r="BB747" s="188"/>
    </row>
    <row r="748" spans="45:69" x14ac:dyDescent="0.3">
      <c r="AZ748" s="188"/>
      <c r="BB748" s="188"/>
      <c r="BD748" s="42"/>
    </row>
    <row r="749" spans="45:69" x14ac:dyDescent="0.3">
      <c r="AZ749" s="188"/>
      <c r="BB749" s="188"/>
      <c r="BD749" s="42"/>
    </row>
    <row r="750" spans="45:69" x14ac:dyDescent="0.3">
      <c r="AS750" s="42"/>
      <c r="AZ750" s="188"/>
      <c r="BB750" s="188"/>
      <c r="BD750" s="42"/>
    </row>
    <row r="751" spans="45:69" x14ac:dyDescent="0.3">
      <c r="AZ751" s="188"/>
      <c r="BB751" s="188"/>
    </row>
    <row r="752" spans="45:69" x14ac:dyDescent="0.3">
      <c r="AS752" s="135"/>
      <c r="AT752" s="135"/>
      <c r="AU752" s="135"/>
      <c r="AV752" s="135"/>
      <c r="AW752" s="135"/>
      <c r="AX752" s="135"/>
      <c r="AY752" s="135"/>
      <c r="AZ752" s="244"/>
      <c r="BA752" s="135"/>
      <c r="BB752" s="244"/>
      <c r="BC752" s="135"/>
      <c r="BD752" s="135"/>
      <c r="BE752" s="135"/>
    </row>
    <row r="753" spans="45:75" x14ac:dyDescent="0.3">
      <c r="AX753" s="42"/>
      <c r="AZ753" s="188"/>
      <c r="BB753" s="188"/>
    </row>
    <row r="754" spans="45:75" x14ac:dyDescent="0.3">
      <c r="AX754" s="135"/>
      <c r="AY754" s="135"/>
      <c r="AZ754" s="244"/>
      <c r="BA754" s="135"/>
      <c r="BB754" s="188"/>
      <c r="BC754" s="44"/>
      <c r="BD754" s="44"/>
    </row>
    <row r="755" spans="45:75" x14ac:dyDescent="0.3">
      <c r="AV755" s="44"/>
      <c r="AW755" s="44"/>
      <c r="AZ755" s="245"/>
      <c r="BA755" s="44"/>
      <c r="BB755" s="188"/>
      <c r="BC755" s="44"/>
      <c r="BD755" s="44"/>
      <c r="BE755" s="44"/>
      <c r="BG755" s="135"/>
      <c r="BH755" s="135"/>
      <c r="BI755" s="42"/>
      <c r="BM755" s="135"/>
      <c r="BN755" s="135"/>
      <c r="BP755" s="135"/>
      <c r="BQ755" s="135"/>
      <c r="BR755" s="42"/>
      <c r="BV755" s="135"/>
      <c r="BW755" s="135"/>
    </row>
    <row r="756" spans="45:75" x14ac:dyDescent="0.3">
      <c r="AV756" s="44"/>
      <c r="AW756" s="44"/>
      <c r="AX756" s="44"/>
      <c r="AY756" s="44"/>
      <c r="AZ756" s="245"/>
      <c r="BA756" s="44"/>
      <c r="BB756" s="245"/>
      <c r="BC756" s="44"/>
      <c r="BD756" s="44"/>
      <c r="BE756" s="44"/>
      <c r="BH756" s="44"/>
      <c r="BI756" s="44"/>
      <c r="BJ756" s="44"/>
      <c r="BK756" s="44"/>
      <c r="BL756" s="44"/>
      <c r="BM756" s="44"/>
      <c r="BQ756" s="44"/>
      <c r="BR756" s="44"/>
      <c r="BS756" s="44"/>
      <c r="BT756" s="44"/>
      <c r="BU756" s="44"/>
      <c r="BV756" s="44"/>
    </row>
    <row r="757" spans="45:75" x14ac:dyDescent="0.3">
      <c r="AS757" s="44"/>
      <c r="AU757" s="42"/>
      <c r="AV757" s="44"/>
      <c r="AW757" s="44"/>
      <c r="AX757" s="44"/>
      <c r="AY757" s="44"/>
      <c r="AZ757" s="245"/>
      <c r="BA757" s="44"/>
      <c r="BB757" s="245"/>
      <c r="BC757" s="44"/>
      <c r="BD757" s="44"/>
      <c r="BE757" s="44"/>
      <c r="BG757" s="44"/>
      <c r="BH757" s="44"/>
      <c r="BI757" s="44"/>
      <c r="BJ757" s="44"/>
      <c r="BK757" s="44"/>
      <c r="BL757" s="44"/>
      <c r="BM757" s="44"/>
      <c r="BN757" s="44"/>
      <c r="BP757" s="44"/>
      <c r="BQ757" s="44"/>
      <c r="BR757" s="44"/>
      <c r="BS757" s="44"/>
      <c r="BT757" s="44"/>
      <c r="BU757" s="44"/>
      <c r="BV757" s="44"/>
      <c r="BW757" s="44"/>
    </row>
    <row r="758" spans="45:75" x14ac:dyDescent="0.3">
      <c r="AS758" s="44"/>
      <c r="AU758" s="42"/>
      <c r="AV758" s="44"/>
      <c r="AW758" s="44"/>
      <c r="AX758" s="44"/>
      <c r="AY758" s="44"/>
      <c r="AZ758" s="245"/>
      <c r="BA758" s="44"/>
      <c r="BB758" s="245"/>
      <c r="BC758" s="44"/>
      <c r="BD758" s="44"/>
      <c r="BE758" s="44"/>
      <c r="BG758" s="44"/>
      <c r="BH758" s="44"/>
      <c r="BI758" s="44"/>
      <c r="BJ758" s="44"/>
      <c r="BK758" s="44"/>
      <c r="BL758" s="44"/>
      <c r="BM758" s="44"/>
      <c r="BN758" s="44"/>
      <c r="BP758" s="44"/>
      <c r="BQ758" s="44"/>
      <c r="BR758" s="44"/>
      <c r="BS758" s="44"/>
      <c r="BT758" s="44"/>
      <c r="BU758" s="44"/>
      <c r="BV758" s="44"/>
      <c r="BW758" s="44"/>
    </row>
    <row r="759" spans="45:75" x14ac:dyDescent="0.3">
      <c r="AS759" s="135"/>
      <c r="AT759" s="135"/>
      <c r="AU759" s="135"/>
      <c r="AV759" s="135"/>
      <c r="AW759" s="135"/>
      <c r="AX759" s="135"/>
      <c r="AY759" s="135"/>
      <c r="AZ759" s="244"/>
      <c r="BA759" s="135"/>
      <c r="BB759" s="244"/>
      <c r="BC759" s="135"/>
      <c r="BD759" s="135"/>
      <c r="BE759" s="135"/>
      <c r="BG759" s="135"/>
      <c r="BH759" s="135"/>
      <c r="BI759" s="135"/>
      <c r="BJ759" s="135"/>
      <c r="BK759" s="135"/>
      <c r="BL759" s="135"/>
      <c r="BM759" s="135"/>
      <c r="BN759" s="135"/>
      <c r="BP759" s="135"/>
      <c r="BQ759" s="135"/>
      <c r="BR759" s="135"/>
      <c r="BS759" s="135"/>
      <c r="BT759" s="135"/>
      <c r="BU759" s="135"/>
      <c r="BV759" s="135"/>
      <c r="BW759" s="135"/>
    </row>
    <row r="760" spans="45:75" x14ac:dyDescent="0.3">
      <c r="AV760" s="44"/>
      <c r="AW760" s="44"/>
      <c r="AX760" s="44"/>
      <c r="AY760" s="44"/>
      <c r="AZ760" s="245"/>
      <c r="BA760" s="44"/>
      <c r="BB760" s="245"/>
      <c r="BC760" s="44"/>
      <c r="BD760" s="44"/>
      <c r="BE760" s="44"/>
      <c r="BG760" s="188"/>
      <c r="BH760" s="188"/>
      <c r="BI760" s="188"/>
      <c r="BJ760" s="188"/>
      <c r="BK760" s="188"/>
      <c r="BL760" s="188"/>
      <c r="BM760" s="188"/>
      <c r="BN760" s="188"/>
      <c r="BO760" s="188"/>
      <c r="BP760" s="188"/>
      <c r="BQ760" s="188"/>
      <c r="BR760" s="188"/>
      <c r="BS760" s="188"/>
      <c r="BT760" s="188"/>
      <c r="BU760" s="188"/>
      <c r="BV760" s="188"/>
      <c r="BW760" s="188"/>
    </row>
    <row r="761" spans="45:75" x14ac:dyDescent="0.3">
      <c r="AU761" s="42"/>
      <c r="AW761" s="123"/>
      <c r="AX761" s="188"/>
      <c r="AY761" s="188"/>
      <c r="AZ761" s="188"/>
      <c r="BA761" s="236"/>
      <c r="BB761" s="188"/>
      <c r="BC761" s="188"/>
      <c r="BD761" s="188"/>
      <c r="BE761" s="236"/>
      <c r="BG761" s="188"/>
      <c r="BH761" s="188"/>
      <c r="BI761" s="188"/>
      <c r="BJ761" s="188"/>
      <c r="BK761" s="188"/>
      <c r="BL761" s="188"/>
      <c r="BM761" s="188"/>
      <c r="BN761" s="188"/>
      <c r="BO761" s="188"/>
      <c r="BP761" s="188"/>
      <c r="BQ761" s="188"/>
      <c r="BR761" s="188"/>
      <c r="BS761" s="188"/>
      <c r="BT761" s="188"/>
      <c r="BU761" s="188"/>
      <c r="BV761" s="188"/>
      <c r="BW761" s="188"/>
    </row>
    <row r="762" spans="45:75" x14ac:dyDescent="0.3">
      <c r="AW762" s="123"/>
      <c r="AX762" s="188"/>
      <c r="AY762" s="188"/>
      <c r="AZ762" s="188"/>
      <c r="BA762" s="236"/>
      <c r="BB762" s="188"/>
      <c r="BC762" s="188"/>
      <c r="BD762" s="188"/>
      <c r="BE762" s="236"/>
      <c r="BG762" s="188"/>
      <c r="BH762" s="188"/>
      <c r="BI762" s="188"/>
      <c r="BJ762" s="188"/>
      <c r="BK762" s="188"/>
      <c r="BL762" s="188"/>
      <c r="BM762" s="188"/>
      <c r="BN762" s="188"/>
      <c r="BO762" s="188"/>
      <c r="BP762" s="188"/>
      <c r="BQ762" s="188"/>
      <c r="BR762" s="188"/>
      <c r="BS762" s="188"/>
      <c r="BT762" s="188"/>
      <c r="BU762" s="188"/>
      <c r="BV762" s="188"/>
      <c r="BW762" s="188"/>
    </row>
    <row r="763" spans="45:75" x14ac:dyDescent="0.3">
      <c r="AW763" s="123"/>
      <c r="AX763" s="188"/>
      <c r="AY763" s="188"/>
      <c r="AZ763" s="188"/>
      <c r="BA763" s="236"/>
      <c r="BB763" s="188"/>
      <c r="BC763" s="188"/>
      <c r="BD763" s="188"/>
      <c r="BE763" s="236"/>
      <c r="BG763" s="188"/>
      <c r="BH763" s="188"/>
      <c r="BI763" s="188"/>
      <c r="BJ763" s="188"/>
      <c r="BK763" s="188"/>
      <c r="BL763" s="188"/>
      <c r="BM763" s="188"/>
      <c r="BN763" s="188"/>
      <c r="BO763" s="188"/>
      <c r="BP763" s="188"/>
      <c r="BQ763" s="188"/>
      <c r="BR763" s="188"/>
      <c r="BS763" s="188"/>
      <c r="BT763" s="188"/>
      <c r="BU763" s="188"/>
      <c r="BV763" s="188"/>
      <c r="BW763" s="188"/>
    </row>
    <row r="764" spans="45:75" x14ac:dyDescent="0.3">
      <c r="AW764" s="123"/>
      <c r="AX764" s="188"/>
      <c r="AY764" s="188"/>
      <c r="AZ764" s="188"/>
      <c r="BA764" s="236"/>
      <c r="BB764" s="188"/>
      <c r="BC764" s="188"/>
      <c r="BD764" s="188"/>
      <c r="BE764" s="236"/>
      <c r="BG764" s="188"/>
      <c r="BH764" s="188"/>
      <c r="BI764" s="188"/>
      <c r="BJ764" s="188"/>
      <c r="BK764" s="188"/>
      <c r="BL764" s="188"/>
      <c r="BM764" s="188"/>
      <c r="BN764" s="188"/>
      <c r="BO764" s="188"/>
      <c r="BP764" s="188"/>
      <c r="BQ764" s="188"/>
      <c r="BR764" s="188"/>
      <c r="BS764" s="188"/>
      <c r="BT764" s="188"/>
      <c r="BU764" s="188"/>
      <c r="BV764" s="188"/>
      <c r="BW764" s="188"/>
    </row>
    <row r="765" spans="45:75" x14ac:dyDescent="0.3">
      <c r="AW765" s="123"/>
      <c r="AX765" s="188"/>
      <c r="AY765" s="188"/>
      <c r="AZ765" s="188"/>
      <c r="BA765" s="236"/>
      <c r="BB765" s="188"/>
      <c r="BC765" s="188"/>
      <c r="BD765" s="188"/>
      <c r="BE765" s="236"/>
      <c r="BG765" s="188"/>
      <c r="BH765" s="188"/>
      <c r="BI765" s="188"/>
      <c r="BJ765" s="188"/>
      <c r="BK765" s="188"/>
      <c r="BL765" s="188"/>
      <c r="BM765" s="188"/>
      <c r="BN765" s="188"/>
      <c r="BO765" s="188"/>
      <c r="BP765" s="188"/>
      <c r="BQ765" s="188"/>
      <c r="BR765" s="188"/>
      <c r="BS765" s="188"/>
      <c r="BT765" s="188"/>
      <c r="BU765" s="188"/>
      <c r="BV765" s="188"/>
      <c r="BW765" s="188"/>
    </row>
    <row r="766" spans="45:75" x14ac:dyDescent="0.3">
      <c r="AW766" s="123"/>
      <c r="AX766" s="188"/>
      <c r="AY766" s="188"/>
      <c r="AZ766" s="188"/>
      <c r="BA766" s="236"/>
      <c r="BB766" s="188"/>
      <c r="BC766" s="188"/>
      <c r="BD766" s="188"/>
      <c r="BE766" s="236"/>
      <c r="BG766" s="188"/>
      <c r="BH766" s="188"/>
      <c r="BI766" s="188"/>
      <c r="BJ766" s="188"/>
      <c r="BK766" s="188"/>
      <c r="BL766" s="188"/>
      <c r="BM766" s="188"/>
      <c r="BN766" s="188"/>
      <c r="BO766" s="188"/>
      <c r="BP766" s="188"/>
      <c r="BQ766" s="188"/>
      <c r="BR766" s="188"/>
      <c r="BS766" s="188"/>
      <c r="BT766" s="188"/>
      <c r="BU766" s="188"/>
      <c r="BV766" s="188"/>
      <c r="BW766" s="188"/>
    </row>
    <row r="767" spans="45:75" x14ac:dyDescent="0.3">
      <c r="AW767" s="123"/>
      <c r="AX767" s="188"/>
      <c r="AY767" s="188"/>
      <c r="AZ767" s="188"/>
      <c r="BA767" s="236"/>
      <c r="BB767" s="188"/>
      <c r="BC767" s="188"/>
      <c r="BD767" s="188"/>
      <c r="BE767" s="236"/>
      <c r="BG767" s="188"/>
      <c r="BH767" s="188"/>
      <c r="BI767" s="188"/>
      <c r="BJ767" s="188"/>
      <c r="BK767" s="188"/>
      <c r="BL767" s="188"/>
      <c r="BM767" s="188"/>
      <c r="BN767" s="188"/>
      <c r="BO767" s="188"/>
      <c r="BP767" s="188"/>
      <c r="BQ767" s="188"/>
      <c r="BR767" s="188"/>
      <c r="BS767" s="188"/>
      <c r="BT767" s="188"/>
      <c r="BU767" s="188"/>
      <c r="BV767" s="188"/>
      <c r="BW767" s="188"/>
    </row>
    <row r="768" spans="45:75" x14ac:dyDescent="0.3">
      <c r="AW768" s="123"/>
      <c r="AX768" s="188"/>
      <c r="AY768" s="188"/>
      <c r="AZ768" s="188"/>
      <c r="BA768" s="236"/>
      <c r="BB768" s="188"/>
      <c r="BC768" s="188"/>
      <c r="BD768" s="188"/>
      <c r="BE768" s="236"/>
      <c r="BG768" s="188"/>
      <c r="BH768" s="188"/>
      <c r="BI768" s="188"/>
      <c r="BJ768" s="188"/>
      <c r="BK768" s="188"/>
      <c r="BL768" s="188"/>
      <c r="BM768" s="188"/>
      <c r="BN768" s="188"/>
      <c r="BO768" s="188"/>
      <c r="BP768" s="188"/>
      <c r="BQ768" s="188"/>
      <c r="BR768" s="188"/>
      <c r="BS768" s="188"/>
      <c r="BT768" s="188"/>
      <c r="BU768" s="188"/>
      <c r="BV768" s="188"/>
      <c r="BW768" s="188"/>
    </row>
    <row r="769" spans="47:75" x14ac:dyDescent="0.3">
      <c r="AW769" s="123"/>
      <c r="AX769" s="188"/>
      <c r="AY769" s="188"/>
      <c r="AZ769" s="188"/>
      <c r="BA769" s="236"/>
      <c r="BB769" s="188"/>
      <c r="BC769" s="188"/>
      <c r="BD769" s="188"/>
      <c r="BE769" s="236"/>
      <c r="BG769" s="188"/>
      <c r="BH769" s="188"/>
      <c r="BI769" s="188"/>
      <c r="BJ769" s="188"/>
      <c r="BK769" s="188"/>
      <c r="BL769" s="188"/>
      <c r="BM769" s="188"/>
      <c r="BN769" s="188"/>
      <c r="BO769" s="188"/>
      <c r="BP769" s="188"/>
      <c r="BQ769" s="188"/>
      <c r="BR769" s="188"/>
      <c r="BS769" s="188"/>
      <c r="BT769" s="188"/>
      <c r="BU769" s="188"/>
      <c r="BV769" s="188"/>
      <c r="BW769" s="188"/>
    </row>
    <row r="770" spans="47:75" x14ac:dyDescent="0.3">
      <c r="AW770" s="123"/>
      <c r="AX770" s="188"/>
      <c r="AY770" s="188"/>
      <c r="AZ770" s="188"/>
      <c r="BA770" s="236"/>
      <c r="BB770" s="188"/>
      <c r="BC770" s="188"/>
      <c r="BD770" s="188"/>
      <c r="BE770" s="236"/>
      <c r="BG770" s="188"/>
      <c r="BH770" s="188"/>
      <c r="BI770" s="188"/>
      <c r="BJ770" s="188"/>
      <c r="BK770" s="188"/>
      <c r="BL770" s="188"/>
      <c r="BM770" s="188"/>
      <c r="BN770" s="188"/>
      <c r="BO770" s="188"/>
      <c r="BP770" s="188"/>
      <c r="BQ770" s="188"/>
      <c r="BR770" s="188"/>
      <c r="BS770" s="188"/>
      <c r="BT770" s="188"/>
      <c r="BU770" s="188"/>
      <c r="BV770" s="188"/>
      <c r="BW770" s="188"/>
    </row>
    <row r="771" spans="47:75" x14ac:dyDescent="0.3">
      <c r="AW771" s="123"/>
      <c r="AX771" s="188"/>
      <c r="AY771" s="188"/>
      <c r="AZ771" s="188"/>
      <c r="BA771" s="236"/>
      <c r="BB771" s="188"/>
      <c r="BC771" s="188"/>
      <c r="BD771" s="188"/>
      <c r="BE771" s="236"/>
      <c r="BG771" s="188"/>
      <c r="BH771" s="188"/>
      <c r="BI771" s="188"/>
      <c r="BJ771" s="188"/>
      <c r="BK771" s="188"/>
      <c r="BL771" s="188"/>
      <c r="BM771" s="188"/>
      <c r="BN771" s="188"/>
      <c r="BO771" s="188"/>
      <c r="BP771" s="188"/>
      <c r="BQ771" s="188"/>
      <c r="BR771" s="188"/>
      <c r="BS771" s="188"/>
      <c r="BT771" s="188"/>
      <c r="BU771" s="188"/>
      <c r="BV771" s="188"/>
      <c r="BW771" s="188"/>
    </row>
    <row r="772" spans="47:75" x14ac:dyDescent="0.3">
      <c r="AW772" s="123"/>
      <c r="AX772" s="188"/>
      <c r="AY772" s="188"/>
      <c r="AZ772" s="188"/>
      <c r="BA772" s="236"/>
      <c r="BB772" s="188"/>
      <c r="BC772" s="188"/>
      <c r="BD772" s="188"/>
      <c r="BE772" s="236"/>
      <c r="BG772" s="188"/>
      <c r="BH772" s="188"/>
      <c r="BI772" s="188"/>
      <c r="BJ772" s="188"/>
      <c r="BK772" s="188"/>
      <c r="BL772" s="188"/>
      <c r="BM772" s="188"/>
      <c r="BN772" s="188"/>
      <c r="BO772" s="188"/>
      <c r="BP772" s="188"/>
      <c r="BQ772" s="188"/>
      <c r="BR772" s="188"/>
      <c r="BS772" s="188"/>
      <c r="BT772" s="188"/>
      <c r="BU772" s="188"/>
      <c r="BV772" s="188"/>
      <c r="BW772" s="188"/>
    </row>
    <row r="773" spans="47:75" x14ac:dyDescent="0.3">
      <c r="AW773" s="123"/>
      <c r="AX773" s="188"/>
      <c r="AY773" s="188"/>
      <c r="AZ773" s="188"/>
      <c r="BA773" s="236"/>
      <c r="BB773" s="188"/>
      <c r="BC773" s="188"/>
      <c r="BD773" s="188"/>
      <c r="BE773" s="236"/>
      <c r="BG773" s="188"/>
      <c r="BH773" s="188"/>
      <c r="BI773" s="188"/>
      <c r="BJ773" s="188"/>
      <c r="BK773" s="188"/>
      <c r="BL773" s="188"/>
      <c r="BM773" s="188"/>
      <c r="BN773" s="188"/>
      <c r="BO773" s="188"/>
      <c r="BP773" s="188"/>
      <c r="BQ773" s="188"/>
      <c r="BR773" s="188"/>
      <c r="BS773" s="188"/>
      <c r="BT773" s="188"/>
      <c r="BU773" s="188"/>
      <c r="BV773" s="188"/>
      <c r="BW773" s="188"/>
    </row>
    <row r="774" spans="47:75" x14ac:dyDescent="0.3">
      <c r="AW774" s="123"/>
      <c r="AX774" s="188"/>
      <c r="AY774" s="188"/>
      <c r="AZ774" s="188"/>
      <c r="BA774" s="236"/>
      <c r="BB774" s="188"/>
      <c r="BC774" s="188"/>
      <c r="BD774" s="188"/>
      <c r="BE774" s="236"/>
      <c r="BG774" s="188"/>
      <c r="BH774" s="188"/>
      <c r="BI774" s="188"/>
      <c r="BJ774" s="188"/>
      <c r="BK774" s="188"/>
      <c r="BL774" s="188"/>
      <c r="BM774" s="188"/>
      <c r="BN774" s="188"/>
      <c r="BO774" s="188"/>
      <c r="BP774" s="188"/>
      <c r="BQ774" s="188"/>
      <c r="BR774" s="188"/>
      <c r="BS774" s="188"/>
      <c r="BT774" s="188"/>
      <c r="BU774" s="188"/>
      <c r="BV774" s="188"/>
      <c r="BW774" s="188"/>
    </row>
    <row r="775" spans="47:75" x14ac:dyDescent="0.3">
      <c r="AW775" s="123"/>
      <c r="AX775" s="188"/>
      <c r="AY775" s="188"/>
      <c r="AZ775" s="188"/>
      <c r="BA775" s="236"/>
      <c r="BB775" s="188"/>
      <c r="BC775" s="188"/>
      <c r="BD775" s="188"/>
      <c r="BE775" s="236"/>
      <c r="BG775" s="188"/>
      <c r="BH775" s="188"/>
      <c r="BI775" s="188"/>
      <c r="BJ775" s="188"/>
      <c r="BK775" s="188"/>
      <c r="BL775" s="188"/>
      <c r="BM775" s="188"/>
      <c r="BN775" s="188"/>
      <c r="BO775" s="188"/>
      <c r="BP775" s="188"/>
      <c r="BQ775" s="188"/>
      <c r="BR775" s="188"/>
      <c r="BS775" s="188"/>
      <c r="BT775" s="188"/>
      <c r="BU775" s="188"/>
      <c r="BV775" s="188"/>
      <c r="BW775" s="188"/>
    </row>
    <row r="776" spans="47:75" x14ac:dyDescent="0.3">
      <c r="AW776" s="123"/>
      <c r="AX776" s="188"/>
      <c r="AY776" s="188"/>
      <c r="AZ776" s="188"/>
      <c r="BA776" s="236"/>
      <c r="BB776" s="188"/>
      <c r="BC776" s="188"/>
      <c r="BD776" s="188"/>
      <c r="BE776" s="236"/>
      <c r="BG776" s="188"/>
      <c r="BH776" s="188"/>
      <c r="BI776" s="188"/>
      <c r="BJ776" s="188"/>
      <c r="BK776" s="188"/>
      <c r="BL776" s="188"/>
      <c r="BM776" s="188"/>
      <c r="BN776" s="188"/>
      <c r="BO776" s="188"/>
      <c r="BP776" s="188"/>
      <c r="BQ776" s="188"/>
      <c r="BR776" s="188"/>
      <c r="BS776" s="188"/>
      <c r="BT776" s="188"/>
      <c r="BU776" s="188"/>
      <c r="BV776" s="188"/>
      <c r="BW776" s="188"/>
    </row>
    <row r="777" spans="47:75" x14ac:dyDescent="0.3">
      <c r="AW777" s="123"/>
      <c r="AX777" s="188"/>
      <c r="AY777" s="188"/>
      <c r="AZ777" s="188"/>
      <c r="BA777" s="236"/>
      <c r="BB777" s="188"/>
      <c r="BC777" s="188"/>
      <c r="BD777" s="188"/>
      <c r="BE777" s="236"/>
      <c r="BG777" s="188"/>
      <c r="BH777" s="188"/>
      <c r="BI777" s="188"/>
      <c r="BJ777" s="188"/>
      <c r="BK777" s="188"/>
      <c r="BL777" s="188"/>
      <c r="BM777" s="188"/>
      <c r="BN777" s="188"/>
      <c r="BO777" s="188"/>
      <c r="BP777" s="188"/>
      <c r="BQ777" s="188"/>
      <c r="BR777" s="188"/>
      <c r="BS777" s="188"/>
      <c r="BT777" s="188"/>
      <c r="BU777" s="188"/>
      <c r="BV777" s="188"/>
      <c r="BW777" s="188"/>
    </row>
    <row r="778" spans="47:75" x14ac:dyDescent="0.3">
      <c r="AW778" s="123"/>
      <c r="AX778" s="188"/>
      <c r="AY778" s="188"/>
      <c r="AZ778" s="188"/>
      <c r="BA778" s="236"/>
      <c r="BB778" s="188"/>
      <c r="BC778" s="188"/>
      <c r="BD778" s="188"/>
      <c r="BE778" s="236"/>
      <c r="BG778" s="188"/>
      <c r="BH778" s="188"/>
      <c r="BI778" s="188"/>
      <c r="BJ778" s="188"/>
      <c r="BK778" s="188"/>
      <c r="BL778" s="188"/>
      <c r="BM778" s="188"/>
      <c r="BN778" s="188"/>
      <c r="BO778" s="188"/>
      <c r="BP778" s="188"/>
      <c r="BQ778" s="188"/>
      <c r="BR778" s="188"/>
      <c r="BS778" s="188"/>
      <c r="BT778" s="188"/>
      <c r="BU778" s="188"/>
      <c r="BV778" s="188"/>
      <c r="BW778" s="188"/>
    </row>
    <row r="779" spans="47:75" x14ac:dyDescent="0.3">
      <c r="AW779" s="123"/>
      <c r="AX779" s="188"/>
      <c r="AY779" s="188"/>
      <c r="AZ779" s="188"/>
      <c r="BA779" s="236"/>
      <c r="BB779" s="188"/>
      <c r="BC779" s="188"/>
      <c r="BD779" s="188"/>
      <c r="BE779" s="236"/>
      <c r="BG779" s="188"/>
      <c r="BH779" s="188"/>
      <c r="BI779" s="188"/>
      <c r="BJ779" s="188"/>
      <c r="BK779" s="188"/>
      <c r="BL779" s="188"/>
      <c r="BM779" s="188"/>
      <c r="BN779" s="188"/>
      <c r="BO779" s="188"/>
      <c r="BP779" s="188"/>
      <c r="BQ779" s="188"/>
      <c r="BR779" s="188"/>
      <c r="BS779" s="188"/>
      <c r="BT779" s="188"/>
      <c r="BU779" s="188"/>
      <c r="BV779" s="188"/>
      <c r="BW779" s="188"/>
    </row>
    <row r="780" spans="47:75" x14ac:dyDescent="0.3">
      <c r="AW780" s="123"/>
      <c r="AX780" s="188"/>
      <c r="AY780" s="188"/>
      <c r="AZ780" s="188"/>
      <c r="BA780" s="236"/>
      <c r="BB780" s="188"/>
      <c r="BC780" s="188"/>
      <c r="BD780" s="188"/>
      <c r="BE780" s="236"/>
      <c r="BG780" s="188"/>
      <c r="BH780" s="188"/>
      <c r="BI780" s="188"/>
      <c r="BJ780" s="188"/>
      <c r="BK780" s="188"/>
      <c r="BL780" s="188"/>
      <c r="BM780" s="188"/>
      <c r="BN780" s="188"/>
      <c r="BO780" s="188"/>
      <c r="BP780" s="188"/>
      <c r="BQ780" s="188"/>
      <c r="BR780" s="188"/>
      <c r="BS780" s="188"/>
      <c r="BT780" s="188"/>
      <c r="BU780" s="188"/>
      <c r="BV780" s="188"/>
      <c r="BW780" s="188"/>
    </row>
    <row r="781" spans="47:75" x14ac:dyDescent="0.3">
      <c r="AW781" s="123"/>
      <c r="AX781" s="188"/>
      <c r="AY781" s="188"/>
      <c r="AZ781" s="188"/>
      <c r="BA781" s="236"/>
      <c r="BB781" s="188"/>
      <c r="BC781" s="188"/>
      <c r="BD781" s="188"/>
      <c r="BE781" s="236"/>
      <c r="BG781" s="188"/>
      <c r="BH781" s="188"/>
      <c r="BI781" s="188"/>
      <c r="BJ781" s="188"/>
      <c r="BK781" s="188"/>
      <c r="BL781" s="188"/>
      <c r="BM781" s="188"/>
      <c r="BN781" s="188"/>
      <c r="BO781" s="188"/>
      <c r="BP781" s="188"/>
      <c r="BQ781" s="188"/>
      <c r="BR781" s="188"/>
      <c r="BS781" s="188"/>
      <c r="BT781" s="188"/>
      <c r="BU781" s="188"/>
      <c r="BV781" s="188"/>
      <c r="BW781" s="188"/>
    </row>
    <row r="782" spans="47:75" x14ac:dyDescent="0.3">
      <c r="AW782" s="123"/>
      <c r="AX782" s="188"/>
      <c r="AY782" s="188"/>
      <c r="AZ782" s="188"/>
      <c r="BA782" s="236"/>
      <c r="BB782" s="188"/>
      <c r="BC782" s="188"/>
      <c r="BD782" s="188"/>
      <c r="BE782" s="236"/>
      <c r="BG782" s="135"/>
      <c r="BH782" s="135"/>
      <c r="BI782" s="42"/>
      <c r="BM782" s="135"/>
      <c r="BN782" s="135"/>
      <c r="BO782" s="188"/>
      <c r="BP782" s="135"/>
      <c r="BQ782" s="135"/>
      <c r="BR782" s="42"/>
      <c r="BV782" s="135"/>
      <c r="BW782" s="135"/>
    </row>
    <row r="783" spans="47:75" x14ac:dyDescent="0.3">
      <c r="AU783" s="42"/>
      <c r="AV783" s="44"/>
      <c r="AW783" s="123"/>
      <c r="AX783" s="188"/>
      <c r="AY783" s="188"/>
      <c r="AZ783" s="188"/>
      <c r="BA783" s="236"/>
      <c r="BB783" s="188"/>
      <c r="BC783" s="188"/>
      <c r="BD783" s="188"/>
      <c r="BE783" s="236"/>
      <c r="BG783" s="245"/>
      <c r="BH783" s="188"/>
      <c r="BI783" s="188"/>
      <c r="BJ783" s="188"/>
      <c r="BK783" s="245"/>
      <c r="BL783" s="246"/>
      <c r="BM783" s="188"/>
      <c r="BN783" s="245"/>
      <c r="BO783" s="188"/>
      <c r="BP783" s="245"/>
      <c r="BQ783" s="188"/>
      <c r="BR783" s="188"/>
      <c r="BS783" s="188"/>
      <c r="BT783" s="245"/>
      <c r="BU783" s="246"/>
      <c r="BV783" s="188"/>
      <c r="BW783" s="245"/>
    </row>
    <row r="784" spans="47:75" x14ac:dyDescent="0.3">
      <c r="AV784" s="44"/>
      <c r="AW784" s="123"/>
      <c r="AX784" s="188"/>
      <c r="AY784" s="188"/>
      <c r="AZ784" s="188"/>
      <c r="BA784" s="236"/>
      <c r="BB784" s="188"/>
      <c r="BC784" s="188"/>
      <c r="BD784" s="188"/>
      <c r="BE784" s="236"/>
      <c r="BG784" s="188"/>
      <c r="BH784" s="188"/>
      <c r="BI784" s="188"/>
      <c r="BJ784" s="188"/>
      <c r="BK784" s="188"/>
      <c r="BL784" s="246"/>
      <c r="BM784" s="188"/>
      <c r="BN784" s="188"/>
      <c r="BO784" s="188"/>
      <c r="BP784" s="188"/>
      <c r="BQ784" s="188"/>
      <c r="BR784" s="188"/>
      <c r="BS784" s="188"/>
      <c r="BT784" s="188"/>
      <c r="BU784" s="246"/>
      <c r="BV784" s="188"/>
      <c r="BW784" s="188"/>
    </row>
    <row r="785" spans="45:75" x14ac:dyDescent="0.3">
      <c r="AV785" s="44"/>
      <c r="AW785" s="123"/>
      <c r="AX785" s="188"/>
      <c r="AY785" s="188"/>
      <c r="AZ785" s="188"/>
      <c r="BA785" s="236"/>
      <c r="BB785" s="188"/>
      <c r="BC785" s="188"/>
      <c r="BD785" s="188"/>
      <c r="BE785" s="236"/>
      <c r="BG785" s="188"/>
      <c r="BH785" s="188"/>
      <c r="BI785" s="188"/>
      <c r="BJ785" s="188"/>
      <c r="BK785" s="188"/>
      <c r="BL785" s="246"/>
      <c r="BM785" s="188"/>
      <c r="BN785" s="188"/>
      <c r="BO785" s="188"/>
      <c r="BP785" s="188"/>
      <c r="BQ785" s="188"/>
      <c r="BR785" s="188"/>
      <c r="BS785" s="188"/>
      <c r="BT785" s="188"/>
      <c r="BU785" s="246"/>
      <c r="BV785" s="188"/>
      <c r="BW785" s="188"/>
    </row>
    <row r="786" spans="45:75" x14ac:dyDescent="0.3">
      <c r="AV786" s="44"/>
      <c r="AW786" s="123"/>
      <c r="AX786" s="188"/>
      <c r="AY786" s="188"/>
      <c r="AZ786" s="188"/>
      <c r="BA786" s="236"/>
      <c r="BB786" s="188"/>
      <c r="BC786" s="188"/>
      <c r="BD786" s="188"/>
      <c r="BE786" s="236"/>
      <c r="BG786" s="188"/>
      <c r="BH786" s="188"/>
      <c r="BI786" s="188"/>
      <c r="BJ786" s="188"/>
      <c r="BK786" s="188"/>
      <c r="BL786" s="246"/>
      <c r="BM786" s="188"/>
      <c r="BN786" s="188"/>
      <c r="BO786" s="188"/>
      <c r="BP786" s="188"/>
      <c r="BQ786" s="188"/>
      <c r="BR786" s="188"/>
      <c r="BS786" s="188"/>
      <c r="BT786" s="188"/>
      <c r="BU786" s="246"/>
      <c r="BV786" s="188"/>
      <c r="BW786" s="188"/>
    </row>
    <row r="787" spans="45:75" x14ac:dyDescent="0.3">
      <c r="AX787" s="188"/>
      <c r="AY787" s="188"/>
      <c r="AZ787" s="188"/>
      <c r="BA787" s="236"/>
      <c r="BB787" s="188"/>
      <c r="BC787" s="188"/>
      <c r="BD787" s="188"/>
      <c r="BE787" s="236"/>
      <c r="BG787" s="188"/>
      <c r="BH787" s="188"/>
      <c r="BI787" s="188"/>
      <c r="BJ787" s="188"/>
      <c r="BK787" s="188"/>
      <c r="BL787" s="188"/>
      <c r="BM787" s="188"/>
      <c r="BN787" s="188"/>
      <c r="BO787" s="188"/>
      <c r="BP787" s="188"/>
      <c r="BQ787" s="188"/>
      <c r="BR787" s="188"/>
      <c r="BS787" s="188"/>
      <c r="BT787" s="188"/>
      <c r="BU787" s="188"/>
      <c r="BV787" s="188"/>
    </row>
    <row r="788" spans="45:75" x14ac:dyDescent="0.3">
      <c r="AU788" s="42"/>
    </row>
    <row r="789" spans="45:75" x14ac:dyDescent="0.3">
      <c r="AU789" s="42"/>
      <c r="AZ789" s="188"/>
      <c r="BA789" s="236"/>
      <c r="BB789" s="188"/>
      <c r="BC789" s="188"/>
      <c r="BD789" s="188"/>
      <c r="BE789" s="236"/>
      <c r="BG789" s="188"/>
      <c r="BH789" s="188"/>
      <c r="BI789" s="188"/>
      <c r="BJ789" s="188"/>
      <c r="BK789" s="188"/>
      <c r="BL789" s="188"/>
      <c r="BM789" s="188"/>
      <c r="BN789" s="188"/>
      <c r="BO789" s="188"/>
      <c r="BP789" s="188"/>
      <c r="BQ789" s="188"/>
      <c r="BR789" s="188"/>
      <c r="BS789" s="188"/>
      <c r="BT789" s="188"/>
      <c r="BU789" s="188"/>
      <c r="BV789" s="188"/>
    </row>
    <row r="790" spans="45:75" x14ac:dyDescent="0.3">
      <c r="AS790" s="42"/>
      <c r="AZ790" s="188"/>
      <c r="BB790" s="188"/>
    </row>
    <row r="791" spans="45:75" x14ac:dyDescent="0.3">
      <c r="AZ791" s="188"/>
      <c r="BB791" s="188"/>
      <c r="BO791" s="188"/>
      <c r="BP791" s="188"/>
      <c r="BQ791" s="188"/>
      <c r="BR791" s="188"/>
      <c r="BS791" s="188"/>
      <c r="BT791" s="188"/>
      <c r="BU791" s="188"/>
      <c r="BV791" s="188"/>
    </row>
    <row r="792" spans="45:75" x14ac:dyDescent="0.3">
      <c r="AY792" s="188"/>
      <c r="AZ792" s="188"/>
      <c r="BB792" s="188"/>
      <c r="BO792" s="188"/>
      <c r="BP792" s="188"/>
      <c r="BQ792" s="188"/>
      <c r="BR792" s="188"/>
      <c r="BS792" s="188"/>
      <c r="BT792" s="188"/>
      <c r="BU792" s="188"/>
      <c r="BV792" s="188"/>
    </row>
    <row r="793" spans="45:75" x14ac:dyDescent="0.3">
      <c r="AY793" s="42"/>
      <c r="AZ793" s="188"/>
      <c r="BB793" s="188"/>
      <c r="BO793" s="188"/>
      <c r="BP793" s="188"/>
      <c r="BQ793" s="188"/>
      <c r="BR793" s="188"/>
      <c r="BS793" s="188"/>
      <c r="BT793" s="188"/>
      <c r="BU793" s="188"/>
      <c r="BV793" s="188"/>
    </row>
    <row r="794" spans="45:75" x14ac:dyDescent="0.3">
      <c r="AY794" s="42"/>
      <c r="AZ794" s="188"/>
      <c r="BB794" s="188"/>
      <c r="BO794" s="188"/>
      <c r="BP794" s="188"/>
      <c r="BQ794" s="188"/>
      <c r="BR794" s="188"/>
      <c r="BS794" s="188"/>
      <c r="BT794" s="188"/>
      <c r="BU794" s="188"/>
      <c r="BV794" s="188"/>
    </row>
    <row r="795" spans="45:75" x14ac:dyDescent="0.3">
      <c r="AZ795" s="188"/>
      <c r="BB795" s="188"/>
      <c r="BD795" s="42"/>
      <c r="BO795" s="188"/>
      <c r="BP795" s="188"/>
      <c r="BQ795" s="188"/>
      <c r="BR795" s="188"/>
      <c r="BS795" s="188"/>
      <c r="BT795" s="188"/>
      <c r="BU795" s="188"/>
      <c r="BV795" s="188"/>
    </row>
    <row r="796" spans="45:75" x14ac:dyDescent="0.3">
      <c r="AZ796" s="188"/>
      <c r="BB796" s="188"/>
      <c r="BD796" s="42"/>
      <c r="BO796" s="188"/>
      <c r="BP796" s="188"/>
      <c r="BQ796" s="188"/>
      <c r="BR796" s="188"/>
      <c r="BS796" s="188"/>
      <c r="BT796" s="188"/>
      <c r="BU796" s="188"/>
      <c r="BV796" s="188"/>
    </row>
    <row r="797" spans="45:75" x14ac:dyDescent="0.3">
      <c r="AS797" s="42"/>
      <c r="AZ797" s="188"/>
      <c r="BB797" s="188"/>
      <c r="BD797" s="42"/>
      <c r="BO797" s="188"/>
      <c r="BP797" s="188"/>
      <c r="BQ797" s="188"/>
      <c r="BR797" s="188"/>
      <c r="BS797" s="188"/>
      <c r="BT797" s="188"/>
      <c r="BU797" s="188"/>
      <c r="BV797" s="188"/>
    </row>
    <row r="798" spans="45:75" x14ac:dyDescent="0.3">
      <c r="AZ798" s="188"/>
      <c r="BB798" s="188"/>
      <c r="BO798" s="188"/>
      <c r="BP798" s="188"/>
      <c r="BQ798" s="188"/>
      <c r="BR798" s="188"/>
      <c r="BS798" s="188"/>
      <c r="BT798" s="188"/>
      <c r="BU798" s="188"/>
      <c r="BV798" s="188"/>
    </row>
    <row r="799" spans="45:75" x14ac:dyDescent="0.3">
      <c r="AS799" s="135"/>
      <c r="AT799" s="135"/>
      <c r="AU799" s="135"/>
      <c r="AV799" s="135"/>
      <c r="AW799" s="135"/>
      <c r="AX799" s="135"/>
      <c r="AY799" s="135"/>
      <c r="AZ799" s="244"/>
      <c r="BA799" s="135"/>
      <c r="BB799" s="244"/>
      <c r="BC799" s="135"/>
      <c r="BD799" s="135"/>
      <c r="BE799" s="135"/>
      <c r="BO799" s="188"/>
      <c r="BP799" s="188"/>
      <c r="BQ799" s="188"/>
      <c r="BR799" s="188"/>
      <c r="BS799" s="188"/>
      <c r="BT799" s="188"/>
      <c r="BU799" s="188"/>
      <c r="BV799" s="188"/>
    </row>
    <row r="800" spans="45:75" x14ac:dyDescent="0.3">
      <c r="AX800" s="42"/>
      <c r="AZ800" s="188"/>
      <c r="BB800" s="188"/>
      <c r="BO800" s="188"/>
      <c r="BP800" s="188"/>
      <c r="BQ800" s="188"/>
      <c r="BR800" s="188"/>
      <c r="BS800" s="188"/>
      <c r="BT800" s="188"/>
      <c r="BU800" s="188"/>
      <c r="BV800" s="188"/>
    </row>
    <row r="801" spans="45:74" x14ac:dyDescent="0.3">
      <c r="AX801" s="135"/>
      <c r="AY801" s="135"/>
      <c r="AZ801" s="244"/>
      <c r="BA801" s="135"/>
      <c r="BB801" s="188"/>
      <c r="BC801" s="44"/>
      <c r="BD801" s="44"/>
      <c r="BO801" s="188"/>
      <c r="BP801" s="188"/>
      <c r="BQ801" s="188"/>
      <c r="BR801" s="188"/>
      <c r="BS801" s="188"/>
      <c r="BT801" s="188"/>
      <c r="BU801" s="188"/>
      <c r="BV801" s="188"/>
    </row>
    <row r="802" spans="45:74" x14ac:dyDescent="0.3">
      <c r="AV802" s="44"/>
      <c r="AW802" s="44"/>
      <c r="AZ802" s="245"/>
      <c r="BA802" s="44"/>
      <c r="BB802" s="188"/>
      <c r="BC802" s="44"/>
      <c r="BD802" s="44"/>
      <c r="BE802" s="44"/>
      <c r="BG802" s="135"/>
      <c r="BH802" s="42"/>
      <c r="BK802" s="135"/>
      <c r="BM802" s="135"/>
      <c r="BN802" s="42"/>
      <c r="BQ802" s="135"/>
    </row>
    <row r="803" spans="45:74" x14ac:dyDescent="0.3">
      <c r="AV803" s="44"/>
      <c r="AW803" s="44"/>
      <c r="AX803" s="44"/>
      <c r="AY803" s="44"/>
      <c r="AZ803" s="245"/>
      <c r="BA803" s="44"/>
      <c r="BB803" s="245"/>
      <c r="BC803" s="44"/>
      <c r="BD803" s="44"/>
      <c r="BE803" s="44"/>
      <c r="BH803" s="44"/>
      <c r="BI803" s="44"/>
      <c r="BN803" s="44"/>
      <c r="BO803" s="44"/>
    </row>
    <row r="804" spans="45:74" x14ac:dyDescent="0.3">
      <c r="AS804" s="44"/>
      <c r="AU804" s="42"/>
      <c r="AV804" s="44"/>
      <c r="AW804" s="44"/>
      <c r="AX804" s="44"/>
      <c r="AY804" s="44"/>
      <c r="AZ804" s="245"/>
      <c r="BA804" s="44"/>
      <c r="BB804" s="245"/>
      <c r="BC804" s="44"/>
      <c r="BD804" s="44"/>
      <c r="BE804" s="44"/>
      <c r="BG804" s="44"/>
      <c r="BH804" s="44"/>
      <c r="BI804" s="44"/>
      <c r="BJ804" s="44"/>
      <c r="BK804" s="44"/>
      <c r="BM804" s="44"/>
      <c r="BN804" s="44"/>
      <c r="BO804" s="44"/>
      <c r="BP804" s="44"/>
      <c r="BQ804" s="44"/>
    </row>
    <row r="805" spans="45:74" x14ac:dyDescent="0.3">
      <c r="AS805" s="44"/>
      <c r="AU805" s="42"/>
      <c r="AV805" s="44"/>
      <c r="AW805" s="44"/>
      <c r="AX805" s="44"/>
      <c r="AY805" s="44"/>
      <c r="AZ805" s="245"/>
      <c r="BA805" s="44"/>
      <c r="BB805" s="245"/>
      <c r="BC805" s="44"/>
      <c r="BD805" s="44"/>
      <c r="BE805" s="44"/>
      <c r="BG805" s="44"/>
      <c r="BH805" s="44"/>
      <c r="BI805" s="44"/>
      <c r="BJ805" s="44"/>
      <c r="BK805" s="44"/>
      <c r="BM805" s="44"/>
      <c r="BN805" s="44"/>
      <c r="BO805" s="44"/>
      <c r="BP805" s="44"/>
      <c r="BQ805" s="44"/>
    </row>
    <row r="806" spans="45:74" x14ac:dyDescent="0.3">
      <c r="AS806" s="135"/>
      <c r="AT806" s="135"/>
      <c r="AU806" s="135"/>
      <c r="AV806" s="135"/>
      <c r="AW806" s="135"/>
      <c r="AX806" s="135"/>
      <c r="AY806" s="135"/>
      <c r="AZ806" s="244"/>
      <c r="BA806" s="135"/>
      <c r="BB806" s="244"/>
      <c r="BC806" s="135"/>
      <c r="BD806" s="135"/>
      <c r="BE806" s="135"/>
      <c r="BG806" s="135"/>
      <c r="BH806" s="135"/>
      <c r="BI806" s="135"/>
      <c r="BJ806" s="135"/>
      <c r="BK806" s="135"/>
      <c r="BM806" s="135"/>
      <c r="BN806" s="135"/>
      <c r="BO806" s="135"/>
      <c r="BP806" s="135"/>
      <c r="BQ806" s="135"/>
    </row>
    <row r="807" spans="45:74" x14ac:dyDescent="0.3">
      <c r="AV807" s="44"/>
      <c r="AW807" s="44"/>
      <c r="AX807" s="44"/>
      <c r="AY807" s="44"/>
      <c r="AZ807" s="245"/>
      <c r="BA807" s="44"/>
      <c r="BB807" s="245"/>
      <c r="BC807" s="44"/>
      <c r="BD807" s="44"/>
      <c r="BE807" s="44"/>
      <c r="BG807" s="188"/>
      <c r="BH807" s="188"/>
      <c r="BI807" s="188"/>
      <c r="BJ807" s="188"/>
      <c r="BK807" s="188"/>
      <c r="BL807" s="188"/>
      <c r="BM807" s="188"/>
      <c r="BN807" s="188"/>
      <c r="BO807" s="188"/>
      <c r="BP807" s="188"/>
      <c r="BQ807" s="188"/>
    </row>
    <row r="808" spans="45:74" x14ac:dyDescent="0.3">
      <c r="AT808" s="42"/>
      <c r="AV808" s="123"/>
      <c r="AW808" s="123"/>
      <c r="AX808" s="188"/>
      <c r="AY808" s="188"/>
      <c r="AZ808" s="188"/>
      <c r="BA808" s="236"/>
      <c r="BB808" s="188"/>
      <c r="BC808" s="188"/>
      <c r="BD808" s="188"/>
      <c r="BE808" s="236"/>
      <c r="BG808" s="188"/>
      <c r="BH808" s="188"/>
      <c r="BI808" s="188"/>
      <c r="BJ808" s="188"/>
      <c r="BK808" s="188"/>
      <c r="BL808" s="188"/>
      <c r="BM808" s="188"/>
      <c r="BN808" s="188"/>
      <c r="BO808" s="188"/>
      <c r="BP808" s="188"/>
      <c r="BQ808" s="188"/>
      <c r="BR808" s="188"/>
      <c r="BS808" s="188"/>
    </row>
    <row r="809" spans="45:74" x14ac:dyDescent="0.3">
      <c r="AV809" s="123"/>
      <c r="AW809" s="123"/>
      <c r="AX809" s="188"/>
      <c r="AY809" s="188"/>
      <c r="AZ809" s="188"/>
      <c r="BA809" s="236"/>
      <c r="BB809" s="188"/>
      <c r="BC809" s="188"/>
      <c r="BD809" s="188"/>
      <c r="BE809" s="236"/>
      <c r="BG809" s="188"/>
      <c r="BH809" s="188"/>
      <c r="BI809" s="188"/>
      <c r="BJ809" s="188"/>
      <c r="BK809" s="188"/>
      <c r="BL809" s="188"/>
      <c r="BM809" s="188"/>
      <c r="BN809" s="188"/>
      <c r="BO809" s="188"/>
      <c r="BP809" s="188"/>
      <c r="BQ809" s="188"/>
      <c r="BR809" s="188"/>
      <c r="BS809" s="188"/>
    </row>
    <row r="810" spans="45:74" x14ac:dyDescent="0.3">
      <c r="AV810" s="123"/>
      <c r="AW810" s="123"/>
      <c r="AX810" s="188"/>
      <c r="AY810" s="188"/>
      <c r="AZ810" s="188"/>
      <c r="BA810" s="236"/>
      <c r="BB810" s="188"/>
      <c r="BC810" s="188"/>
      <c r="BD810" s="188"/>
      <c r="BE810" s="236"/>
      <c r="BG810" s="188"/>
      <c r="BH810" s="188"/>
      <c r="BI810" s="188"/>
      <c r="BJ810" s="188"/>
      <c r="BK810" s="188"/>
      <c r="BL810" s="188"/>
      <c r="BM810" s="188"/>
      <c r="BN810" s="188"/>
      <c r="BO810" s="188"/>
      <c r="BP810" s="188"/>
      <c r="BQ810" s="188"/>
      <c r="BR810" s="188"/>
      <c r="BS810" s="188"/>
    </row>
    <row r="811" spans="45:74" x14ac:dyDescent="0.3">
      <c r="AV811" s="123"/>
      <c r="AW811" s="123"/>
      <c r="AX811" s="188"/>
      <c r="AY811" s="188"/>
      <c r="AZ811" s="188"/>
      <c r="BA811" s="236"/>
      <c r="BB811" s="188"/>
      <c r="BC811" s="188"/>
      <c r="BD811" s="188"/>
      <c r="BE811" s="236"/>
      <c r="BG811" s="188"/>
      <c r="BH811" s="188"/>
      <c r="BI811" s="188"/>
      <c r="BJ811" s="188"/>
      <c r="BK811" s="188"/>
      <c r="BL811" s="188"/>
      <c r="BM811" s="188"/>
      <c r="BN811" s="188"/>
      <c r="BO811" s="188"/>
      <c r="BP811" s="188"/>
      <c r="BQ811" s="188"/>
      <c r="BR811" s="188"/>
      <c r="BS811" s="188"/>
    </row>
    <row r="812" spans="45:74" x14ac:dyDescent="0.3">
      <c r="AV812" s="123"/>
      <c r="AW812" s="123"/>
      <c r="AX812" s="188"/>
      <c r="AY812" s="188"/>
      <c r="AZ812" s="188"/>
      <c r="BA812" s="236"/>
      <c r="BB812" s="188"/>
      <c r="BC812" s="188"/>
      <c r="BD812" s="188"/>
      <c r="BE812" s="236"/>
      <c r="BG812" s="188"/>
      <c r="BH812" s="188"/>
      <c r="BI812" s="188"/>
      <c r="BJ812" s="188"/>
      <c r="BK812" s="188"/>
      <c r="BL812" s="188"/>
      <c r="BM812" s="188"/>
      <c r="BN812" s="188"/>
      <c r="BO812" s="188"/>
      <c r="BP812" s="188"/>
      <c r="BQ812" s="188"/>
      <c r="BR812" s="188"/>
      <c r="BS812" s="188"/>
    </row>
    <row r="813" spans="45:74" x14ac:dyDescent="0.3">
      <c r="AV813" s="123"/>
      <c r="AW813" s="123"/>
      <c r="AX813" s="188"/>
      <c r="AY813" s="188"/>
      <c r="AZ813" s="188"/>
      <c r="BA813" s="236"/>
      <c r="BB813" s="188"/>
      <c r="BC813" s="188"/>
      <c r="BD813" s="188"/>
      <c r="BE813" s="236"/>
      <c r="BG813" s="188"/>
      <c r="BH813" s="188"/>
      <c r="BI813" s="188"/>
      <c r="BJ813" s="188"/>
      <c r="BK813" s="188"/>
      <c r="BL813" s="188"/>
      <c r="BM813" s="188"/>
      <c r="BN813" s="188"/>
      <c r="BO813" s="188"/>
      <c r="BP813" s="188"/>
      <c r="BQ813" s="188"/>
      <c r="BR813" s="188"/>
      <c r="BS813" s="188"/>
    </row>
    <row r="814" spans="45:74" x14ac:dyDescent="0.3">
      <c r="AV814" s="123"/>
      <c r="AW814" s="123"/>
      <c r="AX814" s="188"/>
      <c r="AY814" s="188"/>
      <c r="AZ814" s="188"/>
      <c r="BA814" s="236"/>
      <c r="BB814" s="188"/>
      <c r="BC814" s="188"/>
      <c r="BD814" s="188"/>
      <c r="BE814" s="236"/>
      <c r="BG814" s="188"/>
      <c r="BH814" s="188"/>
      <c r="BI814" s="188"/>
      <c r="BJ814" s="188"/>
      <c r="BK814" s="188"/>
      <c r="BL814" s="188"/>
      <c r="BM814" s="188"/>
      <c r="BN814" s="188"/>
      <c r="BO814" s="188"/>
      <c r="BP814" s="188"/>
      <c r="BQ814" s="188"/>
      <c r="BR814" s="188"/>
      <c r="BS814" s="188"/>
    </row>
    <row r="815" spans="45:74" x14ac:dyDescent="0.3">
      <c r="AV815" s="123"/>
      <c r="AW815" s="123"/>
      <c r="AX815" s="188"/>
      <c r="AY815" s="188"/>
      <c r="AZ815" s="188"/>
      <c r="BA815" s="236"/>
      <c r="BB815" s="188"/>
      <c r="BC815" s="188"/>
      <c r="BD815" s="188"/>
      <c r="BE815" s="236"/>
      <c r="BG815" s="188"/>
      <c r="BH815" s="188"/>
      <c r="BI815" s="188"/>
      <c r="BJ815" s="188"/>
      <c r="BK815" s="188"/>
      <c r="BL815" s="188"/>
      <c r="BM815" s="188"/>
      <c r="BN815" s="188"/>
      <c r="BO815" s="188"/>
      <c r="BP815" s="188"/>
      <c r="BQ815" s="188"/>
      <c r="BR815" s="188"/>
      <c r="BS815" s="188"/>
    </row>
    <row r="816" spans="45:74" x14ac:dyDescent="0.3">
      <c r="AV816" s="123"/>
      <c r="AW816" s="123"/>
      <c r="AX816" s="188"/>
      <c r="AY816" s="188"/>
      <c r="AZ816" s="188"/>
      <c r="BA816" s="236"/>
      <c r="BB816" s="188"/>
      <c r="BC816" s="188"/>
      <c r="BD816" s="188"/>
      <c r="BE816" s="236"/>
      <c r="BG816" s="188"/>
      <c r="BH816" s="188"/>
      <c r="BI816" s="188"/>
      <c r="BJ816" s="188"/>
      <c r="BK816" s="188"/>
      <c r="BL816" s="188"/>
      <c r="BM816" s="188"/>
      <c r="BN816" s="188"/>
      <c r="BO816" s="188"/>
      <c r="BP816" s="188"/>
      <c r="BQ816" s="188"/>
      <c r="BR816" s="188"/>
      <c r="BS816" s="188"/>
    </row>
    <row r="817" spans="46:71" x14ac:dyDescent="0.3">
      <c r="AV817" s="123"/>
      <c r="AW817" s="123"/>
      <c r="AX817" s="188"/>
      <c r="AY817" s="188"/>
      <c r="AZ817" s="188"/>
      <c r="BA817" s="236"/>
      <c r="BB817" s="188"/>
      <c r="BC817" s="188"/>
      <c r="BD817" s="188"/>
      <c r="BE817" s="236"/>
      <c r="BG817" s="188"/>
      <c r="BH817" s="188"/>
      <c r="BI817" s="188"/>
      <c r="BJ817" s="188"/>
      <c r="BK817" s="188"/>
      <c r="BL817" s="188"/>
      <c r="BM817" s="188"/>
      <c r="BN817" s="188"/>
      <c r="BO817" s="188"/>
      <c r="BP817" s="188"/>
      <c r="BQ817" s="188"/>
      <c r="BR817" s="188"/>
      <c r="BS817" s="188"/>
    </row>
    <row r="818" spans="46:71" x14ac:dyDescent="0.3">
      <c r="AV818" s="123"/>
      <c r="AW818" s="123"/>
      <c r="AX818" s="188"/>
      <c r="AY818" s="188"/>
      <c r="AZ818" s="188"/>
      <c r="BA818" s="236"/>
      <c r="BB818" s="188"/>
      <c r="BC818" s="188"/>
      <c r="BD818" s="188"/>
      <c r="BE818" s="236"/>
      <c r="BG818" s="188"/>
      <c r="BH818" s="188"/>
      <c r="BI818" s="188"/>
      <c r="BJ818" s="188"/>
      <c r="BK818" s="188"/>
      <c r="BL818" s="188"/>
      <c r="BM818" s="188"/>
      <c r="BN818" s="188"/>
      <c r="BO818" s="188"/>
      <c r="BP818" s="188"/>
      <c r="BQ818" s="188"/>
      <c r="BR818" s="188"/>
      <c r="BS818" s="188"/>
    </row>
    <row r="819" spans="46:71" x14ac:dyDescent="0.3">
      <c r="AV819" s="123"/>
      <c r="AW819" s="123"/>
      <c r="AX819" s="188"/>
      <c r="AY819" s="188"/>
      <c r="AZ819" s="188"/>
      <c r="BA819" s="236"/>
      <c r="BB819" s="188"/>
      <c r="BC819" s="188"/>
      <c r="BD819" s="188"/>
      <c r="BE819" s="236"/>
      <c r="BG819" s="188"/>
      <c r="BH819" s="188"/>
      <c r="BI819" s="188"/>
      <c r="BJ819" s="188"/>
      <c r="BK819" s="188"/>
      <c r="BL819" s="188"/>
      <c r="BM819" s="188"/>
      <c r="BN819" s="188"/>
      <c r="BO819" s="188"/>
      <c r="BP819" s="188"/>
      <c r="BQ819" s="188"/>
      <c r="BR819" s="188"/>
      <c r="BS819" s="188"/>
    </row>
    <row r="820" spans="46:71" x14ac:dyDescent="0.3">
      <c r="AV820" s="123"/>
      <c r="AW820" s="123"/>
      <c r="AX820" s="188"/>
      <c r="AY820" s="188"/>
      <c r="AZ820" s="188"/>
      <c r="BA820" s="236"/>
      <c r="BB820" s="188"/>
      <c r="BC820" s="188"/>
      <c r="BD820" s="188"/>
      <c r="BE820" s="236"/>
      <c r="BG820" s="188"/>
      <c r="BH820" s="188"/>
      <c r="BI820" s="188"/>
      <c r="BJ820" s="188"/>
      <c r="BK820" s="188"/>
      <c r="BL820" s="188"/>
      <c r="BM820" s="188"/>
      <c r="BN820" s="188"/>
      <c r="BO820" s="188"/>
      <c r="BP820" s="188"/>
      <c r="BQ820" s="188"/>
      <c r="BR820" s="188"/>
      <c r="BS820" s="188"/>
    </row>
    <row r="821" spans="46:71" x14ac:dyDescent="0.3">
      <c r="AV821" s="123"/>
      <c r="AW821" s="123"/>
      <c r="AX821" s="188"/>
      <c r="AY821" s="188"/>
      <c r="AZ821" s="188"/>
      <c r="BA821" s="236"/>
      <c r="BB821" s="188"/>
      <c r="BC821" s="188"/>
      <c r="BD821" s="188"/>
      <c r="BE821" s="236"/>
      <c r="BG821" s="188"/>
      <c r="BH821" s="188"/>
      <c r="BI821" s="188"/>
      <c r="BJ821" s="188"/>
      <c r="BK821" s="188"/>
      <c r="BL821" s="188"/>
      <c r="BM821" s="188"/>
      <c r="BN821" s="188"/>
      <c r="BO821" s="188"/>
      <c r="BP821" s="188"/>
      <c r="BQ821" s="188"/>
      <c r="BR821" s="188"/>
      <c r="BS821" s="188"/>
    </row>
    <row r="822" spans="46:71" x14ac:dyDescent="0.3">
      <c r="AV822" s="123"/>
      <c r="AW822" s="123"/>
      <c r="AX822" s="188"/>
      <c r="AY822" s="188"/>
      <c r="AZ822" s="188"/>
      <c r="BA822" s="236"/>
      <c r="BB822" s="188"/>
      <c r="BC822" s="188"/>
      <c r="BD822" s="188"/>
      <c r="BE822" s="236"/>
      <c r="BG822" s="188"/>
      <c r="BH822" s="188"/>
      <c r="BI822" s="188"/>
      <c r="BJ822" s="188"/>
      <c r="BK822" s="188"/>
      <c r="BL822" s="188"/>
      <c r="BM822" s="188"/>
      <c r="BN822" s="188"/>
      <c r="BO822" s="188"/>
      <c r="BP822" s="188"/>
      <c r="BQ822" s="188"/>
      <c r="BR822" s="188"/>
      <c r="BS822" s="188"/>
    </row>
    <row r="823" spans="46:71" x14ac:dyDescent="0.3">
      <c r="AV823" s="123"/>
      <c r="AW823" s="123"/>
      <c r="AX823" s="188"/>
      <c r="AY823" s="188"/>
      <c r="AZ823" s="188"/>
      <c r="BA823" s="236"/>
      <c r="BB823" s="188"/>
      <c r="BC823" s="188"/>
      <c r="BD823" s="188"/>
      <c r="BE823" s="236"/>
      <c r="BG823" s="188"/>
      <c r="BH823" s="188"/>
      <c r="BI823" s="188"/>
      <c r="BJ823" s="188"/>
      <c r="BK823" s="188"/>
      <c r="BL823" s="188"/>
      <c r="BM823" s="188"/>
      <c r="BN823" s="188"/>
      <c r="BO823" s="188"/>
      <c r="BP823" s="188"/>
      <c r="BQ823" s="188"/>
      <c r="BR823" s="188"/>
      <c r="BS823" s="188"/>
    </row>
    <row r="824" spans="46:71" x14ac:dyDescent="0.3">
      <c r="AV824" s="123"/>
      <c r="AW824" s="123"/>
      <c r="AX824" s="188"/>
      <c r="AY824" s="188"/>
      <c r="AZ824" s="188"/>
      <c r="BA824" s="236"/>
      <c r="BB824" s="188"/>
      <c r="BC824" s="188"/>
      <c r="BD824" s="188"/>
      <c r="BE824" s="236"/>
      <c r="BG824" s="188"/>
      <c r="BH824" s="188"/>
      <c r="BI824" s="188"/>
      <c r="BJ824" s="188"/>
      <c r="BK824" s="188"/>
      <c r="BL824" s="188"/>
      <c r="BM824" s="188"/>
      <c r="BN824" s="188"/>
      <c r="BO824" s="188"/>
      <c r="BP824" s="188"/>
      <c r="BQ824" s="188"/>
      <c r="BR824" s="188"/>
      <c r="BS824" s="188"/>
    </row>
    <row r="825" spans="46:71" x14ac:dyDescent="0.3">
      <c r="AV825" s="123"/>
      <c r="AW825" s="123"/>
      <c r="AX825" s="188"/>
      <c r="AY825" s="188"/>
      <c r="AZ825" s="188"/>
      <c r="BA825" s="236"/>
      <c r="BB825" s="188"/>
      <c r="BC825" s="188"/>
      <c r="BD825" s="188"/>
      <c r="BE825" s="236"/>
      <c r="BG825" s="188"/>
      <c r="BH825" s="188"/>
      <c r="BI825" s="188"/>
      <c r="BJ825" s="188"/>
      <c r="BK825" s="188"/>
      <c r="BL825" s="188"/>
      <c r="BM825" s="188"/>
      <c r="BN825" s="188"/>
      <c r="BO825" s="188"/>
      <c r="BP825" s="188"/>
      <c r="BQ825" s="188"/>
      <c r="BR825" s="188"/>
      <c r="BS825" s="188"/>
    </row>
    <row r="826" spans="46:71" x14ac:dyDescent="0.3">
      <c r="AZ826" s="188"/>
      <c r="BB826" s="188"/>
      <c r="BC826" s="188"/>
      <c r="BD826" s="188"/>
      <c r="BG826" s="188"/>
      <c r="BH826" s="188"/>
      <c r="BI826" s="188"/>
      <c r="BJ826" s="188"/>
      <c r="BK826" s="188"/>
      <c r="BL826" s="188"/>
      <c r="BM826" s="188"/>
      <c r="BN826" s="188"/>
      <c r="BO826" s="188"/>
      <c r="BP826" s="188"/>
      <c r="BQ826" s="188"/>
      <c r="BR826" s="188"/>
      <c r="BS826" s="188"/>
    </row>
    <row r="827" spans="46:71" x14ac:dyDescent="0.3">
      <c r="AT827" s="42"/>
      <c r="AV827" s="123"/>
      <c r="AW827" s="123"/>
      <c r="AX827" s="188"/>
      <c r="AY827" s="188"/>
      <c r="AZ827" s="188"/>
      <c r="BA827" s="236"/>
      <c r="BB827" s="188"/>
      <c r="BC827" s="188"/>
      <c r="BD827" s="188"/>
      <c r="BE827" s="236"/>
    </row>
    <row r="828" spans="46:71" x14ac:dyDescent="0.3">
      <c r="AV828" s="123"/>
      <c r="AW828" s="123"/>
      <c r="AX828" s="188"/>
      <c r="AY828" s="188"/>
      <c r="AZ828" s="188"/>
      <c r="BA828" s="236"/>
      <c r="BB828" s="188"/>
      <c r="BC828" s="188"/>
      <c r="BD828" s="188"/>
      <c r="BE828" s="236"/>
    </row>
    <row r="829" spans="46:71" x14ac:dyDescent="0.3">
      <c r="AV829" s="123"/>
      <c r="AW829" s="123"/>
      <c r="AX829" s="188"/>
      <c r="AY829" s="188"/>
      <c r="AZ829" s="188"/>
      <c r="BA829" s="236"/>
      <c r="BB829" s="188"/>
      <c r="BC829" s="188"/>
      <c r="BD829" s="188"/>
      <c r="BE829" s="236"/>
    </row>
    <row r="830" spans="46:71" x14ac:dyDescent="0.3">
      <c r="AV830" s="123"/>
      <c r="AW830" s="123"/>
      <c r="AX830" s="188"/>
      <c r="AY830" s="188"/>
      <c r="AZ830" s="188"/>
      <c r="BA830" s="236"/>
      <c r="BB830" s="188"/>
      <c r="BC830" s="188"/>
      <c r="BD830" s="188"/>
      <c r="BE830" s="236"/>
    </row>
    <row r="831" spans="46:71" x14ac:dyDescent="0.3">
      <c r="AV831" s="123"/>
      <c r="AW831" s="123"/>
      <c r="AX831" s="188"/>
      <c r="AY831" s="188"/>
      <c r="AZ831" s="188"/>
      <c r="BA831" s="236"/>
      <c r="BB831" s="188"/>
      <c r="BC831" s="188"/>
      <c r="BD831" s="188"/>
      <c r="BE831" s="236"/>
    </row>
    <row r="832" spans="46:71" x14ac:dyDescent="0.3">
      <c r="AV832" s="123"/>
      <c r="AW832" s="123"/>
      <c r="AX832" s="188"/>
      <c r="AY832" s="188"/>
      <c r="AZ832" s="188"/>
      <c r="BA832" s="236"/>
      <c r="BB832" s="188"/>
      <c r="BC832" s="188"/>
      <c r="BD832" s="188"/>
      <c r="BE832" s="236"/>
    </row>
    <row r="833" spans="47:57" x14ac:dyDescent="0.3">
      <c r="AV833" s="123"/>
      <c r="AW833" s="123"/>
      <c r="AX833" s="188"/>
      <c r="AY833" s="188"/>
      <c r="AZ833" s="188"/>
      <c r="BA833" s="236"/>
      <c r="BB833" s="188"/>
      <c r="BC833" s="188"/>
      <c r="BD833" s="188"/>
      <c r="BE833" s="236"/>
    </row>
    <row r="834" spans="47:57" x14ac:dyDescent="0.3">
      <c r="AV834" s="123"/>
      <c r="AW834" s="123"/>
      <c r="AX834" s="188"/>
      <c r="AY834" s="188"/>
      <c r="AZ834" s="188"/>
      <c r="BA834" s="236"/>
      <c r="BB834" s="188"/>
      <c r="BC834" s="188"/>
      <c r="BD834" s="188"/>
      <c r="BE834" s="236"/>
    </row>
    <row r="835" spans="47:57" x14ac:dyDescent="0.3">
      <c r="AV835" s="123"/>
      <c r="AW835" s="123"/>
      <c r="AX835" s="188"/>
      <c r="AY835" s="188"/>
      <c r="AZ835" s="188"/>
      <c r="BA835" s="236"/>
      <c r="BB835" s="188"/>
      <c r="BC835" s="188"/>
      <c r="BD835" s="188"/>
      <c r="BE835" s="236"/>
    </row>
    <row r="836" spans="47:57" x14ac:dyDescent="0.3">
      <c r="AV836" s="123"/>
      <c r="AW836" s="123"/>
      <c r="AX836" s="188"/>
      <c r="AY836" s="188"/>
      <c r="AZ836" s="188"/>
      <c r="BA836" s="236"/>
      <c r="BB836" s="188"/>
      <c r="BC836" s="188"/>
      <c r="BD836" s="188"/>
      <c r="BE836" s="236"/>
    </row>
    <row r="837" spans="47:57" x14ac:dyDescent="0.3">
      <c r="AV837" s="123"/>
      <c r="AW837" s="123"/>
      <c r="AX837" s="188"/>
      <c r="AY837" s="188"/>
      <c r="AZ837" s="188"/>
      <c r="BA837" s="236"/>
      <c r="BB837" s="188"/>
      <c r="BC837" s="188"/>
      <c r="BD837" s="188"/>
      <c r="BE837" s="236"/>
    </row>
    <row r="838" spans="47:57" x14ac:dyDescent="0.3">
      <c r="AV838" s="123"/>
      <c r="AW838" s="123"/>
      <c r="AX838" s="188"/>
      <c r="AY838" s="188"/>
      <c r="AZ838" s="188"/>
      <c r="BA838" s="236"/>
      <c r="BB838" s="188"/>
      <c r="BC838" s="188"/>
      <c r="BD838" s="188"/>
      <c r="BE838" s="236"/>
    </row>
    <row r="839" spans="47:57" x14ac:dyDescent="0.3">
      <c r="AV839" s="123"/>
      <c r="AW839" s="123"/>
      <c r="AX839" s="188"/>
      <c r="AY839" s="188"/>
      <c r="AZ839" s="188"/>
      <c r="BA839" s="236"/>
      <c r="BB839" s="188"/>
      <c r="BC839" s="188"/>
      <c r="BD839" s="188"/>
      <c r="BE839" s="236"/>
    </row>
    <row r="840" spans="47:57" x14ac:dyDescent="0.3">
      <c r="AV840" s="123"/>
      <c r="AW840" s="123"/>
      <c r="AX840" s="188"/>
      <c r="AY840" s="188"/>
      <c r="AZ840" s="188"/>
      <c r="BA840" s="236"/>
      <c r="BB840" s="188"/>
      <c r="BC840" s="188"/>
      <c r="BD840" s="188"/>
      <c r="BE840" s="236"/>
    </row>
    <row r="841" spans="47:57" x14ac:dyDescent="0.3">
      <c r="AV841" s="123"/>
      <c r="AW841" s="123"/>
      <c r="AX841" s="188"/>
      <c r="AY841" s="188"/>
      <c r="AZ841" s="188"/>
      <c r="BA841" s="236"/>
      <c r="BB841" s="188"/>
      <c r="BC841" s="188"/>
      <c r="BD841" s="188"/>
      <c r="BE841" s="236"/>
    </row>
    <row r="842" spans="47:57" x14ac:dyDescent="0.3">
      <c r="AV842" s="123"/>
      <c r="AW842" s="123"/>
      <c r="AX842" s="188"/>
      <c r="AY842" s="188"/>
      <c r="AZ842" s="188"/>
      <c r="BA842" s="236"/>
      <c r="BB842" s="188"/>
      <c r="BC842" s="188"/>
      <c r="BD842" s="188"/>
      <c r="BE842" s="236"/>
    </row>
    <row r="843" spans="47:57" x14ac:dyDescent="0.3">
      <c r="AV843" s="123"/>
      <c r="AW843" s="123"/>
      <c r="AX843" s="188"/>
      <c r="AY843" s="188"/>
      <c r="AZ843" s="188"/>
      <c r="BA843" s="236"/>
      <c r="BB843" s="188"/>
      <c r="BC843" s="188"/>
      <c r="BD843" s="188"/>
      <c r="BE843" s="236"/>
    </row>
    <row r="844" spans="47:57" x14ac:dyDescent="0.3">
      <c r="AV844" s="123"/>
      <c r="AW844" s="123"/>
      <c r="AX844" s="188"/>
      <c r="AY844" s="188"/>
      <c r="AZ844" s="188"/>
      <c r="BA844" s="236"/>
      <c r="BB844" s="188"/>
      <c r="BC844" s="188"/>
      <c r="BD844" s="188"/>
      <c r="BE844" s="236"/>
    </row>
    <row r="845" spans="47:57" x14ac:dyDescent="0.3">
      <c r="BB845" s="188"/>
    </row>
    <row r="846" spans="47:57" x14ac:dyDescent="0.3">
      <c r="AU846" s="42"/>
      <c r="BB846" s="188"/>
    </row>
    <row r="847" spans="47:57" x14ac:dyDescent="0.3">
      <c r="AU847" s="42"/>
    </row>
    <row r="848" spans="47:57" x14ac:dyDescent="0.3">
      <c r="AU848" s="42"/>
      <c r="BB848" s="188"/>
    </row>
    <row r="849" spans="45:57" x14ac:dyDescent="0.3">
      <c r="AS849" s="42"/>
      <c r="AZ849" s="188"/>
      <c r="BB849" s="188"/>
    </row>
    <row r="850" spans="45:57" x14ac:dyDescent="0.3">
      <c r="AZ850" s="188"/>
      <c r="BB850" s="188"/>
    </row>
    <row r="851" spans="45:57" x14ac:dyDescent="0.3">
      <c r="AY851" s="188"/>
      <c r="AZ851" s="188"/>
      <c r="BB851" s="188"/>
    </row>
    <row r="852" spans="45:57" x14ac:dyDescent="0.3">
      <c r="AY852" s="42"/>
      <c r="AZ852" s="188"/>
      <c r="BB852" s="188"/>
    </row>
    <row r="853" spans="45:57" x14ac:dyDescent="0.3">
      <c r="AY853" s="42"/>
      <c r="AZ853" s="188"/>
      <c r="BB853" s="188"/>
    </row>
    <row r="854" spans="45:57" x14ac:dyDescent="0.3">
      <c r="AZ854" s="188"/>
      <c r="BB854" s="188"/>
      <c r="BD854" s="42"/>
    </row>
    <row r="855" spans="45:57" x14ac:dyDescent="0.3">
      <c r="AZ855" s="188"/>
      <c r="BB855" s="188"/>
      <c r="BD855" s="42"/>
    </row>
    <row r="856" spans="45:57" x14ac:dyDescent="0.3">
      <c r="AS856" s="42"/>
      <c r="AZ856" s="188"/>
      <c r="BB856" s="188"/>
      <c r="BD856" s="42"/>
    </row>
    <row r="857" spans="45:57" x14ac:dyDescent="0.3">
      <c r="AZ857" s="188"/>
      <c r="BB857" s="188"/>
    </row>
    <row r="858" spans="45:57" x14ac:dyDescent="0.3">
      <c r="AS858" s="135"/>
      <c r="AT858" s="135"/>
      <c r="AU858" s="135"/>
      <c r="AV858" s="135"/>
      <c r="AW858" s="135"/>
      <c r="AX858" s="135"/>
      <c r="AY858" s="135"/>
      <c r="AZ858" s="244"/>
      <c r="BA858" s="135"/>
      <c r="BB858" s="244"/>
      <c r="BC858" s="135"/>
      <c r="BD858" s="135"/>
      <c r="BE858" s="135"/>
    </row>
    <row r="859" spans="45:57" x14ac:dyDescent="0.3">
      <c r="AX859" s="42"/>
      <c r="AZ859" s="188"/>
      <c r="BB859" s="188"/>
    </row>
    <row r="860" spans="45:57" x14ac:dyDescent="0.3">
      <c r="AX860" s="135"/>
      <c r="AY860" s="135"/>
      <c r="AZ860" s="244"/>
      <c r="BA860" s="135"/>
      <c r="BB860" s="188"/>
      <c r="BC860" s="44"/>
      <c r="BD860" s="44"/>
    </row>
    <row r="861" spans="45:57" x14ac:dyDescent="0.3">
      <c r="AV861" s="44"/>
      <c r="AW861" s="44"/>
      <c r="AZ861" s="245"/>
      <c r="BA861" s="44"/>
      <c r="BB861" s="188"/>
      <c r="BC861" s="44"/>
      <c r="BD861" s="44"/>
      <c r="BE861" s="44"/>
    </row>
    <row r="862" spans="45:57" x14ac:dyDescent="0.3">
      <c r="AV862" s="44"/>
      <c r="AW862" s="44"/>
      <c r="AX862" s="44"/>
      <c r="AY862" s="44"/>
      <c r="AZ862" s="245"/>
      <c r="BA862" s="44"/>
      <c r="BB862" s="245"/>
      <c r="BC862" s="44"/>
      <c r="BD862" s="44"/>
      <c r="BE862" s="44"/>
    </row>
    <row r="863" spans="45:57" x14ac:dyDescent="0.3">
      <c r="AS863" s="44"/>
      <c r="AU863" s="42"/>
      <c r="AV863" s="44"/>
      <c r="AW863" s="44"/>
      <c r="AX863" s="44"/>
      <c r="AY863" s="44"/>
      <c r="AZ863" s="245"/>
      <c r="BA863" s="44"/>
      <c r="BB863" s="245"/>
      <c r="BC863" s="44"/>
      <c r="BD863" s="44"/>
      <c r="BE863" s="44"/>
    </row>
    <row r="864" spans="45:57" x14ac:dyDescent="0.3">
      <c r="AS864" s="44"/>
      <c r="AU864" s="42"/>
      <c r="AV864" s="44"/>
      <c r="AW864" s="44"/>
      <c r="AX864" s="44"/>
      <c r="AY864" s="44"/>
      <c r="AZ864" s="245"/>
      <c r="BA864" s="44"/>
      <c r="BB864" s="245"/>
      <c r="BC864" s="44"/>
      <c r="BD864" s="44"/>
      <c r="BE864" s="44"/>
    </row>
    <row r="865" spans="45:57" x14ac:dyDescent="0.3">
      <c r="AS865" s="135"/>
      <c r="AT865" s="135"/>
      <c r="AU865" s="135"/>
      <c r="AV865" s="135"/>
      <c r="AW865" s="135"/>
      <c r="AX865" s="135"/>
      <c r="AY865" s="135"/>
      <c r="AZ865" s="244"/>
      <c r="BA865" s="135"/>
      <c r="BB865" s="244"/>
      <c r="BC865" s="135"/>
      <c r="BD865" s="135"/>
      <c r="BE865" s="135"/>
    </row>
    <row r="866" spans="45:57" x14ac:dyDescent="0.3">
      <c r="AV866" s="44"/>
      <c r="AW866" s="44"/>
      <c r="AX866" s="44"/>
      <c r="AY866" s="44"/>
      <c r="AZ866" s="245"/>
      <c r="BA866" s="44"/>
      <c r="BB866" s="245"/>
      <c r="BC866" s="44"/>
      <c r="BD866" s="44"/>
      <c r="BE866" s="44"/>
    </row>
    <row r="867" spans="45:57" x14ac:dyDescent="0.3">
      <c r="AT867" s="42"/>
      <c r="AV867" s="123"/>
      <c r="AW867" s="123"/>
      <c r="AX867" s="188"/>
      <c r="AY867" s="188"/>
      <c r="AZ867" s="188"/>
      <c r="BA867" s="236"/>
      <c r="BB867" s="188"/>
      <c r="BC867" s="188"/>
      <c r="BD867" s="188"/>
      <c r="BE867" s="236"/>
    </row>
    <row r="868" spans="45:57" x14ac:dyDescent="0.3">
      <c r="AV868" s="123"/>
      <c r="AW868" s="123"/>
      <c r="AX868" s="188"/>
      <c r="AY868" s="188"/>
      <c r="AZ868" s="188"/>
      <c r="BA868" s="236"/>
      <c r="BB868" s="188"/>
      <c r="BC868" s="188"/>
      <c r="BD868" s="188"/>
      <c r="BE868" s="236"/>
    </row>
    <row r="869" spans="45:57" x14ac:dyDescent="0.3">
      <c r="AV869" s="123"/>
      <c r="AW869" s="123"/>
      <c r="AX869" s="188"/>
      <c r="AY869" s="188"/>
      <c r="AZ869" s="188"/>
      <c r="BA869" s="236"/>
      <c r="BB869" s="188"/>
      <c r="BC869" s="188"/>
      <c r="BD869" s="188"/>
      <c r="BE869" s="236"/>
    </row>
    <row r="870" spans="45:57" x14ac:dyDescent="0.3">
      <c r="AV870" s="123"/>
      <c r="AW870" s="123"/>
      <c r="AX870" s="188"/>
      <c r="AY870" s="188"/>
      <c r="AZ870" s="188"/>
      <c r="BA870" s="236"/>
      <c r="BB870" s="188"/>
      <c r="BC870" s="188"/>
      <c r="BD870" s="188"/>
      <c r="BE870" s="236"/>
    </row>
    <row r="871" spans="45:57" x14ac:dyDescent="0.3">
      <c r="AV871" s="123"/>
      <c r="AW871" s="123"/>
      <c r="AX871" s="188"/>
      <c r="AY871" s="188"/>
      <c r="AZ871" s="188"/>
      <c r="BA871" s="236"/>
      <c r="BB871" s="188"/>
      <c r="BC871" s="188"/>
      <c r="BD871" s="188"/>
      <c r="BE871" s="236"/>
    </row>
    <row r="872" spans="45:57" x14ac:dyDescent="0.3">
      <c r="AV872" s="123"/>
      <c r="AW872" s="123"/>
      <c r="AX872" s="188"/>
      <c r="AY872" s="188"/>
      <c r="AZ872" s="188"/>
      <c r="BA872" s="236"/>
      <c r="BB872" s="188"/>
      <c r="BC872" s="188"/>
      <c r="BD872" s="188"/>
      <c r="BE872" s="236"/>
    </row>
    <row r="873" spans="45:57" x14ac:dyDescent="0.3">
      <c r="AV873" s="123"/>
      <c r="AW873" s="123"/>
      <c r="AX873" s="188"/>
      <c r="AY873" s="188"/>
      <c r="AZ873" s="188"/>
      <c r="BA873" s="236"/>
      <c r="BB873" s="188"/>
      <c r="BC873" s="188"/>
      <c r="BD873" s="188"/>
      <c r="BE873" s="236"/>
    </row>
    <row r="874" spans="45:57" x14ac:dyDescent="0.3">
      <c r="AV874" s="123"/>
      <c r="AW874" s="123"/>
      <c r="AX874" s="188"/>
      <c r="AY874" s="188"/>
      <c r="AZ874" s="188"/>
      <c r="BA874" s="236"/>
      <c r="BB874" s="188"/>
      <c r="BC874" s="188"/>
      <c r="BD874" s="188"/>
      <c r="BE874" s="236"/>
    </row>
    <row r="875" spans="45:57" x14ac:dyDescent="0.3">
      <c r="AV875" s="123"/>
      <c r="AW875" s="123"/>
      <c r="AX875" s="188"/>
      <c r="AY875" s="188"/>
      <c r="AZ875" s="188"/>
      <c r="BA875" s="236"/>
      <c r="BB875" s="188"/>
      <c r="BC875" s="188"/>
      <c r="BD875" s="188"/>
      <c r="BE875" s="236"/>
    </row>
    <row r="876" spans="45:57" x14ac:dyDescent="0.3">
      <c r="AV876" s="123"/>
      <c r="AW876" s="123"/>
      <c r="AX876" s="188"/>
      <c r="AY876" s="188"/>
      <c r="AZ876" s="188"/>
      <c r="BA876" s="236"/>
      <c r="BB876" s="188"/>
      <c r="BC876" s="188"/>
      <c r="BD876" s="188"/>
      <c r="BE876" s="236"/>
    </row>
    <row r="877" spans="45:57" x14ac:dyDescent="0.3">
      <c r="AV877" s="123"/>
      <c r="AW877" s="123"/>
      <c r="BB877" s="188"/>
    </row>
    <row r="878" spans="45:57" x14ac:dyDescent="0.3">
      <c r="AT878" s="42"/>
      <c r="AV878" s="123"/>
      <c r="AW878" s="123"/>
      <c r="AX878" s="188"/>
      <c r="AY878" s="188"/>
      <c r="AZ878" s="188"/>
      <c r="BA878" s="236"/>
      <c r="BB878" s="188"/>
      <c r="BC878" s="188"/>
      <c r="BD878" s="188"/>
      <c r="BE878" s="236"/>
    </row>
    <row r="879" spans="45:57" x14ac:dyDescent="0.3">
      <c r="AV879" s="123"/>
      <c r="AW879" s="123"/>
      <c r="AX879" s="188"/>
      <c r="AY879" s="188"/>
      <c r="AZ879" s="188"/>
      <c r="BA879" s="236"/>
      <c r="BB879" s="188"/>
      <c r="BC879" s="188"/>
      <c r="BD879" s="188"/>
      <c r="BE879" s="236"/>
    </row>
    <row r="880" spans="45:57" x14ac:dyDescent="0.3">
      <c r="AV880" s="123"/>
      <c r="AW880" s="123"/>
      <c r="AX880" s="188"/>
      <c r="AY880" s="188"/>
      <c r="AZ880" s="188"/>
      <c r="BA880" s="236"/>
      <c r="BB880" s="188"/>
      <c r="BC880" s="188"/>
      <c r="BD880" s="188"/>
      <c r="BE880" s="236"/>
    </row>
    <row r="881" spans="45:57" x14ac:dyDescent="0.3">
      <c r="AV881" s="123"/>
      <c r="AW881" s="123"/>
      <c r="AX881" s="188"/>
      <c r="AY881" s="188"/>
      <c r="AZ881" s="188"/>
      <c r="BA881" s="236"/>
      <c r="BB881" s="188"/>
      <c r="BC881" s="188"/>
      <c r="BD881" s="188"/>
      <c r="BE881" s="236"/>
    </row>
    <row r="882" spans="45:57" x14ac:dyDescent="0.3">
      <c r="AV882" s="123"/>
      <c r="AW882" s="123"/>
      <c r="AX882" s="188"/>
      <c r="AY882" s="188"/>
      <c r="AZ882" s="188"/>
      <c r="BA882" s="236"/>
      <c r="BB882" s="188"/>
      <c r="BC882" s="188"/>
      <c r="BD882" s="188"/>
      <c r="BE882" s="236"/>
    </row>
    <row r="883" spans="45:57" x14ac:dyDescent="0.3">
      <c r="AV883" s="123"/>
      <c r="AW883" s="123"/>
      <c r="AX883" s="188"/>
      <c r="AY883" s="188"/>
      <c r="AZ883" s="188"/>
      <c r="BA883" s="236"/>
      <c r="BB883" s="188"/>
      <c r="BC883" s="188"/>
      <c r="BD883" s="188"/>
      <c r="BE883" s="236"/>
    </row>
    <row r="884" spans="45:57" x14ac:dyDescent="0.3">
      <c r="AV884" s="123"/>
      <c r="AW884" s="123"/>
      <c r="AX884" s="188"/>
      <c r="AY884" s="188"/>
      <c r="AZ884" s="188"/>
      <c r="BA884" s="236"/>
      <c r="BB884" s="188"/>
      <c r="BC884" s="188"/>
      <c r="BD884" s="188"/>
      <c r="BE884" s="236"/>
    </row>
    <row r="885" spans="45:57" x14ac:dyDescent="0.3">
      <c r="AV885" s="123"/>
      <c r="AW885" s="123"/>
      <c r="AX885" s="188"/>
      <c r="AY885" s="188"/>
      <c r="AZ885" s="188"/>
      <c r="BA885" s="236"/>
      <c r="BB885" s="188"/>
      <c r="BC885" s="188"/>
      <c r="BD885" s="188"/>
      <c r="BE885" s="236"/>
    </row>
    <row r="886" spans="45:57" x14ac:dyDescent="0.3">
      <c r="AV886" s="123"/>
      <c r="AW886" s="123"/>
      <c r="AX886" s="188"/>
      <c r="AY886" s="188"/>
      <c r="AZ886" s="188"/>
      <c r="BA886" s="236"/>
      <c r="BB886" s="188"/>
      <c r="BC886" s="188"/>
      <c r="BD886" s="188"/>
      <c r="BE886" s="236"/>
    </row>
    <row r="887" spans="45:57" x14ac:dyDescent="0.3">
      <c r="AV887" s="123"/>
      <c r="AW887" s="123"/>
      <c r="AX887" s="188"/>
      <c r="AY887" s="188"/>
      <c r="AZ887" s="188"/>
      <c r="BA887" s="236"/>
      <c r="BB887" s="188"/>
      <c r="BC887" s="188"/>
      <c r="BD887" s="188"/>
      <c r="BE887" s="236"/>
    </row>
    <row r="889" spans="45:57" x14ac:dyDescent="0.3">
      <c r="AU889" s="42"/>
    </row>
    <row r="890" spans="45:57" x14ac:dyDescent="0.3">
      <c r="AU890" s="42"/>
    </row>
    <row r="891" spans="45:57" x14ac:dyDescent="0.3">
      <c r="AU891" s="42"/>
    </row>
    <row r="892" spans="45:57" x14ac:dyDescent="0.3">
      <c r="AS892" s="42"/>
    </row>
    <row r="913" spans="52:71" x14ac:dyDescent="0.3">
      <c r="AZ913" s="188"/>
      <c r="BB913" s="188"/>
      <c r="BC913" s="188"/>
      <c r="BD913" s="188"/>
      <c r="BG913" s="188"/>
      <c r="BH913" s="188"/>
      <c r="BI913" s="188"/>
      <c r="BJ913" s="188"/>
      <c r="BK913" s="188"/>
      <c r="BL913" s="188"/>
      <c r="BM913" s="188"/>
      <c r="BN913" s="188"/>
      <c r="BO913" s="188"/>
      <c r="BP913" s="188"/>
      <c r="BQ913" s="188"/>
      <c r="BR913" s="188"/>
      <c r="BS913" s="188"/>
    </row>
    <row r="914" spans="52:71" x14ac:dyDescent="0.3">
      <c r="AZ914" s="188"/>
      <c r="BB914" s="188"/>
      <c r="BC914" s="188"/>
      <c r="BD914" s="188"/>
      <c r="BG914" s="188"/>
      <c r="BH914" s="188"/>
      <c r="BI914" s="188"/>
      <c r="BJ914" s="188"/>
      <c r="BK914" s="188"/>
      <c r="BL914" s="188"/>
      <c r="BM914" s="188"/>
      <c r="BN914" s="188"/>
      <c r="BO914" s="188"/>
      <c r="BP914" s="188"/>
      <c r="BQ914" s="188"/>
      <c r="BR914" s="188"/>
      <c r="BS914" s="188"/>
    </row>
    <row r="915" spans="52:71" x14ac:dyDescent="0.3">
      <c r="AZ915" s="188"/>
      <c r="BB915" s="188"/>
      <c r="BC915" s="188"/>
      <c r="BD915" s="188"/>
      <c r="BG915" s="188"/>
      <c r="BH915" s="188"/>
      <c r="BI915" s="188"/>
      <c r="BJ915" s="188"/>
      <c r="BK915" s="188"/>
      <c r="BL915" s="188"/>
      <c r="BM915" s="188"/>
      <c r="BN915" s="188"/>
      <c r="BO915" s="188"/>
      <c r="BP915" s="188"/>
      <c r="BQ915" s="188"/>
      <c r="BR915" s="188"/>
      <c r="BS915" s="188"/>
    </row>
    <row r="916" spans="52:71" x14ac:dyDescent="0.3">
      <c r="AZ916" s="188"/>
      <c r="BB916" s="188"/>
      <c r="BC916" s="188"/>
      <c r="BD916" s="188"/>
      <c r="BG916" s="188"/>
      <c r="BH916" s="188"/>
      <c r="BI916" s="188"/>
      <c r="BJ916" s="188"/>
      <c r="BK916" s="188"/>
      <c r="BL916" s="188"/>
      <c r="BM916" s="188"/>
      <c r="BN916" s="188"/>
      <c r="BO916" s="188"/>
      <c r="BP916" s="188"/>
      <c r="BQ916" s="188"/>
      <c r="BR916" s="188"/>
      <c r="BS916" s="188"/>
    </row>
    <row r="917" spans="52:71" x14ac:dyDescent="0.3">
      <c r="AZ917" s="188"/>
      <c r="BB917" s="188"/>
      <c r="BC917" s="188"/>
      <c r="BD917" s="188"/>
      <c r="BG917" s="188"/>
      <c r="BH917" s="188"/>
      <c r="BI917" s="188"/>
      <c r="BJ917" s="188"/>
      <c r="BK917" s="188"/>
      <c r="BL917" s="188"/>
      <c r="BM917" s="188"/>
      <c r="BN917" s="188"/>
      <c r="BO917" s="188"/>
      <c r="BP917" s="188"/>
      <c r="BQ917" s="188"/>
      <c r="BR917" s="188"/>
      <c r="BS917" s="188"/>
    </row>
    <row r="918" spans="52:71" x14ac:dyDescent="0.3">
      <c r="AZ918" s="188"/>
      <c r="BB918" s="188"/>
      <c r="BC918" s="188"/>
      <c r="BD918" s="188"/>
      <c r="BG918" s="188"/>
      <c r="BH918" s="188"/>
      <c r="BI918" s="188"/>
      <c r="BJ918" s="188"/>
      <c r="BK918" s="188"/>
      <c r="BL918" s="188"/>
      <c r="BM918" s="188"/>
      <c r="BN918" s="188"/>
      <c r="BO918" s="188"/>
      <c r="BP918" s="188"/>
      <c r="BQ918" s="188"/>
      <c r="BR918" s="188"/>
      <c r="BS918" s="188"/>
    </row>
    <row r="919" spans="52:71" x14ac:dyDescent="0.3">
      <c r="AZ919" s="188"/>
      <c r="BB919" s="188"/>
      <c r="BC919" s="188"/>
      <c r="BD919" s="188"/>
      <c r="BG919" s="188"/>
      <c r="BH919" s="188"/>
      <c r="BI919" s="188"/>
      <c r="BJ919" s="188"/>
      <c r="BK919" s="188"/>
      <c r="BL919" s="188"/>
      <c r="BM919" s="188"/>
      <c r="BN919" s="188"/>
      <c r="BO919" s="188"/>
      <c r="BP919" s="188"/>
      <c r="BQ919" s="188"/>
      <c r="BR919" s="188"/>
      <c r="BS919" s="188"/>
    </row>
    <row r="920" spans="52:71" x14ac:dyDescent="0.3">
      <c r="AZ920" s="188"/>
      <c r="BB920" s="188"/>
      <c r="BC920" s="188"/>
      <c r="BD920" s="188"/>
      <c r="BG920" s="188"/>
      <c r="BH920" s="188"/>
      <c r="BI920" s="188"/>
      <c r="BJ920" s="188"/>
      <c r="BK920" s="188"/>
      <c r="BL920" s="188"/>
      <c r="BM920" s="188"/>
      <c r="BN920" s="188"/>
      <c r="BO920" s="188"/>
      <c r="BP920" s="188"/>
      <c r="BQ920" s="188"/>
      <c r="BR920" s="188"/>
      <c r="BS920" s="188"/>
    </row>
    <row r="921" spans="52:71" x14ac:dyDescent="0.3">
      <c r="AZ921" s="188"/>
      <c r="BB921" s="188"/>
      <c r="BC921" s="188"/>
      <c r="BD921" s="188"/>
      <c r="BG921" s="188"/>
      <c r="BH921" s="188"/>
      <c r="BI921" s="188"/>
      <c r="BJ921" s="188"/>
      <c r="BK921" s="188"/>
      <c r="BL921" s="188"/>
      <c r="BM921" s="188"/>
      <c r="BN921" s="188"/>
      <c r="BO921" s="188"/>
      <c r="BP921" s="188"/>
      <c r="BQ921" s="188"/>
      <c r="BR921" s="188"/>
      <c r="BS921" s="188"/>
    </row>
    <row r="922" spans="52:71" x14ac:dyDescent="0.3">
      <c r="AZ922" s="188"/>
      <c r="BB922" s="188"/>
      <c r="BC922" s="188"/>
      <c r="BD922" s="188"/>
      <c r="BG922" s="188"/>
      <c r="BH922" s="188"/>
      <c r="BI922" s="188"/>
      <c r="BJ922" s="188"/>
      <c r="BK922" s="188"/>
      <c r="BL922" s="188"/>
      <c r="BM922" s="188"/>
      <c r="BN922" s="188"/>
      <c r="BO922" s="188"/>
      <c r="BP922" s="188"/>
      <c r="BQ922" s="188"/>
      <c r="BR922" s="188"/>
      <c r="BS922" s="188"/>
    </row>
    <row r="923" spans="52:71" x14ac:dyDescent="0.3">
      <c r="AZ923" s="188"/>
      <c r="BB923" s="188"/>
      <c r="BC923" s="188"/>
      <c r="BD923" s="188"/>
      <c r="BG923" s="188"/>
      <c r="BH923" s="188"/>
      <c r="BI923" s="188"/>
      <c r="BJ923" s="188"/>
      <c r="BK923" s="188"/>
      <c r="BL923" s="188"/>
      <c r="BM923" s="188"/>
      <c r="BN923" s="188"/>
      <c r="BO923" s="188"/>
      <c r="BP923" s="188"/>
      <c r="BQ923" s="188"/>
      <c r="BR923" s="188"/>
      <c r="BS923" s="188"/>
    </row>
    <row r="924" spans="52:71" x14ac:dyDescent="0.3">
      <c r="AZ924" s="188"/>
      <c r="BB924" s="188"/>
      <c r="BC924" s="188"/>
      <c r="BD924" s="188"/>
      <c r="BG924" s="188"/>
      <c r="BH924" s="188"/>
      <c r="BI924" s="188"/>
      <c r="BJ924" s="188"/>
      <c r="BK924" s="188"/>
      <c r="BL924" s="188"/>
      <c r="BM924" s="188"/>
      <c r="BN924" s="188"/>
      <c r="BO924" s="188"/>
      <c r="BP924" s="188"/>
      <c r="BQ924" s="188"/>
      <c r="BR924" s="188"/>
      <c r="BS924" s="188"/>
    </row>
    <row r="925" spans="52:71" x14ac:dyDescent="0.3">
      <c r="AZ925" s="188"/>
      <c r="BG925" s="188"/>
      <c r="BH925" s="188"/>
      <c r="BI925" s="188"/>
      <c r="BJ925" s="188"/>
      <c r="BK925" s="188"/>
      <c r="BL925" s="188"/>
      <c r="BM925" s="188"/>
      <c r="BN925" s="188"/>
      <c r="BO925" s="188"/>
      <c r="BP925" s="188"/>
      <c r="BQ925" s="188"/>
      <c r="BR925" s="188"/>
      <c r="BS925" s="188"/>
    </row>
    <row r="926" spans="52:71" x14ac:dyDescent="0.3">
      <c r="AZ926" s="188"/>
      <c r="BG926" s="188"/>
      <c r="BH926" s="188"/>
      <c r="BI926" s="188"/>
      <c r="BJ926" s="188"/>
      <c r="BK926" s="188"/>
      <c r="BL926" s="188"/>
      <c r="BM926" s="188"/>
      <c r="BN926" s="188"/>
      <c r="BO926" s="188"/>
      <c r="BP926" s="188"/>
      <c r="BQ926" s="188"/>
      <c r="BR926" s="188"/>
      <c r="BS926" s="188"/>
    </row>
    <row r="927" spans="52:71" x14ac:dyDescent="0.3">
      <c r="AZ927" s="188"/>
      <c r="BG927" s="188"/>
      <c r="BH927" s="188"/>
      <c r="BI927" s="188"/>
      <c r="BJ927" s="188"/>
      <c r="BK927" s="188"/>
      <c r="BL927" s="188"/>
      <c r="BM927" s="188"/>
      <c r="BN927" s="188"/>
      <c r="BO927" s="188"/>
      <c r="BP927" s="188"/>
      <c r="BQ927" s="188"/>
      <c r="BR927" s="188"/>
      <c r="BS927" s="188"/>
    </row>
    <row r="928" spans="52:71" x14ac:dyDescent="0.3">
      <c r="AZ928" s="188"/>
      <c r="BG928" s="188"/>
      <c r="BH928" s="188"/>
      <c r="BI928" s="188"/>
      <c r="BJ928" s="188"/>
      <c r="BK928" s="188"/>
      <c r="BL928" s="188"/>
      <c r="BM928" s="188"/>
      <c r="BN928" s="188"/>
      <c r="BO928" s="188"/>
      <c r="BP928" s="188"/>
      <c r="BQ928" s="188"/>
      <c r="BR928" s="188"/>
      <c r="BS928" s="188"/>
    </row>
    <row r="929" spans="52:71" x14ac:dyDescent="0.3">
      <c r="AZ929" s="188"/>
      <c r="BG929" s="188"/>
      <c r="BH929" s="188"/>
      <c r="BI929" s="188"/>
      <c r="BJ929" s="188"/>
      <c r="BK929" s="188"/>
      <c r="BL929" s="188"/>
      <c r="BM929" s="188"/>
      <c r="BN929" s="188"/>
      <c r="BO929" s="188"/>
      <c r="BP929" s="188"/>
      <c r="BQ929" s="188"/>
      <c r="BR929" s="188"/>
      <c r="BS929" s="188"/>
    </row>
    <row r="930" spans="52:71" x14ac:dyDescent="0.3">
      <c r="AZ930" s="188"/>
      <c r="BG930" s="188"/>
      <c r="BH930" s="188"/>
      <c r="BI930" s="188"/>
      <c r="BJ930" s="188"/>
      <c r="BK930" s="188"/>
      <c r="BL930" s="188"/>
      <c r="BM930" s="188"/>
      <c r="BN930" s="188"/>
      <c r="BO930" s="188"/>
      <c r="BP930" s="188"/>
      <c r="BQ930" s="188"/>
      <c r="BR930" s="188"/>
      <c r="BS930" s="188"/>
    </row>
    <row r="931" spans="52:71" x14ac:dyDescent="0.3">
      <c r="AZ931" s="188"/>
      <c r="BG931" s="188"/>
      <c r="BH931" s="188"/>
      <c r="BI931" s="188"/>
      <c r="BJ931" s="188"/>
      <c r="BK931" s="188"/>
      <c r="BL931" s="188"/>
      <c r="BM931" s="188"/>
      <c r="BN931" s="188"/>
      <c r="BO931" s="188"/>
      <c r="BP931" s="188"/>
      <c r="BQ931" s="188"/>
      <c r="BR931" s="188"/>
      <c r="BS931" s="188"/>
    </row>
    <row r="932" spans="52:71" x14ac:dyDescent="0.3">
      <c r="AZ932" s="188"/>
    </row>
    <row r="933" spans="52:71" x14ac:dyDescent="0.3">
      <c r="AZ933" s="188"/>
    </row>
    <row r="947" spans="1:28" x14ac:dyDescent="0.3">
      <c r="A947" s="42"/>
    </row>
    <row r="950" spans="1:28" x14ac:dyDescent="0.3">
      <c r="Y950" s="42"/>
    </row>
    <row r="951" spans="1:28" x14ac:dyDescent="0.3">
      <c r="A951" s="42"/>
      <c r="H951" s="42"/>
      <c r="I951" s="42"/>
    </row>
    <row r="952" spans="1:28" x14ac:dyDescent="0.3">
      <c r="A952" s="42"/>
      <c r="V952" s="44"/>
      <c r="AA952" s="44"/>
      <c r="AB952" s="44"/>
    </row>
    <row r="953" spans="1:28" x14ac:dyDescent="0.3">
      <c r="A953" s="42"/>
      <c r="V953" s="135"/>
      <c r="AA953" s="135"/>
      <c r="AB953" s="135"/>
    </row>
    <row r="954" spans="1:28" x14ac:dyDescent="0.3">
      <c r="A954" s="42"/>
      <c r="U954" s="42"/>
      <c r="AA954" s="44"/>
      <c r="AB954" s="44"/>
    </row>
    <row r="955" spans="1:28" x14ac:dyDescent="0.3">
      <c r="A955" s="42"/>
    </row>
    <row r="956" spans="1:28" x14ac:dyDescent="0.3">
      <c r="A956" s="42"/>
      <c r="U956" s="42"/>
      <c r="AA956" s="44"/>
      <c r="AB956" s="44"/>
    </row>
    <row r="957" spans="1:28" x14ac:dyDescent="0.3">
      <c r="A957" s="42"/>
    </row>
    <row r="958" spans="1:28" x14ac:dyDescent="0.3">
      <c r="A958" s="42"/>
      <c r="U958" s="42"/>
      <c r="V958" s="247"/>
      <c r="AA958" s="44"/>
      <c r="AB958" s="44"/>
    </row>
    <row r="959" spans="1:28" x14ac:dyDescent="0.3">
      <c r="A959" s="42"/>
    </row>
    <row r="960" spans="1:28" x14ac:dyDescent="0.3">
      <c r="A960" s="42"/>
      <c r="U960" s="42"/>
      <c r="AA960" s="44"/>
      <c r="AB960" s="44"/>
    </row>
    <row r="961" spans="1:28" x14ac:dyDescent="0.3">
      <c r="A961" s="42"/>
    </row>
    <row r="962" spans="1:28" x14ac:dyDescent="0.3">
      <c r="A962" s="42"/>
      <c r="U962" s="42"/>
      <c r="AA962" s="44"/>
      <c r="AB962" s="44"/>
    </row>
    <row r="963" spans="1:28" x14ac:dyDescent="0.3">
      <c r="A963" s="42"/>
    </row>
    <row r="964" spans="1:28" x14ac:dyDescent="0.3">
      <c r="A964" s="42"/>
    </row>
    <row r="965" spans="1:28" x14ac:dyDescent="0.3">
      <c r="A965" s="42"/>
    </row>
    <row r="966" spans="1:28" x14ac:dyDescent="0.3">
      <c r="A966" s="42"/>
    </row>
    <row r="967" spans="1:28" x14ac:dyDescent="0.3">
      <c r="A967" s="42"/>
    </row>
    <row r="968" spans="1:28" x14ac:dyDescent="0.3">
      <c r="A968" s="42"/>
    </row>
    <row r="969" spans="1:28" x14ac:dyDescent="0.3">
      <c r="A969" s="42"/>
    </row>
    <row r="970" spans="1:28" x14ac:dyDescent="0.3">
      <c r="A970" s="42"/>
    </row>
    <row r="971" spans="1:28" x14ac:dyDescent="0.3">
      <c r="A971" s="42"/>
    </row>
    <row r="972" spans="1:28" x14ac:dyDescent="0.3">
      <c r="A972" s="42"/>
    </row>
    <row r="973" spans="1:28" x14ac:dyDescent="0.3">
      <c r="A973" s="42"/>
      <c r="H973" s="42"/>
      <c r="I973" s="42"/>
    </row>
    <row r="976" spans="1:28" x14ac:dyDescent="0.3">
      <c r="A976" s="42"/>
    </row>
    <row r="979" spans="1:1" x14ac:dyDescent="0.3">
      <c r="A979" s="42"/>
    </row>
    <row r="982" spans="1:1" x14ac:dyDescent="0.3">
      <c r="A982" s="42"/>
    </row>
    <row r="983" spans="1:1" x14ac:dyDescent="0.3">
      <c r="A983" s="42"/>
    </row>
    <row r="984" spans="1:1" x14ac:dyDescent="0.3">
      <c r="A984" s="42"/>
    </row>
    <row r="985" spans="1:1" x14ac:dyDescent="0.3">
      <c r="A985" s="42"/>
    </row>
    <row r="986" spans="1:1" x14ac:dyDescent="0.3">
      <c r="A986" s="42"/>
    </row>
    <row r="987" spans="1:1" x14ac:dyDescent="0.3">
      <c r="A987" s="42"/>
    </row>
    <row r="988" spans="1:1" x14ac:dyDescent="0.3">
      <c r="A988" s="42"/>
    </row>
    <row r="989" spans="1:1" x14ac:dyDescent="0.3">
      <c r="A989" s="42"/>
    </row>
    <row r="990" spans="1:1" x14ac:dyDescent="0.3">
      <c r="A990" s="42"/>
    </row>
    <row r="991" spans="1:1" x14ac:dyDescent="0.3">
      <c r="A991" s="42"/>
    </row>
    <row r="992" spans="1:1" x14ac:dyDescent="0.3">
      <c r="A992" s="42"/>
    </row>
    <row r="993" spans="1:1" x14ac:dyDescent="0.3">
      <c r="A993" s="42"/>
    </row>
    <row r="994" spans="1:1" x14ac:dyDescent="0.3">
      <c r="A994" s="42"/>
    </row>
    <row r="995" spans="1:1" x14ac:dyDescent="0.3">
      <c r="A995" s="42"/>
    </row>
    <row r="996" spans="1:1" x14ac:dyDescent="0.3">
      <c r="A996" s="42"/>
    </row>
    <row r="997" spans="1:1" x14ac:dyDescent="0.3">
      <c r="A997" s="42"/>
    </row>
    <row r="998" spans="1:1" x14ac:dyDescent="0.3">
      <c r="A998" s="42"/>
    </row>
    <row r="999" spans="1:1" x14ac:dyDescent="0.3">
      <c r="A999" s="42"/>
    </row>
    <row r="1000" spans="1:1" x14ac:dyDescent="0.3">
      <c r="A1000" s="42"/>
    </row>
    <row r="1001" spans="1:1" x14ac:dyDescent="0.3">
      <c r="A1001" s="42"/>
    </row>
    <row r="1002" spans="1:1" x14ac:dyDescent="0.3">
      <c r="A1002" s="42"/>
    </row>
    <row r="1003" spans="1:1" x14ac:dyDescent="0.3">
      <c r="A1003" s="42"/>
    </row>
    <row r="1004" spans="1:1" x14ac:dyDescent="0.3">
      <c r="A1004" s="42"/>
    </row>
    <row r="1005" spans="1:1" x14ac:dyDescent="0.3">
      <c r="A1005" s="42"/>
    </row>
    <row r="1006" spans="1:1" x14ac:dyDescent="0.3">
      <c r="A1006" s="42"/>
    </row>
    <row r="1007" spans="1:1" x14ac:dyDescent="0.3">
      <c r="A1007" s="42"/>
    </row>
    <row r="1008" spans="1:1" x14ac:dyDescent="0.3">
      <c r="A1008" s="42"/>
    </row>
    <row r="1009" spans="1:1" x14ac:dyDescent="0.3">
      <c r="A1009" s="42"/>
    </row>
    <row r="1010" spans="1:1" x14ac:dyDescent="0.3">
      <c r="A1010" s="42"/>
    </row>
    <row r="1011" spans="1:1" x14ac:dyDescent="0.3">
      <c r="A1011" s="42"/>
    </row>
    <row r="1012" spans="1:1" x14ac:dyDescent="0.3">
      <c r="A1012" s="42"/>
    </row>
    <row r="1013" spans="1:1" x14ac:dyDescent="0.3">
      <c r="A1013" s="42"/>
    </row>
    <row r="1014" spans="1:1" x14ac:dyDescent="0.3">
      <c r="A1014" s="42"/>
    </row>
    <row r="1015" spans="1:1" x14ac:dyDescent="0.3">
      <c r="A1015" s="42"/>
    </row>
    <row r="1016" spans="1:1" x14ac:dyDescent="0.3">
      <c r="A1016" s="42"/>
    </row>
    <row r="1021" spans="1:1" x14ac:dyDescent="0.3">
      <c r="A1021" s="42"/>
    </row>
    <row r="1022" spans="1:1" x14ac:dyDescent="0.3">
      <c r="A1022" s="42"/>
    </row>
    <row r="1025" spans="1:1" x14ac:dyDescent="0.3">
      <c r="A1025" s="42"/>
    </row>
    <row r="1027" spans="1:1" x14ac:dyDescent="0.3">
      <c r="A1027" s="42"/>
    </row>
    <row r="1029" spans="1:1" x14ac:dyDescent="0.3">
      <c r="A1029" s="42"/>
    </row>
    <row r="1031" spans="1:1" x14ac:dyDescent="0.3">
      <c r="A1031" s="42"/>
    </row>
    <row r="1034" spans="1:1" x14ac:dyDescent="0.3">
      <c r="A1034" s="42"/>
    </row>
    <row r="1035" spans="1:1" x14ac:dyDescent="0.3">
      <c r="A1035" s="42"/>
    </row>
    <row r="1036" spans="1:1" x14ac:dyDescent="0.3">
      <c r="A1036" s="42"/>
    </row>
    <row r="1037" spans="1:1" x14ac:dyDescent="0.3">
      <c r="A1037" s="42"/>
    </row>
    <row r="1038" spans="1:1" x14ac:dyDescent="0.3">
      <c r="A1038" s="42"/>
    </row>
    <row r="1039" spans="1:1" x14ac:dyDescent="0.3">
      <c r="A1039" s="42"/>
    </row>
    <row r="1040" spans="1:1" x14ac:dyDescent="0.3">
      <c r="A1040" s="42"/>
    </row>
    <row r="1041" spans="1:1" x14ac:dyDescent="0.3">
      <c r="A1041" s="42"/>
    </row>
  </sheetData>
  <customSheetViews>
    <customSheetView guid="{195DF303-1BBD-4236-94B5-47432850B006}" scale="75" fitToPage="1" showRuler="0"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1"/>
      <headerFooter alignWithMargins="0"/>
    </customSheetView>
    <customSheetView guid="{0C49E549-011E-46F4-A82E-2CC8951A9C1E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2"/>
      <headerFooter alignWithMargins="0"/>
    </customSheetView>
    <customSheetView guid="{4BC93440-BA85-4935-A8C9-66DC6AE5DE5E}" scale="75" fitToPage="1" showRuler="0" topLeftCell="N100">
      <selection activeCell="AC117" sqref="AC11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3"/>
      <headerFooter alignWithMargins="0"/>
    </customSheetView>
    <customSheetView guid="{2431C9E5-7CC2-4B8D-99C3-962247B1DBF5}" scale="75" fitToPage="1" showRuler="0" topLeftCell="N100">
      <selection activeCell="AC117" sqref="AC11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4"/>
      <headerFooter alignWithMargins="0"/>
    </customSheetView>
    <customSheetView guid="{2EA35095-1ADC-4CC7-8C3C-B487D65FA247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5"/>
      <headerFooter alignWithMargins="0"/>
    </customSheetView>
    <customSheetView guid="{8FC77C99-DBF7-40B8-99B8-01B75826CDCB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8"/>
      <headerFooter alignWithMargins="0"/>
    </customSheetView>
    <customSheetView guid="{0BC1F393-8A13-47D5-BC6C-0C99615B5AB9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9"/>
      <headerFooter alignWithMargins="0"/>
    </customSheetView>
    <customSheetView guid="{18BDED73-BFA0-442E-87EC-CED86EE4CF94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10"/>
      <headerFooter alignWithMargins="0"/>
    </customSheetView>
    <customSheetView guid="{35F19056-2E6F-4935-B863-78836FE990BF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3" orientation="landscape" r:id="rId11"/>
      <headerFooter alignWithMargins="0"/>
    </customSheetView>
    <customSheetView guid="{F562D92E-120C-4AE9-9663-89E64D41DC53}" scale="75" fitToPage="1" topLeftCell="A41">
      <selection activeCell="P67" sqref="P6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3" orientation="landscape" r:id="rId12"/>
      <headerFooter alignWithMargins="0"/>
    </customSheetView>
  </customSheetViews>
  <phoneticPr fontId="11" type="noConversion"/>
  <pageMargins left="0.5" right="0.5" top="1" bottom="0" header="0" footer="0"/>
  <pageSetup scale="41" orientation="landscape" r:id="rId13"/>
  <headerFooter alignWithMargins="0"/>
  <rowBreaks count="16" manualBreakCount="16">
    <brk id="132" min="19" max="42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syncVertical="1" syncRef="A1" transitionEvaluation="1" transitionEntry="1" codeName="Sheet14">
    <pageSetUpPr fitToPage="1"/>
  </sheetPr>
  <dimension ref="A1:BW1079"/>
  <sheetViews>
    <sheetView zoomScale="75" workbookViewId="0"/>
  </sheetViews>
  <sheetFormatPr defaultColWidth="9.75" defaultRowHeight="15.6" x14ac:dyDescent="0.3"/>
  <cols>
    <col min="1" max="1" width="5.25" style="41" customWidth="1"/>
    <col min="2" max="2" width="0.4140625" style="41" customWidth="1"/>
    <col min="3" max="3" width="6.75" style="41" customWidth="1"/>
    <col min="4" max="4" width="37.75" style="41" customWidth="1"/>
    <col min="5" max="5" width="0.7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1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8.25" style="41" customWidth="1"/>
    <col min="19" max="19" width="6.75" style="41" customWidth="1"/>
    <col min="20" max="20" width="5.4140625" style="41" customWidth="1"/>
    <col min="21" max="21" width="0.58203125" style="41" customWidth="1"/>
    <col min="22" max="22" width="4.58203125" style="41" customWidth="1"/>
    <col min="23" max="23" width="38.58203125" style="41" customWidth="1"/>
    <col min="24" max="24" width="0.9140625" style="41" customWidth="1"/>
    <col min="25" max="25" width="9.6640625" style="41" customWidth="1"/>
    <col min="26" max="26" width="0.6640625" style="41" customWidth="1"/>
    <col min="27" max="27" width="13.33203125" style="41" customWidth="1"/>
    <col min="28" max="28" width="0.6640625" style="41" customWidth="1"/>
    <col min="29" max="29" width="12.33203125" style="41" customWidth="1"/>
    <col min="30" max="30" width="0.9140625" style="41" customWidth="1"/>
    <col min="31" max="31" width="12.9140625" style="41" customWidth="1"/>
    <col min="32" max="32" width="0.75" style="41" customWidth="1"/>
    <col min="33" max="33" width="13.6640625" style="165" customWidth="1"/>
    <col min="34" max="34" width="0.6640625" style="41" customWidth="1"/>
    <col min="35" max="35" width="14.33203125" style="41" customWidth="1"/>
    <col min="36" max="36" width="0.75" style="41" customWidth="1"/>
    <col min="37" max="37" width="14.58203125" style="165" customWidth="1"/>
    <col min="38" max="38" width="0.582031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165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Y1" s="42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Y2" s="42"/>
    </row>
    <row r="3" spans="1:40" x14ac:dyDescent="0.3">
      <c r="A3" s="40" t="str">
        <f>TITLE</f>
        <v>ANNUALIZED TEST YEAR REVENUES AT REHEARING ORDER CALCULATED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V3" s="210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V4" s="210"/>
      <c r="AA4" s="42"/>
      <c r="AB4" s="42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V5" s="238"/>
      <c r="AK5" s="206"/>
      <c r="AL5" s="42"/>
    </row>
    <row r="6" spans="1:40" x14ac:dyDescent="0.3">
      <c r="A6" s="41" t="str">
        <f>DATA_PERIOD</f>
        <v>DATA: ____ BASE PERIOD   __X__FORECASTED PERIOD</v>
      </c>
      <c r="R6" s="42" t="s">
        <v>157</v>
      </c>
      <c r="V6" s="238"/>
      <c r="AK6" s="206"/>
      <c r="AL6" s="42"/>
    </row>
    <row r="7" spans="1:40" x14ac:dyDescent="0.3">
      <c r="A7" s="41" t="str">
        <f>TYPE</f>
        <v>TYPE OF FILING: _X_ ORIGINAL   ___UPDATED  ___ REVISED</v>
      </c>
      <c r="R7" s="45" t="str">
        <f>"PAGE 19 OF "&amp;TEXT(Page_Num_2.3,"00")</f>
        <v>PAGE 19 OF 24</v>
      </c>
      <c r="V7" s="238"/>
      <c r="AK7" s="206"/>
      <c r="AL7" s="42"/>
    </row>
    <row r="8" spans="1:40" x14ac:dyDescent="0.3">
      <c r="A8" s="42" t="s">
        <v>171</v>
      </c>
      <c r="R8" s="42" t="s">
        <v>3</v>
      </c>
      <c r="V8" s="238"/>
      <c r="W8" s="40"/>
      <c r="AK8" s="206"/>
      <c r="AL8" s="42"/>
    </row>
    <row r="9" spans="1:40" x14ac:dyDescent="0.3">
      <c r="A9" s="153" t="str">
        <f>TIME</f>
        <v>12 Months Projected with Riders</v>
      </c>
      <c r="M9" s="42"/>
      <c r="R9" s="41" t="str">
        <f>WIT</f>
        <v>B. L. Sailers</v>
      </c>
      <c r="V9" s="238"/>
      <c r="W9" s="42"/>
      <c r="AA9" s="42"/>
      <c r="AB9" s="42"/>
    </row>
    <row r="10" spans="1:40" x14ac:dyDescent="0.3">
      <c r="A10" s="40" t="s">
        <v>130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T10" s="135"/>
      <c r="U10" s="135"/>
      <c r="V10" s="238"/>
      <c r="W10" s="40"/>
      <c r="X10" s="135"/>
      <c r="Y10" s="135"/>
      <c r="Z10" s="135"/>
      <c r="AA10" s="135"/>
      <c r="AB10" s="135"/>
      <c r="AC10" s="135"/>
      <c r="AD10" s="135"/>
      <c r="AE10" s="135"/>
      <c r="AF10" s="135"/>
      <c r="AG10" s="207"/>
      <c r="AH10" s="135"/>
      <c r="AI10" s="135"/>
      <c r="AJ10" s="135"/>
      <c r="AK10" s="207"/>
      <c r="AL10" s="135"/>
      <c r="AM10" s="135"/>
      <c r="AN10" s="135"/>
    </row>
    <row r="11" spans="1:40" x14ac:dyDescent="0.3">
      <c r="A11" s="135"/>
      <c r="B11" s="135"/>
      <c r="C11" s="135"/>
      <c r="D11" s="135"/>
      <c r="E11" s="135"/>
      <c r="G11" s="135"/>
      <c r="H11" s="135"/>
      <c r="I11" s="135"/>
      <c r="J11" s="135"/>
      <c r="K11" s="135"/>
      <c r="L11" s="43"/>
      <c r="M11" s="43"/>
      <c r="N11" s="43"/>
      <c r="O11" s="43"/>
      <c r="P11" s="43"/>
      <c r="Q11" s="43"/>
      <c r="R11" s="43"/>
      <c r="V11" s="238"/>
      <c r="W11" s="42"/>
      <c r="AA11" s="44"/>
      <c r="AB11" s="44"/>
      <c r="AC11" s="44"/>
      <c r="AD11" s="44"/>
      <c r="AE11" s="44"/>
      <c r="AF11" s="44"/>
      <c r="AG11" s="168"/>
      <c r="AH11" s="44"/>
      <c r="AK11" s="168"/>
      <c r="AL11" s="44"/>
      <c r="AM11" s="44"/>
      <c r="AN11" s="44"/>
    </row>
    <row r="12" spans="1:40" ht="18" customHeight="1" x14ac:dyDescent="0.3">
      <c r="A12" s="191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44" t="s">
        <v>6</v>
      </c>
      <c r="M12" s="44"/>
      <c r="N12" s="44" t="s">
        <v>7</v>
      </c>
      <c r="O12" s="44"/>
      <c r="R12" s="44" t="s">
        <v>6</v>
      </c>
      <c r="Z12" s="44"/>
      <c r="AA12" s="44"/>
      <c r="AB12" s="44"/>
      <c r="AC12" s="44"/>
      <c r="AD12" s="44"/>
      <c r="AE12" s="44"/>
      <c r="AF12" s="44"/>
      <c r="AG12" s="168"/>
      <c r="AH12" s="44"/>
      <c r="AK12" s="168"/>
      <c r="AL12" s="44"/>
      <c r="AM12" s="44"/>
      <c r="AN12" s="44"/>
    </row>
    <row r="13" spans="1:40" x14ac:dyDescent="0.3">
      <c r="L13" s="44" t="s">
        <v>12</v>
      </c>
      <c r="M13" s="44"/>
      <c r="N13" s="44" t="s">
        <v>13</v>
      </c>
      <c r="O13" s="44"/>
      <c r="R13" s="44" t="s">
        <v>11</v>
      </c>
      <c r="T13" s="44"/>
      <c r="U13" s="44"/>
      <c r="V13" s="44"/>
      <c r="Z13" s="44"/>
      <c r="AA13" s="44"/>
      <c r="AB13" s="44"/>
      <c r="AC13" s="44"/>
      <c r="AD13" s="44"/>
      <c r="AE13" s="44"/>
      <c r="AF13" s="44"/>
      <c r="AG13" s="168"/>
      <c r="AH13" s="44"/>
      <c r="AI13" s="44"/>
      <c r="AJ13" s="44"/>
      <c r="AK13" s="168"/>
      <c r="AL13" s="44"/>
      <c r="AM13" s="44"/>
      <c r="AN13" s="44"/>
    </row>
    <row r="14" spans="1:40" x14ac:dyDescent="0.3">
      <c r="A14" s="44" t="s">
        <v>17</v>
      </c>
      <c r="C14" s="44" t="s">
        <v>18</v>
      </c>
      <c r="D14" s="44" t="s">
        <v>19</v>
      </c>
      <c r="E14" s="44"/>
      <c r="F14" s="44" t="s">
        <v>20</v>
      </c>
      <c r="J14" s="44" t="s">
        <v>6</v>
      </c>
      <c r="K14" s="44"/>
      <c r="L14" s="44" t="s">
        <v>842</v>
      </c>
      <c r="M14" s="44"/>
      <c r="N14" s="44" t="s">
        <v>842</v>
      </c>
      <c r="O14" s="44"/>
      <c r="P14" s="44" t="s">
        <v>842</v>
      </c>
      <c r="Q14" s="44"/>
      <c r="R14" s="44" t="s">
        <v>9</v>
      </c>
      <c r="T14" s="44"/>
      <c r="U14" s="44"/>
      <c r="V14" s="44"/>
      <c r="Y14" s="44"/>
      <c r="Z14" s="44"/>
      <c r="AA14" s="44"/>
      <c r="AB14" s="44"/>
      <c r="AC14" s="44"/>
      <c r="AD14" s="44"/>
      <c r="AE14" s="44"/>
      <c r="AF14" s="44"/>
      <c r="AG14" s="168"/>
      <c r="AH14" s="44"/>
      <c r="AI14" s="44"/>
      <c r="AJ14" s="44"/>
      <c r="AK14" s="168"/>
      <c r="AL14" s="44"/>
      <c r="AM14" s="44"/>
      <c r="AN14" s="44"/>
    </row>
    <row r="15" spans="1:40" x14ac:dyDescent="0.3">
      <c r="A15" s="44" t="s">
        <v>22</v>
      </c>
      <c r="C15" s="44" t="s">
        <v>23</v>
      </c>
      <c r="D15" s="44" t="s">
        <v>24</v>
      </c>
      <c r="E15" s="44"/>
      <c r="F15" s="44" t="s">
        <v>25</v>
      </c>
      <c r="H15" s="44" t="s">
        <v>26</v>
      </c>
      <c r="I15" s="44"/>
      <c r="J15" s="46" t="s">
        <v>325</v>
      </c>
      <c r="K15" s="44"/>
      <c r="L15" s="44" t="s">
        <v>9</v>
      </c>
      <c r="M15" s="44"/>
      <c r="N15" s="44" t="s">
        <v>9</v>
      </c>
      <c r="O15" s="44"/>
      <c r="P15" s="44" t="s">
        <v>324</v>
      </c>
      <c r="Q15" s="44"/>
      <c r="R15" s="141" t="s">
        <v>28</v>
      </c>
      <c r="T15" s="135"/>
      <c r="U15" s="135"/>
      <c r="V15" s="135"/>
      <c r="W15" s="135"/>
      <c r="X15" s="135"/>
      <c r="Y15" s="44" t="s">
        <v>405</v>
      </c>
      <c r="Z15" s="135"/>
      <c r="AA15" s="135"/>
      <c r="AB15" s="135"/>
      <c r="AC15" s="135"/>
      <c r="AD15" s="135"/>
      <c r="AE15" s="135"/>
      <c r="AF15" s="135"/>
      <c r="AG15" s="207"/>
      <c r="AH15" s="135"/>
      <c r="AI15" s="135"/>
      <c r="AJ15" s="135"/>
      <c r="AK15" s="207"/>
      <c r="AL15" s="135"/>
      <c r="AM15" s="135"/>
      <c r="AN15" s="135"/>
    </row>
    <row r="16" spans="1:40" x14ac:dyDescent="0.3">
      <c r="C16" s="141" t="s">
        <v>33</v>
      </c>
      <c r="D16" s="141" t="s">
        <v>34</v>
      </c>
      <c r="E16" s="141"/>
      <c r="F16" s="141" t="s">
        <v>35</v>
      </c>
      <c r="G16" s="153"/>
      <c r="H16" s="141" t="s">
        <v>36</v>
      </c>
      <c r="I16" s="141"/>
      <c r="J16" s="141" t="s">
        <v>37</v>
      </c>
      <c r="K16" s="141"/>
      <c r="L16" s="141" t="s">
        <v>38</v>
      </c>
      <c r="M16" s="141"/>
      <c r="N16" s="141" t="s">
        <v>39</v>
      </c>
      <c r="O16" s="141"/>
      <c r="P16" s="141" t="s">
        <v>40</v>
      </c>
      <c r="Q16" s="141"/>
      <c r="R16" s="141" t="s">
        <v>41</v>
      </c>
      <c r="Y16" s="44" t="s">
        <v>406</v>
      </c>
      <c r="Z16" s="44"/>
      <c r="AA16" s="44" t="s">
        <v>523</v>
      </c>
      <c r="AB16" s="44"/>
      <c r="AC16" s="44"/>
      <c r="AD16" s="44"/>
      <c r="AE16" s="44"/>
      <c r="AF16" s="44"/>
      <c r="AG16" s="168"/>
      <c r="AH16" s="44"/>
      <c r="AI16" s="44"/>
      <c r="AJ16" s="44"/>
      <c r="AK16" s="168"/>
      <c r="AL16" s="44"/>
      <c r="AM16" s="44"/>
      <c r="AN16" s="44"/>
    </row>
    <row r="17" spans="1:40" ht="17.100000000000001" customHeight="1" x14ac:dyDescent="0.3">
      <c r="A17" s="191"/>
      <c r="B17" s="191"/>
      <c r="C17" s="191"/>
      <c r="D17" s="191"/>
      <c r="E17" s="191"/>
      <c r="F17" s="191"/>
      <c r="G17" s="191"/>
      <c r="H17" s="271" t="s">
        <v>49</v>
      </c>
      <c r="I17" s="271"/>
      <c r="J17" s="270" t="s">
        <v>69</v>
      </c>
      <c r="K17" s="271"/>
      <c r="L17" s="271" t="s">
        <v>50</v>
      </c>
      <c r="M17" s="271"/>
      <c r="N17" s="271" t="s">
        <v>51</v>
      </c>
      <c r="O17" s="271"/>
      <c r="P17" s="271" t="s">
        <v>50</v>
      </c>
      <c r="Q17" s="271"/>
      <c r="R17" s="271" t="s">
        <v>50</v>
      </c>
      <c r="T17" s="42"/>
      <c r="U17" s="42"/>
      <c r="Y17" s="44" t="s">
        <v>407</v>
      </c>
      <c r="AA17" s="41" t="s">
        <v>406</v>
      </c>
    </row>
    <row r="18" spans="1:40" x14ac:dyDescent="0.3">
      <c r="A18" s="41">
        <v>1</v>
      </c>
      <c r="C18" s="153" t="s">
        <v>70</v>
      </c>
      <c r="D18" s="178" t="s">
        <v>78</v>
      </c>
      <c r="F18" s="1"/>
      <c r="G18" s="1"/>
      <c r="H18" s="2"/>
      <c r="I18" s="2"/>
      <c r="J18" s="266"/>
      <c r="K18" s="2"/>
      <c r="L18" s="2"/>
      <c r="M18" s="2"/>
      <c r="N18" s="2"/>
      <c r="O18" s="2"/>
      <c r="P18" s="2"/>
      <c r="Q18" s="2"/>
      <c r="R18" s="2"/>
      <c r="T18" s="42"/>
      <c r="U18" s="42"/>
    </row>
    <row r="19" spans="1:40" x14ac:dyDescent="0.3">
      <c r="A19" s="41">
        <v>2</v>
      </c>
      <c r="C19" s="153"/>
      <c r="D19" s="132" t="s">
        <v>72</v>
      </c>
      <c r="E19" s="42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T19" s="42"/>
    </row>
    <row r="20" spans="1:40" x14ac:dyDescent="0.3">
      <c r="D20" s="42"/>
      <c r="E20" s="4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42"/>
    </row>
    <row r="21" spans="1:40" x14ac:dyDescent="0.3">
      <c r="A21" s="41">
        <v>3</v>
      </c>
      <c r="C21" s="178" t="s">
        <v>230</v>
      </c>
      <c r="F21" s="159"/>
      <c r="G21" s="1"/>
      <c r="H21" s="159"/>
      <c r="I21" s="159"/>
      <c r="J21" s="258"/>
      <c r="K21" s="258"/>
      <c r="L21" s="3"/>
      <c r="M21" s="3"/>
      <c r="N21" s="4"/>
      <c r="O21" s="4"/>
      <c r="P21" s="3"/>
      <c r="Q21" s="3"/>
      <c r="R21" s="3"/>
    </row>
    <row r="22" spans="1:40" x14ac:dyDescent="0.3">
      <c r="A22" s="41">
        <v>4</v>
      </c>
      <c r="C22" s="42" t="s">
        <v>231</v>
      </c>
      <c r="F22" s="123">
        <v>5338</v>
      </c>
      <c r="G22" s="1"/>
      <c r="H22" s="123">
        <f>ROUND(F22*AA22/12,0)</f>
        <v>379443</v>
      </c>
      <c r="I22" s="3"/>
      <c r="J22" s="238">
        <v>13.46</v>
      </c>
      <c r="K22" s="258"/>
      <c r="L22" s="3">
        <f>ROUND(F22*J22,0)</f>
        <v>71849</v>
      </c>
      <c r="M22" s="3"/>
      <c r="N22" s="4">
        <f>ROUND((L22/L$52)*100,1)</f>
        <v>24.5</v>
      </c>
      <c r="O22" s="4"/>
      <c r="P22" s="3">
        <f>ROUND((P$52/H$52)*H22,0)</f>
        <v>1323</v>
      </c>
      <c r="Q22" s="3"/>
      <c r="R22" s="3">
        <f>P22+L22</f>
        <v>73172</v>
      </c>
      <c r="S22" s="188"/>
      <c r="Y22" s="188">
        <f>J22-AY78</f>
        <v>11.06</v>
      </c>
      <c r="AA22" s="41">
        <v>853</v>
      </c>
    </row>
    <row r="23" spans="1:40" x14ac:dyDescent="0.3">
      <c r="A23" s="41">
        <v>5</v>
      </c>
      <c r="C23" s="42" t="s">
        <v>232</v>
      </c>
      <c r="F23" s="123">
        <v>2105</v>
      </c>
      <c r="G23" s="1"/>
      <c r="H23" s="123">
        <f>ROUND(F23*AA23/12,0)</f>
        <v>153314</v>
      </c>
      <c r="I23" s="3"/>
      <c r="J23" s="238">
        <v>13.52</v>
      </c>
      <c r="K23" s="258"/>
      <c r="L23" s="3">
        <f>ROUND(F23*J23,0)</f>
        <v>28460</v>
      </c>
      <c r="M23" s="3"/>
      <c r="N23" s="4">
        <f>ROUND((L23/L$52)*100,1)</f>
        <v>9.6999999999999993</v>
      </c>
      <c r="O23" s="4"/>
      <c r="P23" s="3">
        <f>ROUND((P$52/H$52)*H23,0)</f>
        <v>535</v>
      </c>
      <c r="Q23" s="3"/>
      <c r="R23" s="3">
        <f>P23+L23</f>
        <v>28995</v>
      </c>
      <c r="S23" s="188"/>
      <c r="Y23" s="188">
        <f>J23-AY79</f>
        <v>11.059999999999999</v>
      </c>
      <c r="AA23" s="41">
        <v>874</v>
      </c>
    </row>
    <row r="24" spans="1:40" x14ac:dyDescent="0.3">
      <c r="A24" s="41">
        <v>6</v>
      </c>
      <c r="C24" s="42" t="s">
        <v>233</v>
      </c>
      <c r="F24" s="123">
        <v>432</v>
      </c>
      <c r="G24" s="1"/>
      <c r="H24" s="123">
        <f>ROUND(F24*AA24/12,0)</f>
        <v>31464</v>
      </c>
      <c r="I24" s="3"/>
      <c r="J24" s="238">
        <v>13.52</v>
      </c>
      <c r="K24" s="258"/>
      <c r="L24" s="3">
        <f>ROUND(F24*J24,0)</f>
        <v>5841</v>
      </c>
      <c r="M24" s="3"/>
      <c r="N24" s="4">
        <f>ROUND((L24/L$52)*100,1)</f>
        <v>2</v>
      </c>
      <c r="O24" s="4"/>
      <c r="P24" s="3">
        <f>ROUND((P$52/H$52)*H24,0)</f>
        <v>110</v>
      </c>
      <c r="Q24" s="3"/>
      <c r="R24" s="3">
        <f>P24+L24</f>
        <v>5951</v>
      </c>
      <c r="S24" s="188"/>
      <c r="Y24" s="188">
        <f>J24-AY80</f>
        <v>11.059999999999999</v>
      </c>
      <c r="AA24" s="41">
        <v>874</v>
      </c>
    </row>
    <row r="25" spans="1:40" x14ac:dyDescent="0.3">
      <c r="A25" s="41">
        <v>7</v>
      </c>
      <c r="C25" s="42" t="s">
        <v>234</v>
      </c>
      <c r="F25" s="123">
        <v>120</v>
      </c>
      <c r="G25" s="1"/>
      <c r="H25" s="123">
        <f>ROUND(F25*AA25/12,0)</f>
        <v>8740</v>
      </c>
      <c r="I25" s="3"/>
      <c r="J25" s="238">
        <v>13.52</v>
      </c>
      <c r="K25" s="258"/>
      <c r="L25" s="3">
        <f>ROUND(F25*J25,0)</f>
        <v>1622</v>
      </c>
      <c r="M25" s="3"/>
      <c r="N25" s="4">
        <f>ROUND((L25/L$52)*100,1)</f>
        <v>0.6</v>
      </c>
      <c r="O25" s="4"/>
      <c r="P25" s="3">
        <f>ROUND((P$52/H$52)*H25,0)</f>
        <v>30</v>
      </c>
      <c r="Q25" s="3"/>
      <c r="R25" s="3">
        <f>P25+L25</f>
        <v>1652</v>
      </c>
      <c r="S25" s="188"/>
      <c r="Y25" s="188">
        <f>J25-AY81</f>
        <v>11.059999999999999</v>
      </c>
      <c r="AA25" s="41">
        <v>874</v>
      </c>
    </row>
    <row r="26" spans="1:40" x14ac:dyDescent="0.3">
      <c r="G26" s="1"/>
      <c r="H26" s="1"/>
      <c r="I26" s="1"/>
      <c r="K26" s="1"/>
      <c r="L26" s="1"/>
      <c r="M26" s="1"/>
      <c r="N26" s="1"/>
      <c r="O26" s="1"/>
      <c r="P26" s="1"/>
      <c r="Q26" s="1"/>
      <c r="R26" s="1"/>
      <c r="S26" s="188"/>
    </row>
    <row r="27" spans="1:40" x14ac:dyDescent="0.3">
      <c r="A27" s="41">
        <v>8</v>
      </c>
      <c r="C27" s="132" t="s">
        <v>409</v>
      </c>
      <c r="F27" s="123"/>
      <c r="G27" s="1"/>
      <c r="H27" s="3"/>
      <c r="I27" s="3"/>
      <c r="J27" s="238"/>
      <c r="K27" s="183"/>
      <c r="L27" s="3"/>
      <c r="M27" s="3"/>
      <c r="N27" s="4"/>
      <c r="O27" s="4"/>
      <c r="P27" s="3"/>
      <c r="Q27" s="3"/>
      <c r="R27" s="3"/>
      <c r="S27" s="188"/>
      <c r="V27" s="184"/>
      <c r="Y27" s="184"/>
      <c r="Z27" s="213"/>
      <c r="AA27" s="123"/>
      <c r="AB27" s="123"/>
      <c r="AC27" s="160"/>
      <c r="AD27" s="160"/>
      <c r="AE27" s="123"/>
      <c r="AF27" s="123"/>
      <c r="AI27" s="123"/>
      <c r="AJ27" s="123"/>
      <c r="AL27" s="123"/>
      <c r="AM27" s="160"/>
      <c r="AN27" s="160"/>
    </row>
    <row r="28" spans="1:40" x14ac:dyDescent="0.3">
      <c r="A28" s="41">
        <v>9</v>
      </c>
      <c r="C28" s="42" t="s">
        <v>349</v>
      </c>
      <c r="F28" s="184">
        <v>2320</v>
      </c>
      <c r="G28" s="1"/>
      <c r="H28" s="123">
        <f>ROUND(F28*AA28/12,0)</f>
        <v>164913</v>
      </c>
      <c r="I28" s="3"/>
      <c r="J28" s="238">
        <v>13.46</v>
      </c>
      <c r="K28" s="258"/>
      <c r="L28" s="3">
        <f>ROUND(F28*J28,0)</f>
        <v>31227</v>
      </c>
      <c r="M28" s="3"/>
      <c r="N28" s="4">
        <f>ROUND((L28/L$52)*100,1)</f>
        <v>10.7</v>
      </c>
      <c r="O28" s="4"/>
      <c r="P28" s="3">
        <f>ROUND((P$52/H$52)*H28,0)</f>
        <v>575</v>
      </c>
      <c r="Q28" s="3"/>
      <c r="R28" s="3">
        <f>P28+L28</f>
        <v>31802</v>
      </c>
      <c r="S28" s="188"/>
      <c r="V28" s="184"/>
      <c r="Y28" s="188">
        <f>J28-AY84</f>
        <v>11.06</v>
      </c>
      <c r="Z28" s="213"/>
      <c r="AA28" s="41">
        <v>853</v>
      </c>
      <c r="AB28" s="123"/>
      <c r="AC28" s="160"/>
      <c r="AD28" s="160"/>
      <c r="AE28" s="123"/>
      <c r="AF28" s="123"/>
      <c r="AI28" s="123"/>
      <c r="AJ28" s="123"/>
      <c r="AL28" s="123"/>
      <c r="AM28" s="160"/>
      <c r="AN28" s="160"/>
    </row>
    <row r="29" spans="1:40" x14ac:dyDescent="0.3">
      <c r="A29" s="41">
        <v>10</v>
      </c>
      <c r="C29" s="42" t="s">
        <v>269</v>
      </c>
      <c r="F29" s="184">
        <v>0</v>
      </c>
      <c r="G29" s="1"/>
      <c r="H29" s="123">
        <f>ROUND(F29*AA29/12,0)</f>
        <v>0</v>
      </c>
      <c r="I29" s="3"/>
      <c r="J29" s="238">
        <v>13.52</v>
      </c>
      <c r="K29" s="258"/>
      <c r="L29" s="3">
        <f>ROUND(F29*J29,0)</f>
        <v>0</v>
      </c>
      <c r="M29" s="3"/>
      <c r="N29" s="4">
        <f>ROUND((L29/L$52)*100,1)</f>
        <v>0</v>
      </c>
      <c r="O29" s="4"/>
      <c r="P29" s="3">
        <f>ROUND((P$52/H$52)*H29,0)</f>
        <v>0</v>
      </c>
      <c r="Q29" s="3"/>
      <c r="R29" s="3">
        <f>P29+L29</f>
        <v>0</v>
      </c>
      <c r="S29" s="188"/>
      <c r="V29" s="184"/>
      <c r="Y29" s="188">
        <f>J29-AY85</f>
        <v>11.059999999999999</v>
      </c>
      <c r="Z29" s="213"/>
      <c r="AA29" s="41">
        <v>874</v>
      </c>
      <c r="AB29" s="123"/>
      <c r="AC29" s="160"/>
      <c r="AD29" s="160"/>
      <c r="AE29" s="123"/>
      <c r="AF29" s="123"/>
      <c r="AI29" s="123"/>
      <c r="AJ29" s="123"/>
      <c r="AL29" s="123"/>
      <c r="AM29" s="160"/>
      <c r="AN29" s="160"/>
    </row>
    <row r="30" spans="1:40" x14ac:dyDescent="0.3">
      <c r="A30" s="41">
        <v>11</v>
      </c>
      <c r="C30" s="42" t="s">
        <v>233</v>
      </c>
      <c r="F30" s="184">
        <v>362</v>
      </c>
      <c r="G30" s="1"/>
      <c r="H30" s="123">
        <f>ROUND(F30*AA30/12,0)</f>
        <v>26366</v>
      </c>
      <c r="I30" s="3"/>
      <c r="J30" s="238">
        <v>13.52</v>
      </c>
      <c r="K30" s="258"/>
      <c r="L30" s="3">
        <f>ROUND(F30*J30,0)</f>
        <v>4894</v>
      </c>
      <c r="M30" s="3"/>
      <c r="N30" s="4">
        <f>ROUND((L30/L$52)*100,1)</f>
        <v>1.7</v>
      </c>
      <c r="O30" s="4"/>
      <c r="P30" s="3">
        <f>ROUND((P$52/H$52)*H30,0)</f>
        <v>92</v>
      </c>
      <c r="Q30" s="3"/>
      <c r="R30" s="3">
        <f>P30+L30</f>
        <v>4986</v>
      </c>
      <c r="S30" s="188"/>
      <c r="V30" s="184"/>
      <c r="Y30" s="188">
        <f>J30-AY86</f>
        <v>11.059999999999999</v>
      </c>
      <c r="Z30" s="213"/>
      <c r="AA30" s="41">
        <v>874</v>
      </c>
      <c r="AB30" s="123"/>
      <c r="AC30" s="160"/>
      <c r="AD30" s="160"/>
      <c r="AE30" s="123"/>
      <c r="AF30" s="123"/>
      <c r="AI30" s="123"/>
      <c r="AJ30" s="123"/>
      <c r="AL30" s="123"/>
      <c r="AM30" s="160"/>
      <c r="AN30" s="160"/>
    </row>
    <row r="31" spans="1:40" x14ac:dyDescent="0.3">
      <c r="G31" s="1"/>
      <c r="H31" s="1"/>
      <c r="I31" s="1"/>
      <c r="K31" s="1"/>
      <c r="L31" s="1"/>
      <c r="M31" s="1"/>
      <c r="N31" s="1"/>
      <c r="O31" s="1"/>
      <c r="P31" s="1"/>
      <c r="Q31" s="1"/>
      <c r="R31" s="1"/>
      <c r="S31" s="188"/>
    </row>
    <row r="32" spans="1:40" x14ac:dyDescent="0.3">
      <c r="A32" s="41">
        <v>12</v>
      </c>
      <c r="C32" s="178" t="s">
        <v>235</v>
      </c>
      <c r="D32" s="153"/>
      <c r="G32" s="1"/>
      <c r="H32" s="1"/>
      <c r="I32" s="1"/>
      <c r="J32" s="188"/>
      <c r="K32" s="1"/>
      <c r="L32" s="1"/>
      <c r="M32" s="1"/>
      <c r="N32" s="1"/>
      <c r="O32" s="1"/>
      <c r="P32" s="1"/>
      <c r="Q32" s="1"/>
      <c r="R32" s="1"/>
      <c r="S32" s="188"/>
      <c r="V32" s="210"/>
      <c r="Y32" s="188"/>
      <c r="Z32" s="184"/>
      <c r="AA32" s="123"/>
      <c r="AB32" s="123"/>
      <c r="AC32" s="160"/>
      <c r="AD32" s="160"/>
      <c r="AE32" s="123"/>
      <c r="AF32" s="123"/>
      <c r="AI32" s="123"/>
      <c r="AJ32" s="123"/>
      <c r="AL32" s="123"/>
    </row>
    <row r="33" spans="1:40" x14ac:dyDescent="0.3">
      <c r="A33" s="41">
        <v>13</v>
      </c>
      <c r="C33" s="42" t="s">
        <v>231</v>
      </c>
      <c r="F33" s="184">
        <v>3035</v>
      </c>
      <c r="G33" s="1"/>
      <c r="H33" s="123">
        <f t="shared" ref="H33:H39" si="0">ROUND(F33*AA33/12,0)</f>
        <v>123170</v>
      </c>
      <c r="I33" s="159"/>
      <c r="J33" s="238">
        <v>14.18</v>
      </c>
      <c r="K33" s="258"/>
      <c r="L33" s="3">
        <f t="shared" ref="L33:L39" si="1">ROUND(F33*J33,0)</f>
        <v>43036</v>
      </c>
      <c r="M33" s="3"/>
      <c r="N33" s="4">
        <f t="shared" ref="N33:N39" si="2">ROUND((L33/L$52)*100,1)</f>
        <v>14.7</v>
      </c>
      <c r="O33" s="4"/>
      <c r="P33" s="3">
        <f t="shared" ref="P33:P39" si="3">ROUND((P$52/H$52)*H33,0)</f>
        <v>430</v>
      </c>
      <c r="Q33" s="3"/>
      <c r="R33" s="3">
        <f t="shared" ref="R33:R39" si="4">P33+L33</f>
        <v>43466</v>
      </c>
      <c r="S33" s="188"/>
      <c r="V33" s="210"/>
      <c r="Y33" s="188">
        <f t="shared" ref="Y33:Y39" si="5">J33-AY89</f>
        <v>12.809999999999999</v>
      </c>
      <c r="Z33" s="213"/>
      <c r="AA33" s="210">
        <v>487</v>
      </c>
      <c r="AB33" s="210"/>
      <c r="AC33" s="210"/>
      <c r="AD33" s="210"/>
      <c r="AE33" s="210"/>
      <c r="AF33" s="210"/>
      <c r="AI33" s="210"/>
      <c r="AJ33" s="210"/>
      <c r="AK33" s="214"/>
      <c r="AL33" s="210"/>
      <c r="AM33" s="160"/>
      <c r="AN33" s="160"/>
    </row>
    <row r="34" spans="1:40" x14ac:dyDescent="0.3">
      <c r="A34" s="41">
        <v>15</v>
      </c>
      <c r="C34" s="42" t="s">
        <v>232</v>
      </c>
      <c r="F34" s="123">
        <v>2290</v>
      </c>
      <c r="G34" s="1"/>
      <c r="H34" s="123">
        <f t="shared" si="0"/>
        <v>101523</v>
      </c>
      <c r="I34" s="3"/>
      <c r="J34" s="238">
        <v>14.43</v>
      </c>
      <c r="K34" s="183"/>
      <c r="L34" s="3">
        <f t="shared" si="1"/>
        <v>33045</v>
      </c>
      <c r="M34" s="3"/>
      <c r="N34" s="4">
        <f t="shared" si="2"/>
        <v>11.3</v>
      </c>
      <c r="O34" s="4"/>
      <c r="P34" s="3">
        <f t="shared" si="3"/>
        <v>354</v>
      </c>
      <c r="Q34" s="3"/>
      <c r="R34" s="3">
        <f t="shared" si="4"/>
        <v>33399</v>
      </c>
      <c r="S34" s="188"/>
      <c r="V34" s="184"/>
      <c r="Y34" s="188">
        <f t="shared" si="5"/>
        <v>12.93</v>
      </c>
      <c r="Z34" s="213"/>
      <c r="AA34" s="123">
        <v>532</v>
      </c>
      <c r="AB34" s="123"/>
      <c r="AC34" s="160"/>
      <c r="AD34" s="160"/>
      <c r="AE34" s="123"/>
      <c r="AF34" s="123"/>
      <c r="AI34" s="123"/>
      <c r="AJ34" s="123"/>
      <c r="AL34" s="123"/>
      <c r="AM34" s="160"/>
      <c r="AN34" s="160"/>
    </row>
    <row r="35" spans="1:40" x14ac:dyDescent="0.3">
      <c r="A35" s="41">
        <v>16</v>
      </c>
      <c r="C35" s="45" t="s">
        <v>236</v>
      </c>
      <c r="F35" s="123">
        <v>696</v>
      </c>
      <c r="G35" s="1"/>
      <c r="H35" s="123">
        <f t="shared" si="0"/>
        <v>28246</v>
      </c>
      <c r="I35" s="3"/>
      <c r="J35" s="238">
        <v>14.18</v>
      </c>
      <c r="K35" s="183"/>
      <c r="L35" s="3">
        <f t="shared" si="1"/>
        <v>9869</v>
      </c>
      <c r="M35" s="3"/>
      <c r="N35" s="4">
        <f t="shared" si="2"/>
        <v>3.4</v>
      </c>
      <c r="O35" s="4"/>
      <c r="P35" s="3">
        <f t="shared" si="3"/>
        <v>98</v>
      </c>
      <c r="Q35" s="3"/>
      <c r="R35" s="3">
        <f t="shared" si="4"/>
        <v>9967</v>
      </c>
      <c r="S35" s="188"/>
      <c r="V35" s="184"/>
      <c r="Y35" s="188">
        <f t="shared" si="5"/>
        <v>12.809999999999999</v>
      </c>
      <c r="Z35" s="213"/>
      <c r="AA35" s="123">
        <v>487</v>
      </c>
      <c r="AB35" s="123"/>
      <c r="AC35" s="160"/>
      <c r="AD35" s="160"/>
      <c r="AE35" s="123"/>
      <c r="AF35" s="123"/>
      <c r="AI35" s="123"/>
      <c r="AJ35" s="123"/>
      <c r="AL35" s="123"/>
      <c r="AM35" s="160"/>
      <c r="AN35" s="160"/>
    </row>
    <row r="36" spans="1:40" x14ac:dyDescent="0.3">
      <c r="A36" s="41">
        <v>17</v>
      </c>
      <c r="C36" s="42" t="s">
        <v>233</v>
      </c>
      <c r="F36" s="123">
        <v>952</v>
      </c>
      <c r="G36" s="1"/>
      <c r="H36" s="123">
        <f t="shared" si="0"/>
        <v>42205</v>
      </c>
      <c r="I36" s="3"/>
      <c r="J36" s="238">
        <v>14.42</v>
      </c>
      <c r="K36" s="183"/>
      <c r="L36" s="3">
        <f t="shared" si="1"/>
        <v>13728</v>
      </c>
      <c r="M36" s="3"/>
      <c r="N36" s="4">
        <f t="shared" si="2"/>
        <v>4.7</v>
      </c>
      <c r="O36" s="4"/>
      <c r="P36" s="3">
        <f t="shared" si="3"/>
        <v>147</v>
      </c>
      <c r="Q36" s="3"/>
      <c r="R36" s="3">
        <f t="shared" si="4"/>
        <v>13875</v>
      </c>
      <c r="S36" s="188"/>
      <c r="V36" s="184"/>
      <c r="Y36" s="188">
        <f t="shared" si="5"/>
        <v>12.92</v>
      </c>
      <c r="Z36" s="213"/>
      <c r="AA36" s="123">
        <v>532</v>
      </c>
      <c r="AB36" s="123"/>
      <c r="AC36" s="160"/>
      <c r="AD36" s="160"/>
      <c r="AE36" s="123"/>
      <c r="AF36" s="123"/>
      <c r="AI36" s="123"/>
      <c r="AJ36" s="123"/>
      <c r="AL36" s="123"/>
      <c r="AM36" s="160"/>
      <c r="AN36" s="160"/>
    </row>
    <row r="37" spans="1:40" x14ac:dyDescent="0.3">
      <c r="A37" s="41">
        <v>19</v>
      </c>
      <c r="C37" s="42" t="s">
        <v>234</v>
      </c>
      <c r="F37" s="123">
        <v>2293</v>
      </c>
      <c r="G37" s="1"/>
      <c r="H37" s="123">
        <f t="shared" si="0"/>
        <v>101656</v>
      </c>
      <c r="I37" s="3"/>
      <c r="J37" s="238">
        <v>14.42</v>
      </c>
      <c r="K37" s="183"/>
      <c r="L37" s="3">
        <f t="shared" si="1"/>
        <v>33065</v>
      </c>
      <c r="M37" s="3"/>
      <c r="N37" s="4">
        <f t="shared" si="2"/>
        <v>11.3</v>
      </c>
      <c r="O37" s="4"/>
      <c r="P37" s="3">
        <f t="shared" si="3"/>
        <v>354</v>
      </c>
      <c r="Q37" s="3"/>
      <c r="R37" s="3">
        <f t="shared" si="4"/>
        <v>33419</v>
      </c>
      <c r="S37" s="188"/>
      <c r="V37" s="184"/>
      <c r="Y37" s="188">
        <f t="shared" si="5"/>
        <v>12.92</v>
      </c>
      <c r="Z37" s="213"/>
      <c r="AA37" s="123">
        <v>532</v>
      </c>
      <c r="AB37" s="123"/>
      <c r="AC37" s="160"/>
      <c r="AD37" s="160"/>
      <c r="AE37" s="123"/>
      <c r="AF37" s="123"/>
      <c r="AI37" s="123"/>
      <c r="AJ37" s="123"/>
      <c r="AL37" s="123"/>
      <c r="AM37" s="160"/>
      <c r="AN37" s="160"/>
    </row>
    <row r="38" spans="1:40" x14ac:dyDescent="0.3">
      <c r="A38" s="41">
        <v>14</v>
      </c>
      <c r="C38" s="42" t="s">
        <v>282</v>
      </c>
      <c r="F38" s="184">
        <v>0</v>
      </c>
      <c r="G38" s="1"/>
      <c r="H38" s="123">
        <f t="shared" si="0"/>
        <v>0</v>
      </c>
      <c r="I38" s="159"/>
      <c r="J38" s="238">
        <v>14.18</v>
      </c>
      <c r="K38" s="258"/>
      <c r="L38" s="3">
        <f t="shared" si="1"/>
        <v>0</v>
      </c>
      <c r="M38" s="3"/>
      <c r="N38" s="4">
        <f t="shared" si="2"/>
        <v>0</v>
      </c>
      <c r="O38" s="4"/>
      <c r="P38" s="3">
        <f t="shared" si="3"/>
        <v>0</v>
      </c>
      <c r="Q38" s="3"/>
      <c r="R38" s="3">
        <f t="shared" si="4"/>
        <v>0</v>
      </c>
      <c r="S38" s="188"/>
      <c r="V38" s="210"/>
      <c r="Y38" s="188">
        <f t="shared" si="5"/>
        <v>12.809999999999999</v>
      </c>
      <c r="Z38" s="213"/>
      <c r="AA38" s="210">
        <v>487</v>
      </c>
      <c r="AB38" s="210"/>
      <c r="AC38" s="210"/>
      <c r="AD38" s="210"/>
      <c r="AE38" s="210"/>
      <c r="AF38" s="210"/>
      <c r="AI38" s="210"/>
      <c r="AJ38" s="210"/>
      <c r="AK38" s="214"/>
      <c r="AL38" s="210"/>
      <c r="AM38" s="160"/>
      <c r="AN38" s="160"/>
    </row>
    <row r="39" spans="1:40" x14ac:dyDescent="0.3">
      <c r="A39" s="41">
        <v>18</v>
      </c>
      <c r="C39" s="42" t="s">
        <v>269</v>
      </c>
      <c r="F39" s="123">
        <v>84</v>
      </c>
      <c r="G39" s="1"/>
      <c r="H39" s="123">
        <f t="shared" si="0"/>
        <v>3724</v>
      </c>
      <c r="I39" s="3"/>
      <c r="J39" s="238">
        <v>14.42</v>
      </c>
      <c r="K39" s="183"/>
      <c r="L39" s="3">
        <f t="shared" si="1"/>
        <v>1211</v>
      </c>
      <c r="M39" s="3"/>
      <c r="N39" s="4">
        <f t="shared" si="2"/>
        <v>0.4</v>
      </c>
      <c r="O39" s="4"/>
      <c r="P39" s="3">
        <f t="shared" si="3"/>
        <v>13</v>
      </c>
      <c r="Q39" s="3"/>
      <c r="R39" s="3">
        <f t="shared" si="4"/>
        <v>1224</v>
      </c>
      <c r="S39" s="188"/>
      <c r="V39" s="184"/>
      <c r="Y39" s="188">
        <f t="shared" si="5"/>
        <v>12.92</v>
      </c>
      <c r="Z39" s="213"/>
      <c r="AA39" s="123">
        <v>532</v>
      </c>
      <c r="AB39" s="123"/>
      <c r="AC39" s="160"/>
      <c r="AD39" s="160"/>
      <c r="AE39" s="123"/>
      <c r="AF39" s="123"/>
      <c r="AI39" s="123"/>
      <c r="AJ39" s="123"/>
      <c r="AL39" s="123"/>
      <c r="AM39" s="160"/>
      <c r="AN39" s="160"/>
    </row>
    <row r="40" spans="1:40" x14ac:dyDescent="0.3">
      <c r="C40" s="42"/>
      <c r="F40" s="123"/>
      <c r="G40" s="1"/>
      <c r="H40" s="3"/>
      <c r="I40" s="3"/>
      <c r="J40" s="238"/>
      <c r="K40" s="183"/>
      <c r="L40" s="3"/>
      <c r="M40" s="3"/>
      <c r="N40" s="4"/>
      <c r="O40" s="4"/>
      <c r="P40" s="3"/>
      <c r="Q40" s="3"/>
      <c r="R40" s="3"/>
      <c r="S40" s="188"/>
      <c r="V40" s="184"/>
      <c r="Y40" s="184"/>
      <c r="Z40" s="213"/>
      <c r="AA40" s="123"/>
      <c r="AB40" s="123"/>
      <c r="AC40" s="160"/>
      <c r="AD40" s="160"/>
      <c r="AE40" s="123"/>
      <c r="AF40" s="123"/>
      <c r="AI40" s="123"/>
      <c r="AJ40" s="123"/>
      <c r="AL40" s="123"/>
      <c r="AM40" s="160"/>
      <c r="AN40" s="160"/>
    </row>
    <row r="41" spans="1:40" x14ac:dyDescent="0.3">
      <c r="A41" s="41">
        <v>20</v>
      </c>
      <c r="C41" s="132" t="s">
        <v>203</v>
      </c>
      <c r="F41" s="123"/>
      <c r="G41" s="1"/>
      <c r="H41" s="3"/>
      <c r="I41" s="3"/>
      <c r="J41" s="238"/>
      <c r="K41" s="183"/>
      <c r="L41" s="3"/>
      <c r="M41" s="3"/>
      <c r="N41" s="4"/>
      <c r="O41" s="4"/>
      <c r="P41" s="3"/>
      <c r="Q41" s="3"/>
      <c r="R41" s="3"/>
      <c r="S41" s="188"/>
      <c r="V41" s="184"/>
      <c r="Y41" s="184"/>
      <c r="Z41" s="213"/>
      <c r="AA41" s="123"/>
      <c r="AB41" s="123"/>
      <c r="AC41" s="160"/>
      <c r="AD41" s="160"/>
      <c r="AE41" s="123"/>
      <c r="AF41" s="123"/>
      <c r="AI41" s="123"/>
      <c r="AJ41" s="123"/>
      <c r="AL41" s="123"/>
      <c r="AM41" s="160"/>
      <c r="AN41" s="160"/>
    </row>
    <row r="42" spans="1:40" x14ac:dyDescent="0.3">
      <c r="A42" s="41">
        <v>21</v>
      </c>
      <c r="C42" s="45" t="s">
        <v>239</v>
      </c>
      <c r="F42" s="184">
        <v>480</v>
      </c>
      <c r="G42" s="1"/>
      <c r="H42" s="123">
        <f>ROUND(F42*AA42/12,0)</f>
        <v>40920</v>
      </c>
      <c r="I42" s="159"/>
      <c r="J42" s="238">
        <v>20.73</v>
      </c>
      <c r="K42" s="258"/>
      <c r="L42" s="3">
        <f>ROUND(F42*J42,0)</f>
        <v>9950</v>
      </c>
      <c r="M42" s="3"/>
      <c r="N42" s="4">
        <f>ROUND((L42/L$52)*100,1)</f>
        <v>3.4</v>
      </c>
      <c r="O42" s="4"/>
      <c r="P42" s="3">
        <f>ROUND((P$52/H$52)*H42,0)</f>
        <v>143</v>
      </c>
      <c r="Q42" s="3"/>
      <c r="R42" s="3">
        <f>P42+L42</f>
        <v>10093</v>
      </c>
      <c r="S42" s="188"/>
      <c r="V42" s="210"/>
      <c r="Y42" s="188">
        <f>J42-AY98</f>
        <v>17.850000000000001</v>
      </c>
      <c r="Z42" s="213"/>
      <c r="AA42" s="210">
        <v>1023</v>
      </c>
      <c r="AB42" s="210"/>
      <c r="AC42" s="210"/>
      <c r="AD42" s="210"/>
      <c r="AE42" s="210"/>
      <c r="AF42" s="210"/>
      <c r="AI42" s="210"/>
      <c r="AJ42" s="210"/>
      <c r="AK42" s="214"/>
      <c r="AL42" s="210"/>
      <c r="AM42" s="160"/>
      <c r="AN42" s="160"/>
    </row>
    <row r="43" spans="1:40" x14ac:dyDescent="0.3">
      <c r="A43" s="41">
        <v>22</v>
      </c>
      <c r="C43" s="45" t="s">
        <v>238</v>
      </c>
      <c r="F43" s="184">
        <v>24</v>
      </c>
      <c r="G43" s="1"/>
      <c r="H43" s="123">
        <f>ROUND(F43*AA43/12,0)</f>
        <v>3918</v>
      </c>
      <c r="I43" s="159"/>
      <c r="J43" s="238">
        <v>28.09</v>
      </c>
      <c r="K43" s="258"/>
      <c r="L43" s="3">
        <f>ROUND(F43*J43,0)</f>
        <v>674</v>
      </c>
      <c r="M43" s="3"/>
      <c r="N43" s="4">
        <f>ROUND((L43/L$52)*100,1)</f>
        <v>0.2</v>
      </c>
      <c r="O43" s="4"/>
      <c r="P43" s="3">
        <f>ROUND((P$52/H$52)*H43,0)</f>
        <v>14</v>
      </c>
      <c r="Q43" s="3"/>
      <c r="R43" s="3">
        <f>P43+L43</f>
        <v>688</v>
      </c>
      <c r="S43" s="188"/>
      <c r="Y43" s="188">
        <f>J43-AY99</f>
        <v>22.58</v>
      </c>
      <c r="AA43" s="123">
        <v>1959</v>
      </c>
      <c r="AB43" s="123"/>
      <c r="AC43" s="123"/>
      <c r="AD43" s="123"/>
      <c r="AI43" s="123"/>
      <c r="AJ43" s="123"/>
      <c r="AL43" s="123"/>
    </row>
    <row r="44" spans="1:40" x14ac:dyDescent="0.3">
      <c r="A44" s="41">
        <v>23</v>
      </c>
      <c r="C44" s="41" t="s">
        <v>237</v>
      </c>
      <c r="F44" s="197">
        <v>0</v>
      </c>
      <c r="G44" s="1"/>
      <c r="H44" s="123">
        <f>ROUND(F44*AA44/12,0)</f>
        <v>0</v>
      </c>
      <c r="I44" s="159"/>
      <c r="J44" s="238">
        <v>28.09</v>
      </c>
      <c r="K44" s="258"/>
      <c r="L44" s="49">
        <f>ROUND(F44*J44,0)</f>
        <v>0</v>
      </c>
      <c r="M44" s="3"/>
      <c r="N44" s="253">
        <f>ROUND((L44/L$52)*100,1)</f>
        <v>0</v>
      </c>
      <c r="O44" s="4"/>
      <c r="P44" s="49">
        <f>ROUND((P$52/H$52)*H44,0)</f>
        <v>0</v>
      </c>
      <c r="Q44" s="3"/>
      <c r="R44" s="49">
        <f>P44+L44</f>
        <v>0</v>
      </c>
      <c r="S44" s="188"/>
      <c r="Y44" s="188">
        <f>J44-AY100</f>
        <v>22.58</v>
      </c>
      <c r="AA44" s="123">
        <v>1959</v>
      </c>
      <c r="AD44" s="123"/>
      <c r="AI44" s="123"/>
      <c r="AJ44" s="123"/>
      <c r="AL44" s="123"/>
    </row>
    <row r="45" spans="1:40" ht="20.100000000000001" customHeight="1" x14ac:dyDescent="0.3">
      <c r="A45" s="41">
        <v>24</v>
      </c>
      <c r="C45" s="178" t="s">
        <v>474</v>
      </c>
      <c r="F45" s="262">
        <f>SUM(F22:F44)</f>
        <v>20531</v>
      </c>
      <c r="G45" s="1"/>
      <c r="H45" s="262">
        <f>SUM(H22:H44)</f>
        <v>1209602</v>
      </c>
      <c r="I45" s="159"/>
      <c r="J45" s="238"/>
      <c r="K45" s="258"/>
      <c r="L45" s="262">
        <f>SUM(L22:L44)</f>
        <v>288471</v>
      </c>
      <c r="M45" s="3"/>
      <c r="N45" s="211">
        <f>ROUND((L45/L$52)*100,1)</f>
        <v>98.5</v>
      </c>
      <c r="O45" s="4"/>
      <c r="P45" s="262">
        <f>SUM(P22:P44)</f>
        <v>4218</v>
      </c>
      <c r="Q45" s="3"/>
      <c r="R45" s="262">
        <f>SUM(R22:R44)</f>
        <v>292689</v>
      </c>
      <c r="S45" s="188"/>
      <c r="Y45" s="188"/>
      <c r="AD45" s="123"/>
      <c r="AI45" s="123"/>
      <c r="AJ45" s="123"/>
      <c r="AL45" s="123"/>
    </row>
    <row r="46" spans="1:40" x14ac:dyDescent="0.3">
      <c r="C46" s="178"/>
      <c r="F46" s="184"/>
      <c r="G46" s="1"/>
      <c r="H46" s="123"/>
      <c r="I46" s="159"/>
      <c r="J46" s="238"/>
      <c r="K46" s="258"/>
      <c r="L46" s="3"/>
      <c r="M46" s="3"/>
      <c r="N46" s="4"/>
      <c r="O46" s="4"/>
      <c r="P46" s="3"/>
      <c r="Q46" s="3"/>
      <c r="R46" s="3"/>
      <c r="S46" s="188"/>
      <c r="Y46" s="188"/>
      <c r="AD46" s="123"/>
      <c r="AI46" s="123"/>
      <c r="AJ46" s="123"/>
      <c r="AL46" s="123"/>
    </row>
    <row r="47" spans="1:40" x14ac:dyDescent="0.3">
      <c r="A47" s="41">
        <v>25</v>
      </c>
      <c r="C47" s="132" t="s">
        <v>469</v>
      </c>
      <c r="F47" s="184"/>
      <c r="G47" s="1"/>
      <c r="H47" s="123"/>
      <c r="I47" s="159"/>
      <c r="J47" s="238"/>
      <c r="K47" s="258"/>
      <c r="L47" s="3"/>
      <c r="M47" s="3"/>
      <c r="N47" s="4"/>
      <c r="O47" s="4"/>
      <c r="P47" s="3"/>
      <c r="Q47" s="3"/>
      <c r="R47" s="3"/>
      <c r="S47" s="188"/>
      <c r="Y47" s="188"/>
      <c r="AD47" s="123"/>
      <c r="AI47" s="123"/>
      <c r="AJ47" s="123"/>
      <c r="AL47" s="123"/>
    </row>
    <row r="48" spans="1:40" x14ac:dyDescent="0.3">
      <c r="A48" s="41">
        <v>26</v>
      </c>
      <c r="C48" s="192" t="str">
        <f>ESM_Name</f>
        <v>ENVIRONMENTAL SURCHARGE MECHANISM RIDER (ESM)</v>
      </c>
      <c r="F48" s="3"/>
      <c r="G48" s="1"/>
      <c r="H48" s="3"/>
      <c r="I48" s="3"/>
      <c r="J48" s="321">
        <f>PRO_ESM_NONRES</f>
        <v>5.7995821086186533E-3</v>
      </c>
      <c r="K48" s="258"/>
      <c r="L48" s="3">
        <f>ROUND((R45-(PRO_BASE_FUEL*H45)+R49)*J48,0)</f>
        <v>1478</v>
      </c>
      <c r="M48" s="3"/>
      <c r="N48" s="4">
        <f>ROUND((L48/L$52)*100,1)</f>
        <v>0.5</v>
      </c>
      <c r="O48" s="4"/>
      <c r="P48" s="3"/>
      <c r="Q48" s="3"/>
      <c r="R48" s="3">
        <f>P48+L48</f>
        <v>1478</v>
      </c>
      <c r="S48" s="188"/>
      <c r="Y48" s="188"/>
      <c r="AD48" s="123"/>
      <c r="AI48" s="123"/>
      <c r="AJ48" s="123"/>
      <c r="AL48" s="123"/>
    </row>
    <row r="49" spans="1:47" x14ac:dyDescent="0.3">
      <c r="A49" s="41">
        <v>29</v>
      </c>
      <c r="C49" s="192" t="str">
        <f>PSM_Name</f>
        <v>PROFIT SHARING MECHANISM (PSM)</v>
      </c>
      <c r="F49" s="3"/>
      <c r="G49" s="1"/>
      <c r="H49" s="3"/>
      <c r="I49" s="3"/>
      <c r="J49" s="217">
        <f>PRO_PSM</f>
        <v>2.4750000000000002E-3</v>
      </c>
      <c r="K49" s="258"/>
      <c r="L49" s="49">
        <f>ROUND($H$45*J49,0)</f>
        <v>2994</v>
      </c>
      <c r="M49" s="3"/>
      <c r="N49" s="177">
        <f>ROUND((L49/L$52)*100,1)</f>
        <v>1</v>
      </c>
      <c r="O49" s="4"/>
      <c r="P49" s="49"/>
      <c r="Q49" s="3"/>
      <c r="R49" s="49">
        <f>P49+L49</f>
        <v>2994</v>
      </c>
      <c r="S49" s="188"/>
      <c r="Y49" s="188"/>
      <c r="AD49" s="123"/>
      <c r="AI49" s="123"/>
      <c r="AJ49" s="123"/>
      <c r="AL49" s="123"/>
    </row>
    <row r="50" spans="1:47" ht="20.100000000000001" customHeight="1" x14ac:dyDescent="0.3">
      <c r="A50" s="41">
        <v>30</v>
      </c>
      <c r="C50" s="132" t="s">
        <v>465</v>
      </c>
      <c r="F50" s="197"/>
      <c r="G50" s="1"/>
      <c r="H50" s="259"/>
      <c r="I50" s="159"/>
      <c r="J50" s="238"/>
      <c r="K50" s="258"/>
      <c r="L50" s="49">
        <f>SUM(L48:L49)</f>
        <v>4472</v>
      </c>
      <c r="M50" s="3"/>
      <c r="N50" s="180">
        <f>ROUND((L50/L$52)*100,1)</f>
        <v>1.5</v>
      </c>
      <c r="O50" s="4"/>
      <c r="P50" s="145"/>
      <c r="Q50" s="3"/>
      <c r="R50" s="145">
        <f>SUM(R48:R49)</f>
        <v>4472</v>
      </c>
      <c r="S50" s="188"/>
      <c r="Y50" s="188"/>
      <c r="AD50" s="123"/>
      <c r="AI50" s="123"/>
      <c r="AJ50" s="123"/>
      <c r="AL50" s="123"/>
    </row>
    <row r="51" spans="1:47" x14ac:dyDescent="0.3">
      <c r="F51" s="184"/>
      <c r="G51" s="1"/>
      <c r="H51" s="123"/>
      <c r="I51" s="159"/>
      <c r="J51" s="238"/>
      <c r="K51" s="258"/>
      <c r="L51" s="3"/>
      <c r="M51" s="3"/>
      <c r="N51" s="4"/>
      <c r="O51" s="4"/>
      <c r="P51" s="3"/>
      <c r="Q51" s="3"/>
      <c r="R51" s="3"/>
      <c r="S51" s="188"/>
      <c r="Y51" s="188"/>
      <c r="AD51" s="123"/>
      <c r="AI51" s="123"/>
      <c r="AJ51" s="123"/>
      <c r="AL51" s="123"/>
    </row>
    <row r="52" spans="1:47" ht="20.100000000000001" customHeight="1" thickBot="1" x14ac:dyDescent="0.35">
      <c r="A52" s="41">
        <v>31</v>
      </c>
      <c r="C52" s="132" t="s">
        <v>475</v>
      </c>
      <c r="F52" s="151">
        <f>SUM(F22:F44)</f>
        <v>20531</v>
      </c>
      <c r="G52" s="1"/>
      <c r="H52" s="151">
        <f>SUM(H22:H44)</f>
        <v>1209602</v>
      </c>
      <c r="I52" s="3"/>
      <c r="J52" s="258"/>
      <c r="K52" s="258"/>
      <c r="L52" s="151">
        <f>L50+L45</f>
        <v>292943</v>
      </c>
      <c r="M52" s="3"/>
      <c r="N52" s="327">
        <v>100</v>
      </c>
      <c r="O52" s="6"/>
      <c r="P52" s="333">
        <f>ROUND(H52*CUR_FAC,0)</f>
        <v>4218</v>
      </c>
      <c r="Q52" s="3"/>
      <c r="R52" s="151">
        <f>R50+R45</f>
        <v>297161</v>
      </c>
    </row>
    <row r="53" spans="1:47" ht="16.2" thickTop="1" x14ac:dyDescent="0.3">
      <c r="F53" s="1"/>
      <c r="G53" s="1"/>
      <c r="H53" s="1"/>
      <c r="I53" s="1"/>
      <c r="J53" s="5"/>
      <c r="K53" s="1"/>
      <c r="L53" s="1"/>
      <c r="M53" s="1"/>
      <c r="N53" s="1"/>
      <c r="O53" s="1"/>
      <c r="P53" s="1"/>
      <c r="Q53" s="1"/>
      <c r="R53" s="1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166"/>
      <c r="AH53" s="40"/>
      <c r="AI53" s="40"/>
      <c r="AJ53" s="40"/>
      <c r="AK53" s="166"/>
      <c r="AL53" s="40"/>
      <c r="AM53" s="40"/>
      <c r="AN53" s="40"/>
      <c r="AO53" s="40"/>
      <c r="AP53" s="40"/>
      <c r="AQ53" s="166"/>
    </row>
    <row r="54" spans="1:47" x14ac:dyDescent="0.3">
      <c r="C54" s="202" t="s">
        <v>76</v>
      </c>
      <c r="F54" s="184"/>
      <c r="H54" s="184"/>
      <c r="I54" s="184"/>
      <c r="J54" s="238"/>
      <c r="K54" s="193"/>
      <c r="L54" s="123"/>
      <c r="M54" s="123"/>
      <c r="N54" s="160"/>
      <c r="O54" s="160"/>
      <c r="P54" s="123"/>
      <c r="Q54" s="123"/>
      <c r="R54" s="123"/>
      <c r="AS54" s="123"/>
      <c r="AT54" s="123"/>
      <c r="AU54" s="160"/>
    </row>
    <row r="55" spans="1:47" x14ac:dyDescent="0.3">
      <c r="C55" s="202" t="str">
        <f>"(2) REFLECTS FUEL COMPONENT OF "&amp;TEXT(PRO_FAC,"$0.000000;($0.000000)")&amp;" PER KWH."</f>
        <v>(2) REFLECTS FUEL COMPONENT OF $0.003487 PER KWH.</v>
      </c>
      <c r="F55" s="184"/>
      <c r="H55" s="184"/>
      <c r="I55" s="184"/>
      <c r="J55" s="238"/>
      <c r="K55" s="193"/>
      <c r="L55" s="123"/>
      <c r="M55" s="123"/>
      <c r="N55" s="160"/>
      <c r="O55" s="160"/>
      <c r="P55" s="123"/>
      <c r="Q55" s="123"/>
      <c r="R55" s="123"/>
      <c r="AS55" s="123"/>
      <c r="AT55" s="123"/>
      <c r="AU55" s="160"/>
    </row>
    <row r="56" spans="1:47" x14ac:dyDescent="0.3">
      <c r="C56" s="202" t="str">
        <f>"(3) REFLECTS FUEL COST RECOVERY INCLUDED IN BASE RATES OF "&amp;TEXT(PRO_BASE_FUEL,"$0.000000;($0.000000)")&amp;"  PER KWH."</f>
        <v>(3) REFLECTS FUEL COST RECOVERY INCLUDED IN BASE RATES OF $0.033780  PER KWH.</v>
      </c>
      <c r="F56" s="184"/>
      <c r="H56" s="184"/>
      <c r="I56" s="184"/>
      <c r="J56" s="238"/>
      <c r="K56" s="193"/>
      <c r="L56" s="123"/>
      <c r="M56" s="123"/>
      <c r="N56" s="160"/>
      <c r="O56" s="160"/>
      <c r="P56" s="123"/>
      <c r="Q56" s="123"/>
      <c r="R56" s="123"/>
      <c r="V56" s="42"/>
      <c r="Y56" s="123"/>
      <c r="AC56" s="209"/>
      <c r="AD56" s="209"/>
      <c r="AE56" s="123"/>
      <c r="AF56" s="123"/>
      <c r="AO56" s="123"/>
      <c r="AP56" s="123"/>
      <c r="AS56" s="123"/>
      <c r="AT56" s="123"/>
      <c r="AU56" s="160"/>
    </row>
    <row r="57" spans="1:47" x14ac:dyDescent="0.3">
      <c r="J57" s="188"/>
      <c r="L57" s="42"/>
      <c r="M57" s="42"/>
      <c r="T57" s="40" t="str">
        <f>NAME</f>
        <v>DUKE ENERGY KENTUCKY, INC.</v>
      </c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66"/>
      <c r="AH57" s="40"/>
      <c r="AI57" s="40"/>
      <c r="AJ57" s="40"/>
      <c r="AK57" s="166"/>
      <c r="AL57" s="40"/>
      <c r="AM57" s="40"/>
      <c r="AN57" s="40"/>
      <c r="AO57" s="40"/>
      <c r="AP57" s="40"/>
      <c r="AQ57" s="166"/>
      <c r="AR57" s="184"/>
    </row>
    <row r="58" spans="1:47" x14ac:dyDescent="0.3">
      <c r="F58" s="123"/>
      <c r="H58" s="123"/>
      <c r="I58" s="123"/>
      <c r="J58" s="188"/>
      <c r="K58" s="188"/>
      <c r="L58" s="210"/>
      <c r="M58" s="326"/>
      <c r="N58" s="236"/>
      <c r="O58" s="236"/>
      <c r="P58" s="123"/>
      <c r="Q58" s="123"/>
      <c r="R58" s="123"/>
      <c r="T58" s="40" t="str">
        <f>CASE_NO</f>
        <v>CASE NO.   2024-00354</v>
      </c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166"/>
      <c r="AH58" s="40"/>
      <c r="AI58" s="40"/>
      <c r="AJ58" s="40"/>
      <c r="AK58" s="166"/>
      <c r="AL58" s="40"/>
      <c r="AM58" s="40"/>
      <c r="AN58" s="40"/>
      <c r="AO58" s="40"/>
      <c r="AP58" s="40"/>
      <c r="AQ58" s="166"/>
      <c r="AR58" s="184"/>
    </row>
    <row r="59" spans="1:47" x14ac:dyDescent="0.3"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210"/>
      <c r="T59" s="40" t="str">
        <f>TITLE</f>
        <v>ANNUALIZED TEST YEAR REVENUES AT REHEARING ORDER CALCULATED VS. MOST CURRENT RATES</v>
      </c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166"/>
      <c r="AH59" s="40"/>
      <c r="AI59" s="40"/>
      <c r="AJ59" s="40"/>
      <c r="AK59" s="166"/>
      <c r="AL59" s="40"/>
      <c r="AM59" s="40"/>
      <c r="AN59" s="40"/>
      <c r="AO59" s="40"/>
      <c r="AP59" s="40"/>
      <c r="AQ59" s="166"/>
      <c r="AR59" s="184"/>
    </row>
    <row r="60" spans="1:47" x14ac:dyDescent="0.3"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T60" s="40" t="str">
        <f>DATE</f>
        <v>FOR THE TWELVE MONTHS ENDED June 30, 2026</v>
      </c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166"/>
      <c r="AH60" s="40"/>
      <c r="AI60" s="40"/>
      <c r="AJ60" s="40"/>
      <c r="AK60" s="166"/>
      <c r="AL60" s="40"/>
      <c r="AM60" s="40"/>
      <c r="AN60" s="40"/>
      <c r="AO60" s="40"/>
      <c r="AP60" s="40"/>
      <c r="AQ60" s="166"/>
      <c r="AR60" s="123"/>
    </row>
    <row r="61" spans="1:47" x14ac:dyDescent="0.3">
      <c r="A61" s="42"/>
      <c r="J61" s="188"/>
      <c r="R61" s="42"/>
      <c r="T61" s="40" t="str">
        <f>SERVICE</f>
        <v>(ELECTRIC SERVICE)</v>
      </c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166"/>
      <c r="AH61" s="40"/>
      <c r="AI61" s="40"/>
      <c r="AJ61" s="40"/>
      <c r="AK61" s="166"/>
      <c r="AL61" s="40"/>
      <c r="AM61" s="40"/>
      <c r="AN61" s="40"/>
      <c r="AO61" s="40"/>
      <c r="AP61" s="40"/>
      <c r="AQ61" s="166"/>
      <c r="AR61" s="123"/>
    </row>
    <row r="62" spans="1:47" x14ac:dyDescent="0.3">
      <c r="A62" s="135"/>
      <c r="B62" s="135"/>
      <c r="C62" s="135"/>
      <c r="D62" s="135"/>
      <c r="E62" s="135"/>
      <c r="F62" s="135"/>
      <c r="G62" s="135"/>
      <c r="H62" s="135"/>
      <c r="I62" s="135"/>
      <c r="J62" s="244"/>
      <c r="K62" s="135"/>
      <c r="L62" s="135"/>
      <c r="M62" s="135"/>
      <c r="N62" s="135"/>
      <c r="O62" s="135"/>
      <c r="P62" s="135"/>
      <c r="Q62" s="135"/>
      <c r="R62" s="135"/>
      <c r="T62" s="41" t="str">
        <f>DATA_PERIOD</f>
        <v>DATA: ____ BASE PERIOD   __X__FORECASTED PERIOD</v>
      </c>
      <c r="AO62" s="42" t="s">
        <v>158</v>
      </c>
      <c r="AP62" s="42"/>
    </row>
    <row r="63" spans="1:47" x14ac:dyDescent="0.3">
      <c r="J63" s="188"/>
      <c r="L63" s="44"/>
      <c r="M63" s="44"/>
      <c r="N63" s="44"/>
      <c r="O63" s="44"/>
      <c r="R63" s="44"/>
      <c r="T63" s="41" t="str">
        <f>TYPE</f>
        <v>TYPE OF FILING: _X_ ORIGINAL   ___UPDATED  ___ REVISED</v>
      </c>
      <c r="AO63" s="45" t="str">
        <f>"PAGE 19 OF "&amp;TEXT(Page_Num_2.2,"00")</f>
        <v>PAGE 19 OF 24</v>
      </c>
      <c r="AP63" s="42"/>
    </row>
    <row r="64" spans="1:47" x14ac:dyDescent="0.3">
      <c r="C64" s="44"/>
      <c r="D64" s="44"/>
      <c r="E64" s="44"/>
      <c r="F64" s="44"/>
      <c r="H64" s="44"/>
      <c r="I64" s="44"/>
      <c r="J64" s="245"/>
      <c r="K64" s="44"/>
      <c r="L64" s="44"/>
      <c r="M64" s="44"/>
      <c r="N64" s="44"/>
      <c r="O64" s="44"/>
      <c r="P64" s="44"/>
      <c r="Q64" s="44"/>
      <c r="R64" s="44"/>
      <c r="T64" s="42" t="s">
        <v>171</v>
      </c>
      <c r="AO64" s="42" t="s">
        <v>3</v>
      </c>
      <c r="AP64" s="42"/>
    </row>
    <row r="65" spans="1:51" x14ac:dyDescent="0.3">
      <c r="A65" s="135"/>
      <c r="B65" s="135"/>
      <c r="C65" s="135"/>
      <c r="D65" s="135"/>
      <c r="E65" s="135"/>
      <c r="F65" s="135"/>
      <c r="G65" s="135"/>
      <c r="H65" s="135"/>
      <c r="I65" s="135"/>
      <c r="J65" s="244"/>
      <c r="K65" s="135"/>
      <c r="L65" s="135"/>
      <c r="M65" s="135"/>
      <c r="N65" s="135"/>
      <c r="O65" s="135"/>
      <c r="P65" s="135"/>
      <c r="Q65" s="135"/>
      <c r="R65" s="135"/>
      <c r="T65" s="153" t="str">
        <f>TIME</f>
        <v>12 Months Projected with Riders</v>
      </c>
      <c r="AF65" s="42"/>
      <c r="AO65" s="123" t="str">
        <f>WIT</f>
        <v>B. L. Sailers</v>
      </c>
    </row>
    <row r="66" spans="1:51" x14ac:dyDescent="0.3">
      <c r="H66" s="44"/>
      <c r="I66" s="44"/>
      <c r="J66" s="245"/>
      <c r="K66" s="44"/>
      <c r="L66" s="44"/>
      <c r="M66" s="44"/>
      <c r="N66" s="44"/>
      <c r="O66" s="44"/>
      <c r="P66" s="44"/>
      <c r="Q66" s="44"/>
      <c r="R66" s="44"/>
      <c r="T66" s="40" t="s">
        <v>131</v>
      </c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166"/>
      <c r="AH66" s="40"/>
      <c r="AI66" s="40"/>
      <c r="AJ66" s="40"/>
      <c r="AK66" s="166"/>
      <c r="AL66" s="40"/>
      <c r="AM66" s="40"/>
      <c r="AN66" s="40"/>
      <c r="AO66" s="40"/>
      <c r="AP66" s="40"/>
      <c r="AQ66" s="166"/>
    </row>
    <row r="67" spans="1:51" x14ac:dyDescent="0.3">
      <c r="C67" s="42"/>
      <c r="D67" s="42"/>
      <c r="E67" s="42"/>
      <c r="J67" s="188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43"/>
      <c r="AF67" s="43"/>
      <c r="AG67" s="167"/>
      <c r="AH67" s="43"/>
      <c r="AI67" s="43"/>
      <c r="AJ67" s="43"/>
      <c r="AK67" s="167"/>
      <c r="AL67" s="43"/>
      <c r="AM67" s="43"/>
      <c r="AN67" s="135"/>
      <c r="AO67" s="135"/>
      <c r="AP67" s="135"/>
      <c r="AQ67" s="207"/>
    </row>
    <row r="68" spans="1:51" ht="18" customHeight="1" x14ac:dyDescent="0.3">
      <c r="C68" s="42"/>
      <c r="J68" s="188"/>
      <c r="T68" s="191"/>
      <c r="U68" s="191"/>
      <c r="V68" s="191"/>
      <c r="W68" s="191"/>
      <c r="X68" s="191"/>
      <c r="Y68" s="191"/>
      <c r="Z68" s="191"/>
      <c r="AA68" s="191"/>
      <c r="AB68" s="191"/>
      <c r="AC68" s="191"/>
      <c r="AD68" s="191"/>
      <c r="AE68" s="44" t="s">
        <v>8</v>
      </c>
      <c r="AF68" s="44"/>
      <c r="AG68" s="168" t="s">
        <v>7</v>
      </c>
      <c r="AH68" s="44"/>
      <c r="AI68" s="44" t="s">
        <v>9</v>
      </c>
      <c r="AJ68" s="44"/>
      <c r="AK68" s="168" t="s">
        <v>10</v>
      </c>
      <c r="AL68" s="44"/>
      <c r="AN68" s="191"/>
      <c r="AO68" s="272" t="s">
        <v>8</v>
      </c>
      <c r="AP68" s="272"/>
      <c r="AQ68" s="273" t="s">
        <v>11</v>
      </c>
    </row>
    <row r="69" spans="1:51" x14ac:dyDescent="0.3">
      <c r="J69" s="188"/>
      <c r="AC69" s="44" t="s">
        <v>14</v>
      </c>
      <c r="AD69" s="44"/>
      <c r="AE69" s="44" t="s">
        <v>12</v>
      </c>
      <c r="AF69" s="44"/>
      <c r="AG69" s="168" t="s">
        <v>13</v>
      </c>
      <c r="AH69" s="44"/>
      <c r="AI69" s="44" t="s">
        <v>15</v>
      </c>
      <c r="AJ69" s="44"/>
      <c r="AK69" s="168" t="s">
        <v>16</v>
      </c>
      <c r="AL69" s="44"/>
      <c r="AO69" s="44" t="s">
        <v>11</v>
      </c>
      <c r="AP69" s="44"/>
      <c r="AQ69" s="168" t="s">
        <v>9</v>
      </c>
    </row>
    <row r="70" spans="1:51" x14ac:dyDescent="0.3">
      <c r="C70" s="42"/>
      <c r="F70" s="184"/>
      <c r="H70" s="184"/>
      <c r="I70" s="184"/>
      <c r="J70" s="238"/>
      <c r="K70" s="193"/>
      <c r="L70" s="123"/>
      <c r="M70" s="123"/>
      <c r="N70" s="160"/>
      <c r="O70" s="160"/>
      <c r="R70" s="123"/>
      <c r="T70" s="44" t="s">
        <v>17</v>
      </c>
      <c r="V70" s="44" t="s">
        <v>18</v>
      </c>
      <c r="W70" s="44" t="s">
        <v>19</v>
      </c>
      <c r="X70" s="44"/>
      <c r="Y70" s="44" t="s">
        <v>20</v>
      </c>
      <c r="AC70" s="44" t="s">
        <v>8</v>
      </c>
      <c r="AD70" s="44"/>
      <c r="AE70" s="44" t="s">
        <v>842</v>
      </c>
      <c r="AF70" s="44"/>
      <c r="AG70" s="168" t="s">
        <v>842</v>
      </c>
      <c r="AH70" s="44"/>
      <c r="AI70" s="46" t="s">
        <v>965</v>
      </c>
      <c r="AJ70" s="44"/>
      <c r="AK70" s="169" t="s">
        <v>965</v>
      </c>
      <c r="AL70" s="44"/>
      <c r="AM70" s="44" t="s">
        <v>842</v>
      </c>
      <c r="AN70" s="44"/>
      <c r="AO70" s="44" t="s">
        <v>9</v>
      </c>
      <c r="AP70" s="44"/>
      <c r="AQ70" s="168" t="s">
        <v>21</v>
      </c>
      <c r="AU70" s="44" t="s">
        <v>405</v>
      </c>
      <c r="AX70" s="41" t="s">
        <v>301</v>
      </c>
      <c r="AY70" s="41" t="s">
        <v>302</v>
      </c>
    </row>
    <row r="71" spans="1:51" x14ac:dyDescent="0.3">
      <c r="C71" s="42"/>
      <c r="F71" s="184"/>
      <c r="H71" s="184"/>
      <c r="I71" s="184"/>
      <c r="J71" s="238"/>
      <c r="K71" s="193"/>
      <c r="L71" s="123"/>
      <c r="M71" s="123"/>
      <c r="N71" s="160"/>
      <c r="O71" s="160"/>
      <c r="R71" s="123"/>
      <c r="T71" s="44" t="s">
        <v>22</v>
      </c>
      <c r="V71" s="44" t="s">
        <v>23</v>
      </c>
      <c r="W71" s="44" t="s">
        <v>24</v>
      </c>
      <c r="X71" s="44"/>
      <c r="Y71" s="44" t="s">
        <v>25</v>
      </c>
      <c r="AA71" s="44" t="s">
        <v>26</v>
      </c>
      <c r="AB71" s="44"/>
      <c r="AC71" s="46" t="s">
        <v>325</v>
      </c>
      <c r="AD71" s="44"/>
      <c r="AE71" s="44" t="s">
        <v>9</v>
      </c>
      <c r="AF71" s="44"/>
      <c r="AG71" s="168" t="s">
        <v>9</v>
      </c>
      <c r="AH71" s="44"/>
      <c r="AI71" s="141" t="s">
        <v>29</v>
      </c>
      <c r="AJ71" s="141"/>
      <c r="AK71" s="170" t="s">
        <v>30</v>
      </c>
      <c r="AL71" s="44"/>
      <c r="AM71" s="44" t="s">
        <v>324</v>
      </c>
      <c r="AN71" s="44"/>
      <c r="AO71" s="141" t="s">
        <v>31</v>
      </c>
      <c r="AP71" s="141"/>
      <c r="AQ71" s="170" t="s">
        <v>32</v>
      </c>
      <c r="AU71" s="44" t="s">
        <v>406</v>
      </c>
      <c r="AW71" s="41" t="s">
        <v>300</v>
      </c>
      <c r="AX71" s="41" t="s">
        <v>299</v>
      </c>
      <c r="AY71" s="41" t="s">
        <v>299</v>
      </c>
    </row>
    <row r="72" spans="1:51" x14ac:dyDescent="0.3">
      <c r="C72" s="42"/>
      <c r="F72" s="184"/>
      <c r="H72" s="184"/>
      <c r="I72" s="184"/>
      <c r="J72" s="238"/>
      <c r="K72" s="193"/>
      <c r="L72" s="123"/>
      <c r="M72" s="123"/>
      <c r="N72" s="160"/>
      <c r="O72" s="160"/>
      <c r="R72" s="123"/>
      <c r="V72" s="141" t="s">
        <v>33</v>
      </c>
      <c r="W72" s="141" t="s">
        <v>34</v>
      </c>
      <c r="X72" s="141"/>
      <c r="Y72" s="141" t="s">
        <v>35</v>
      </c>
      <c r="Z72" s="153"/>
      <c r="AA72" s="141" t="s">
        <v>36</v>
      </c>
      <c r="AB72" s="141"/>
      <c r="AC72" s="141" t="s">
        <v>42</v>
      </c>
      <c r="AD72" s="141"/>
      <c r="AE72" s="141" t="s">
        <v>43</v>
      </c>
      <c r="AF72" s="141"/>
      <c r="AG72" s="170" t="s">
        <v>44</v>
      </c>
      <c r="AH72" s="141"/>
      <c r="AI72" s="141" t="s">
        <v>45</v>
      </c>
      <c r="AJ72" s="141"/>
      <c r="AK72" s="170" t="s">
        <v>46</v>
      </c>
      <c r="AL72" s="141"/>
      <c r="AM72" s="141" t="s">
        <v>40</v>
      </c>
      <c r="AN72" s="141"/>
      <c r="AO72" s="141" t="s">
        <v>47</v>
      </c>
      <c r="AP72" s="141"/>
      <c r="AQ72" s="170" t="s">
        <v>48</v>
      </c>
      <c r="AU72" s="44" t="s">
        <v>407</v>
      </c>
      <c r="AX72" s="41">
        <f>CUR_BASE_FUEL</f>
        <v>3.3779999999999998E-2</v>
      </c>
      <c r="AY72" s="41">
        <f>PRO_BASE_FUEL</f>
        <v>3.3779999999999998E-2</v>
      </c>
    </row>
    <row r="73" spans="1:51" ht="17.100000000000001" customHeight="1" x14ac:dyDescent="0.3">
      <c r="F73" s="210"/>
      <c r="H73" s="123"/>
      <c r="I73" s="123"/>
      <c r="J73" s="238"/>
      <c r="K73" s="213"/>
      <c r="L73" s="210"/>
      <c r="M73" s="210"/>
      <c r="N73" s="210"/>
      <c r="O73" s="210"/>
      <c r="P73" s="210"/>
      <c r="Q73" s="210"/>
      <c r="R73" s="210"/>
      <c r="T73" s="191"/>
      <c r="U73" s="191"/>
      <c r="V73" s="191"/>
      <c r="W73" s="191"/>
      <c r="X73" s="191"/>
      <c r="Y73" s="191"/>
      <c r="Z73" s="191"/>
      <c r="AA73" s="271" t="s">
        <v>49</v>
      </c>
      <c r="AB73" s="271"/>
      <c r="AC73" s="270" t="s">
        <v>69</v>
      </c>
      <c r="AD73" s="271"/>
      <c r="AE73" s="271" t="s">
        <v>50</v>
      </c>
      <c r="AF73" s="271"/>
      <c r="AG73" s="274" t="s">
        <v>51</v>
      </c>
      <c r="AH73" s="271"/>
      <c r="AI73" s="271" t="s">
        <v>50</v>
      </c>
      <c r="AJ73" s="271"/>
      <c r="AK73" s="274" t="s">
        <v>51</v>
      </c>
      <c r="AL73" s="271"/>
      <c r="AM73" s="271" t="s">
        <v>50</v>
      </c>
      <c r="AN73" s="271"/>
      <c r="AO73" s="271" t="s">
        <v>50</v>
      </c>
      <c r="AP73" s="271"/>
      <c r="AQ73" s="274" t="s">
        <v>51</v>
      </c>
    </row>
    <row r="74" spans="1:51" x14ac:dyDescent="0.3">
      <c r="C74" s="42"/>
      <c r="F74" s="123"/>
      <c r="H74" s="123"/>
      <c r="I74" s="123"/>
      <c r="J74" s="238"/>
      <c r="K74" s="213"/>
      <c r="L74" s="123"/>
      <c r="M74" s="123"/>
      <c r="N74" s="160"/>
      <c r="O74" s="160"/>
      <c r="P74" s="123"/>
      <c r="Q74" s="123"/>
      <c r="R74" s="123"/>
      <c r="T74" s="41">
        <v>1</v>
      </c>
      <c r="V74" s="132" t="s">
        <v>70</v>
      </c>
      <c r="W74" s="132" t="s">
        <v>71</v>
      </c>
      <c r="X74" s="42"/>
      <c r="Y74" s="1"/>
      <c r="Z74" s="1"/>
      <c r="AA74" s="1"/>
      <c r="AB74" s="1"/>
      <c r="AC74" s="1"/>
      <c r="AD74" s="1"/>
      <c r="AE74" s="1"/>
      <c r="AF74" s="1"/>
      <c r="AG74" s="175"/>
      <c r="AH74" s="1"/>
      <c r="AI74" s="1"/>
      <c r="AJ74" s="1"/>
      <c r="AK74" s="175"/>
      <c r="AL74" s="1"/>
      <c r="AM74" s="1"/>
      <c r="AN74" s="1"/>
      <c r="AO74" s="1"/>
      <c r="AP74" s="1"/>
      <c r="AQ74" s="175"/>
    </row>
    <row r="75" spans="1:51" x14ac:dyDescent="0.3">
      <c r="C75" s="42"/>
      <c r="F75" s="184"/>
      <c r="H75" s="184"/>
      <c r="I75" s="184"/>
      <c r="J75" s="238"/>
      <c r="K75" s="237"/>
      <c r="L75" s="123"/>
      <c r="M75" s="123"/>
      <c r="N75" s="160"/>
      <c r="O75" s="160"/>
      <c r="P75" s="123"/>
      <c r="Q75" s="123"/>
      <c r="R75" s="123"/>
      <c r="S75" s="123"/>
      <c r="T75" s="41">
        <v>2</v>
      </c>
      <c r="V75" s="153"/>
      <c r="W75" s="132" t="s">
        <v>72</v>
      </c>
      <c r="X75" s="42"/>
      <c r="Y75" s="1"/>
      <c r="Z75" s="1"/>
      <c r="AA75" s="1"/>
      <c r="AB75" s="1"/>
      <c r="AC75" s="1"/>
      <c r="AD75" s="1"/>
      <c r="AE75" s="1"/>
      <c r="AF75" s="1"/>
      <c r="AG75" s="175"/>
      <c r="AH75" s="1"/>
      <c r="AI75" s="1"/>
      <c r="AJ75" s="1"/>
      <c r="AK75" s="175"/>
      <c r="AL75" s="1"/>
      <c r="AM75" s="1"/>
      <c r="AN75" s="1"/>
      <c r="AO75" s="1"/>
      <c r="AP75" s="1"/>
      <c r="AQ75" s="175"/>
    </row>
    <row r="76" spans="1:51" x14ac:dyDescent="0.3">
      <c r="C76" s="42"/>
      <c r="F76" s="184"/>
      <c r="H76" s="184"/>
      <c r="I76" s="184"/>
      <c r="J76" s="238"/>
      <c r="K76" s="193"/>
      <c r="L76" s="123"/>
      <c r="M76" s="123"/>
      <c r="N76" s="160"/>
      <c r="O76" s="160"/>
      <c r="P76" s="123"/>
      <c r="Q76" s="123"/>
      <c r="R76" s="123"/>
      <c r="V76" s="153"/>
      <c r="W76" s="153"/>
      <c r="Y76" s="1"/>
      <c r="Z76" s="1"/>
      <c r="AA76" s="1"/>
      <c r="AB76" s="1"/>
      <c r="AC76" s="5"/>
      <c r="AD76" s="1"/>
      <c r="AE76" s="1"/>
      <c r="AF76" s="1"/>
      <c r="AG76" s="175"/>
      <c r="AH76" s="1"/>
      <c r="AI76" s="1"/>
      <c r="AJ76" s="1"/>
      <c r="AK76" s="175"/>
      <c r="AL76" s="1"/>
      <c r="AM76" s="1"/>
      <c r="AN76" s="1"/>
      <c r="AO76" s="1"/>
      <c r="AP76" s="1"/>
      <c r="AQ76" s="175"/>
    </row>
    <row r="77" spans="1:51" x14ac:dyDescent="0.3">
      <c r="C77" s="42"/>
      <c r="F77" s="184"/>
      <c r="H77" s="184"/>
      <c r="I77" s="184"/>
      <c r="J77" s="238"/>
      <c r="K77" s="193"/>
      <c r="L77" s="123"/>
      <c r="M77" s="123"/>
      <c r="N77" s="160"/>
      <c r="O77" s="160"/>
      <c r="P77" s="123"/>
      <c r="Q77" s="123"/>
      <c r="R77" s="123"/>
      <c r="T77" s="41">
        <v>3</v>
      </c>
      <c r="V77" s="178" t="s">
        <v>230</v>
      </c>
      <c r="W77" s="153"/>
      <c r="Y77" s="159"/>
      <c r="Z77" s="3"/>
      <c r="AA77" s="159"/>
      <c r="AB77" s="159"/>
      <c r="AC77" s="258"/>
      <c r="AD77" s="258"/>
      <c r="AE77" s="3"/>
      <c r="AF77" s="3"/>
      <c r="AG77" s="175"/>
      <c r="AH77" s="4"/>
      <c r="AI77" s="3"/>
      <c r="AJ77" s="3"/>
      <c r="AK77" s="175"/>
      <c r="AL77" s="6"/>
      <c r="AM77" s="3"/>
      <c r="AN77" s="3"/>
      <c r="AO77" s="3"/>
      <c r="AP77" s="3"/>
      <c r="AQ77" s="175"/>
    </row>
    <row r="78" spans="1:51" x14ac:dyDescent="0.3">
      <c r="C78" s="42"/>
      <c r="F78" s="184"/>
      <c r="H78" s="184"/>
      <c r="I78" s="184"/>
      <c r="J78" s="238"/>
      <c r="K78" s="193"/>
      <c r="L78" s="123"/>
      <c r="M78" s="123"/>
      <c r="N78" s="160"/>
      <c r="O78" s="160"/>
      <c r="P78" s="123"/>
      <c r="Q78" s="123"/>
      <c r="R78" s="123"/>
      <c r="T78" s="41">
        <v>4</v>
      </c>
      <c r="V78" s="42" t="s">
        <v>231</v>
      </c>
      <c r="Y78" s="159">
        <f>F22</f>
        <v>5338</v>
      </c>
      <c r="Z78" s="3"/>
      <c r="AA78" s="159">
        <f>H22</f>
        <v>379443</v>
      </c>
      <c r="AB78" s="159"/>
      <c r="AC78" s="238">
        <v>11.78</v>
      </c>
      <c r="AD78" s="258"/>
      <c r="AE78" s="3">
        <f>ROUND(Y78*AC78,0)</f>
        <v>62882</v>
      </c>
      <c r="AF78" s="3"/>
      <c r="AG78" s="175">
        <f>ROUND((AE78/AE$108)*100,1)</f>
        <v>24.5</v>
      </c>
      <c r="AH78" s="4"/>
      <c r="AI78" s="3">
        <f>L22-AE78</f>
        <v>8967</v>
      </c>
      <c r="AJ78" s="3"/>
      <c r="AK78" s="175">
        <f>IF(AE78=0,"0.0 ",ROUND((AI78/AE78)*100,1))</f>
        <v>14.3</v>
      </c>
      <c r="AL78" s="6"/>
      <c r="AM78" s="3">
        <f>ROUND((AM$108/AA$108)*AA78,0)</f>
        <v>1323</v>
      </c>
      <c r="AN78" s="3"/>
      <c r="AO78" s="3">
        <f>AM78+AE78</f>
        <v>64205</v>
      </c>
      <c r="AP78" s="3"/>
      <c r="AQ78" s="175">
        <f>IF(AO78=0,"0.0 ",ROUND((AI78/AO78)*100,1))</f>
        <v>14</v>
      </c>
      <c r="AU78" s="188">
        <f>AC78-AX78</f>
        <v>9.379999999999999</v>
      </c>
      <c r="AW78" s="123">
        <f>853</f>
        <v>853</v>
      </c>
      <c r="AX78" s="41">
        <f>ROUND((AW78/12)*CUR_BASE_FUEL,2)</f>
        <v>2.4</v>
      </c>
      <c r="AY78" s="41">
        <f>ROUND((AW78/12)*PRO_BASE_FUEL,2)</f>
        <v>2.4</v>
      </c>
    </row>
    <row r="79" spans="1:51" x14ac:dyDescent="0.3">
      <c r="C79" s="42"/>
      <c r="F79" s="184"/>
      <c r="H79" s="184"/>
      <c r="I79" s="184"/>
      <c r="J79" s="238"/>
      <c r="K79" s="193"/>
      <c r="L79" s="123"/>
      <c r="M79" s="123"/>
      <c r="N79" s="160"/>
      <c r="O79" s="160"/>
      <c r="P79" s="123"/>
      <c r="Q79" s="123"/>
      <c r="R79" s="123"/>
      <c r="T79" s="41">
        <v>5</v>
      </c>
      <c r="V79" s="42" t="s">
        <v>232</v>
      </c>
      <c r="Y79" s="159">
        <f>F23</f>
        <v>2105</v>
      </c>
      <c r="Z79" s="3"/>
      <c r="AA79" s="159">
        <f>H23</f>
        <v>153314</v>
      </c>
      <c r="AB79" s="159"/>
      <c r="AC79" s="238">
        <v>11.83</v>
      </c>
      <c r="AD79" s="258"/>
      <c r="AE79" s="3">
        <f>ROUND(Y79*AC79,0)</f>
        <v>24902</v>
      </c>
      <c r="AF79" s="3"/>
      <c r="AG79" s="175">
        <f>ROUND((AE79/AE$108)*100,1)</f>
        <v>9.6999999999999993</v>
      </c>
      <c r="AH79" s="4"/>
      <c r="AI79" s="3">
        <f>L23-AE79</f>
        <v>3558</v>
      </c>
      <c r="AJ79" s="3"/>
      <c r="AK79" s="181">
        <f>IF(AE79=0,"0.0 ",ROUND((AI79/AE79)*100,1))</f>
        <v>14.3</v>
      </c>
      <c r="AL79" s="6"/>
      <c r="AM79" s="3">
        <f>ROUND((AM$108/AA$108)*AA79,0)</f>
        <v>535</v>
      </c>
      <c r="AN79" s="3"/>
      <c r="AO79" s="3">
        <f>AM79+AE79</f>
        <v>25437</v>
      </c>
      <c r="AP79" s="3"/>
      <c r="AQ79" s="181">
        <f>IF(AO79=0,"0.0 ",ROUND((AI79/AO79)*100,1))</f>
        <v>14</v>
      </c>
      <c r="AU79" s="188">
        <f>AC79-AX79</f>
        <v>9.370000000000001</v>
      </c>
      <c r="AW79" s="123">
        <v>874</v>
      </c>
      <c r="AX79" s="41">
        <f>ROUND((AW79/12)*CUR_BASE_FUEL,2)</f>
        <v>2.46</v>
      </c>
      <c r="AY79" s="41">
        <f>ROUND((AW79/12)*PRO_BASE_FUEL,2)</f>
        <v>2.46</v>
      </c>
    </row>
    <row r="80" spans="1:51" x14ac:dyDescent="0.3">
      <c r="C80" s="42"/>
      <c r="F80" s="184"/>
      <c r="H80" s="184"/>
      <c r="I80" s="184"/>
      <c r="J80" s="238"/>
      <c r="K80" s="193"/>
      <c r="L80" s="123"/>
      <c r="M80" s="123"/>
      <c r="N80" s="160"/>
      <c r="O80" s="160"/>
      <c r="P80" s="123"/>
      <c r="Q80" s="123"/>
      <c r="R80" s="123"/>
      <c r="T80" s="41">
        <v>6</v>
      </c>
      <c r="V80" s="42" t="s">
        <v>233</v>
      </c>
      <c r="Y80" s="159">
        <f>F24</f>
        <v>432</v>
      </c>
      <c r="Z80" s="1"/>
      <c r="AA80" s="159">
        <f>H24</f>
        <v>31464</v>
      </c>
      <c r="AB80" s="1"/>
      <c r="AC80" s="238">
        <v>11.83</v>
      </c>
      <c r="AD80" s="1"/>
      <c r="AE80" s="3">
        <f>ROUND(Y80*AC80,0)</f>
        <v>5111</v>
      </c>
      <c r="AF80" s="1"/>
      <c r="AG80" s="175">
        <f>ROUND((AE80/AE$108)*100,1)</f>
        <v>2</v>
      </c>
      <c r="AH80" s="1"/>
      <c r="AI80" s="3">
        <f>L24-AE80</f>
        <v>730</v>
      </c>
      <c r="AJ80" s="1"/>
      <c r="AK80" s="181">
        <f>IF(AE80=0,"0.0 ",ROUND((AI80/AE80)*100,1))</f>
        <v>14.3</v>
      </c>
      <c r="AL80" s="1"/>
      <c r="AM80" s="3">
        <f>ROUND((AM$108/AA$108)*AA80,0)</f>
        <v>110</v>
      </c>
      <c r="AN80" s="1"/>
      <c r="AO80" s="3">
        <f>AM80+AE80</f>
        <v>5221</v>
      </c>
      <c r="AP80" s="1"/>
      <c r="AQ80" s="181">
        <f>IF(AO80=0,"0.0 ",ROUND((AI80/AO80)*100,1))</f>
        <v>14</v>
      </c>
      <c r="AU80" s="188">
        <f>AC80-AX80</f>
        <v>9.370000000000001</v>
      </c>
      <c r="AW80" s="123">
        <v>874</v>
      </c>
      <c r="AX80" s="41">
        <f>ROUND((AW80/12)*CUR_BASE_FUEL,2)</f>
        <v>2.46</v>
      </c>
      <c r="AY80" s="41">
        <f>ROUND((AW80/12)*PRO_BASE_FUEL,2)</f>
        <v>2.46</v>
      </c>
    </row>
    <row r="81" spans="3:51" x14ac:dyDescent="0.3">
      <c r="C81" s="42"/>
      <c r="F81" s="184"/>
      <c r="H81" s="184"/>
      <c r="I81" s="184"/>
      <c r="J81" s="238"/>
      <c r="K81" s="193"/>
      <c r="L81" s="123"/>
      <c r="M81" s="123"/>
      <c r="N81" s="160"/>
      <c r="O81" s="160"/>
      <c r="P81" s="123"/>
      <c r="Q81" s="123"/>
      <c r="R81" s="123"/>
      <c r="T81" s="41">
        <v>7</v>
      </c>
      <c r="V81" s="42" t="s">
        <v>234</v>
      </c>
      <c r="Y81" s="159">
        <f>F25</f>
        <v>120</v>
      </c>
      <c r="Z81" s="1"/>
      <c r="AA81" s="159">
        <f>H25</f>
        <v>8740</v>
      </c>
      <c r="AB81" s="1"/>
      <c r="AC81" s="238">
        <v>11.83</v>
      </c>
      <c r="AD81" s="1"/>
      <c r="AE81" s="3">
        <f>ROUND(Y81*AC81,0)</f>
        <v>1420</v>
      </c>
      <c r="AF81" s="1"/>
      <c r="AG81" s="175">
        <f>ROUND((AE81/AE$108)*100,1)</f>
        <v>0.6</v>
      </c>
      <c r="AH81" s="1"/>
      <c r="AI81" s="3">
        <f>L25-AE81</f>
        <v>202</v>
      </c>
      <c r="AJ81" s="1"/>
      <c r="AK81" s="181">
        <f>IF(AE81=0,"0.0 ",ROUND((AI81/AE81)*100,1))</f>
        <v>14.2</v>
      </c>
      <c r="AL81" s="1"/>
      <c r="AM81" s="3">
        <f>ROUND((AM$108/AA$108)*AA81,0)</f>
        <v>30</v>
      </c>
      <c r="AN81" s="1"/>
      <c r="AO81" s="3">
        <f>AM81+AE81</f>
        <v>1450</v>
      </c>
      <c r="AP81" s="1"/>
      <c r="AQ81" s="181">
        <f>IF(AO81=0,"0.0 ",ROUND((AI81/AO81)*100,1))</f>
        <v>13.9</v>
      </c>
      <c r="AU81" s="188">
        <f>AC81-AX81</f>
        <v>9.370000000000001</v>
      </c>
      <c r="AW81" s="123">
        <v>874</v>
      </c>
      <c r="AX81" s="41">
        <f>ROUND((AW81/12)*CUR_BASE_FUEL,2)</f>
        <v>2.46</v>
      </c>
      <c r="AY81" s="41">
        <f>ROUND((AW81/12)*PRO_BASE_FUEL,2)</f>
        <v>2.46</v>
      </c>
    </row>
    <row r="82" spans="3:51" x14ac:dyDescent="0.3">
      <c r="C82" s="42"/>
      <c r="F82" s="184"/>
      <c r="H82" s="184"/>
      <c r="I82" s="184"/>
      <c r="J82" s="238"/>
      <c r="K82" s="193"/>
      <c r="L82" s="123"/>
      <c r="M82" s="123"/>
      <c r="N82" s="160"/>
      <c r="O82" s="160"/>
      <c r="P82" s="123"/>
      <c r="Q82" s="123"/>
      <c r="R82" s="123"/>
      <c r="Y82" s="1"/>
      <c r="Z82" s="1"/>
      <c r="AA82" s="1"/>
      <c r="AB82" s="1"/>
      <c r="AD82" s="1"/>
      <c r="AE82" s="1"/>
      <c r="AF82" s="1"/>
      <c r="AG82" s="175"/>
      <c r="AH82" s="1"/>
      <c r="AI82" s="1"/>
      <c r="AJ82" s="1"/>
      <c r="AK82" s="175"/>
      <c r="AL82" s="1"/>
      <c r="AM82" s="1"/>
      <c r="AN82" s="1"/>
      <c r="AO82" s="1"/>
      <c r="AP82" s="1"/>
      <c r="AQ82" s="175"/>
    </row>
    <row r="83" spans="3:51" x14ac:dyDescent="0.3">
      <c r="F83" s="123"/>
      <c r="H83" s="123"/>
      <c r="I83" s="123"/>
      <c r="J83" s="238"/>
      <c r="K83" s="213"/>
      <c r="L83" s="210"/>
      <c r="M83" s="210"/>
      <c r="N83" s="210"/>
      <c r="O83" s="210"/>
      <c r="P83" s="210"/>
      <c r="Q83" s="210"/>
      <c r="R83" s="210"/>
      <c r="T83" s="41">
        <v>8</v>
      </c>
      <c r="V83" s="132" t="s">
        <v>409</v>
      </c>
      <c r="Y83" s="3"/>
      <c r="Z83" s="1"/>
      <c r="AA83" s="3"/>
      <c r="AB83" s="3"/>
      <c r="AC83" s="238"/>
      <c r="AD83" s="258"/>
      <c r="AE83" s="3"/>
      <c r="AF83" s="3"/>
      <c r="AG83" s="175"/>
      <c r="AH83" s="4"/>
      <c r="AI83" s="3"/>
      <c r="AJ83" s="3"/>
      <c r="AK83" s="181"/>
      <c r="AL83" s="6"/>
      <c r="AM83" s="3"/>
      <c r="AN83" s="3"/>
      <c r="AO83" s="3"/>
      <c r="AP83" s="3"/>
      <c r="AQ83" s="181"/>
      <c r="AW83" s="123"/>
    </row>
    <row r="84" spans="3:51" x14ac:dyDescent="0.3">
      <c r="F84" s="123"/>
      <c r="H84" s="123"/>
      <c r="I84" s="123"/>
      <c r="J84" s="238"/>
      <c r="K84" s="213"/>
      <c r="L84" s="210"/>
      <c r="M84" s="210"/>
      <c r="N84" s="210"/>
      <c r="O84" s="210"/>
      <c r="P84" s="210"/>
      <c r="Q84" s="210"/>
      <c r="R84" s="210"/>
      <c r="T84" s="41">
        <v>9</v>
      </c>
      <c r="V84" s="42" t="s">
        <v>282</v>
      </c>
      <c r="Y84" s="159">
        <f>F28</f>
        <v>2320</v>
      </c>
      <c r="Z84" s="1"/>
      <c r="AA84" s="159">
        <f>H28</f>
        <v>164913</v>
      </c>
      <c r="AB84" s="3"/>
      <c r="AC84" s="238">
        <v>11.78</v>
      </c>
      <c r="AD84" s="258"/>
      <c r="AE84" s="3">
        <f>ROUND(Y84*AC84,0)</f>
        <v>27330</v>
      </c>
      <c r="AF84" s="3"/>
      <c r="AG84" s="175">
        <f>ROUND((AE84/AE$108)*100,1)</f>
        <v>10.6</v>
      </c>
      <c r="AH84" s="4"/>
      <c r="AI84" s="3">
        <f>L28-AE84</f>
        <v>3897</v>
      </c>
      <c r="AJ84" s="3"/>
      <c r="AK84" s="181">
        <f>IF(AE84=0,"0.0 ",ROUND((AI84/AE84)*100,1))</f>
        <v>14.3</v>
      </c>
      <c r="AL84" s="6"/>
      <c r="AM84" s="3">
        <f>ROUND((AM$108/AA$108)*AA84,0)</f>
        <v>575</v>
      </c>
      <c r="AN84" s="3"/>
      <c r="AO84" s="3">
        <f>AM84+AE84</f>
        <v>27905</v>
      </c>
      <c r="AP84" s="3"/>
      <c r="AQ84" s="181">
        <f>IF(AO84=0,"0.0 ",ROUND((AI84/AO84)*100,1))</f>
        <v>14</v>
      </c>
      <c r="AU84" s="188">
        <f>AC84-AX84</f>
        <v>9.379999999999999</v>
      </c>
      <c r="AW84" s="123">
        <v>853</v>
      </c>
      <c r="AX84" s="41">
        <f>ROUND((AW84/12)*CUR_BASE_FUEL,2)</f>
        <v>2.4</v>
      </c>
      <c r="AY84" s="41">
        <f>ROUND((AW84/12)*PRO_BASE_FUEL,2)</f>
        <v>2.4</v>
      </c>
    </row>
    <row r="85" spans="3:51" x14ac:dyDescent="0.3">
      <c r="F85" s="123"/>
      <c r="H85" s="123"/>
      <c r="I85" s="123"/>
      <c r="J85" s="238"/>
      <c r="K85" s="213"/>
      <c r="L85" s="210"/>
      <c r="M85" s="210"/>
      <c r="N85" s="210"/>
      <c r="O85" s="210"/>
      <c r="P85" s="210"/>
      <c r="Q85" s="210"/>
      <c r="R85" s="210"/>
      <c r="T85" s="41">
        <v>10</v>
      </c>
      <c r="V85" s="42" t="s">
        <v>410</v>
      </c>
      <c r="Y85" s="159">
        <f>F29</f>
        <v>0</v>
      </c>
      <c r="Z85" s="1"/>
      <c r="AA85" s="159">
        <f>H29</f>
        <v>0</v>
      </c>
      <c r="AB85" s="3"/>
      <c r="AC85" s="238">
        <v>11.83</v>
      </c>
      <c r="AD85" s="258"/>
      <c r="AE85" s="3">
        <f>ROUND(Y85*AC85,0)</f>
        <v>0</v>
      </c>
      <c r="AF85" s="3"/>
      <c r="AG85" s="175">
        <f>ROUND((AE85/AE$108)*100,1)</f>
        <v>0</v>
      </c>
      <c r="AH85" s="4"/>
      <c r="AI85" s="3">
        <f>L29-AE85</f>
        <v>0</v>
      </c>
      <c r="AJ85" s="3"/>
      <c r="AK85" s="181" t="str">
        <f>IF(AE85=0,"0.0 ",ROUND((AI85/AE85)*100,1))</f>
        <v xml:space="preserve">0.0 </v>
      </c>
      <c r="AL85" s="6"/>
      <c r="AM85" s="3">
        <f>ROUND((AM$108/AA$108)*AA85,0)</f>
        <v>0</v>
      </c>
      <c r="AN85" s="3"/>
      <c r="AO85" s="3">
        <f>AM85+AE85</f>
        <v>0</v>
      </c>
      <c r="AP85" s="3"/>
      <c r="AQ85" s="181" t="str">
        <f>IF(AO85=0,"0.0 ",ROUND((AI85/AO85)*100,1))</f>
        <v xml:space="preserve">0.0 </v>
      </c>
      <c r="AU85" s="188">
        <f>AC85-AX85</f>
        <v>9.370000000000001</v>
      </c>
      <c r="AW85" s="123">
        <v>874</v>
      </c>
      <c r="AX85" s="41">
        <f>ROUND((AW85/12)*CUR_BASE_FUEL,2)</f>
        <v>2.46</v>
      </c>
      <c r="AY85" s="41">
        <f>ROUND((AW85/12)*PRO_BASE_FUEL,2)</f>
        <v>2.46</v>
      </c>
    </row>
    <row r="86" spans="3:51" x14ac:dyDescent="0.3">
      <c r="F86" s="123"/>
      <c r="H86" s="123"/>
      <c r="I86" s="123"/>
      <c r="J86" s="238"/>
      <c r="K86" s="213"/>
      <c r="L86" s="210"/>
      <c r="M86" s="210"/>
      <c r="N86" s="210"/>
      <c r="O86" s="210"/>
      <c r="P86" s="210"/>
      <c r="Q86" s="210"/>
      <c r="R86" s="210"/>
      <c r="T86" s="41">
        <v>11</v>
      </c>
      <c r="V86" s="42" t="s">
        <v>411</v>
      </c>
      <c r="Y86" s="159">
        <f>F30</f>
        <v>362</v>
      </c>
      <c r="Z86" s="1"/>
      <c r="AA86" s="159">
        <f>H30</f>
        <v>26366</v>
      </c>
      <c r="AB86" s="3"/>
      <c r="AC86" s="238">
        <v>11.83</v>
      </c>
      <c r="AD86" s="258"/>
      <c r="AE86" s="3">
        <f>ROUND(Y86*AC86,0)</f>
        <v>4282</v>
      </c>
      <c r="AF86" s="3"/>
      <c r="AG86" s="175">
        <f>ROUND((AE86/AE$108)*100,1)</f>
        <v>1.7</v>
      </c>
      <c r="AH86" s="4"/>
      <c r="AI86" s="3">
        <f>L30-AE86</f>
        <v>612</v>
      </c>
      <c r="AJ86" s="3"/>
      <c r="AK86" s="181">
        <f>IF(AE86=0,"0.0 ",ROUND((AI86/AE86)*100,1))</f>
        <v>14.3</v>
      </c>
      <c r="AL86" s="6"/>
      <c r="AM86" s="3">
        <f>ROUND((AM$108/AA$108)*AA86,0)</f>
        <v>92</v>
      </c>
      <c r="AN86" s="3"/>
      <c r="AO86" s="3">
        <f>AM86+AE86</f>
        <v>4374</v>
      </c>
      <c r="AP86" s="3"/>
      <c r="AQ86" s="181">
        <f>IF(AO86=0,"0.0 ",ROUND((AI86/AO86)*100,1))</f>
        <v>14</v>
      </c>
      <c r="AU86" s="188">
        <f>AC86-AX86</f>
        <v>9.370000000000001</v>
      </c>
      <c r="AW86" s="123">
        <v>874</v>
      </c>
      <c r="AX86" s="41">
        <f>ROUND((AW86/12)*CUR_BASE_FUEL,2)</f>
        <v>2.46</v>
      </c>
      <c r="AY86" s="41">
        <f>ROUND((AW86/12)*PRO_BASE_FUEL,2)</f>
        <v>2.46</v>
      </c>
    </row>
    <row r="87" spans="3:51" x14ac:dyDescent="0.3">
      <c r="C87" s="42"/>
      <c r="F87" s="184"/>
      <c r="H87" s="184"/>
      <c r="I87" s="184"/>
      <c r="J87" s="238"/>
      <c r="K87" s="193"/>
      <c r="L87" s="123"/>
      <c r="M87" s="123"/>
      <c r="N87" s="160"/>
      <c r="O87" s="160"/>
      <c r="P87" s="123"/>
      <c r="Q87" s="123"/>
      <c r="R87" s="123"/>
      <c r="Y87" s="1"/>
      <c r="Z87" s="1"/>
      <c r="AA87" s="1"/>
      <c r="AB87" s="1"/>
      <c r="AD87" s="1"/>
      <c r="AE87" s="1"/>
      <c r="AF87" s="1"/>
      <c r="AG87" s="175"/>
      <c r="AH87" s="1"/>
      <c r="AI87" s="1"/>
      <c r="AJ87" s="1"/>
      <c r="AK87" s="175"/>
      <c r="AL87" s="1"/>
      <c r="AM87" s="1"/>
      <c r="AN87" s="1"/>
      <c r="AO87" s="1"/>
      <c r="AP87" s="1"/>
      <c r="AQ87" s="175"/>
    </row>
    <row r="88" spans="3:51" x14ac:dyDescent="0.3">
      <c r="C88" s="42"/>
      <c r="F88" s="184"/>
      <c r="H88" s="184"/>
      <c r="I88" s="184"/>
      <c r="J88" s="238"/>
      <c r="K88" s="193"/>
      <c r="L88" s="123"/>
      <c r="M88" s="123"/>
      <c r="N88" s="160"/>
      <c r="O88" s="160"/>
      <c r="P88" s="123"/>
      <c r="Q88" s="123"/>
      <c r="R88" s="123"/>
      <c r="T88" s="41">
        <v>12</v>
      </c>
      <c r="V88" s="178" t="s">
        <v>235</v>
      </c>
      <c r="Y88" s="1"/>
      <c r="Z88" s="1"/>
      <c r="AA88" s="1"/>
      <c r="AB88" s="1"/>
      <c r="AC88" s="188"/>
      <c r="AD88" s="1"/>
      <c r="AE88" s="1"/>
      <c r="AF88" s="1"/>
      <c r="AG88" s="175"/>
      <c r="AH88" s="1"/>
      <c r="AI88" s="1"/>
      <c r="AJ88" s="1"/>
      <c r="AK88" s="175"/>
      <c r="AL88" s="1"/>
      <c r="AM88" s="1"/>
      <c r="AN88" s="1"/>
      <c r="AO88" s="1"/>
      <c r="AP88" s="1"/>
      <c r="AQ88" s="175"/>
    </row>
    <row r="89" spans="3:51" x14ac:dyDescent="0.3">
      <c r="C89" s="42"/>
      <c r="F89" s="184"/>
      <c r="H89" s="184"/>
      <c r="I89" s="184"/>
      <c r="J89" s="238"/>
      <c r="K89" s="193"/>
      <c r="L89" s="123"/>
      <c r="M89" s="123"/>
      <c r="N89" s="160"/>
      <c r="O89" s="160"/>
      <c r="P89" s="123"/>
      <c r="Q89" s="123"/>
      <c r="R89" s="123"/>
      <c r="T89" s="41">
        <v>13</v>
      </c>
      <c r="V89" s="42" t="s">
        <v>231</v>
      </c>
      <c r="Y89" s="159">
        <f t="shared" ref="Y89:Y95" si="6">F33</f>
        <v>3035</v>
      </c>
      <c r="Z89" s="1"/>
      <c r="AA89" s="159">
        <f t="shared" ref="AA89:AA95" si="7">H33</f>
        <v>123170</v>
      </c>
      <c r="AB89" s="1"/>
      <c r="AC89" s="238">
        <v>12.41</v>
      </c>
      <c r="AD89" s="1"/>
      <c r="AE89" s="3">
        <f t="shared" ref="AE89:AE95" si="8">ROUND(Y89*AC89,0)</f>
        <v>37664</v>
      </c>
      <c r="AF89" s="1"/>
      <c r="AG89" s="175">
        <f t="shared" ref="AG89:AG95" si="9">ROUND((AE89/AE$108)*100,1)</f>
        <v>14.7</v>
      </c>
      <c r="AH89" s="1"/>
      <c r="AI89" s="3">
        <f t="shared" ref="AI89:AI95" si="10">L33-AE89</f>
        <v>5372</v>
      </c>
      <c r="AJ89" s="1"/>
      <c r="AK89" s="181">
        <f t="shared" ref="AK89:AK95" si="11">IF(AE89=0,"0.0 ",ROUND((AI89/AE89)*100,1))</f>
        <v>14.3</v>
      </c>
      <c r="AL89" s="1"/>
      <c r="AM89" s="3">
        <f t="shared" ref="AM89:AM95" si="12">ROUND((AM$108/AA$108)*AA89,0)</f>
        <v>430</v>
      </c>
      <c r="AN89" s="1"/>
      <c r="AO89" s="3">
        <f t="shared" ref="AO89:AO95" si="13">AM89+AE89</f>
        <v>38094</v>
      </c>
      <c r="AP89" s="1"/>
      <c r="AQ89" s="181">
        <f t="shared" ref="AQ89:AQ95" si="14">IF(AO89=0,"0.0 ",ROUND((AI89/AO89)*100,1))</f>
        <v>14.1</v>
      </c>
      <c r="AU89" s="188">
        <f t="shared" ref="AU89:AU95" si="15">AC89-AX89</f>
        <v>11.04</v>
      </c>
      <c r="AW89" s="184">
        <v>487</v>
      </c>
      <c r="AX89" s="41">
        <f t="shared" ref="AX89:AX95" si="16">ROUND((AW89/12)*CUR_BASE_FUEL,2)</f>
        <v>1.37</v>
      </c>
      <c r="AY89" s="41">
        <f t="shared" ref="AY89:AY95" si="17">ROUND((AW89/12)*PRO_BASE_FUEL,2)</f>
        <v>1.37</v>
      </c>
    </row>
    <row r="90" spans="3:51" x14ac:dyDescent="0.3">
      <c r="C90" s="42"/>
      <c r="F90" s="184"/>
      <c r="H90" s="184"/>
      <c r="I90" s="184"/>
      <c r="J90" s="238"/>
      <c r="K90" s="193"/>
      <c r="L90" s="123"/>
      <c r="M90" s="123"/>
      <c r="N90" s="160"/>
      <c r="O90" s="160"/>
      <c r="P90" s="123"/>
      <c r="Q90" s="123"/>
      <c r="R90" s="123"/>
      <c r="T90" s="41">
        <v>15</v>
      </c>
      <c r="V90" s="42" t="s">
        <v>232</v>
      </c>
      <c r="Y90" s="159">
        <f t="shared" si="6"/>
        <v>2290</v>
      </c>
      <c r="Z90" s="1"/>
      <c r="AA90" s="159">
        <f t="shared" si="7"/>
        <v>101523</v>
      </c>
      <c r="AB90" s="1"/>
      <c r="AC90" s="238">
        <v>12.63</v>
      </c>
      <c r="AD90" s="1"/>
      <c r="AE90" s="3">
        <f t="shared" si="8"/>
        <v>28923</v>
      </c>
      <c r="AF90" s="1"/>
      <c r="AG90" s="175">
        <f t="shared" si="9"/>
        <v>11.3</v>
      </c>
      <c r="AH90" s="1"/>
      <c r="AI90" s="3">
        <f t="shared" si="10"/>
        <v>4122</v>
      </c>
      <c r="AJ90" s="1"/>
      <c r="AK90" s="181">
        <f t="shared" si="11"/>
        <v>14.3</v>
      </c>
      <c r="AL90" s="1"/>
      <c r="AM90" s="3">
        <f t="shared" si="12"/>
        <v>354</v>
      </c>
      <c r="AN90" s="1"/>
      <c r="AO90" s="3">
        <f t="shared" si="13"/>
        <v>29277</v>
      </c>
      <c r="AP90" s="1"/>
      <c r="AQ90" s="181">
        <f t="shared" si="14"/>
        <v>14.1</v>
      </c>
      <c r="AU90" s="188">
        <f>AC90-AX90</f>
        <v>11.13</v>
      </c>
      <c r="AW90" s="123">
        <v>532</v>
      </c>
      <c r="AX90" s="41">
        <f>ROUND((AW90/12)*CUR_BASE_FUEL,2)</f>
        <v>1.5</v>
      </c>
      <c r="AY90" s="41">
        <f>ROUND((AW90/12)*PRO_BASE_FUEL,2)</f>
        <v>1.5</v>
      </c>
    </row>
    <row r="91" spans="3:51" x14ac:dyDescent="0.3">
      <c r="C91" s="42"/>
      <c r="F91" s="184"/>
      <c r="H91" s="184"/>
      <c r="I91" s="184"/>
      <c r="J91" s="238"/>
      <c r="K91" s="193"/>
      <c r="L91" s="123"/>
      <c r="M91" s="123"/>
      <c r="N91" s="160"/>
      <c r="O91" s="160"/>
      <c r="P91" s="123"/>
      <c r="Q91" s="123"/>
      <c r="R91" s="123"/>
      <c r="T91" s="41">
        <v>16</v>
      </c>
      <c r="V91" s="45" t="s">
        <v>236</v>
      </c>
      <c r="Y91" s="159">
        <f t="shared" si="6"/>
        <v>696</v>
      </c>
      <c r="Z91" s="1"/>
      <c r="AA91" s="159">
        <f t="shared" si="7"/>
        <v>28246</v>
      </c>
      <c r="AB91" s="1"/>
      <c r="AC91" s="238">
        <v>12.41</v>
      </c>
      <c r="AD91" s="1"/>
      <c r="AE91" s="3">
        <f t="shared" si="8"/>
        <v>8637</v>
      </c>
      <c r="AF91" s="1"/>
      <c r="AG91" s="175">
        <f t="shared" si="9"/>
        <v>3.4</v>
      </c>
      <c r="AH91" s="1"/>
      <c r="AI91" s="3">
        <f t="shared" si="10"/>
        <v>1232</v>
      </c>
      <c r="AJ91" s="1"/>
      <c r="AK91" s="181">
        <f t="shared" si="11"/>
        <v>14.3</v>
      </c>
      <c r="AL91" s="1"/>
      <c r="AM91" s="3">
        <f t="shared" si="12"/>
        <v>98</v>
      </c>
      <c r="AN91" s="1"/>
      <c r="AO91" s="3">
        <f t="shared" si="13"/>
        <v>8735</v>
      </c>
      <c r="AP91" s="1"/>
      <c r="AQ91" s="181">
        <f t="shared" si="14"/>
        <v>14.1</v>
      </c>
      <c r="AU91" s="188">
        <f>AC91-AX91</f>
        <v>11.04</v>
      </c>
      <c r="AW91" s="123">
        <v>487</v>
      </c>
      <c r="AX91" s="41">
        <f>ROUND((AW91/12)*CUR_BASE_FUEL,2)</f>
        <v>1.37</v>
      </c>
      <c r="AY91" s="41">
        <f>ROUND((AW91/12)*PRO_BASE_FUEL,2)</f>
        <v>1.37</v>
      </c>
    </row>
    <row r="92" spans="3:51" x14ac:dyDescent="0.3">
      <c r="C92" s="42"/>
      <c r="F92" s="123"/>
      <c r="H92" s="123"/>
      <c r="I92" s="123"/>
      <c r="J92" s="238"/>
      <c r="K92" s="213"/>
      <c r="L92" s="123"/>
      <c r="M92" s="123"/>
      <c r="N92" s="160"/>
      <c r="O92" s="160"/>
      <c r="P92" s="123"/>
      <c r="Q92" s="123"/>
      <c r="R92" s="123"/>
      <c r="T92" s="41">
        <v>17</v>
      </c>
      <c r="V92" s="42" t="s">
        <v>233</v>
      </c>
      <c r="Y92" s="159">
        <f t="shared" si="6"/>
        <v>952</v>
      </c>
      <c r="Z92" s="1"/>
      <c r="AA92" s="159">
        <f t="shared" si="7"/>
        <v>42205</v>
      </c>
      <c r="AB92" s="159"/>
      <c r="AC92" s="238">
        <v>12.62</v>
      </c>
      <c r="AD92" s="258"/>
      <c r="AE92" s="3">
        <f t="shared" si="8"/>
        <v>12014</v>
      </c>
      <c r="AF92" s="3"/>
      <c r="AG92" s="175">
        <f t="shared" si="9"/>
        <v>4.7</v>
      </c>
      <c r="AH92" s="4"/>
      <c r="AI92" s="3">
        <f t="shared" si="10"/>
        <v>1714</v>
      </c>
      <c r="AJ92" s="3"/>
      <c r="AK92" s="181">
        <f t="shared" si="11"/>
        <v>14.3</v>
      </c>
      <c r="AL92" s="6"/>
      <c r="AM92" s="3">
        <f t="shared" si="12"/>
        <v>147</v>
      </c>
      <c r="AN92" s="3"/>
      <c r="AO92" s="3">
        <f t="shared" si="13"/>
        <v>12161</v>
      </c>
      <c r="AP92" s="3"/>
      <c r="AQ92" s="181">
        <f t="shared" si="14"/>
        <v>14.1</v>
      </c>
      <c r="AU92" s="188">
        <f>AC92-AX92</f>
        <v>11.12</v>
      </c>
      <c r="AW92" s="123">
        <v>532</v>
      </c>
      <c r="AX92" s="41">
        <f>ROUND((AW92/12)*CUR_BASE_FUEL,2)</f>
        <v>1.5</v>
      </c>
      <c r="AY92" s="41">
        <f>ROUND((AW92/12)*PRO_BASE_FUEL,2)</f>
        <v>1.5</v>
      </c>
    </row>
    <row r="93" spans="3:51" x14ac:dyDescent="0.3">
      <c r="C93" s="42"/>
      <c r="F93" s="123"/>
      <c r="H93" s="123"/>
      <c r="I93" s="123"/>
      <c r="J93" s="238"/>
      <c r="K93" s="213"/>
      <c r="L93" s="123"/>
      <c r="M93" s="123"/>
      <c r="N93" s="123"/>
      <c r="O93" s="123"/>
      <c r="P93" s="123"/>
      <c r="Q93" s="123"/>
      <c r="R93" s="123"/>
      <c r="T93" s="41">
        <v>19</v>
      </c>
      <c r="V93" s="42" t="s">
        <v>234</v>
      </c>
      <c r="Y93" s="159">
        <f t="shared" si="6"/>
        <v>2293</v>
      </c>
      <c r="Z93" s="1"/>
      <c r="AA93" s="159">
        <f t="shared" si="7"/>
        <v>101656</v>
      </c>
      <c r="AB93" s="159"/>
      <c r="AC93" s="238">
        <v>12.62</v>
      </c>
      <c r="AD93" s="183"/>
      <c r="AE93" s="3">
        <f t="shared" si="8"/>
        <v>28938</v>
      </c>
      <c r="AF93" s="3"/>
      <c r="AG93" s="175">
        <f t="shared" si="9"/>
        <v>11.3</v>
      </c>
      <c r="AH93" s="4"/>
      <c r="AI93" s="3">
        <f t="shared" si="10"/>
        <v>4127</v>
      </c>
      <c r="AJ93" s="3"/>
      <c r="AK93" s="181">
        <f t="shared" si="11"/>
        <v>14.3</v>
      </c>
      <c r="AL93" s="6"/>
      <c r="AM93" s="3">
        <f t="shared" si="12"/>
        <v>354</v>
      </c>
      <c r="AN93" s="3"/>
      <c r="AO93" s="3">
        <f t="shared" si="13"/>
        <v>29292</v>
      </c>
      <c r="AP93" s="3"/>
      <c r="AQ93" s="181">
        <f t="shared" si="14"/>
        <v>14.1</v>
      </c>
      <c r="AU93" s="188">
        <f>AC93-AX93</f>
        <v>11.12</v>
      </c>
      <c r="AW93" s="123">
        <v>532</v>
      </c>
      <c r="AX93" s="41">
        <f>ROUND((AW93/12)*CUR_BASE_FUEL,2)</f>
        <v>1.5</v>
      </c>
      <c r="AY93" s="41">
        <f>ROUND((AW93/12)*PRO_BASE_FUEL,2)</f>
        <v>1.5</v>
      </c>
    </row>
    <row r="94" spans="3:51" x14ac:dyDescent="0.3">
      <c r="C94" s="42"/>
      <c r="F94" s="184"/>
      <c r="H94" s="184"/>
      <c r="I94" s="184"/>
      <c r="J94" s="238"/>
      <c r="K94" s="193"/>
      <c r="L94" s="123"/>
      <c r="M94" s="123"/>
      <c r="N94" s="160"/>
      <c r="O94" s="160"/>
      <c r="P94" s="123"/>
      <c r="Q94" s="123"/>
      <c r="R94" s="123"/>
      <c r="T94" s="41">
        <v>14</v>
      </c>
      <c r="V94" s="42" t="s">
        <v>282</v>
      </c>
      <c r="Y94" s="159">
        <f t="shared" si="6"/>
        <v>0</v>
      </c>
      <c r="Z94" s="1"/>
      <c r="AA94" s="159">
        <f t="shared" si="7"/>
        <v>0</v>
      </c>
      <c r="AB94" s="1"/>
      <c r="AC94" s="238">
        <v>12.41</v>
      </c>
      <c r="AD94" s="1"/>
      <c r="AE94" s="3">
        <f t="shared" si="8"/>
        <v>0</v>
      </c>
      <c r="AF94" s="1"/>
      <c r="AG94" s="175">
        <f t="shared" si="9"/>
        <v>0</v>
      </c>
      <c r="AH94" s="1"/>
      <c r="AI94" s="3">
        <f t="shared" si="10"/>
        <v>0</v>
      </c>
      <c r="AJ94" s="1"/>
      <c r="AK94" s="181" t="str">
        <f t="shared" si="11"/>
        <v xml:space="preserve">0.0 </v>
      </c>
      <c r="AL94" s="1"/>
      <c r="AM94" s="3">
        <f t="shared" si="12"/>
        <v>0</v>
      </c>
      <c r="AN94" s="1"/>
      <c r="AO94" s="3">
        <f t="shared" si="13"/>
        <v>0</v>
      </c>
      <c r="AP94" s="1"/>
      <c r="AQ94" s="181" t="str">
        <f t="shared" si="14"/>
        <v xml:space="preserve">0.0 </v>
      </c>
      <c r="AU94" s="188">
        <f t="shared" si="15"/>
        <v>11.04</v>
      </c>
      <c r="AW94" s="184">
        <v>487</v>
      </c>
      <c r="AX94" s="41">
        <f t="shared" si="16"/>
        <v>1.37</v>
      </c>
      <c r="AY94" s="41">
        <f t="shared" si="17"/>
        <v>1.37</v>
      </c>
    </row>
    <row r="95" spans="3:51" x14ac:dyDescent="0.3">
      <c r="C95" s="42"/>
      <c r="F95" s="123"/>
      <c r="H95" s="123"/>
      <c r="I95" s="123"/>
      <c r="J95" s="238"/>
      <c r="K95" s="213"/>
      <c r="L95" s="123"/>
      <c r="M95" s="123"/>
      <c r="N95" s="160"/>
      <c r="O95" s="160"/>
      <c r="P95" s="123"/>
      <c r="Q95" s="123"/>
      <c r="R95" s="123"/>
      <c r="T95" s="41">
        <v>18</v>
      </c>
      <c r="V95" s="42" t="s">
        <v>269</v>
      </c>
      <c r="Y95" s="159">
        <f t="shared" si="6"/>
        <v>84</v>
      </c>
      <c r="Z95" s="1"/>
      <c r="AA95" s="159">
        <f t="shared" si="7"/>
        <v>3724</v>
      </c>
      <c r="AB95" s="159"/>
      <c r="AC95" s="238">
        <v>12.62</v>
      </c>
      <c r="AD95" s="258"/>
      <c r="AE95" s="3">
        <f t="shared" si="8"/>
        <v>1060</v>
      </c>
      <c r="AF95" s="3"/>
      <c r="AG95" s="175">
        <f t="shared" si="9"/>
        <v>0.4</v>
      </c>
      <c r="AH95" s="4"/>
      <c r="AI95" s="3">
        <f t="shared" si="10"/>
        <v>151</v>
      </c>
      <c r="AJ95" s="3"/>
      <c r="AK95" s="181">
        <f t="shared" si="11"/>
        <v>14.2</v>
      </c>
      <c r="AL95" s="6"/>
      <c r="AM95" s="3">
        <f t="shared" si="12"/>
        <v>13</v>
      </c>
      <c r="AN95" s="3"/>
      <c r="AO95" s="3">
        <f t="shared" si="13"/>
        <v>1073</v>
      </c>
      <c r="AP95" s="3"/>
      <c r="AQ95" s="181">
        <f t="shared" si="14"/>
        <v>14.1</v>
      </c>
      <c r="AU95" s="188">
        <f t="shared" si="15"/>
        <v>11.12</v>
      </c>
      <c r="AW95" s="123">
        <v>532</v>
      </c>
      <c r="AX95" s="41">
        <f t="shared" si="16"/>
        <v>1.5</v>
      </c>
      <c r="AY95" s="41">
        <f t="shared" si="17"/>
        <v>1.5</v>
      </c>
    </row>
    <row r="96" spans="3:51" x14ac:dyDescent="0.3">
      <c r="C96" s="42"/>
      <c r="F96" s="123"/>
      <c r="H96" s="123"/>
      <c r="I96" s="123"/>
      <c r="J96" s="238"/>
      <c r="K96" s="213"/>
      <c r="L96" s="123"/>
      <c r="M96" s="123"/>
      <c r="N96" s="123"/>
      <c r="O96" s="123"/>
      <c r="P96" s="123"/>
      <c r="Q96" s="123"/>
      <c r="R96" s="123"/>
      <c r="V96" s="42"/>
      <c r="Y96" s="159"/>
      <c r="Z96" s="3"/>
      <c r="AA96" s="159"/>
      <c r="AB96" s="159"/>
      <c r="AC96" s="238"/>
      <c r="AD96" s="183"/>
      <c r="AE96" s="3"/>
      <c r="AF96" s="3"/>
      <c r="AG96" s="175"/>
      <c r="AH96" s="4"/>
      <c r="AI96" s="3"/>
      <c r="AJ96" s="3"/>
      <c r="AK96" s="175"/>
      <c r="AL96" s="6"/>
      <c r="AM96" s="3"/>
      <c r="AN96" s="3"/>
      <c r="AO96" s="3"/>
      <c r="AP96" s="3"/>
      <c r="AQ96" s="175"/>
      <c r="AW96" s="123"/>
    </row>
    <row r="97" spans="3:51" x14ac:dyDescent="0.3">
      <c r="C97" s="42"/>
      <c r="F97" s="123"/>
      <c r="H97" s="123"/>
      <c r="I97" s="123"/>
      <c r="J97" s="238"/>
      <c r="K97" s="213"/>
      <c r="L97" s="123"/>
      <c r="M97" s="123"/>
      <c r="N97" s="123"/>
      <c r="O97" s="123"/>
      <c r="P97" s="123"/>
      <c r="Q97" s="123"/>
      <c r="R97" s="123"/>
      <c r="T97" s="41">
        <v>20</v>
      </c>
      <c r="V97" s="132" t="s">
        <v>203</v>
      </c>
      <c r="Y97" s="159"/>
      <c r="Z97" s="3"/>
      <c r="AA97" s="159"/>
      <c r="AB97" s="159"/>
      <c r="AC97" s="238"/>
      <c r="AD97" s="183"/>
      <c r="AE97" s="3"/>
      <c r="AF97" s="3"/>
      <c r="AG97" s="175"/>
      <c r="AH97" s="4"/>
      <c r="AI97" s="3"/>
      <c r="AJ97" s="3"/>
      <c r="AK97" s="175"/>
      <c r="AL97" s="6"/>
      <c r="AM97" s="3"/>
      <c r="AN97" s="3"/>
      <c r="AO97" s="3"/>
      <c r="AP97" s="3"/>
      <c r="AQ97" s="175"/>
      <c r="AW97" s="123"/>
    </row>
    <row r="98" spans="3:51" x14ac:dyDescent="0.3">
      <c r="C98" s="42"/>
      <c r="F98" s="123"/>
      <c r="H98" s="184"/>
      <c r="I98" s="184"/>
      <c r="J98" s="238"/>
      <c r="K98" s="238"/>
      <c r="L98" s="123"/>
      <c r="M98" s="123"/>
      <c r="N98" s="160"/>
      <c r="O98" s="160"/>
      <c r="P98" s="123"/>
      <c r="Q98" s="123"/>
      <c r="R98" s="123"/>
      <c r="T98" s="41">
        <v>21</v>
      </c>
      <c r="V98" s="45" t="s">
        <v>239</v>
      </c>
      <c r="Y98" s="159">
        <f>F42</f>
        <v>480</v>
      </c>
      <c r="Z98" s="3"/>
      <c r="AA98" s="159">
        <f>H42</f>
        <v>40920</v>
      </c>
      <c r="AB98" s="159"/>
      <c r="AC98" s="238">
        <v>18.14</v>
      </c>
      <c r="AD98" s="258"/>
      <c r="AE98" s="3">
        <f>ROUND(Y98*AC98,0)</f>
        <v>8707</v>
      </c>
      <c r="AF98" s="3"/>
      <c r="AG98" s="175">
        <f>ROUND((AE98/AE$108)*100,1)</f>
        <v>3.4</v>
      </c>
      <c r="AH98" s="4"/>
      <c r="AI98" s="3">
        <f>L42-AE98</f>
        <v>1243</v>
      </c>
      <c r="AJ98" s="3"/>
      <c r="AK98" s="181">
        <f>IF(AE98=0,"0.0 ",ROUND((AI98/AE98)*100,1))</f>
        <v>14.3</v>
      </c>
      <c r="AL98" s="6"/>
      <c r="AM98" s="3">
        <f>ROUND((AM$108/AA$108)*AA98,0)</f>
        <v>143</v>
      </c>
      <c r="AN98" s="3"/>
      <c r="AO98" s="3">
        <f>AM98+AE98</f>
        <v>8850</v>
      </c>
      <c r="AP98" s="3"/>
      <c r="AQ98" s="181">
        <f>IF(AO98=0,"0.0 ",ROUND((AI98/AO98)*100,1))</f>
        <v>14</v>
      </c>
      <c r="AU98" s="188">
        <f>AC98-AX98</f>
        <v>15.260000000000002</v>
      </c>
      <c r="AW98" s="123">
        <v>1023</v>
      </c>
      <c r="AX98" s="41">
        <f>ROUND((AW98/12)*CUR_BASE_FUEL,2)</f>
        <v>2.88</v>
      </c>
      <c r="AY98" s="41">
        <f>ROUND((AW98/12)*PRO_BASE_FUEL,2)</f>
        <v>2.88</v>
      </c>
    </row>
    <row r="99" spans="3:51" x14ac:dyDescent="0.3">
      <c r="F99" s="123"/>
      <c r="H99" s="123"/>
      <c r="I99" s="123"/>
      <c r="J99" s="238"/>
      <c r="K99" s="213"/>
      <c r="L99" s="210"/>
      <c r="M99" s="210"/>
      <c r="N99" s="210"/>
      <c r="O99" s="210"/>
      <c r="P99" s="210"/>
      <c r="Q99" s="210"/>
      <c r="R99" s="210"/>
      <c r="T99" s="41">
        <v>22</v>
      </c>
      <c r="V99" s="45" t="s">
        <v>238</v>
      </c>
      <c r="Y99" s="159">
        <f>F43</f>
        <v>24</v>
      </c>
      <c r="Z99" s="3"/>
      <c r="AA99" s="159">
        <f>H43</f>
        <v>3918</v>
      </c>
      <c r="AB99" s="159"/>
      <c r="AC99" s="238">
        <v>24.58</v>
      </c>
      <c r="AD99" s="258"/>
      <c r="AE99" s="3">
        <f>ROUND(Y99*AC99,0)</f>
        <v>590</v>
      </c>
      <c r="AF99" s="3"/>
      <c r="AG99" s="175">
        <f>ROUND((AE99/AE$108)*100,1)</f>
        <v>0.2</v>
      </c>
      <c r="AH99" s="4"/>
      <c r="AI99" s="3">
        <f>L43-AE99</f>
        <v>84</v>
      </c>
      <c r="AJ99" s="3"/>
      <c r="AK99" s="181">
        <f>IF(AE99=0,"0.0 ",ROUND((AI99/AE99)*100,1))</f>
        <v>14.2</v>
      </c>
      <c r="AL99" s="6"/>
      <c r="AM99" s="3">
        <f>ROUND((AM$108/AA$108)*AA99,0)</f>
        <v>14</v>
      </c>
      <c r="AN99" s="3"/>
      <c r="AO99" s="3">
        <f>AM99+AE99</f>
        <v>604</v>
      </c>
      <c r="AP99" s="3"/>
      <c r="AQ99" s="181">
        <f>IF(AO99=0,"0.0 ",ROUND((AI99/AO99)*100,1))</f>
        <v>13.9</v>
      </c>
      <c r="AU99" s="188">
        <f>AC99-AX99</f>
        <v>19.07</v>
      </c>
      <c r="AW99" s="123">
        <v>1959</v>
      </c>
      <c r="AX99" s="41">
        <f>ROUND((AW99/12)*CUR_BASE_FUEL,2)</f>
        <v>5.51</v>
      </c>
      <c r="AY99" s="41">
        <f>ROUND((AW99/12)*PRO_BASE_FUEL,2)</f>
        <v>5.51</v>
      </c>
    </row>
    <row r="100" spans="3:51" x14ac:dyDescent="0.3">
      <c r="F100" s="123"/>
      <c r="H100" s="123"/>
      <c r="I100" s="123"/>
      <c r="J100" s="238"/>
      <c r="K100" s="213"/>
      <c r="L100" s="210"/>
      <c r="M100" s="210"/>
      <c r="N100" s="210"/>
      <c r="O100" s="210"/>
      <c r="P100" s="210"/>
      <c r="Q100" s="210"/>
      <c r="R100" s="210"/>
      <c r="T100" s="41">
        <v>23</v>
      </c>
      <c r="V100" s="41" t="s">
        <v>237</v>
      </c>
      <c r="Y100" s="196">
        <f>F44</f>
        <v>0</v>
      </c>
      <c r="Z100" s="3"/>
      <c r="AA100" s="196">
        <f>H44</f>
        <v>0</v>
      </c>
      <c r="AB100" s="159"/>
      <c r="AC100" s="238">
        <v>24.58</v>
      </c>
      <c r="AD100" s="258"/>
      <c r="AE100" s="49">
        <f>ROUND(Y100*AC100,0)</f>
        <v>0</v>
      </c>
      <c r="AF100" s="3"/>
      <c r="AG100" s="177">
        <f>ROUND((AE100/AE$108)*100,1)</f>
        <v>0</v>
      </c>
      <c r="AH100" s="4"/>
      <c r="AI100" s="49">
        <f>L44-AE100</f>
        <v>0</v>
      </c>
      <c r="AJ100" s="3"/>
      <c r="AK100" s="223" t="str">
        <f>IF(AE100=0,"0.0 ",ROUND((AI100/AE100)*100,1))</f>
        <v xml:space="preserve">0.0 </v>
      </c>
      <c r="AL100" s="6"/>
      <c r="AM100" s="49">
        <f>ROUND((AM$108/AA$108)*AA100,0)</f>
        <v>0</v>
      </c>
      <c r="AN100" s="3"/>
      <c r="AO100" s="49">
        <f>AM100+AE100</f>
        <v>0</v>
      </c>
      <c r="AP100" s="3"/>
      <c r="AQ100" s="223" t="str">
        <f>IF(AO100=0,"0.0 ",ROUND((AI100/AO100)*100,1))</f>
        <v xml:space="preserve">0.0 </v>
      </c>
      <c r="AU100" s="188">
        <f>AC100-AX100</f>
        <v>19.07</v>
      </c>
      <c r="AW100" s="123">
        <v>1959</v>
      </c>
      <c r="AX100" s="41">
        <f>ROUND((AW100/12)*CUR_BASE_FUEL,2)</f>
        <v>5.51</v>
      </c>
      <c r="AY100" s="41">
        <f>ROUND((AW100/12)*PRO_BASE_FUEL,2)</f>
        <v>5.51</v>
      </c>
    </row>
    <row r="101" spans="3:51" ht="20.100000000000001" customHeight="1" x14ac:dyDescent="0.3">
      <c r="F101" s="123"/>
      <c r="H101" s="123"/>
      <c r="I101" s="123"/>
      <c r="J101" s="238"/>
      <c r="K101" s="213"/>
      <c r="L101" s="210"/>
      <c r="M101" s="210"/>
      <c r="N101" s="210"/>
      <c r="O101" s="210"/>
      <c r="P101" s="210"/>
      <c r="Q101" s="210"/>
      <c r="R101" s="210"/>
      <c r="T101" s="41">
        <v>24</v>
      </c>
      <c r="V101" s="178" t="s">
        <v>474</v>
      </c>
      <c r="Y101" s="262">
        <f>SUM(Y78:Y100)</f>
        <v>20531</v>
      </c>
      <c r="Z101" s="3"/>
      <c r="AA101" s="262">
        <f>SUM(AA78:AA100)</f>
        <v>1209602</v>
      </c>
      <c r="AB101" s="159"/>
      <c r="AC101" s="238"/>
      <c r="AD101" s="258"/>
      <c r="AE101" s="262">
        <f>SUM(AE78:AE100)</f>
        <v>252460</v>
      </c>
      <c r="AF101" s="3"/>
      <c r="AG101" s="180">
        <f>ROUND((AE101/AE$108)*100,1)</f>
        <v>98.3</v>
      </c>
      <c r="AH101" s="4"/>
      <c r="AI101" s="262">
        <f>SUM(AI78:AI100)</f>
        <v>36011</v>
      </c>
      <c r="AJ101" s="3"/>
      <c r="AK101" s="224">
        <f>IF(AE101=0,"0.0 ",ROUND((AI101/AE101)*100,1))</f>
        <v>14.3</v>
      </c>
      <c r="AL101" s="6"/>
      <c r="AM101" s="262">
        <f>SUM(AM78:AM100)</f>
        <v>4218</v>
      </c>
      <c r="AN101" s="3"/>
      <c r="AO101" s="262">
        <f>SUM(AO78:AO100)</f>
        <v>256678</v>
      </c>
      <c r="AP101" s="3"/>
      <c r="AQ101" s="223">
        <f>IF(AO101=0,"0.0 ",ROUND((AI101/AO101)*100,1))</f>
        <v>14</v>
      </c>
      <c r="AU101" s="188"/>
      <c r="AW101" s="123"/>
    </row>
    <row r="102" spans="3:51" x14ac:dyDescent="0.3">
      <c r="F102" s="123"/>
      <c r="H102" s="123"/>
      <c r="I102" s="123"/>
      <c r="J102" s="238"/>
      <c r="K102" s="213"/>
      <c r="L102" s="210"/>
      <c r="M102" s="210"/>
      <c r="N102" s="210"/>
      <c r="O102" s="210"/>
      <c r="P102" s="210"/>
      <c r="Q102" s="210"/>
      <c r="R102" s="210"/>
      <c r="V102" s="178"/>
      <c r="Y102" s="159"/>
      <c r="Z102" s="3"/>
      <c r="AA102" s="159"/>
      <c r="AB102" s="159"/>
      <c r="AC102" s="238"/>
      <c r="AD102" s="258"/>
      <c r="AE102" s="3"/>
      <c r="AF102" s="3"/>
      <c r="AG102" s="175"/>
      <c r="AH102" s="4"/>
      <c r="AI102" s="3"/>
      <c r="AJ102" s="3"/>
      <c r="AK102" s="181"/>
      <c r="AL102" s="6"/>
      <c r="AM102" s="3"/>
      <c r="AN102" s="3"/>
      <c r="AO102" s="3"/>
      <c r="AP102" s="3"/>
      <c r="AQ102" s="181"/>
      <c r="AU102" s="188"/>
      <c r="AW102" s="123"/>
    </row>
    <row r="103" spans="3:51" x14ac:dyDescent="0.3">
      <c r="F103" s="123"/>
      <c r="H103" s="123"/>
      <c r="I103" s="123"/>
      <c r="J103" s="238"/>
      <c r="K103" s="213"/>
      <c r="L103" s="210"/>
      <c r="M103" s="210"/>
      <c r="N103" s="210"/>
      <c r="O103" s="210"/>
      <c r="P103" s="210"/>
      <c r="Q103" s="210"/>
      <c r="R103" s="210"/>
      <c r="T103" s="41">
        <f>A47</f>
        <v>25</v>
      </c>
      <c r="V103" s="132" t="s">
        <v>469</v>
      </c>
      <c r="Y103" s="159"/>
      <c r="Z103" s="3"/>
      <c r="AA103" s="159"/>
      <c r="AB103" s="159"/>
      <c r="AC103" s="238"/>
      <c r="AD103" s="258"/>
      <c r="AE103" s="3"/>
      <c r="AF103" s="3"/>
      <c r="AG103" s="175"/>
      <c r="AH103" s="4"/>
      <c r="AI103" s="3"/>
      <c r="AJ103" s="3"/>
      <c r="AK103" s="181"/>
      <c r="AL103" s="6"/>
      <c r="AM103" s="3"/>
      <c r="AN103" s="3"/>
      <c r="AO103" s="3"/>
      <c r="AP103" s="3"/>
      <c r="AQ103" s="181"/>
      <c r="AU103" s="188"/>
      <c r="AW103" s="123"/>
    </row>
    <row r="104" spans="3:51" x14ac:dyDescent="0.3">
      <c r="F104" s="123"/>
      <c r="H104" s="123"/>
      <c r="I104" s="123"/>
      <c r="J104" s="238"/>
      <c r="K104" s="213"/>
      <c r="L104" s="210"/>
      <c r="M104" s="210"/>
      <c r="N104" s="210"/>
      <c r="O104" s="210"/>
      <c r="P104" s="210"/>
      <c r="Q104" s="210"/>
      <c r="R104" s="210"/>
      <c r="T104" s="41">
        <f>A48</f>
        <v>26</v>
      </c>
      <c r="V104" s="192" t="str">
        <f>C48</f>
        <v>ENVIRONMENTAL SURCHARGE MECHANISM RIDER (ESM)</v>
      </c>
      <c r="Y104" s="159"/>
      <c r="Z104" s="3"/>
      <c r="AA104" s="159"/>
      <c r="AB104" s="159"/>
      <c r="AC104" s="318">
        <f>CUR_ESM_NonRes</f>
        <v>6.4941608437496566E-3</v>
      </c>
      <c r="AD104" s="258"/>
      <c r="AE104" s="3">
        <f>ROUND((AO101-(CUR_BASE_FUEL*AA101)+AO105)*AC104,0)</f>
        <v>1421</v>
      </c>
      <c r="AF104" s="3"/>
      <c r="AG104" s="175">
        <f>ROUND((AE104/AE$108)*100,1)</f>
        <v>0.6</v>
      </c>
      <c r="AH104" s="4"/>
      <c r="AI104" s="3">
        <f>L48-AE104</f>
        <v>57</v>
      </c>
      <c r="AJ104" s="3"/>
      <c r="AK104" s="181">
        <f>IF(AE104=0,"0.0 ",ROUND((AI104/AE104)*100,1))</f>
        <v>4</v>
      </c>
      <c r="AL104" s="6"/>
      <c r="AM104" s="3"/>
      <c r="AN104" s="3"/>
      <c r="AO104" s="3">
        <f>AM104+AE104</f>
        <v>1421</v>
      </c>
      <c r="AP104" s="3"/>
      <c r="AQ104" s="181">
        <f>IF(AO104=0,"0.0 ",ROUND((AI104/AO104)*100,1))</f>
        <v>4</v>
      </c>
      <c r="AU104" s="188"/>
      <c r="AW104" s="123"/>
    </row>
    <row r="105" spans="3:51" x14ac:dyDescent="0.3">
      <c r="F105" s="123"/>
      <c r="H105" s="123"/>
      <c r="I105" s="123"/>
      <c r="J105" s="238"/>
      <c r="K105" s="213"/>
      <c r="L105" s="210"/>
      <c r="M105" s="210"/>
      <c r="N105" s="210"/>
      <c r="O105" s="210"/>
      <c r="P105" s="210"/>
      <c r="Q105" s="210"/>
      <c r="R105" s="210"/>
      <c r="T105" s="41">
        <f>A49</f>
        <v>29</v>
      </c>
      <c r="V105" s="192" t="str">
        <f>C49</f>
        <v>PROFIT SHARING MECHANISM (PSM)</v>
      </c>
      <c r="Y105" s="159"/>
      <c r="Z105" s="3"/>
      <c r="AA105" s="159"/>
      <c r="AB105" s="159"/>
      <c r="AC105" s="198">
        <f>RS_PSM</f>
        <v>2.4750000000000002E-3</v>
      </c>
      <c r="AD105" s="258"/>
      <c r="AE105" s="3">
        <f>ROUND($AA$101*AC105,0)</f>
        <v>2994</v>
      </c>
      <c r="AF105" s="3"/>
      <c r="AG105" s="177">
        <f>ROUND((AE105/AE$108)*100,1)</f>
        <v>1.2</v>
      </c>
      <c r="AH105" s="4"/>
      <c r="AI105" s="49">
        <f>L49-AE105</f>
        <v>0</v>
      </c>
      <c r="AJ105" s="3"/>
      <c r="AK105" s="223">
        <f>IF(AE105=0,"0.0 ",ROUND((AI105/AE105)*100,1))</f>
        <v>0</v>
      </c>
      <c r="AL105" s="6"/>
      <c r="AM105" s="49"/>
      <c r="AN105" s="3"/>
      <c r="AO105" s="49">
        <f>AM105+AE105</f>
        <v>2994</v>
      </c>
      <c r="AP105" s="3"/>
      <c r="AQ105" s="223">
        <f>IF(AO105=0,"0.0 ",ROUND((AI105/AO105)*100,1))</f>
        <v>0</v>
      </c>
      <c r="AU105" s="188"/>
      <c r="AW105" s="123"/>
    </row>
    <row r="106" spans="3:51" x14ac:dyDescent="0.3">
      <c r="F106" s="123"/>
      <c r="H106" s="123"/>
      <c r="I106" s="123"/>
      <c r="J106" s="238"/>
      <c r="K106" s="213"/>
      <c r="L106" s="210"/>
      <c r="M106" s="210"/>
      <c r="N106" s="210"/>
      <c r="O106" s="210"/>
      <c r="P106" s="210"/>
      <c r="Q106" s="210"/>
      <c r="R106" s="210"/>
      <c r="T106" s="41">
        <f>A50</f>
        <v>30</v>
      </c>
      <c r="V106" s="132" t="s">
        <v>465</v>
      </c>
      <c r="Y106" s="196"/>
      <c r="Z106" s="3"/>
      <c r="AA106" s="196"/>
      <c r="AB106" s="159"/>
      <c r="AC106" s="238"/>
      <c r="AD106" s="258"/>
      <c r="AE106" s="145">
        <f>SUM(AE104:AE105)</f>
        <v>4415</v>
      </c>
      <c r="AF106" s="3"/>
      <c r="AG106" s="180">
        <f>ROUND((AE106/AE$108)*100,1)</f>
        <v>1.7</v>
      </c>
      <c r="AH106" s="4"/>
      <c r="AI106" s="145">
        <f>SUM(AI104:AI105)</f>
        <v>57</v>
      </c>
      <c r="AJ106" s="3"/>
      <c r="AK106" s="223">
        <f>IF(AE106=0,"0.0 ",ROUND((AI106/AE106)*100,1))</f>
        <v>1.3</v>
      </c>
      <c r="AL106" s="6"/>
      <c r="AM106" s="145"/>
      <c r="AN106" s="3"/>
      <c r="AO106" s="145">
        <f>SUM(AO104:AO105)</f>
        <v>4415</v>
      </c>
      <c r="AP106" s="3"/>
      <c r="AQ106" s="223">
        <f>IF(AO106=0,"0.0 ",ROUND((AI106/AO106)*100,1))</f>
        <v>1.3</v>
      </c>
      <c r="AU106" s="188"/>
      <c r="AW106" s="123"/>
    </row>
    <row r="107" spans="3:51" x14ac:dyDescent="0.3">
      <c r="F107" s="123"/>
      <c r="H107" s="123"/>
      <c r="I107" s="123"/>
      <c r="J107" s="238"/>
      <c r="K107" s="213"/>
      <c r="L107" s="210"/>
      <c r="M107" s="210"/>
      <c r="N107" s="210"/>
      <c r="O107" s="210"/>
      <c r="P107" s="210"/>
      <c r="Q107" s="210"/>
      <c r="R107" s="210"/>
      <c r="Y107" s="159"/>
      <c r="Z107" s="3"/>
      <c r="AA107" s="159"/>
      <c r="AB107" s="159"/>
      <c r="AC107" s="238"/>
      <c r="AD107" s="258"/>
      <c r="AE107" s="3"/>
      <c r="AF107" s="3"/>
      <c r="AG107" s="175"/>
      <c r="AH107" s="4"/>
      <c r="AI107" s="3"/>
      <c r="AJ107" s="3"/>
      <c r="AK107" s="181"/>
      <c r="AL107" s="6"/>
      <c r="AM107" s="3"/>
      <c r="AN107" s="3"/>
      <c r="AO107" s="3"/>
      <c r="AP107" s="3"/>
      <c r="AQ107" s="181"/>
      <c r="AU107" s="188"/>
      <c r="AW107" s="123"/>
    </row>
    <row r="108" spans="3:51" ht="20.100000000000001" customHeight="1" thickBot="1" x14ac:dyDescent="0.35">
      <c r="J108" s="188"/>
      <c r="T108" s="41">
        <f>A52</f>
        <v>31</v>
      </c>
      <c r="V108" s="132" t="s">
        <v>475</v>
      </c>
      <c r="Y108" s="151">
        <f>Y101</f>
        <v>20531</v>
      </c>
      <c r="Z108" s="3"/>
      <c r="AA108" s="151">
        <f>AA101</f>
        <v>1209602</v>
      </c>
      <c r="AB108" s="3"/>
      <c r="AC108" s="258"/>
      <c r="AD108" s="258"/>
      <c r="AE108" s="151">
        <f>AE106+AE101</f>
        <v>256875</v>
      </c>
      <c r="AF108" s="3"/>
      <c r="AG108" s="187">
        <v>100</v>
      </c>
      <c r="AH108" s="6"/>
      <c r="AI108" s="151">
        <f>AI106+AI101</f>
        <v>36068</v>
      </c>
      <c r="AJ108" s="3"/>
      <c r="AK108" s="187">
        <f>ROUND((AI108/AE108)*100,1)</f>
        <v>14</v>
      </c>
      <c r="AL108" s="6"/>
      <c r="AM108" s="333">
        <f>ROUND(AA108*CUR_FAC,0)</f>
        <v>4218</v>
      </c>
      <c r="AN108" s="3"/>
      <c r="AO108" s="151">
        <f>AO106+AO101</f>
        <v>261093</v>
      </c>
      <c r="AP108" s="3"/>
      <c r="AQ108" s="187">
        <f>ROUND((AI108/AO108)*100,1)</f>
        <v>13.8</v>
      </c>
    </row>
    <row r="109" spans="3:51" ht="16.2" thickTop="1" x14ac:dyDescent="0.3">
      <c r="F109" s="123"/>
      <c r="H109" s="123"/>
      <c r="I109" s="123"/>
      <c r="J109" s="238"/>
      <c r="K109" s="213"/>
      <c r="L109" s="210"/>
      <c r="M109" s="210"/>
      <c r="N109" s="210"/>
      <c r="O109" s="210"/>
      <c r="P109" s="210"/>
      <c r="Q109" s="210"/>
      <c r="R109" s="210"/>
      <c r="AC109" s="188"/>
    </row>
    <row r="110" spans="3:51" x14ac:dyDescent="0.3">
      <c r="C110" s="42"/>
      <c r="F110" s="123"/>
      <c r="H110" s="123"/>
      <c r="I110" s="123"/>
      <c r="J110" s="188"/>
      <c r="K110" s="219"/>
      <c r="L110" s="123"/>
      <c r="M110" s="123"/>
      <c r="N110" s="160"/>
      <c r="O110" s="160"/>
      <c r="P110" s="123"/>
      <c r="Q110" s="123"/>
      <c r="R110" s="123"/>
      <c r="V110" s="202" t="s">
        <v>76</v>
      </c>
      <c r="AC110" s="188"/>
    </row>
    <row r="111" spans="3:51" x14ac:dyDescent="0.3">
      <c r="C111" s="42"/>
      <c r="F111" s="123"/>
      <c r="H111" s="123"/>
      <c r="I111" s="123"/>
      <c r="J111" s="188"/>
      <c r="K111" s="219"/>
      <c r="L111" s="123"/>
      <c r="M111" s="123"/>
      <c r="N111" s="160"/>
      <c r="O111" s="160"/>
      <c r="P111" s="123"/>
      <c r="Q111" s="123"/>
      <c r="R111" s="123"/>
      <c r="V111" s="202" t="str">
        <f>"(2) REFLECTS FUEL COMPONENT OF "&amp;TEXT(CUR_FAC,"$0.000000;($0.000000)")&amp;" PER KWH."</f>
        <v>(2) REFLECTS FUEL COMPONENT OF $0.003487 PER KWH.</v>
      </c>
      <c r="AC111" s="188"/>
    </row>
    <row r="112" spans="3:51" x14ac:dyDescent="0.3">
      <c r="F112" s="123"/>
      <c r="H112" s="123"/>
      <c r="I112" s="123"/>
      <c r="J112" s="238"/>
      <c r="K112" s="213"/>
      <c r="L112" s="210"/>
      <c r="M112" s="210"/>
      <c r="N112" s="210"/>
      <c r="O112" s="210"/>
      <c r="P112" s="210"/>
      <c r="Q112" s="210"/>
      <c r="R112" s="210"/>
      <c r="V112" s="202" t="str">
        <f>"(3) REFLECTS FUEL COST RECOVERY INCLUDED IN BASE RATES OF "&amp;TEXT(CUR_BASE_FUEL,"$0.000000;($0.000000)")&amp;"  PER KWH."</f>
        <v>(3) REFLECTS FUEL COST RECOVERY INCLUDED IN BASE RATES OF $0.033780  PER KWH.</v>
      </c>
      <c r="AC112" s="188"/>
    </row>
    <row r="113" spans="1:40" x14ac:dyDescent="0.3">
      <c r="C113" s="42"/>
      <c r="F113" s="123"/>
      <c r="H113" s="123"/>
      <c r="I113" s="123"/>
      <c r="J113" s="188"/>
      <c r="K113" s="219"/>
      <c r="L113" s="123"/>
      <c r="M113" s="123"/>
      <c r="N113" s="160"/>
      <c r="O113" s="160"/>
      <c r="P113" s="123"/>
      <c r="Q113" s="123"/>
      <c r="R113" s="123"/>
      <c r="T113" s="42"/>
      <c r="AC113" s="188"/>
    </row>
    <row r="114" spans="1:40" x14ac:dyDescent="0.3">
      <c r="C114" s="42"/>
      <c r="F114" s="184"/>
      <c r="H114" s="184"/>
      <c r="I114" s="184"/>
      <c r="J114" s="238"/>
      <c r="K114" s="227"/>
      <c r="L114" s="123"/>
      <c r="M114" s="123"/>
      <c r="N114" s="160"/>
      <c r="O114" s="160"/>
      <c r="P114" s="123"/>
      <c r="Q114" s="123"/>
      <c r="R114" s="123"/>
      <c r="V114" s="123"/>
      <c r="Y114" s="210"/>
      <c r="Z114" s="213"/>
      <c r="AA114" s="210"/>
      <c r="AB114" s="210"/>
      <c r="AC114" s="249"/>
      <c r="AD114" s="210"/>
      <c r="AE114" s="210"/>
      <c r="AF114" s="210"/>
      <c r="AI114" s="210"/>
      <c r="AJ114" s="210"/>
      <c r="AK114" s="214"/>
      <c r="AL114" s="210"/>
      <c r="AM114" s="160"/>
      <c r="AN114" s="160"/>
    </row>
    <row r="115" spans="1:40" x14ac:dyDescent="0.3">
      <c r="F115" s="210"/>
      <c r="H115" s="210"/>
      <c r="I115" s="210"/>
      <c r="J115" s="238"/>
      <c r="K115" s="213"/>
      <c r="L115" s="210"/>
      <c r="M115" s="210"/>
      <c r="N115" s="210"/>
      <c r="O115" s="210"/>
      <c r="P115" s="210"/>
      <c r="Q115" s="210"/>
      <c r="R115" s="210"/>
      <c r="T115" s="42"/>
      <c r="V115" s="123"/>
      <c r="Y115" s="123"/>
      <c r="Z115" s="213"/>
      <c r="AA115" s="123"/>
      <c r="AB115" s="123"/>
      <c r="AC115" s="188"/>
      <c r="AD115" s="123"/>
      <c r="AE115" s="123"/>
      <c r="AF115" s="123"/>
      <c r="AH115" s="236"/>
      <c r="AI115" s="123"/>
      <c r="AJ115" s="123"/>
      <c r="AL115" s="123"/>
      <c r="AM115" s="160"/>
      <c r="AN115" s="160"/>
    </row>
    <row r="116" spans="1:40" x14ac:dyDescent="0.3">
      <c r="C116" s="42"/>
      <c r="F116" s="123"/>
      <c r="H116" s="123"/>
      <c r="I116" s="123"/>
      <c r="J116" s="238"/>
      <c r="K116" s="213"/>
      <c r="L116" s="123"/>
      <c r="M116" s="123"/>
      <c r="N116" s="160"/>
      <c r="O116" s="160"/>
      <c r="P116" s="123"/>
      <c r="Q116" s="123"/>
      <c r="R116" s="123"/>
      <c r="S116" s="123"/>
      <c r="T116" s="42"/>
      <c r="V116" s="123"/>
      <c r="Y116" s="123"/>
      <c r="Z116" s="238"/>
      <c r="AA116" s="123"/>
      <c r="AB116" s="123"/>
      <c r="AC116" s="188"/>
      <c r="AD116" s="160"/>
      <c r="AE116" s="123"/>
      <c r="AF116" s="123"/>
      <c r="AH116" s="236"/>
      <c r="AI116" s="123"/>
      <c r="AJ116" s="123"/>
      <c r="AL116" s="123"/>
      <c r="AM116" s="160"/>
      <c r="AN116" s="160"/>
    </row>
    <row r="117" spans="1:40" x14ac:dyDescent="0.3">
      <c r="F117" s="210"/>
      <c r="H117" s="210"/>
      <c r="I117" s="210"/>
      <c r="J117" s="238"/>
      <c r="K117" s="213"/>
      <c r="L117" s="210"/>
      <c r="M117" s="210"/>
      <c r="N117" s="210"/>
      <c r="O117" s="210"/>
      <c r="P117" s="210"/>
      <c r="Q117" s="210"/>
      <c r="R117" s="210"/>
      <c r="S117" s="123"/>
      <c r="T117" s="42"/>
      <c r="Y117" s="123"/>
      <c r="Z117" s="238"/>
      <c r="AA117" s="123"/>
      <c r="AB117" s="123"/>
      <c r="AC117" s="188"/>
      <c r="AD117" s="160"/>
      <c r="AE117" s="123"/>
      <c r="AF117" s="123"/>
      <c r="AH117" s="236"/>
      <c r="AI117" s="123"/>
      <c r="AJ117" s="123"/>
      <c r="AL117" s="123"/>
      <c r="AM117" s="160"/>
      <c r="AN117" s="160"/>
    </row>
    <row r="118" spans="1:40" x14ac:dyDescent="0.3">
      <c r="C118" s="42"/>
      <c r="J118" s="188"/>
      <c r="V118" s="123"/>
      <c r="Y118" s="123"/>
      <c r="Z118" s="213"/>
      <c r="AA118" s="210"/>
      <c r="AB118" s="210"/>
      <c r="AC118" s="249"/>
      <c r="AD118" s="210"/>
      <c r="AE118" s="210"/>
      <c r="AF118" s="210"/>
      <c r="AI118" s="210"/>
      <c r="AJ118" s="210"/>
      <c r="AK118" s="214"/>
      <c r="AL118" s="210"/>
      <c r="AM118" s="160"/>
      <c r="AN118" s="160"/>
    </row>
    <row r="119" spans="1:40" x14ac:dyDescent="0.3">
      <c r="C119" s="42"/>
      <c r="F119" s="123"/>
      <c r="H119" s="123"/>
      <c r="I119" s="123"/>
      <c r="J119" s="188"/>
      <c r="L119" s="123"/>
      <c r="M119" s="123"/>
      <c r="N119" s="160"/>
      <c r="O119" s="160"/>
      <c r="P119" s="184"/>
      <c r="Q119" s="184"/>
      <c r="R119" s="123"/>
      <c r="T119" s="42"/>
      <c r="V119" s="123"/>
      <c r="Y119" s="123"/>
      <c r="Z119" s="219"/>
      <c r="AA119" s="123"/>
      <c r="AB119" s="123"/>
      <c r="AC119" s="188"/>
      <c r="AD119" s="160"/>
      <c r="AE119" s="123"/>
      <c r="AF119" s="123"/>
      <c r="AH119" s="236"/>
      <c r="AI119" s="123"/>
      <c r="AJ119" s="123"/>
      <c r="AL119" s="123"/>
      <c r="AM119" s="160"/>
      <c r="AN119" s="160"/>
    </row>
    <row r="120" spans="1:40" x14ac:dyDescent="0.3">
      <c r="F120" s="210"/>
      <c r="H120" s="210"/>
      <c r="I120" s="210"/>
      <c r="J120" s="238"/>
      <c r="K120" s="213"/>
      <c r="L120" s="210"/>
      <c r="M120" s="210"/>
      <c r="N120" s="210"/>
      <c r="O120" s="210"/>
      <c r="P120" s="210"/>
      <c r="Q120" s="210"/>
      <c r="R120" s="210"/>
      <c r="V120" s="123"/>
      <c r="Y120" s="123"/>
      <c r="Z120" s="213"/>
      <c r="AA120" s="210"/>
      <c r="AB120" s="210"/>
      <c r="AC120" s="249"/>
      <c r="AD120" s="210"/>
      <c r="AE120" s="210"/>
      <c r="AF120" s="210"/>
      <c r="AI120" s="210"/>
      <c r="AJ120" s="210"/>
      <c r="AK120" s="214"/>
      <c r="AL120" s="210"/>
      <c r="AM120" s="160"/>
      <c r="AN120" s="160"/>
    </row>
    <row r="121" spans="1:40" x14ac:dyDescent="0.3">
      <c r="J121" s="188"/>
      <c r="T121" s="42"/>
      <c r="V121" s="123"/>
      <c r="Y121" s="123"/>
      <c r="Z121" s="219"/>
      <c r="AA121" s="123"/>
      <c r="AB121" s="123"/>
      <c r="AC121" s="188"/>
      <c r="AD121" s="160"/>
      <c r="AE121" s="123"/>
      <c r="AF121" s="123"/>
      <c r="AH121" s="236"/>
      <c r="AI121" s="123"/>
      <c r="AJ121" s="123"/>
      <c r="AL121" s="123"/>
      <c r="AM121" s="160"/>
      <c r="AN121" s="160"/>
    </row>
    <row r="122" spans="1:40" x14ac:dyDescent="0.3">
      <c r="C122" s="42"/>
      <c r="J122" s="188"/>
      <c r="L122" s="123"/>
      <c r="M122" s="123"/>
      <c r="N122" s="123"/>
      <c r="O122" s="123"/>
      <c r="P122" s="123"/>
      <c r="Q122" s="123"/>
      <c r="R122" s="123"/>
      <c r="S122" s="123"/>
      <c r="T122" s="42"/>
      <c r="V122" s="184"/>
      <c r="Y122" s="123"/>
      <c r="Z122" s="227"/>
      <c r="AA122" s="123"/>
      <c r="AB122" s="123"/>
      <c r="AC122" s="188"/>
      <c r="AD122" s="160"/>
      <c r="AE122" s="123"/>
      <c r="AF122" s="123"/>
      <c r="AH122" s="236"/>
      <c r="AI122" s="123"/>
      <c r="AJ122" s="123"/>
      <c r="AL122" s="123"/>
      <c r="AM122" s="160"/>
      <c r="AN122" s="160"/>
    </row>
    <row r="123" spans="1:40" x14ac:dyDescent="0.3">
      <c r="A123" s="42"/>
      <c r="J123" s="188"/>
      <c r="V123" s="210"/>
      <c r="Y123" s="210"/>
      <c r="Z123" s="213"/>
      <c r="AA123" s="210"/>
      <c r="AB123" s="210"/>
      <c r="AC123" s="249"/>
      <c r="AD123" s="210"/>
      <c r="AE123" s="210"/>
      <c r="AF123" s="210"/>
      <c r="AI123" s="210"/>
      <c r="AJ123" s="210"/>
      <c r="AK123" s="214"/>
      <c r="AL123" s="210"/>
      <c r="AM123" s="160"/>
      <c r="AN123" s="160"/>
    </row>
    <row r="124" spans="1:40" x14ac:dyDescent="0.3">
      <c r="J124" s="188"/>
      <c r="T124" s="42"/>
      <c r="V124" s="123"/>
      <c r="Y124" s="123"/>
      <c r="Z124" s="213"/>
      <c r="AA124" s="123"/>
      <c r="AB124" s="123"/>
      <c r="AC124" s="188"/>
      <c r="AD124" s="160"/>
      <c r="AE124" s="123"/>
      <c r="AF124" s="123"/>
      <c r="AH124" s="160"/>
      <c r="AI124" s="123"/>
      <c r="AJ124" s="123"/>
      <c r="AL124" s="123"/>
      <c r="AM124" s="160"/>
      <c r="AN124" s="160"/>
    </row>
    <row r="125" spans="1:40" x14ac:dyDescent="0.3">
      <c r="H125" s="42"/>
      <c r="I125" s="42"/>
      <c r="J125" s="188"/>
      <c r="V125" s="210"/>
      <c r="Y125" s="210"/>
      <c r="Z125" s="213"/>
      <c r="AA125" s="210"/>
      <c r="AB125" s="210"/>
      <c r="AC125" s="249"/>
      <c r="AD125" s="210"/>
      <c r="AE125" s="210"/>
      <c r="AF125" s="210"/>
      <c r="AI125" s="210"/>
      <c r="AJ125" s="210"/>
      <c r="AK125" s="214"/>
      <c r="AL125" s="210"/>
      <c r="AM125" s="160"/>
      <c r="AN125" s="160"/>
    </row>
    <row r="126" spans="1:40" x14ac:dyDescent="0.3">
      <c r="J126" s="188"/>
      <c r="T126" s="42"/>
      <c r="AC126" s="188"/>
    </row>
    <row r="127" spans="1:40" x14ac:dyDescent="0.3">
      <c r="J127" s="188"/>
      <c r="L127" s="42"/>
      <c r="M127" s="42"/>
      <c r="AA127" s="42"/>
      <c r="AB127" s="42"/>
      <c r="AC127" s="188"/>
    </row>
    <row r="128" spans="1:40" x14ac:dyDescent="0.3">
      <c r="J128" s="188"/>
      <c r="R128" s="42"/>
      <c r="AC128" s="188"/>
      <c r="AK128" s="206"/>
      <c r="AL128" s="42"/>
    </row>
    <row r="129" spans="1:40" x14ac:dyDescent="0.3">
      <c r="J129" s="188"/>
      <c r="R129" s="42"/>
      <c r="AC129" s="188"/>
      <c r="AK129" s="206"/>
      <c r="AL129" s="42"/>
    </row>
    <row r="130" spans="1:40" x14ac:dyDescent="0.3">
      <c r="A130" s="42"/>
      <c r="J130" s="188"/>
      <c r="R130" s="42"/>
      <c r="AC130" s="188"/>
      <c r="AK130" s="206"/>
      <c r="AL130" s="42"/>
    </row>
    <row r="131" spans="1:40" x14ac:dyDescent="0.3">
      <c r="J131" s="188"/>
      <c r="L131" s="42"/>
      <c r="M131" s="42"/>
      <c r="AA131" s="42"/>
      <c r="AB131" s="42"/>
      <c r="AC131" s="188"/>
    </row>
    <row r="132" spans="1:40" x14ac:dyDescent="0.3">
      <c r="A132" s="135"/>
      <c r="B132" s="135"/>
      <c r="C132" s="135"/>
      <c r="D132" s="135"/>
      <c r="E132" s="135"/>
      <c r="F132" s="135"/>
      <c r="G132" s="135"/>
      <c r="H132" s="135"/>
      <c r="I132" s="135"/>
      <c r="J132" s="244"/>
      <c r="K132" s="135"/>
      <c r="L132" s="135"/>
      <c r="M132" s="135"/>
      <c r="N132" s="135"/>
      <c r="O132" s="135"/>
      <c r="P132" s="135"/>
      <c r="Q132" s="135"/>
      <c r="R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207"/>
      <c r="AH132" s="135"/>
      <c r="AI132" s="135"/>
      <c r="AJ132" s="135"/>
      <c r="AK132" s="207"/>
      <c r="AL132" s="135"/>
      <c r="AM132" s="135"/>
      <c r="AN132" s="135"/>
    </row>
    <row r="133" spans="1:40" x14ac:dyDescent="0.3">
      <c r="J133" s="188"/>
      <c r="L133" s="44"/>
      <c r="M133" s="44"/>
      <c r="N133" s="44"/>
      <c r="O133" s="44"/>
      <c r="R133" s="44"/>
      <c r="AA133" s="44"/>
      <c r="AB133" s="44"/>
      <c r="AC133" s="44"/>
      <c r="AD133" s="44"/>
      <c r="AE133" s="44"/>
      <c r="AF133" s="44"/>
      <c r="AG133" s="168"/>
      <c r="AH133" s="44"/>
      <c r="AK133" s="168"/>
      <c r="AL133" s="44"/>
      <c r="AM133" s="44"/>
      <c r="AN133" s="44"/>
    </row>
    <row r="134" spans="1:40" x14ac:dyDescent="0.3">
      <c r="J134" s="188"/>
      <c r="L134" s="44"/>
      <c r="M134" s="44"/>
      <c r="N134" s="44"/>
      <c r="O134" s="44"/>
      <c r="R134" s="44"/>
      <c r="Z134" s="44"/>
      <c r="AA134" s="44"/>
      <c r="AB134" s="44"/>
      <c r="AC134" s="44"/>
      <c r="AD134" s="44"/>
      <c r="AE134" s="44"/>
      <c r="AF134" s="44"/>
      <c r="AG134" s="168"/>
      <c r="AH134" s="44"/>
      <c r="AK134" s="168"/>
      <c r="AL134" s="44"/>
      <c r="AM134" s="44"/>
      <c r="AN134" s="44"/>
    </row>
    <row r="135" spans="1:40" x14ac:dyDescent="0.3">
      <c r="A135" s="44"/>
      <c r="C135" s="44"/>
      <c r="D135" s="44"/>
      <c r="E135" s="44"/>
      <c r="F135" s="44"/>
      <c r="J135" s="245"/>
      <c r="K135" s="44"/>
      <c r="L135" s="44"/>
      <c r="M135" s="44"/>
      <c r="N135" s="44"/>
      <c r="O135" s="44"/>
      <c r="P135" s="44"/>
      <c r="Q135" s="44"/>
      <c r="R135" s="44"/>
      <c r="T135" s="44"/>
      <c r="U135" s="44"/>
      <c r="V135" s="44"/>
      <c r="Z135" s="44"/>
      <c r="AA135" s="44"/>
      <c r="AB135" s="44"/>
      <c r="AC135" s="44"/>
      <c r="AD135" s="44"/>
      <c r="AE135" s="44"/>
      <c r="AF135" s="44"/>
      <c r="AG135" s="168"/>
      <c r="AH135" s="44"/>
      <c r="AI135" s="44"/>
      <c r="AJ135" s="44"/>
      <c r="AK135" s="168"/>
      <c r="AL135" s="44"/>
      <c r="AM135" s="44"/>
      <c r="AN135" s="44"/>
    </row>
    <row r="136" spans="1:40" x14ac:dyDescent="0.3">
      <c r="A136" s="44"/>
      <c r="C136" s="44"/>
      <c r="D136" s="44"/>
      <c r="E136" s="44"/>
      <c r="F136" s="44"/>
      <c r="H136" s="44"/>
      <c r="I136" s="44"/>
      <c r="J136" s="245"/>
      <c r="K136" s="44"/>
      <c r="L136" s="44"/>
      <c r="M136" s="44"/>
      <c r="N136" s="44"/>
      <c r="O136" s="44"/>
      <c r="P136" s="44"/>
      <c r="Q136" s="44"/>
      <c r="R136" s="44"/>
      <c r="T136" s="44"/>
      <c r="U136" s="44"/>
      <c r="V136" s="44"/>
      <c r="Y136" s="44"/>
      <c r="Z136" s="44"/>
      <c r="AA136" s="44"/>
      <c r="AB136" s="44"/>
      <c r="AC136" s="44"/>
      <c r="AD136" s="44"/>
      <c r="AE136" s="44"/>
      <c r="AF136" s="44"/>
      <c r="AG136" s="168"/>
      <c r="AH136" s="44"/>
      <c r="AI136" s="44"/>
      <c r="AJ136" s="44"/>
      <c r="AK136" s="168"/>
      <c r="AL136" s="44"/>
      <c r="AM136" s="44"/>
      <c r="AN136" s="44"/>
    </row>
    <row r="137" spans="1:40" x14ac:dyDescent="0.3">
      <c r="C137" s="44"/>
      <c r="D137" s="44"/>
      <c r="E137" s="44"/>
      <c r="F137" s="44"/>
      <c r="H137" s="44"/>
      <c r="I137" s="44"/>
      <c r="J137" s="245"/>
      <c r="K137" s="44"/>
      <c r="L137" s="44"/>
      <c r="M137" s="44"/>
      <c r="N137" s="44"/>
      <c r="O137" s="44"/>
      <c r="P137" s="44"/>
      <c r="Q137" s="44"/>
      <c r="R137" s="44"/>
      <c r="T137" s="44"/>
      <c r="U137" s="44"/>
      <c r="V137" s="44"/>
      <c r="Y137" s="44"/>
      <c r="Z137" s="44"/>
      <c r="AA137" s="44"/>
      <c r="AB137" s="44"/>
      <c r="AC137" s="44"/>
      <c r="AD137" s="44"/>
      <c r="AE137" s="44"/>
      <c r="AF137" s="44"/>
      <c r="AG137" s="168"/>
      <c r="AH137" s="44"/>
      <c r="AI137" s="44"/>
      <c r="AJ137" s="44"/>
      <c r="AK137" s="168"/>
      <c r="AL137" s="44"/>
      <c r="AM137" s="44"/>
      <c r="AN137" s="44"/>
    </row>
    <row r="138" spans="1:40" x14ac:dyDescent="0.3">
      <c r="A138" s="135"/>
      <c r="B138" s="135"/>
      <c r="C138" s="135"/>
      <c r="D138" s="135"/>
      <c r="E138" s="135"/>
      <c r="F138" s="135"/>
      <c r="G138" s="135"/>
      <c r="H138" s="135"/>
      <c r="I138" s="135"/>
      <c r="J138" s="244"/>
      <c r="K138" s="135"/>
      <c r="L138" s="135"/>
      <c r="M138" s="135"/>
      <c r="N138" s="135"/>
      <c r="O138" s="135"/>
      <c r="P138" s="135"/>
      <c r="Q138" s="135"/>
      <c r="R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207"/>
      <c r="AH138" s="135"/>
      <c r="AI138" s="135"/>
      <c r="AJ138" s="135"/>
      <c r="AK138" s="207"/>
      <c r="AL138" s="135"/>
      <c r="AM138" s="135"/>
      <c r="AN138" s="135"/>
    </row>
    <row r="139" spans="1:40" x14ac:dyDescent="0.3">
      <c r="H139" s="44"/>
      <c r="I139" s="44"/>
      <c r="J139" s="245"/>
      <c r="K139" s="44"/>
      <c r="L139" s="44"/>
      <c r="M139" s="44"/>
      <c r="N139" s="44"/>
      <c r="O139" s="44"/>
      <c r="P139" s="44"/>
      <c r="Q139" s="44"/>
      <c r="R139" s="44"/>
      <c r="Y139" s="44"/>
      <c r="Z139" s="44"/>
      <c r="AA139" s="44"/>
      <c r="AB139" s="44"/>
      <c r="AC139" s="44"/>
      <c r="AD139" s="44"/>
      <c r="AE139" s="44"/>
      <c r="AF139" s="44"/>
      <c r="AG139" s="168"/>
      <c r="AH139" s="44"/>
      <c r="AI139" s="44"/>
      <c r="AJ139" s="44"/>
      <c r="AK139" s="168"/>
      <c r="AL139" s="44"/>
      <c r="AM139" s="44"/>
      <c r="AN139" s="44"/>
    </row>
    <row r="140" spans="1:40" x14ac:dyDescent="0.3">
      <c r="C140" s="42"/>
      <c r="D140" s="42"/>
      <c r="E140" s="42"/>
      <c r="J140" s="188"/>
      <c r="T140" s="42"/>
      <c r="U140" s="42"/>
    </row>
    <row r="141" spans="1:40" x14ac:dyDescent="0.3">
      <c r="D141" s="42"/>
      <c r="E141" s="42"/>
      <c r="J141" s="188"/>
      <c r="U141" s="42"/>
    </row>
    <row r="142" spans="1:40" x14ac:dyDescent="0.3">
      <c r="J142" s="188"/>
    </row>
    <row r="143" spans="1:40" x14ac:dyDescent="0.3">
      <c r="C143" s="42"/>
      <c r="F143" s="184"/>
      <c r="H143" s="184"/>
      <c r="I143" s="184"/>
      <c r="J143" s="238"/>
      <c r="K143" s="193"/>
      <c r="L143" s="123"/>
      <c r="M143" s="123"/>
      <c r="N143" s="160"/>
      <c r="O143" s="160"/>
      <c r="R143" s="123"/>
      <c r="T143" s="42"/>
      <c r="V143" s="123"/>
      <c r="Y143" s="184"/>
      <c r="Z143" s="193"/>
      <c r="AA143" s="123"/>
      <c r="AB143" s="123"/>
      <c r="AC143" s="160"/>
      <c r="AD143" s="160"/>
      <c r="AE143" s="123"/>
      <c r="AF143" s="123"/>
      <c r="AG143" s="233"/>
      <c r="AH143" s="234"/>
      <c r="AL143" s="123"/>
      <c r="AM143" s="235"/>
      <c r="AN143" s="235"/>
    </row>
    <row r="144" spans="1:40" x14ac:dyDescent="0.3">
      <c r="C144" s="42"/>
      <c r="F144" s="184"/>
      <c r="H144" s="184"/>
      <c r="I144" s="184"/>
      <c r="J144" s="238"/>
      <c r="K144" s="193"/>
      <c r="L144" s="123"/>
      <c r="M144" s="123"/>
      <c r="N144" s="160"/>
      <c r="O144" s="160"/>
      <c r="R144" s="123"/>
      <c r="T144" s="42"/>
      <c r="V144" s="123"/>
      <c r="Y144" s="184"/>
      <c r="Z144" s="193"/>
      <c r="AA144" s="123"/>
      <c r="AB144" s="123"/>
      <c r="AC144" s="160"/>
      <c r="AD144" s="160"/>
      <c r="AE144" s="123"/>
      <c r="AF144" s="123"/>
      <c r="AH144" s="236"/>
      <c r="AL144" s="123"/>
      <c r="AM144" s="160"/>
      <c r="AN144" s="160"/>
    </row>
    <row r="145" spans="3:40" x14ac:dyDescent="0.3">
      <c r="F145" s="210"/>
      <c r="H145" s="123"/>
      <c r="I145" s="123"/>
      <c r="J145" s="238"/>
      <c r="K145" s="213"/>
      <c r="L145" s="210"/>
      <c r="M145" s="210"/>
      <c r="N145" s="210"/>
      <c r="O145" s="210"/>
      <c r="P145" s="210"/>
      <c r="Q145" s="210"/>
      <c r="R145" s="210"/>
      <c r="V145" s="210"/>
      <c r="Y145" s="123"/>
      <c r="Z145" s="213"/>
      <c r="AA145" s="210"/>
      <c r="AB145" s="210"/>
      <c r="AC145" s="210"/>
      <c r="AD145" s="210"/>
      <c r="AE145" s="210"/>
      <c r="AF145" s="210"/>
      <c r="AI145" s="210"/>
      <c r="AJ145" s="210"/>
      <c r="AK145" s="214"/>
      <c r="AL145" s="210"/>
      <c r="AM145" s="160"/>
      <c r="AN145" s="160"/>
    </row>
    <row r="146" spans="3:40" x14ac:dyDescent="0.3">
      <c r="C146" s="42"/>
      <c r="F146" s="123"/>
      <c r="H146" s="123"/>
      <c r="I146" s="123"/>
      <c r="J146" s="238"/>
      <c r="K146" s="213"/>
      <c r="L146" s="123"/>
      <c r="M146" s="123"/>
      <c r="N146" s="160"/>
      <c r="O146" s="160"/>
      <c r="P146" s="123"/>
      <c r="Q146" s="123"/>
      <c r="R146" s="123"/>
      <c r="T146" s="42"/>
      <c r="V146" s="123"/>
      <c r="Y146" s="123"/>
      <c r="Z146" s="219"/>
      <c r="AA146" s="123"/>
      <c r="AB146" s="123"/>
      <c r="AC146" s="160"/>
      <c r="AD146" s="160"/>
      <c r="AE146" s="123"/>
      <c r="AF146" s="123"/>
      <c r="AH146" s="236"/>
      <c r="AI146" s="123"/>
      <c r="AJ146" s="123"/>
      <c r="AL146" s="123"/>
      <c r="AM146" s="160"/>
      <c r="AN146" s="160"/>
    </row>
    <row r="147" spans="3:40" x14ac:dyDescent="0.3">
      <c r="F147" s="210"/>
      <c r="H147" s="123"/>
      <c r="I147" s="123"/>
      <c r="J147" s="238"/>
      <c r="K147" s="213"/>
      <c r="L147" s="210"/>
      <c r="M147" s="210"/>
      <c r="N147" s="210"/>
      <c r="O147" s="210"/>
      <c r="P147" s="210"/>
      <c r="Q147" s="210"/>
      <c r="R147" s="210"/>
      <c r="V147" s="210"/>
      <c r="Y147" s="123"/>
      <c r="Z147" s="213"/>
      <c r="AA147" s="210"/>
      <c r="AB147" s="210"/>
      <c r="AC147" s="210"/>
      <c r="AD147" s="210"/>
      <c r="AE147" s="210"/>
      <c r="AF147" s="210"/>
      <c r="AI147" s="210"/>
      <c r="AJ147" s="210"/>
      <c r="AK147" s="214"/>
      <c r="AL147" s="210"/>
      <c r="AM147" s="160"/>
      <c r="AN147" s="160"/>
    </row>
    <row r="148" spans="3:40" x14ac:dyDescent="0.3">
      <c r="F148" s="123"/>
      <c r="H148" s="123"/>
      <c r="I148" s="123"/>
      <c r="J148" s="238"/>
      <c r="K148" s="213"/>
      <c r="L148" s="123"/>
      <c r="M148" s="123"/>
      <c r="N148" s="160"/>
      <c r="O148" s="160"/>
      <c r="P148" s="123"/>
      <c r="Q148" s="123"/>
      <c r="R148" s="123"/>
      <c r="V148" s="123"/>
      <c r="Y148" s="123"/>
      <c r="Z148" s="219"/>
      <c r="AA148" s="123"/>
      <c r="AB148" s="123"/>
      <c r="AC148" s="160"/>
      <c r="AD148" s="160"/>
      <c r="AE148" s="123"/>
      <c r="AF148" s="123"/>
      <c r="AH148" s="236"/>
      <c r="AI148" s="123"/>
      <c r="AJ148" s="123"/>
      <c r="AL148" s="123"/>
      <c r="AM148" s="160"/>
      <c r="AN148" s="160"/>
    </row>
    <row r="149" spans="3:40" x14ac:dyDescent="0.3">
      <c r="C149" s="42"/>
      <c r="F149" s="184"/>
      <c r="H149" s="184"/>
      <c r="I149" s="184"/>
      <c r="J149" s="238"/>
      <c r="K149" s="193"/>
      <c r="L149" s="123"/>
      <c r="M149" s="123"/>
      <c r="N149" s="160"/>
      <c r="O149" s="160"/>
      <c r="P149" s="123"/>
      <c r="Q149" s="123"/>
      <c r="R149" s="123"/>
      <c r="T149" s="42"/>
      <c r="V149" s="184"/>
      <c r="Y149" s="123"/>
      <c r="Z149" s="193"/>
      <c r="AA149" s="123"/>
      <c r="AB149" s="123"/>
      <c r="AC149" s="160"/>
      <c r="AD149" s="160"/>
      <c r="AE149" s="123"/>
      <c r="AF149" s="123"/>
      <c r="AG149" s="233"/>
      <c r="AH149" s="234"/>
      <c r="AI149" s="123"/>
      <c r="AJ149" s="123"/>
      <c r="AL149" s="123"/>
      <c r="AM149" s="235"/>
      <c r="AN149" s="235"/>
    </row>
    <row r="150" spans="3:40" x14ac:dyDescent="0.3">
      <c r="C150" s="42"/>
      <c r="F150" s="184"/>
      <c r="H150" s="184"/>
      <c r="I150" s="184"/>
      <c r="J150" s="238"/>
      <c r="K150" s="193"/>
      <c r="L150" s="123"/>
      <c r="M150" s="123"/>
      <c r="N150" s="160"/>
      <c r="O150" s="160"/>
      <c r="P150" s="123"/>
      <c r="Q150" s="123"/>
      <c r="R150" s="123"/>
      <c r="T150" s="42"/>
      <c r="V150" s="184"/>
      <c r="Y150" s="123"/>
      <c r="Z150" s="193"/>
      <c r="AA150" s="123"/>
      <c r="AB150" s="123"/>
      <c r="AC150" s="160"/>
      <c r="AD150" s="160"/>
      <c r="AE150" s="123"/>
      <c r="AF150" s="123"/>
      <c r="AH150" s="236"/>
      <c r="AI150" s="123"/>
      <c r="AJ150" s="123"/>
      <c r="AL150" s="123"/>
      <c r="AM150" s="160"/>
      <c r="AN150" s="160"/>
    </row>
    <row r="151" spans="3:40" x14ac:dyDescent="0.3">
      <c r="F151" s="123"/>
      <c r="H151" s="210"/>
      <c r="I151" s="210"/>
      <c r="J151" s="238"/>
      <c r="K151" s="213"/>
      <c r="L151" s="210"/>
      <c r="M151" s="210"/>
      <c r="N151" s="210"/>
      <c r="O151" s="210"/>
      <c r="P151" s="210"/>
      <c r="Q151" s="210"/>
      <c r="R151" s="210"/>
      <c r="V151" s="123"/>
      <c r="Y151" s="210"/>
      <c r="Z151" s="213"/>
      <c r="AA151" s="210"/>
      <c r="AB151" s="210"/>
      <c r="AC151" s="210"/>
      <c r="AD151" s="210"/>
      <c r="AE151" s="210"/>
      <c r="AF151" s="210"/>
      <c r="AI151" s="210"/>
      <c r="AJ151" s="210"/>
      <c r="AK151" s="214"/>
      <c r="AL151" s="210"/>
      <c r="AM151" s="160"/>
      <c r="AN151" s="160"/>
    </row>
    <row r="152" spans="3:40" x14ac:dyDescent="0.3">
      <c r="C152" s="42"/>
      <c r="F152" s="123"/>
      <c r="H152" s="123"/>
      <c r="I152" s="123"/>
      <c r="J152" s="238"/>
      <c r="K152" s="213"/>
      <c r="L152" s="123"/>
      <c r="M152" s="123"/>
      <c r="N152" s="160"/>
      <c r="O152" s="160"/>
      <c r="P152" s="123"/>
      <c r="Q152" s="123"/>
      <c r="R152" s="123"/>
      <c r="T152" s="42"/>
      <c r="V152" s="123"/>
      <c r="Y152" s="123"/>
      <c r="Z152" s="213"/>
      <c r="AA152" s="123"/>
      <c r="AB152" s="123"/>
      <c r="AC152" s="160"/>
      <c r="AD152" s="160"/>
      <c r="AE152" s="123"/>
      <c r="AF152" s="123"/>
      <c r="AH152" s="236"/>
      <c r="AI152" s="123"/>
      <c r="AJ152" s="123"/>
      <c r="AL152" s="123"/>
      <c r="AM152" s="160"/>
      <c r="AN152" s="160"/>
    </row>
    <row r="153" spans="3:40" x14ac:dyDescent="0.3">
      <c r="F153" s="123"/>
      <c r="H153" s="210"/>
      <c r="I153" s="210"/>
      <c r="J153" s="238"/>
      <c r="K153" s="213"/>
      <c r="L153" s="210"/>
      <c r="M153" s="210"/>
      <c r="N153" s="210"/>
      <c r="O153" s="210"/>
      <c r="P153" s="210"/>
      <c r="Q153" s="210"/>
      <c r="R153" s="210"/>
      <c r="V153" s="123"/>
      <c r="Y153" s="210"/>
      <c r="Z153" s="213"/>
      <c r="AA153" s="210"/>
      <c r="AB153" s="210"/>
      <c r="AC153" s="210"/>
      <c r="AD153" s="210"/>
      <c r="AE153" s="210"/>
      <c r="AF153" s="210"/>
      <c r="AI153" s="210"/>
      <c r="AJ153" s="210"/>
      <c r="AK153" s="214"/>
      <c r="AL153" s="210"/>
      <c r="AM153" s="160"/>
      <c r="AN153" s="160"/>
    </row>
    <row r="154" spans="3:40" x14ac:dyDescent="0.3">
      <c r="F154" s="123"/>
      <c r="H154" s="123"/>
      <c r="I154" s="123"/>
      <c r="J154" s="238"/>
      <c r="K154" s="213"/>
      <c r="L154" s="123"/>
      <c r="M154" s="123"/>
      <c r="N154" s="123"/>
      <c r="O154" s="123"/>
      <c r="P154" s="123"/>
      <c r="Q154" s="123"/>
      <c r="R154" s="123"/>
      <c r="V154" s="123"/>
      <c r="Y154" s="123"/>
      <c r="Z154" s="213"/>
      <c r="AA154" s="123"/>
      <c r="AB154" s="123"/>
      <c r="AC154" s="123"/>
      <c r="AD154" s="123"/>
      <c r="AE154" s="123"/>
      <c r="AF154" s="123"/>
      <c r="AH154" s="236"/>
      <c r="AI154" s="123"/>
      <c r="AJ154" s="123"/>
      <c r="AL154" s="123"/>
      <c r="AM154" s="160"/>
      <c r="AN154" s="160"/>
    </row>
    <row r="155" spans="3:40" x14ac:dyDescent="0.3">
      <c r="C155" s="42"/>
      <c r="F155" s="184"/>
      <c r="H155" s="184"/>
      <c r="I155" s="184"/>
      <c r="J155" s="238"/>
      <c r="K155" s="227"/>
      <c r="L155" s="123"/>
      <c r="M155" s="123"/>
      <c r="N155" s="160"/>
      <c r="O155" s="160"/>
      <c r="P155" s="184"/>
      <c r="Q155" s="184"/>
      <c r="R155" s="123"/>
      <c r="T155" s="42"/>
      <c r="V155" s="184"/>
      <c r="Y155" s="184"/>
      <c r="Z155" s="237"/>
      <c r="AA155" s="123"/>
      <c r="AB155" s="123"/>
      <c r="AC155" s="160"/>
      <c r="AD155" s="160"/>
      <c r="AE155" s="123"/>
      <c r="AF155" s="123"/>
      <c r="AH155" s="236"/>
      <c r="AI155" s="184"/>
      <c r="AJ155" s="184"/>
      <c r="AL155" s="123"/>
      <c r="AM155" s="160"/>
      <c r="AN155" s="160"/>
    </row>
    <row r="156" spans="3:40" x14ac:dyDescent="0.3">
      <c r="C156" s="42"/>
      <c r="F156" s="184"/>
      <c r="H156" s="184"/>
      <c r="I156" s="184"/>
      <c r="J156" s="238"/>
      <c r="K156" s="227"/>
      <c r="L156" s="123"/>
      <c r="M156" s="123"/>
      <c r="N156" s="160"/>
      <c r="O156" s="160"/>
      <c r="P156" s="184"/>
      <c r="Q156" s="184"/>
      <c r="R156" s="123"/>
      <c r="T156" s="42"/>
      <c r="V156" s="184"/>
      <c r="Y156" s="123"/>
      <c r="Z156" s="212"/>
      <c r="AA156" s="123"/>
      <c r="AB156" s="123"/>
      <c r="AC156" s="160"/>
      <c r="AD156" s="160"/>
      <c r="AE156" s="123"/>
      <c r="AF156" s="123"/>
      <c r="AH156" s="236"/>
      <c r="AI156" s="184"/>
      <c r="AJ156" s="184"/>
      <c r="AL156" s="123"/>
      <c r="AM156" s="160"/>
      <c r="AN156" s="160"/>
    </row>
    <row r="157" spans="3:40" x14ac:dyDescent="0.3">
      <c r="C157" s="42"/>
      <c r="F157" s="184"/>
      <c r="H157" s="184"/>
      <c r="I157" s="184"/>
      <c r="J157" s="238"/>
      <c r="K157" s="227"/>
      <c r="L157" s="123"/>
      <c r="M157" s="123"/>
      <c r="N157" s="160"/>
      <c r="O157" s="160"/>
      <c r="P157" s="184"/>
      <c r="Q157" s="184"/>
      <c r="R157" s="123"/>
      <c r="T157" s="42"/>
      <c r="V157" s="184"/>
      <c r="Y157" s="123"/>
      <c r="Z157" s="212"/>
      <c r="AA157" s="123"/>
      <c r="AB157" s="123"/>
      <c r="AC157" s="160"/>
      <c r="AD157" s="160"/>
      <c r="AE157" s="123"/>
      <c r="AF157" s="123"/>
      <c r="AH157" s="236"/>
      <c r="AI157" s="184"/>
      <c r="AJ157" s="184"/>
      <c r="AL157" s="123"/>
      <c r="AM157" s="160"/>
      <c r="AN157" s="160"/>
    </row>
    <row r="158" spans="3:40" x14ac:dyDescent="0.3">
      <c r="F158" s="210"/>
      <c r="H158" s="210"/>
      <c r="I158" s="210"/>
      <c r="J158" s="238"/>
      <c r="K158" s="213"/>
      <c r="L158" s="210"/>
      <c r="M158" s="210"/>
      <c r="N158" s="210"/>
      <c r="O158" s="210"/>
      <c r="P158" s="210"/>
      <c r="Q158" s="210"/>
      <c r="R158" s="210"/>
      <c r="V158" s="210"/>
      <c r="Y158" s="210"/>
      <c r="Z158" s="213"/>
      <c r="AA158" s="210"/>
      <c r="AB158" s="210"/>
      <c r="AC158" s="210"/>
      <c r="AD158" s="210"/>
      <c r="AE158" s="210"/>
      <c r="AF158" s="210"/>
      <c r="AI158" s="210"/>
      <c r="AJ158" s="210"/>
      <c r="AK158" s="214"/>
      <c r="AL158" s="210"/>
      <c r="AM158" s="160"/>
      <c r="AN158" s="160"/>
    </row>
    <row r="159" spans="3:40" x14ac:dyDescent="0.3">
      <c r="C159" s="42"/>
      <c r="F159" s="123"/>
      <c r="H159" s="123"/>
      <c r="I159" s="123"/>
      <c r="J159" s="188"/>
      <c r="K159" s="219"/>
      <c r="L159" s="123"/>
      <c r="M159" s="123"/>
      <c r="N159" s="160"/>
      <c r="O159" s="160"/>
      <c r="P159" s="123"/>
      <c r="Q159" s="123"/>
      <c r="R159" s="123"/>
      <c r="T159" s="42"/>
      <c r="V159" s="123"/>
      <c r="Y159" s="123"/>
      <c r="Z159" s="219"/>
      <c r="AA159" s="123"/>
      <c r="AB159" s="123"/>
      <c r="AC159" s="160"/>
      <c r="AD159" s="160"/>
      <c r="AE159" s="123"/>
      <c r="AF159" s="123"/>
      <c r="AH159" s="236"/>
      <c r="AI159" s="123"/>
      <c r="AJ159" s="123"/>
      <c r="AL159" s="123"/>
      <c r="AM159" s="160"/>
      <c r="AN159" s="160"/>
    </row>
    <row r="160" spans="3:40" x14ac:dyDescent="0.3">
      <c r="F160" s="210"/>
      <c r="H160" s="210"/>
      <c r="I160" s="210"/>
      <c r="J160" s="238"/>
      <c r="K160" s="213"/>
      <c r="L160" s="210"/>
      <c r="M160" s="210"/>
      <c r="N160" s="210"/>
      <c r="O160" s="210"/>
      <c r="P160" s="210"/>
      <c r="Q160" s="210"/>
      <c r="R160" s="210"/>
      <c r="V160" s="210"/>
      <c r="Y160" s="210"/>
      <c r="Z160" s="213"/>
      <c r="AA160" s="210"/>
      <c r="AB160" s="210"/>
      <c r="AC160" s="210"/>
      <c r="AD160" s="210"/>
      <c r="AE160" s="210"/>
      <c r="AF160" s="210"/>
      <c r="AI160" s="210"/>
      <c r="AJ160" s="210"/>
      <c r="AK160" s="214"/>
      <c r="AL160" s="210"/>
      <c r="AM160" s="160"/>
      <c r="AN160" s="160"/>
    </row>
    <row r="161" spans="1:40" x14ac:dyDescent="0.3">
      <c r="C161" s="42"/>
      <c r="F161" s="123"/>
      <c r="H161" s="123"/>
      <c r="I161" s="123"/>
      <c r="J161" s="188"/>
      <c r="K161" s="219"/>
      <c r="L161" s="123"/>
      <c r="M161" s="123"/>
      <c r="N161" s="160"/>
      <c r="O161" s="160"/>
      <c r="P161" s="123"/>
      <c r="Q161" s="123"/>
      <c r="R161" s="123"/>
      <c r="T161" s="42"/>
      <c r="V161" s="123"/>
      <c r="Y161" s="123"/>
      <c r="Z161" s="219"/>
      <c r="AA161" s="123"/>
      <c r="AB161" s="123"/>
      <c r="AC161" s="160"/>
      <c r="AD161" s="160"/>
      <c r="AE161" s="123"/>
      <c r="AF161" s="123"/>
      <c r="AH161" s="236"/>
      <c r="AI161" s="123"/>
      <c r="AJ161" s="123"/>
      <c r="AL161" s="123"/>
      <c r="AM161" s="160"/>
      <c r="AN161" s="160"/>
    </row>
    <row r="162" spans="1:40" x14ac:dyDescent="0.3">
      <c r="C162" s="42"/>
      <c r="F162" s="123"/>
      <c r="H162" s="123"/>
      <c r="I162" s="123"/>
      <c r="J162" s="188"/>
      <c r="K162" s="219"/>
      <c r="L162" s="123"/>
      <c r="M162" s="123"/>
      <c r="N162" s="160"/>
      <c r="O162" s="160"/>
      <c r="P162" s="123"/>
      <c r="Q162" s="123"/>
      <c r="R162" s="123"/>
      <c r="T162" s="42"/>
      <c r="V162" s="123"/>
      <c r="Y162" s="123"/>
      <c r="Z162" s="219"/>
      <c r="AA162" s="123"/>
      <c r="AB162" s="123"/>
      <c r="AC162" s="160"/>
      <c r="AD162" s="160"/>
      <c r="AE162" s="123"/>
      <c r="AF162" s="123"/>
      <c r="AH162" s="236"/>
      <c r="AI162" s="123"/>
      <c r="AJ162" s="123"/>
      <c r="AL162" s="123"/>
      <c r="AM162" s="160"/>
      <c r="AN162" s="160"/>
    </row>
    <row r="163" spans="1:40" x14ac:dyDescent="0.3">
      <c r="F163" s="210"/>
      <c r="H163" s="210"/>
      <c r="I163" s="210"/>
      <c r="J163" s="238"/>
      <c r="K163" s="213"/>
      <c r="L163" s="210"/>
      <c r="M163" s="210"/>
      <c r="N163" s="210"/>
      <c r="O163" s="210"/>
      <c r="P163" s="210"/>
      <c r="Q163" s="210"/>
      <c r="R163" s="210"/>
      <c r="V163" s="210"/>
      <c r="Y163" s="210"/>
      <c r="Z163" s="213"/>
      <c r="AA163" s="210"/>
      <c r="AB163" s="210"/>
      <c r="AC163" s="210"/>
      <c r="AD163" s="210"/>
      <c r="AE163" s="210"/>
      <c r="AF163" s="210"/>
      <c r="AI163" s="210"/>
      <c r="AJ163" s="210"/>
      <c r="AK163" s="214"/>
      <c r="AL163" s="210"/>
      <c r="AM163" s="123"/>
      <c r="AN163" s="123"/>
    </row>
    <row r="164" spans="1:40" x14ac:dyDescent="0.3">
      <c r="F164" s="123"/>
      <c r="H164" s="123"/>
      <c r="I164" s="123"/>
      <c r="J164" s="188"/>
      <c r="K164" s="219"/>
      <c r="L164" s="123"/>
      <c r="M164" s="123"/>
      <c r="N164" s="123"/>
      <c r="O164" s="123"/>
      <c r="P164" s="123"/>
      <c r="Q164" s="123"/>
      <c r="R164" s="123"/>
      <c r="V164" s="123"/>
      <c r="Y164" s="123"/>
      <c r="Z164" s="219"/>
      <c r="AA164" s="123"/>
      <c r="AB164" s="123"/>
      <c r="AC164" s="123"/>
      <c r="AD164" s="123"/>
    </row>
    <row r="165" spans="1:40" x14ac:dyDescent="0.3">
      <c r="C165" s="42"/>
      <c r="F165" s="123"/>
      <c r="H165" s="123"/>
      <c r="I165" s="123"/>
      <c r="J165" s="188"/>
      <c r="K165" s="219"/>
      <c r="L165" s="123"/>
      <c r="M165" s="123"/>
      <c r="N165" s="123"/>
      <c r="O165" s="123"/>
      <c r="P165" s="123"/>
      <c r="Q165" s="123"/>
      <c r="R165" s="123"/>
      <c r="T165" s="42"/>
      <c r="V165" s="123"/>
      <c r="Y165" s="123"/>
      <c r="Z165" s="219"/>
      <c r="AA165" s="123"/>
      <c r="AB165" s="123"/>
      <c r="AC165" s="123"/>
      <c r="AD165" s="123"/>
    </row>
    <row r="166" spans="1:40" x14ac:dyDescent="0.3">
      <c r="A166" s="42"/>
      <c r="J166" s="188"/>
    </row>
    <row r="167" spans="1:40" x14ac:dyDescent="0.3">
      <c r="J167" s="188"/>
    </row>
    <row r="168" spans="1:40" x14ac:dyDescent="0.3">
      <c r="H168" s="42"/>
      <c r="I168" s="42"/>
      <c r="J168" s="188"/>
      <c r="Y168" s="42"/>
    </row>
    <row r="169" spans="1:40" x14ac:dyDescent="0.3">
      <c r="J169" s="188"/>
    </row>
    <row r="170" spans="1:40" x14ac:dyDescent="0.3">
      <c r="J170" s="188"/>
      <c r="L170" s="42"/>
      <c r="M170" s="42"/>
      <c r="AA170" s="42"/>
      <c r="AB170" s="42"/>
    </row>
    <row r="171" spans="1:40" x14ac:dyDescent="0.3">
      <c r="J171" s="188"/>
      <c r="R171" s="42"/>
      <c r="AK171" s="206"/>
      <c r="AL171" s="42"/>
    </row>
    <row r="172" spans="1:40" x14ac:dyDescent="0.3">
      <c r="J172" s="188"/>
      <c r="R172" s="42"/>
      <c r="AK172" s="206"/>
      <c r="AL172" s="42"/>
    </row>
    <row r="173" spans="1:40" x14ac:dyDescent="0.3">
      <c r="A173" s="42"/>
      <c r="J173" s="188"/>
      <c r="R173" s="42"/>
      <c r="AK173" s="206"/>
      <c r="AL173" s="42"/>
    </row>
    <row r="174" spans="1:40" x14ac:dyDescent="0.3">
      <c r="J174" s="188"/>
      <c r="L174" s="42"/>
      <c r="M174" s="42"/>
      <c r="AA174" s="42"/>
      <c r="AB174" s="42"/>
    </row>
    <row r="175" spans="1:40" x14ac:dyDescent="0.3">
      <c r="A175" s="135"/>
      <c r="B175" s="135"/>
      <c r="C175" s="135"/>
      <c r="D175" s="135"/>
      <c r="E175" s="135"/>
      <c r="F175" s="135"/>
      <c r="G175" s="135"/>
      <c r="H175" s="135"/>
      <c r="I175" s="135"/>
      <c r="J175" s="244"/>
      <c r="K175" s="135"/>
      <c r="L175" s="135"/>
      <c r="M175" s="135"/>
      <c r="N175" s="135"/>
      <c r="O175" s="135"/>
      <c r="P175" s="135"/>
      <c r="Q175" s="135"/>
      <c r="R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207"/>
      <c r="AH175" s="135"/>
      <c r="AI175" s="135"/>
      <c r="AJ175" s="135"/>
      <c r="AK175" s="207"/>
      <c r="AL175" s="135"/>
      <c r="AM175" s="135"/>
      <c r="AN175" s="135"/>
    </row>
    <row r="176" spans="1:40" x14ac:dyDescent="0.3">
      <c r="J176" s="188"/>
      <c r="L176" s="44"/>
      <c r="M176" s="44"/>
      <c r="N176" s="44"/>
      <c r="O176" s="44"/>
      <c r="R176" s="44"/>
      <c r="AA176" s="44"/>
      <c r="AB176" s="44"/>
      <c r="AC176" s="44"/>
      <c r="AD176" s="44"/>
      <c r="AE176" s="44"/>
      <c r="AF176" s="44"/>
      <c r="AG176" s="168"/>
      <c r="AH176" s="44"/>
      <c r="AK176" s="168"/>
      <c r="AL176" s="44"/>
      <c r="AM176" s="44"/>
      <c r="AN176" s="44"/>
    </row>
    <row r="177" spans="1:40" x14ac:dyDescent="0.3">
      <c r="J177" s="188"/>
      <c r="L177" s="44"/>
      <c r="M177" s="44"/>
      <c r="N177" s="44"/>
      <c r="O177" s="44"/>
      <c r="R177" s="44"/>
      <c r="Z177" s="44"/>
      <c r="AA177" s="44"/>
      <c r="AB177" s="44"/>
      <c r="AC177" s="44"/>
      <c r="AD177" s="44"/>
      <c r="AE177" s="44"/>
      <c r="AF177" s="44"/>
      <c r="AG177" s="168"/>
      <c r="AH177" s="44"/>
      <c r="AK177" s="168"/>
      <c r="AL177" s="44"/>
      <c r="AM177" s="44"/>
      <c r="AN177" s="44"/>
    </row>
    <row r="178" spans="1:40" x14ac:dyDescent="0.3">
      <c r="A178" s="44"/>
      <c r="C178" s="44"/>
      <c r="D178" s="44"/>
      <c r="E178" s="44"/>
      <c r="F178" s="44"/>
      <c r="J178" s="245"/>
      <c r="K178" s="44"/>
      <c r="L178" s="44"/>
      <c r="M178" s="44"/>
      <c r="N178" s="44"/>
      <c r="O178" s="44"/>
      <c r="P178" s="44"/>
      <c r="Q178" s="44"/>
      <c r="R178" s="44"/>
      <c r="T178" s="44"/>
      <c r="U178" s="44"/>
      <c r="V178" s="44"/>
      <c r="Z178" s="44"/>
      <c r="AA178" s="44"/>
      <c r="AB178" s="44"/>
      <c r="AC178" s="44"/>
      <c r="AD178" s="44"/>
      <c r="AE178" s="44"/>
      <c r="AF178" s="44"/>
      <c r="AG178" s="168"/>
      <c r="AH178" s="44"/>
      <c r="AI178" s="44"/>
      <c r="AJ178" s="44"/>
      <c r="AK178" s="168"/>
      <c r="AL178" s="44"/>
      <c r="AM178" s="44"/>
      <c r="AN178" s="44"/>
    </row>
    <row r="179" spans="1:40" x14ac:dyDescent="0.3">
      <c r="A179" s="44"/>
      <c r="C179" s="44"/>
      <c r="D179" s="44"/>
      <c r="E179" s="44"/>
      <c r="F179" s="44"/>
      <c r="H179" s="44"/>
      <c r="I179" s="44"/>
      <c r="J179" s="245"/>
      <c r="K179" s="44"/>
      <c r="L179" s="44"/>
      <c r="M179" s="44"/>
      <c r="N179" s="44"/>
      <c r="O179" s="44"/>
      <c r="P179" s="44"/>
      <c r="Q179" s="44"/>
      <c r="R179" s="44"/>
      <c r="T179" s="44"/>
      <c r="U179" s="44"/>
      <c r="V179" s="44"/>
      <c r="Y179" s="44"/>
      <c r="Z179" s="44"/>
      <c r="AA179" s="44"/>
      <c r="AB179" s="44"/>
      <c r="AC179" s="44"/>
      <c r="AD179" s="44"/>
      <c r="AE179" s="44"/>
      <c r="AF179" s="44"/>
      <c r="AG179" s="168"/>
      <c r="AH179" s="44"/>
      <c r="AI179" s="44"/>
      <c r="AJ179" s="44"/>
      <c r="AK179" s="168"/>
      <c r="AL179" s="44"/>
      <c r="AM179" s="44"/>
      <c r="AN179" s="44"/>
    </row>
    <row r="180" spans="1:40" x14ac:dyDescent="0.3">
      <c r="C180" s="44"/>
      <c r="D180" s="44"/>
      <c r="E180" s="44"/>
      <c r="F180" s="44"/>
      <c r="H180" s="44"/>
      <c r="I180" s="44"/>
      <c r="J180" s="245"/>
      <c r="K180" s="44"/>
      <c r="L180" s="44"/>
      <c r="M180" s="44"/>
      <c r="N180" s="44"/>
      <c r="O180" s="44"/>
      <c r="P180" s="44"/>
      <c r="Q180" s="44"/>
      <c r="R180" s="44"/>
      <c r="T180" s="44"/>
      <c r="U180" s="44"/>
      <c r="V180" s="44"/>
      <c r="Y180" s="44"/>
      <c r="Z180" s="44"/>
      <c r="AA180" s="44"/>
      <c r="AB180" s="44"/>
      <c r="AC180" s="44"/>
      <c r="AD180" s="44"/>
      <c r="AE180" s="44"/>
      <c r="AF180" s="44"/>
      <c r="AG180" s="168"/>
      <c r="AH180" s="44"/>
      <c r="AI180" s="44"/>
      <c r="AJ180" s="44"/>
      <c r="AK180" s="168"/>
      <c r="AL180" s="44"/>
      <c r="AM180" s="44"/>
      <c r="AN180" s="44"/>
    </row>
    <row r="181" spans="1:40" x14ac:dyDescent="0.3">
      <c r="A181" s="135"/>
      <c r="B181" s="135"/>
      <c r="C181" s="135"/>
      <c r="D181" s="135"/>
      <c r="E181" s="135"/>
      <c r="F181" s="135"/>
      <c r="G181" s="135"/>
      <c r="H181" s="135"/>
      <c r="I181" s="135"/>
      <c r="J181" s="244"/>
      <c r="K181" s="135"/>
      <c r="L181" s="135"/>
      <c r="M181" s="135"/>
      <c r="N181" s="135"/>
      <c r="O181" s="135"/>
      <c r="P181" s="135"/>
      <c r="Q181" s="135"/>
      <c r="R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207"/>
      <c r="AH181" s="135"/>
      <c r="AI181" s="135"/>
      <c r="AJ181" s="135"/>
      <c r="AK181" s="207"/>
      <c r="AL181" s="135"/>
      <c r="AM181" s="135"/>
      <c r="AN181" s="135"/>
    </row>
    <row r="182" spans="1:40" x14ac:dyDescent="0.3">
      <c r="H182" s="44"/>
      <c r="I182" s="44"/>
      <c r="J182" s="245"/>
      <c r="K182" s="44"/>
      <c r="L182" s="44"/>
      <c r="M182" s="44"/>
      <c r="N182" s="44"/>
      <c r="O182" s="44"/>
      <c r="P182" s="44"/>
      <c r="Q182" s="44"/>
      <c r="R182" s="44"/>
      <c r="Y182" s="44"/>
      <c r="Z182" s="44"/>
      <c r="AA182" s="44"/>
      <c r="AB182" s="44"/>
      <c r="AC182" s="44"/>
      <c r="AD182" s="44"/>
      <c r="AE182" s="44"/>
      <c r="AF182" s="44"/>
      <c r="AG182" s="168"/>
      <c r="AH182" s="44"/>
      <c r="AI182" s="44"/>
      <c r="AJ182" s="44"/>
      <c r="AK182" s="168"/>
      <c r="AL182" s="44"/>
      <c r="AM182" s="44"/>
      <c r="AN182" s="44"/>
    </row>
    <row r="183" spans="1:40" x14ac:dyDescent="0.3">
      <c r="C183" s="42"/>
      <c r="D183" s="42"/>
      <c r="E183" s="42"/>
      <c r="J183" s="188"/>
      <c r="T183" s="42"/>
      <c r="U183" s="42"/>
    </row>
    <row r="184" spans="1:40" x14ac:dyDescent="0.3">
      <c r="J184" s="188"/>
    </row>
    <row r="185" spans="1:40" x14ac:dyDescent="0.3">
      <c r="C185" s="42"/>
      <c r="F185" s="184"/>
      <c r="H185" s="222"/>
      <c r="I185" s="222"/>
      <c r="J185" s="238"/>
      <c r="K185" s="193"/>
      <c r="L185" s="123"/>
      <c r="M185" s="123"/>
      <c r="R185" s="123"/>
      <c r="T185" s="42"/>
      <c r="V185" s="123"/>
      <c r="Z185" s="193"/>
      <c r="AA185" s="123"/>
      <c r="AB185" s="123"/>
      <c r="AE185" s="123"/>
      <c r="AF185" s="123"/>
      <c r="AG185" s="233"/>
      <c r="AH185" s="234"/>
      <c r="AI185" s="123"/>
      <c r="AJ185" s="123"/>
      <c r="AL185" s="123"/>
      <c r="AM185" s="235"/>
      <c r="AN185" s="235"/>
    </row>
    <row r="186" spans="1:40" x14ac:dyDescent="0.3">
      <c r="F186" s="184"/>
      <c r="H186" s="222"/>
      <c r="I186" s="222"/>
      <c r="J186" s="238"/>
      <c r="K186" s="222"/>
      <c r="R186" s="123"/>
      <c r="V186" s="123"/>
      <c r="Z186" s="222"/>
    </row>
    <row r="187" spans="1:40" x14ac:dyDescent="0.3">
      <c r="C187" s="42"/>
      <c r="F187" s="184"/>
      <c r="H187" s="184"/>
      <c r="I187" s="184"/>
      <c r="J187" s="238"/>
      <c r="K187" s="227"/>
      <c r="L187" s="123"/>
      <c r="M187" s="123"/>
      <c r="N187" s="160"/>
      <c r="O187" s="160"/>
      <c r="P187" s="184"/>
      <c r="Q187" s="184"/>
      <c r="R187" s="123"/>
      <c r="T187" s="42"/>
      <c r="V187" s="123"/>
      <c r="Y187" s="123"/>
      <c r="Z187" s="212"/>
      <c r="AA187" s="123"/>
      <c r="AB187" s="123"/>
      <c r="AC187" s="160"/>
      <c r="AD187" s="160"/>
      <c r="AE187" s="123"/>
      <c r="AF187" s="123"/>
      <c r="AH187" s="236"/>
      <c r="AI187" s="184"/>
      <c r="AJ187" s="184"/>
      <c r="AL187" s="123"/>
      <c r="AM187" s="160"/>
      <c r="AN187" s="160"/>
    </row>
    <row r="188" spans="1:40" x14ac:dyDescent="0.3">
      <c r="F188" s="210"/>
      <c r="H188" s="210"/>
      <c r="I188" s="210"/>
      <c r="J188" s="238"/>
      <c r="K188" s="213"/>
      <c r="L188" s="210"/>
      <c r="M188" s="210"/>
      <c r="N188" s="210"/>
      <c r="O188" s="210"/>
      <c r="P188" s="210"/>
      <c r="Q188" s="210"/>
      <c r="R188" s="210"/>
      <c r="V188" s="210"/>
      <c r="Y188" s="210"/>
      <c r="Z188" s="213"/>
      <c r="AA188" s="210"/>
      <c r="AB188" s="210"/>
      <c r="AC188" s="210"/>
      <c r="AD188" s="210"/>
      <c r="AE188" s="210"/>
      <c r="AF188" s="210"/>
      <c r="AI188" s="210"/>
      <c r="AJ188" s="210"/>
      <c r="AK188" s="214"/>
      <c r="AL188" s="210"/>
    </row>
    <row r="189" spans="1:40" x14ac:dyDescent="0.3">
      <c r="D189" s="42"/>
      <c r="E189" s="42"/>
      <c r="F189" s="123"/>
      <c r="H189" s="123"/>
      <c r="I189" s="123"/>
      <c r="J189" s="188"/>
      <c r="K189" s="219"/>
      <c r="L189" s="123"/>
      <c r="M189" s="123"/>
      <c r="N189" s="160"/>
      <c r="O189" s="160"/>
      <c r="P189" s="123"/>
      <c r="Q189" s="123"/>
      <c r="R189" s="123"/>
      <c r="U189" s="42"/>
      <c r="V189" s="123"/>
      <c r="Y189" s="123"/>
      <c r="Z189" s="219"/>
      <c r="AA189" s="123"/>
      <c r="AB189" s="123"/>
      <c r="AC189" s="160"/>
      <c r="AD189" s="160"/>
      <c r="AE189" s="123"/>
      <c r="AF189" s="123"/>
      <c r="AH189" s="236"/>
      <c r="AI189" s="123"/>
      <c r="AJ189" s="123"/>
      <c r="AL189" s="123"/>
      <c r="AM189" s="160"/>
      <c r="AN189" s="160"/>
    </row>
    <row r="190" spans="1:40" x14ac:dyDescent="0.3">
      <c r="F190" s="210"/>
      <c r="H190" s="210"/>
      <c r="I190" s="210"/>
      <c r="J190" s="238"/>
      <c r="K190" s="213"/>
      <c r="L190" s="210"/>
      <c r="M190" s="210"/>
      <c r="N190" s="210"/>
      <c r="O190" s="210"/>
      <c r="P190" s="210"/>
      <c r="Q190" s="210"/>
      <c r="R190" s="210"/>
      <c r="V190" s="210"/>
      <c r="Y190" s="210"/>
      <c r="Z190" s="213"/>
      <c r="AA190" s="210"/>
      <c r="AB190" s="210"/>
      <c r="AC190" s="210"/>
      <c r="AD190" s="210"/>
      <c r="AE190" s="210"/>
      <c r="AF190" s="210"/>
      <c r="AI190" s="210"/>
      <c r="AJ190" s="210"/>
      <c r="AK190" s="214"/>
      <c r="AL190" s="210"/>
    </row>
    <row r="191" spans="1:40" x14ac:dyDescent="0.3">
      <c r="J191" s="188"/>
      <c r="R191" s="123"/>
    </row>
    <row r="192" spans="1:40" x14ac:dyDescent="0.3">
      <c r="J192" s="188"/>
      <c r="R192" s="123"/>
    </row>
    <row r="193" spans="1:40" x14ac:dyDescent="0.3">
      <c r="J193" s="188"/>
      <c r="R193" s="123"/>
    </row>
    <row r="194" spans="1:40" x14ac:dyDescent="0.3">
      <c r="C194" s="42"/>
      <c r="D194" s="42"/>
      <c r="E194" s="42"/>
      <c r="H194" s="123"/>
      <c r="I194" s="123"/>
      <c r="J194" s="188"/>
      <c r="K194" s="219"/>
      <c r="L194" s="123"/>
      <c r="M194" s="123"/>
      <c r="N194" s="160"/>
      <c r="O194" s="160"/>
      <c r="P194" s="123"/>
      <c r="Q194" s="123"/>
      <c r="R194" s="123"/>
      <c r="T194" s="42"/>
      <c r="U194" s="42"/>
      <c r="Y194" s="123"/>
      <c r="Z194" s="219"/>
      <c r="AA194" s="123"/>
      <c r="AB194" s="123"/>
      <c r="AC194" s="160"/>
      <c r="AD194" s="160"/>
    </row>
    <row r="195" spans="1:40" x14ac:dyDescent="0.3">
      <c r="H195" s="123"/>
      <c r="I195" s="123"/>
      <c r="J195" s="188"/>
      <c r="K195" s="219"/>
      <c r="L195" s="123"/>
      <c r="M195" s="123"/>
      <c r="N195" s="160"/>
      <c r="O195" s="160"/>
      <c r="P195" s="123"/>
      <c r="Q195" s="123"/>
      <c r="R195" s="123"/>
      <c r="Y195" s="123"/>
      <c r="Z195" s="219"/>
      <c r="AA195" s="123"/>
      <c r="AB195" s="123"/>
      <c r="AC195" s="160"/>
      <c r="AD195" s="160"/>
    </row>
    <row r="196" spans="1:40" x14ac:dyDescent="0.3">
      <c r="C196" s="42"/>
      <c r="F196" s="184"/>
      <c r="H196" s="184"/>
      <c r="I196" s="184"/>
      <c r="J196" s="245"/>
      <c r="K196" s="240"/>
      <c r="L196" s="184"/>
      <c r="M196" s="184"/>
      <c r="N196" s="160"/>
      <c r="O196" s="160"/>
      <c r="P196" s="123"/>
      <c r="Q196" s="123"/>
      <c r="R196" s="123"/>
      <c r="T196" s="42"/>
      <c r="V196" s="123"/>
      <c r="Y196" s="123"/>
      <c r="Z196" s="240"/>
      <c r="AA196" s="123"/>
      <c r="AB196" s="123"/>
      <c r="AC196" s="160"/>
      <c r="AD196" s="160"/>
      <c r="AE196" s="123"/>
      <c r="AF196" s="123"/>
      <c r="AH196" s="236"/>
      <c r="AI196" s="123"/>
      <c r="AJ196" s="123"/>
      <c r="AL196" s="123"/>
      <c r="AM196" s="160"/>
      <c r="AN196" s="160"/>
    </row>
    <row r="197" spans="1:40" x14ac:dyDescent="0.3">
      <c r="F197" s="184"/>
      <c r="H197" s="222"/>
      <c r="I197" s="222"/>
      <c r="J197" s="238"/>
      <c r="K197" s="222"/>
      <c r="R197" s="123"/>
      <c r="V197" s="123"/>
      <c r="Z197" s="222"/>
    </row>
    <row r="198" spans="1:40" x14ac:dyDescent="0.3">
      <c r="C198" s="42"/>
      <c r="F198" s="184"/>
      <c r="H198" s="184"/>
      <c r="I198" s="184"/>
      <c r="J198" s="238"/>
      <c r="K198" s="193"/>
      <c r="L198" s="123"/>
      <c r="M198" s="123"/>
      <c r="N198" s="160"/>
      <c r="O198" s="160"/>
      <c r="P198" s="123"/>
      <c r="Q198" s="123"/>
      <c r="R198" s="123"/>
      <c r="T198" s="42"/>
      <c r="V198" s="123"/>
      <c r="Y198" s="123"/>
      <c r="Z198" s="193"/>
      <c r="AA198" s="123"/>
      <c r="AB198" s="123"/>
      <c r="AC198" s="160"/>
      <c r="AD198" s="160"/>
      <c r="AE198" s="123"/>
      <c r="AF198" s="123"/>
      <c r="AH198" s="236"/>
      <c r="AI198" s="123"/>
      <c r="AJ198" s="123"/>
      <c r="AL198" s="123"/>
      <c r="AM198" s="160"/>
      <c r="AN198" s="160"/>
    </row>
    <row r="199" spans="1:40" x14ac:dyDescent="0.3">
      <c r="F199" s="184"/>
      <c r="H199" s="222"/>
      <c r="I199" s="222"/>
      <c r="J199" s="238"/>
      <c r="K199" s="222"/>
      <c r="R199" s="123"/>
      <c r="V199" s="123"/>
      <c r="Z199" s="222"/>
    </row>
    <row r="200" spans="1:40" x14ac:dyDescent="0.3">
      <c r="C200" s="42"/>
      <c r="F200" s="184"/>
      <c r="H200" s="184"/>
      <c r="I200" s="184"/>
      <c r="J200" s="238"/>
      <c r="K200" s="227"/>
      <c r="L200" s="123"/>
      <c r="M200" s="123"/>
      <c r="N200" s="160"/>
      <c r="O200" s="160"/>
      <c r="P200" s="123"/>
      <c r="Q200" s="123"/>
      <c r="R200" s="123"/>
      <c r="T200" s="42"/>
      <c r="V200" s="123"/>
      <c r="Y200" s="123"/>
      <c r="Z200" s="212"/>
      <c r="AA200" s="123"/>
      <c r="AB200" s="123"/>
      <c r="AC200" s="160"/>
      <c r="AD200" s="160"/>
      <c r="AE200" s="123"/>
      <c r="AF200" s="123"/>
      <c r="AH200" s="236"/>
      <c r="AI200" s="123"/>
      <c r="AJ200" s="123"/>
      <c r="AL200" s="123"/>
      <c r="AM200" s="160"/>
      <c r="AN200" s="160"/>
    </row>
    <row r="201" spans="1:40" x14ac:dyDescent="0.3">
      <c r="F201" s="210"/>
      <c r="H201" s="210"/>
      <c r="I201" s="210"/>
      <c r="J201" s="238"/>
      <c r="K201" s="213"/>
      <c r="L201" s="210"/>
      <c r="M201" s="210"/>
      <c r="N201" s="210"/>
      <c r="O201" s="210"/>
      <c r="P201" s="210"/>
      <c r="Q201" s="210"/>
      <c r="R201" s="210"/>
      <c r="S201" s="123"/>
      <c r="V201" s="210"/>
      <c r="Y201" s="210"/>
      <c r="Z201" s="213"/>
      <c r="AA201" s="210"/>
      <c r="AB201" s="210"/>
      <c r="AC201" s="210"/>
      <c r="AD201" s="210"/>
      <c r="AE201" s="210"/>
      <c r="AF201" s="210"/>
      <c r="AI201" s="210"/>
      <c r="AJ201" s="210"/>
      <c r="AK201" s="214"/>
      <c r="AL201" s="210"/>
    </row>
    <row r="202" spans="1:40" x14ac:dyDescent="0.3">
      <c r="D202" s="42"/>
      <c r="E202" s="42"/>
      <c r="F202" s="123"/>
      <c r="H202" s="123"/>
      <c r="I202" s="123"/>
      <c r="J202" s="188"/>
      <c r="K202" s="219"/>
      <c r="L202" s="123"/>
      <c r="M202" s="123"/>
      <c r="N202" s="160"/>
      <c r="O202" s="160"/>
      <c r="P202" s="184"/>
      <c r="Q202" s="184"/>
      <c r="R202" s="123"/>
      <c r="S202" s="123"/>
      <c r="U202" s="42"/>
      <c r="V202" s="123"/>
      <c r="Y202" s="123"/>
      <c r="Z202" s="219"/>
      <c r="AA202" s="123"/>
      <c r="AB202" s="123"/>
      <c r="AC202" s="160"/>
      <c r="AD202" s="160"/>
      <c r="AE202" s="123"/>
      <c r="AF202" s="123"/>
      <c r="AH202" s="236"/>
      <c r="AI202" s="184"/>
      <c r="AJ202" s="184"/>
      <c r="AL202" s="123"/>
      <c r="AM202" s="160"/>
      <c r="AN202" s="160"/>
    </row>
    <row r="203" spans="1:40" x14ac:dyDescent="0.3">
      <c r="F203" s="210"/>
      <c r="H203" s="210"/>
      <c r="I203" s="210"/>
      <c r="J203" s="238"/>
      <c r="K203" s="213"/>
      <c r="L203" s="210"/>
      <c r="M203" s="210"/>
      <c r="N203" s="210"/>
      <c r="O203" s="210"/>
      <c r="P203" s="210"/>
      <c r="Q203" s="210"/>
      <c r="R203" s="210"/>
      <c r="S203" s="123"/>
      <c r="V203" s="210"/>
      <c r="Y203" s="210"/>
      <c r="Z203" s="213"/>
      <c r="AA203" s="210"/>
      <c r="AB203" s="210"/>
      <c r="AC203" s="210"/>
      <c r="AD203" s="210"/>
      <c r="AE203" s="210"/>
      <c r="AF203" s="210"/>
      <c r="AI203" s="210"/>
      <c r="AJ203" s="210"/>
      <c r="AK203" s="214"/>
      <c r="AL203" s="210"/>
    </row>
    <row r="204" spans="1:40" x14ac:dyDescent="0.3">
      <c r="J204" s="188"/>
      <c r="R204" s="123"/>
    </row>
    <row r="205" spans="1:40" x14ac:dyDescent="0.3">
      <c r="F205" s="123"/>
      <c r="H205" s="123"/>
      <c r="I205" s="123"/>
      <c r="J205" s="188"/>
      <c r="K205" s="219"/>
      <c r="L205" s="123"/>
      <c r="M205" s="123"/>
      <c r="N205" s="123"/>
      <c r="O205" s="123"/>
      <c r="P205" s="123"/>
      <c r="Q205" s="123"/>
      <c r="R205" s="123"/>
      <c r="V205" s="123"/>
      <c r="Y205" s="123"/>
      <c r="Z205" s="219"/>
      <c r="AA205" s="123"/>
      <c r="AB205" s="123"/>
      <c r="AC205" s="123"/>
      <c r="AD205" s="123"/>
    </row>
    <row r="206" spans="1:40" x14ac:dyDescent="0.3">
      <c r="C206" s="42"/>
      <c r="F206" s="123"/>
      <c r="H206" s="123"/>
      <c r="I206" s="123"/>
      <c r="J206" s="188"/>
      <c r="K206" s="219"/>
      <c r="L206" s="123"/>
      <c r="M206" s="123"/>
      <c r="N206" s="123"/>
      <c r="O206" s="123"/>
      <c r="P206" s="123"/>
      <c r="Q206" s="123"/>
      <c r="R206" s="123"/>
      <c r="T206" s="42"/>
      <c r="V206" s="123"/>
      <c r="Y206" s="123"/>
      <c r="Z206" s="219"/>
      <c r="AA206" s="123"/>
      <c r="AB206" s="123"/>
      <c r="AC206" s="123"/>
      <c r="AD206" s="123"/>
    </row>
    <row r="207" spans="1:40" x14ac:dyDescent="0.3">
      <c r="C207" s="42"/>
      <c r="J207" s="188"/>
      <c r="T207" s="42"/>
    </row>
    <row r="208" spans="1:40" x14ac:dyDescent="0.3">
      <c r="A208" s="42"/>
      <c r="J208" s="188"/>
    </row>
    <row r="209" spans="1:40" x14ac:dyDescent="0.3">
      <c r="J209" s="188"/>
    </row>
    <row r="210" spans="1:40" x14ac:dyDescent="0.3">
      <c r="J210" s="188"/>
    </row>
    <row r="211" spans="1:40" x14ac:dyDescent="0.3">
      <c r="H211" s="42"/>
      <c r="I211" s="42"/>
      <c r="J211" s="188"/>
      <c r="Y211" s="42"/>
    </row>
    <row r="212" spans="1:40" x14ac:dyDescent="0.3">
      <c r="J212" s="188"/>
    </row>
    <row r="213" spans="1:40" x14ac:dyDescent="0.3">
      <c r="J213" s="188"/>
      <c r="L213" s="42"/>
      <c r="M213" s="42"/>
      <c r="AA213" s="42"/>
      <c r="AB213" s="42"/>
    </row>
    <row r="214" spans="1:40" x14ac:dyDescent="0.3">
      <c r="J214" s="188"/>
      <c r="R214" s="42"/>
      <c r="AK214" s="206"/>
      <c r="AL214" s="42"/>
    </row>
    <row r="215" spans="1:40" x14ac:dyDescent="0.3">
      <c r="J215" s="188"/>
      <c r="R215" s="42"/>
      <c r="AK215" s="206"/>
      <c r="AL215" s="42"/>
    </row>
    <row r="216" spans="1:40" x14ac:dyDescent="0.3">
      <c r="A216" s="42"/>
      <c r="J216" s="188"/>
      <c r="R216" s="42"/>
      <c r="AK216" s="206"/>
      <c r="AL216" s="42"/>
    </row>
    <row r="217" spans="1:40" x14ac:dyDescent="0.3">
      <c r="J217" s="188"/>
      <c r="L217" s="42"/>
      <c r="M217" s="42"/>
      <c r="AA217" s="42"/>
      <c r="AB217" s="42"/>
    </row>
    <row r="218" spans="1:40" x14ac:dyDescent="0.3">
      <c r="A218" s="135"/>
      <c r="B218" s="135"/>
      <c r="C218" s="135"/>
      <c r="D218" s="135"/>
      <c r="E218" s="135"/>
      <c r="F218" s="135"/>
      <c r="G218" s="135"/>
      <c r="H218" s="135"/>
      <c r="I218" s="135"/>
      <c r="J218" s="244"/>
      <c r="K218" s="135"/>
      <c r="L218" s="135"/>
      <c r="M218" s="135"/>
      <c r="N218" s="135"/>
      <c r="O218" s="135"/>
      <c r="P218" s="135"/>
      <c r="Q218" s="135"/>
      <c r="R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207"/>
      <c r="AH218" s="135"/>
      <c r="AI218" s="135"/>
      <c r="AJ218" s="135"/>
      <c r="AK218" s="207"/>
      <c r="AL218" s="135"/>
      <c r="AM218" s="135"/>
      <c r="AN218" s="135"/>
    </row>
    <row r="219" spans="1:40" x14ac:dyDescent="0.3">
      <c r="J219" s="188"/>
      <c r="L219" s="44"/>
      <c r="M219" s="44"/>
      <c r="N219" s="44"/>
      <c r="O219" s="44"/>
      <c r="R219" s="44"/>
      <c r="AA219" s="44"/>
      <c r="AB219" s="44"/>
      <c r="AC219" s="44"/>
      <c r="AD219" s="44"/>
      <c r="AE219" s="44"/>
      <c r="AF219" s="44"/>
      <c r="AG219" s="168"/>
      <c r="AH219" s="44"/>
      <c r="AK219" s="168"/>
      <c r="AL219" s="44"/>
      <c r="AM219" s="44"/>
      <c r="AN219" s="44"/>
    </row>
    <row r="220" spans="1:40" x14ac:dyDescent="0.3">
      <c r="J220" s="188"/>
      <c r="L220" s="44"/>
      <c r="M220" s="44"/>
      <c r="N220" s="44"/>
      <c r="O220" s="44"/>
      <c r="R220" s="44"/>
      <c r="Z220" s="44"/>
      <c r="AA220" s="44"/>
      <c r="AB220" s="44"/>
      <c r="AC220" s="44"/>
      <c r="AD220" s="44"/>
      <c r="AE220" s="44"/>
      <c r="AF220" s="44"/>
      <c r="AG220" s="168"/>
      <c r="AH220" s="44"/>
      <c r="AK220" s="168"/>
      <c r="AL220" s="44"/>
      <c r="AM220" s="44"/>
      <c r="AN220" s="44"/>
    </row>
    <row r="221" spans="1:40" x14ac:dyDescent="0.3">
      <c r="A221" s="44"/>
      <c r="C221" s="44"/>
      <c r="D221" s="44"/>
      <c r="E221" s="44"/>
      <c r="F221" s="44"/>
      <c r="J221" s="245"/>
      <c r="K221" s="44"/>
      <c r="L221" s="44"/>
      <c r="M221" s="44"/>
      <c r="N221" s="44"/>
      <c r="O221" s="44"/>
      <c r="P221" s="44"/>
      <c r="Q221" s="44"/>
      <c r="R221" s="44"/>
      <c r="T221" s="44"/>
      <c r="U221" s="44"/>
      <c r="V221" s="44"/>
      <c r="Z221" s="44"/>
      <c r="AA221" s="44"/>
      <c r="AB221" s="44"/>
      <c r="AC221" s="44"/>
      <c r="AD221" s="44"/>
      <c r="AE221" s="44"/>
      <c r="AF221" s="44"/>
      <c r="AG221" s="168"/>
      <c r="AH221" s="44"/>
      <c r="AI221" s="44"/>
      <c r="AJ221" s="44"/>
      <c r="AK221" s="168"/>
      <c r="AL221" s="44"/>
      <c r="AM221" s="44"/>
      <c r="AN221" s="44"/>
    </row>
    <row r="222" spans="1:40" x14ac:dyDescent="0.3">
      <c r="A222" s="44"/>
      <c r="C222" s="44"/>
      <c r="D222" s="44"/>
      <c r="E222" s="44"/>
      <c r="F222" s="44"/>
      <c r="H222" s="44"/>
      <c r="I222" s="44"/>
      <c r="J222" s="245"/>
      <c r="K222" s="44"/>
      <c r="L222" s="44"/>
      <c r="M222" s="44"/>
      <c r="N222" s="44"/>
      <c r="O222" s="44"/>
      <c r="P222" s="44"/>
      <c r="Q222" s="44"/>
      <c r="R222" s="44"/>
      <c r="T222" s="44"/>
      <c r="U222" s="44"/>
      <c r="V222" s="44"/>
      <c r="Y222" s="44"/>
      <c r="Z222" s="44"/>
      <c r="AA222" s="44"/>
      <c r="AB222" s="44"/>
      <c r="AC222" s="44"/>
      <c r="AD222" s="44"/>
      <c r="AE222" s="44"/>
      <c r="AF222" s="44"/>
      <c r="AG222" s="168"/>
      <c r="AH222" s="44"/>
      <c r="AI222" s="44"/>
      <c r="AJ222" s="44"/>
      <c r="AK222" s="168"/>
      <c r="AL222" s="44"/>
      <c r="AM222" s="44"/>
      <c r="AN222" s="44"/>
    </row>
    <row r="223" spans="1:40" x14ac:dyDescent="0.3">
      <c r="C223" s="44"/>
      <c r="D223" s="44"/>
      <c r="E223" s="44"/>
      <c r="F223" s="44"/>
      <c r="H223" s="44"/>
      <c r="I223" s="44"/>
      <c r="J223" s="245"/>
      <c r="K223" s="44"/>
      <c r="L223" s="44"/>
      <c r="M223" s="44"/>
      <c r="N223" s="44"/>
      <c r="O223" s="44"/>
      <c r="P223" s="44"/>
      <c r="Q223" s="44"/>
      <c r="R223" s="44"/>
      <c r="T223" s="44"/>
      <c r="U223" s="44"/>
      <c r="V223" s="44"/>
      <c r="Y223" s="44"/>
      <c r="Z223" s="44"/>
      <c r="AA223" s="44"/>
      <c r="AB223" s="44"/>
      <c r="AC223" s="44"/>
      <c r="AD223" s="44"/>
      <c r="AE223" s="44"/>
      <c r="AF223" s="44"/>
      <c r="AG223" s="168"/>
      <c r="AH223" s="44"/>
      <c r="AI223" s="44"/>
      <c r="AJ223" s="44"/>
      <c r="AK223" s="168"/>
      <c r="AL223" s="44"/>
      <c r="AM223" s="44"/>
      <c r="AN223" s="44"/>
    </row>
    <row r="224" spans="1:40" x14ac:dyDescent="0.3">
      <c r="A224" s="135"/>
      <c r="B224" s="135"/>
      <c r="C224" s="135"/>
      <c r="D224" s="135"/>
      <c r="E224" s="135"/>
      <c r="F224" s="135"/>
      <c r="G224" s="135"/>
      <c r="H224" s="135"/>
      <c r="I224" s="135"/>
      <c r="J224" s="244"/>
      <c r="K224" s="135"/>
      <c r="L224" s="135"/>
      <c r="M224" s="135"/>
      <c r="N224" s="135"/>
      <c r="O224" s="135"/>
      <c r="P224" s="135"/>
      <c r="Q224" s="135"/>
      <c r="R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207"/>
      <c r="AH224" s="135"/>
      <c r="AI224" s="135"/>
      <c r="AJ224" s="135"/>
      <c r="AK224" s="207"/>
      <c r="AL224" s="135"/>
      <c r="AM224" s="135"/>
      <c r="AN224" s="135"/>
    </row>
    <row r="225" spans="3:40" x14ac:dyDescent="0.3">
      <c r="H225" s="44"/>
      <c r="I225" s="44"/>
      <c r="J225" s="245"/>
      <c r="K225" s="44"/>
      <c r="L225" s="44"/>
      <c r="M225" s="44"/>
      <c r="N225" s="44"/>
      <c r="O225" s="44"/>
      <c r="P225" s="44"/>
      <c r="Q225" s="44"/>
      <c r="R225" s="44"/>
      <c r="Y225" s="44"/>
      <c r="Z225" s="44"/>
      <c r="AA225" s="44"/>
      <c r="AB225" s="44"/>
      <c r="AC225" s="44"/>
      <c r="AD225" s="44"/>
      <c r="AE225" s="44"/>
      <c r="AF225" s="44"/>
      <c r="AG225" s="168"/>
      <c r="AH225" s="44"/>
      <c r="AI225" s="44"/>
      <c r="AJ225" s="44"/>
      <c r="AK225" s="168"/>
      <c r="AL225" s="44"/>
      <c r="AM225" s="44"/>
      <c r="AN225" s="44"/>
    </row>
    <row r="226" spans="3:40" x14ac:dyDescent="0.3">
      <c r="C226" s="42"/>
      <c r="D226" s="42"/>
      <c r="E226" s="42"/>
      <c r="J226" s="188"/>
      <c r="T226" s="42"/>
      <c r="U226" s="42"/>
    </row>
    <row r="227" spans="3:40" x14ac:dyDescent="0.3">
      <c r="D227" s="42"/>
      <c r="E227" s="42"/>
      <c r="J227" s="188"/>
      <c r="U227" s="42"/>
    </row>
    <row r="228" spans="3:40" x14ac:dyDescent="0.3">
      <c r="J228" s="188"/>
    </row>
    <row r="229" spans="3:40" x14ac:dyDescent="0.3">
      <c r="C229" s="42"/>
      <c r="F229" s="123"/>
      <c r="J229" s="188"/>
      <c r="K229" s="209"/>
      <c r="L229" s="123"/>
      <c r="M229" s="123"/>
      <c r="R229" s="123"/>
      <c r="T229" s="42"/>
      <c r="V229" s="123"/>
      <c r="Z229" s="209"/>
      <c r="AA229" s="123"/>
      <c r="AB229" s="123"/>
      <c r="AL229" s="123"/>
    </row>
    <row r="230" spans="3:40" x14ac:dyDescent="0.3">
      <c r="F230" s="123"/>
      <c r="J230" s="188"/>
      <c r="R230" s="123"/>
      <c r="V230" s="123"/>
      <c r="AL230" s="123"/>
    </row>
    <row r="231" spans="3:40" x14ac:dyDescent="0.3">
      <c r="C231" s="42"/>
      <c r="F231" s="184"/>
      <c r="H231" s="184"/>
      <c r="I231" s="184"/>
      <c r="J231" s="238"/>
      <c r="K231" s="193"/>
      <c r="L231" s="123"/>
      <c r="M231" s="123"/>
      <c r="N231" s="160"/>
      <c r="O231" s="160"/>
      <c r="P231" s="123"/>
      <c r="Q231" s="123"/>
      <c r="R231" s="123"/>
      <c r="T231" s="42"/>
      <c r="V231" s="123"/>
      <c r="Y231" s="123"/>
      <c r="Z231" s="193"/>
      <c r="AA231" s="123"/>
      <c r="AB231" s="123"/>
      <c r="AC231" s="160"/>
      <c r="AD231" s="160"/>
      <c r="AE231" s="123"/>
      <c r="AF231" s="123"/>
      <c r="AH231" s="236"/>
      <c r="AI231" s="123"/>
      <c r="AJ231" s="123"/>
      <c r="AL231" s="123"/>
      <c r="AM231" s="160"/>
      <c r="AN231" s="160"/>
    </row>
    <row r="232" spans="3:40" x14ac:dyDescent="0.3">
      <c r="C232" s="42"/>
      <c r="F232" s="184"/>
      <c r="H232" s="222"/>
      <c r="I232" s="222"/>
      <c r="J232" s="238"/>
      <c r="K232" s="193"/>
      <c r="L232" s="123"/>
      <c r="M232" s="123"/>
      <c r="N232" s="160"/>
      <c r="O232" s="160"/>
      <c r="P232" s="123"/>
      <c r="Q232" s="123"/>
      <c r="R232" s="123"/>
      <c r="T232" s="42"/>
      <c r="V232" s="123"/>
      <c r="Y232" s="123"/>
      <c r="Z232" s="193"/>
      <c r="AA232" s="123"/>
      <c r="AB232" s="123"/>
      <c r="AC232" s="160"/>
      <c r="AD232" s="160"/>
      <c r="AE232" s="123"/>
      <c r="AF232" s="123"/>
      <c r="AH232" s="236"/>
      <c r="AI232" s="123"/>
      <c r="AJ232" s="123"/>
      <c r="AL232" s="123"/>
      <c r="AM232" s="160"/>
      <c r="AN232" s="160"/>
    </row>
    <row r="233" spans="3:40" x14ac:dyDescent="0.3">
      <c r="F233" s="210"/>
      <c r="H233" s="123"/>
      <c r="I233" s="123"/>
      <c r="J233" s="238"/>
      <c r="K233" s="213"/>
      <c r="L233" s="210"/>
      <c r="M233" s="210"/>
      <c r="N233" s="210"/>
      <c r="O233" s="210"/>
      <c r="P233" s="210"/>
      <c r="Q233" s="210"/>
      <c r="R233" s="210"/>
      <c r="V233" s="210"/>
      <c r="Y233" s="123"/>
      <c r="Z233" s="213"/>
      <c r="AA233" s="210"/>
      <c r="AB233" s="210"/>
      <c r="AC233" s="210"/>
      <c r="AD233" s="210"/>
      <c r="AE233" s="210"/>
      <c r="AF233" s="210"/>
      <c r="AI233" s="210"/>
      <c r="AJ233" s="210"/>
      <c r="AK233" s="214"/>
      <c r="AL233" s="210"/>
    </row>
    <row r="234" spans="3:40" x14ac:dyDescent="0.3">
      <c r="C234" s="42"/>
      <c r="F234" s="123"/>
      <c r="H234" s="123"/>
      <c r="I234" s="123"/>
      <c r="J234" s="188"/>
      <c r="K234" s="219"/>
      <c r="L234" s="123"/>
      <c r="M234" s="123"/>
      <c r="N234" s="160"/>
      <c r="O234" s="160"/>
      <c r="P234" s="123"/>
      <c r="Q234" s="123"/>
      <c r="R234" s="123"/>
      <c r="T234" s="42"/>
      <c r="V234" s="123"/>
      <c r="Y234" s="123"/>
      <c r="Z234" s="219"/>
      <c r="AA234" s="123"/>
      <c r="AB234" s="123"/>
      <c r="AC234" s="160"/>
      <c r="AD234" s="160"/>
      <c r="AE234" s="123"/>
      <c r="AF234" s="123"/>
      <c r="AH234" s="236"/>
      <c r="AI234" s="123"/>
      <c r="AJ234" s="123"/>
      <c r="AL234" s="123"/>
      <c r="AM234" s="160"/>
      <c r="AN234" s="160"/>
    </row>
    <row r="235" spans="3:40" x14ac:dyDescent="0.3">
      <c r="F235" s="210"/>
      <c r="H235" s="123"/>
      <c r="I235" s="123"/>
      <c r="J235" s="238"/>
      <c r="K235" s="213"/>
      <c r="L235" s="210"/>
      <c r="M235" s="210"/>
      <c r="N235" s="210"/>
      <c r="O235" s="210"/>
      <c r="P235" s="210"/>
      <c r="Q235" s="210"/>
      <c r="R235" s="210"/>
      <c r="V235" s="210"/>
      <c r="Y235" s="123"/>
      <c r="Z235" s="213"/>
      <c r="AA235" s="210"/>
      <c r="AB235" s="210"/>
      <c r="AC235" s="210"/>
      <c r="AD235" s="210"/>
      <c r="AE235" s="210"/>
      <c r="AF235" s="210"/>
      <c r="AI235" s="210"/>
      <c r="AJ235" s="210"/>
      <c r="AK235" s="214"/>
      <c r="AL235" s="210"/>
    </row>
    <row r="236" spans="3:40" x14ac:dyDescent="0.3">
      <c r="F236" s="123"/>
      <c r="J236" s="188"/>
      <c r="R236" s="123"/>
      <c r="V236" s="123"/>
      <c r="AL236" s="123"/>
    </row>
    <row r="237" spans="3:40" x14ac:dyDescent="0.3">
      <c r="C237" s="42"/>
      <c r="F237" s="123"/>
      <c r="J237" s="188"/>
      <c r="R237" s="123"/>
      <c r="T237" s="42"/>
      <c r="V237" s="123"/>
      <c r="AL237" s="123"/>
    </row>
    <row r="238" spans="3:40" x14ac:dyDescent="0.3">
      <c r="F238" s="123"/>
      <c r="J238" s="188"/>
      <c r="R238" s="123"/>
      <c r="V238" s="123"/>
      <c r="AL238" s="123"/>
    </row>
    <row r="239" spans="3:40" x14ac:dyDescent="0.3">
      <c r="C239" s="42"/>
      <c r="F239" s="123"/>
      <c r="H239" s="184"/>
      <c r="I239" s="184"/>
      <c r="J239" s="238"/>
      <c r="K239" s="227"/>
      <c r="L239" s="123"/>
      <c r="M239" s="123"/>
      <c r="N239" s="160"/>
      <c r="O239" s="160"/>
      <c r="P239" s="184"/>
      <c r="Q239" s="184"/>
      <c r="R239" s="123"/>
      <c r="T239" s="42"/>
      <c r="V239" s="123"/>
      <c r="Y239" s="123"/>
      <c r="Z239" s="212"/>
      <c r="AA239" s="123"/>
      <c r="AB239" s="123"/>
      <c r="AC239" s="160"/>
      <c r="AD239" s="160"/>
      <c r="AE239" s="123"/>
      <c r="AF239" s="123"/>
      <c r="AH239" s="236"/>
      <c r="AI239" s="184"/>
      <c r="AJ239" s="184"/>
      <c r="AL239" s="123"/>
      <c r="AM239" s="160"/>
      <c r="AN239" s="160"/>
    </row>
    <row r="240" spans="3:40" x14ac:dyDescent="0.3">
      <c r="H240" s="210"/>
      <c r="I240" s="210"/>
      <c r="J240" s="238"/>
      <c r="K240" s="213"/>
      <c r="L240" s="210"/>
      <c r="M240" s="210"/>
      <c r="N240" s="210"/>
      <c r="O240" s="210"/>
      <c r="P240" s="210"/>
      <c r="Q240" s="210"/>
      <c r="R240" s="210"/>
      <c r="V240" s="210"/>
      <c r="Y240" s="210"/>
      <c r="Z240" s="213"/>
      <c r="AA240" s="210"/>
      <c r="AB240" s="210"/>
      <c r="AC240" s="210"/>
      <c r="AD240" s="210"/>
      <c r="AE240" s="210"/>
      <c r="AF240" s="210"/>
      <c r="AI240" s="210"/>
      <c r="AJ240" s="210"/>
      <c r="AK240" s="214"/>
      <c r="AL240" s="210"/>
    </row>
    <row r="241" spans="1:40" x14ac:dyDescent="0.3">
      <c r="F241" s="210"/>
      <c r="J241" s="188"/>
    </row>
    <row r="242" spans="1:40" x14ac:dyDescent="0.3">
      <c r="C242" s="42"/>
      <c r="F242" s="123"/>
      <c r="H242" s="123"/>
      <c r="I242" s="123"/>
      <c r="J242" s="188"/>
      <c r="K242" s="209"/>
      <c r="L242" s="123"/>
      <c r="M242" s="123"/>
      <c r="N242" s="160"/>
      <c r="O242" s="160"/>
      <c r="P242" s="123"/>
      <c r="Q242" s="123"/>
      <c r="R242" s="123"/>
      <c r="T242" s="42"/>
      <c r="V242" s="123"/>
      <c r="Y242" s="123"/>
      <c r="Z242" s="209"/>
      <c r="AA242" s="123"/>
      <c r="AB242" s="123"/>
      <c r="AC242" s="160"/>
      <c r="AD242" s="160"/>
      <c r="AE242" s="123"/>
      <c r="AF242" s="123"/>
      <c r="AH242" s="236"/>
      <c r="AI242" s="123"/>
      <c r="AJ242" s="123"/>
      <c r="AL242" s="123"/>
      <c r="AM242" s="160"/>
      <c r="AN242" s="160"/>
    </row>
    <row r="243" spans="1:40" x14ac:dyDescent="0.3">
      <c r="F243" s="210"/>
      <c r="H243" s="210"/>
      <c r="I243" s="210"/>
      <c r="J243" s="238"/>
      <c r="K243" s="213"/>
      <c r="L243" s="210"/>
      <c r="M243" s="210"/>
      <c r="N243" s="210"/>
      <c r="O243" s="210"/>
      <c r="P243" s="210"/>
      <c r="Q243" s="210"/>
      <c r="R243" s="210"/>
      <c r="V243" s="210"/>
      <c r="Y243" s="210"/>
      <c r="Z243" s="213"/>
      <c r="AA243" s="210"/>
      <c r="AB243" s="210"/>
      <c r="AC243" s="210"/>
      <c r="AD243" s="210"/>
      <c r="AE243" s="210"/>
      <c r="AF243" s="210"/>
      <c r="AI243" s="210"/>
      <c r="AJ243" s="210"/>
      <c r="AK243" s="214"/>
      <c r="AL243" s="210"/>
    </row>
    <row r="244" spans="1:40" x14ac:dyDescent="0.3">
      <c r="J244" s="188"/>
      <c r="R244" s="123"/>
      <c r="AH244" s="123"/>
    </row>
    <row r="245" spans="1:40" x14ac:dyDescent="0.3">
      <c r="F245" s="123"/>
      <c r="H245" s="123"/>
      <c r="I245" s="123"/>
      <c r="J245" s="188"/>
      <c r="K245" s="219"/>
      <c r="L245" s="123"/>
      <c r="M245" s="123"/>
      <c r="N245" s="123"/>
      <c r="O245" s="123"/>
      <c r="P245" s="123"/>
      <c r="Q245" s="123"/>
      <c r="R245" s="123"/>
      <c r="V245" s="123"/>
      <c r="Y245" s="123"/>
      <c r="Z245" s="219"/>
      <c r="AA245" s="123"/>
      <c r="AB245" s="123"/>
      <c r="AC245" s="123"/>
      <c r="AD245" s="123"/>
      <c r="AE245" s="123"/>
      <c r="AF245" s="123"/>
      <c r="AH245" s="123"/>
    </row>
    <row r="246" spans="1:40" x14ac:dyDescent="0.3">
      <c r="C246" s="42"/>
      <c r="F246" s="123"/>
      <c r="H246" s="123"/>
      <c r="I246" s="123"/>
      <c r="J246" s="188"/>
      <c r="K246" s="219"/>
      <c r="L246" s="123"/>
      <c r="M246" s="123"/>
      <c r="N246" s="123"/>
      <c r="O246" s="123"/>
      <c r="P246" s="123"/>
      <c r="Q246" s="123"/>
      <c r="R246" s="123"/>
      <c r="T246" s="42"/>
      <c r="V246" s="123"/>
      <c r="Y246" s="123"/>
      <c r="Z246" s="219"/>
      <c r="AA246" s="123"/>
      <c r="AB246" s="123"/>
      <c r="AC246" s="123"/>
      <c r="AD246" s="123"/>
      <c r="AE246" s="123"/>
      <c r="AF246" s="123"/>
      <c r="AH246" s="123"/>
    </row>
    <row r="247" spans="1:40" x14ac:dyDescent="0.3">
      <c r="A247" s="42"/>
      <c r="J247" s="188"/>
    </row>
    <row r="248" spans="1:40" x14ac:dyDescent="0.3">
      <c r="J248" s="188"/>
    </row>
    <row r="249" spans="1:40" x14ac:dyDescent="0.3">
      <c r="J249" s="188"/>
    </row>
    <row r="250" spans="1:40" x14ac:dyDescent="0.3">
      <c r="H250" s="42"/>
      <c r="I250" s="42"/>
      <c r="J250" s="188"/>
      <c r="Y250" s="42"/>
    </row>
    <row r="251" spans="1:40" x14ac:dyDescent="0.3">
      <c r="J251" s="188"/>
    </row>
    <row r="252" spans="1:40" x14ac:dyDescent="0.3">
      <c r="J252" s="188"/>
      <c r="L252" s="42"/>
      <c r="M252" s="42"/>
      <c r="AA252" s="42"/>
      <c r="AB252" s="42"/>
    </row>
    <row r="253" spans="1:40" x14ac:dyDescent="0.3">
      <c r="J253" s="188"/>
      <c r="R253" s="42"/>
      <c r="AK253" s="206"/>
      <c r="AL253" s="42"/>
    </row>
    <row r="254" spans="1:40" x14ac:dyDescent="0.3">
      <c r="J254" s="188"/>
      <c r="R254" s="42"/>
      <c r="AK254" s="206"/>
      <c r="AL254" s="42"/>
    </row>
    <row r="255" spans="1:40" x14ac:dyDescent="0.3">
      <c r="A255" s="42"/>
      <c r="J255" s="188"/>
      <c r="R255" s="42"/>
      <c r="AK255" s="206"/>
      <c r="AL255" s="42"/>
    </row>
    <row r="256" spans="1:40" x14ac:dyDescent="0.3">
      <c r="J256" s="188"/>
      <c r="L256" s="42"/>
      <c r="M256" s="42"/>
      <c r="AA256" s="42"/>
      <c r="AB256" s="42"/>
    </row>
    <row r="257" spans="1:40" x14ac:dyDescent="0.3">
      <c r="A257" s="135"/>
      <c r="B257" s="135"/>
      <c r="C257" s="135"/>
      <c r="D257" s="135"/>
      <c r="E257" s="135"/>
      <c r="F257" s="135"/>
      <c r="G257" s="135"/>
      <c r="H257" s="135"/>
      <c r="I257" s="135"/>
      <c r="J257" s="244"/>
      <c r="K257" s="135"/>
      <c r="L257" s="135"/>
      <c r="M257" s="135"/>
      <c r="N257" s="135"/>
      <c r="O257" s="135"/>
      <c r="P257" s="135"/>
      <c r="Q257" s="135"/>
      <c r="R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207"/>
      <c r="AH257" s="135"/>
      <c r="AI257" s="135"/>
      <c r="AJ257" s="135"/>
      <c r="AK257" s="207"/>
      <c r="AL257" s="135"/>
      <c r="AM257" s="135"/>
      <c r="AN257" s="135"/>
    </row>
    <row r="258" spans="1:40" x14ac:dyDescent="0.3">
      <c r="J258" s="188"/>
      <c r="L258" s="44"/>
      <c r="M258" s="44"/>
      <c r="N258" s="44"/>
      <c r="O258" s="44"/>
      <c r="R258" s="44"/>
      <c r="AA258" s="44"/>
      <c r="AB258" s="44"/>
      <c r="AC258" s="44"/>
      <c r="AD258" s="44"/>
      <c r="AE258" s="44"/>
      <c r="AF258" s="44"/>
      <c r="AG258" s="168"/>
      <c r="AH258" s="44"/>
      <c r="AK258" s="168"/>
      <c r="AL258" s="44"/>
      <c r="AM258" s="44"/>
      <c r="AN258" s="44"/>
    </row>
    <row r="259" spans="1:40" x14ac:dyDescent="0.3">
      <c r="J259" s="188"/>
      <c r="L259" s="44"/>
      <c r="M259" s="44"/>
      <c r="N259" s="44"/>
      <c r="O259" s="44"/>
      <c r="R259" s="44"/>
      <c r="Z259" s="44"/>
      <c r="AA259" s="44"/>
      <c r="AB259" s="44"/>
      <c r="AC259" s="44"/>
      <c r="AD259" s="44"/>
      <c r="AE259" s="44"/>
      <c r="AF259" s="44"/>
      <c r="AG259" s="168"/>
      <c r="AH259" s="44"/>
      <c r="AK259" s="168"/>
      <c r="AL259" s="44"/>
      <c r="AM259" s="44"/>
      <c r="AN259" s="44"/>
    </row>
    <row r="260" spans="1:40" x14ac:dyDescent="0.3">
      <c r="A260" s="44"/>
      <c r="C260" s="44"/>
      <c r="D260" s="44"/>
      <c r="E260" s="44"/>
      <c r="F260" s="44"/>
      <c r="J260" s="245"/>
      <c r="K260" s="44"/>
      <c r="L260" s="44"/>
      <c r="M260" s="44"/>
      <c r="N260" s="44"/>
      <c r="O260" s="44"/>
      <c r="P260" s="44"/>
      <c r="Q260" s="44"/>
      <c r="R260" s="44"/>
      <c r="T260" s="44"/>
      <c r="U260" s="44"/>
      <c r="V260" s="44"/>
      <c r="Z260" s="44"/>
      <c r="AA260" s="44"/>
      <c r="AB260" s="44"/>
      <c r="AC260" s="44"/>
      <c r="AD260" s="44"/>
      <c r="AE260" s="44"/>
      <c r="AF260" s="44"/>
      <c r="AG260" s="168"/>
      <c r="AH260" s="44"/>
      <c r="AI260" s="44"/>
      <c r="AJ260" s="44"/>
      <c r="AK260" s="168"/>
      <c r="AL260" s="44"/>
      <c r="AM260" s="44"/>
      <c r="AN260" s="44"/>
    </row>
    <row r="261" spans="1:40" x14ac:dyDescent="0.3">
      <c r="A261" s="44"/>
      <c r="C261" s="44"/>
      <c r="D261" s="44"/>
      <c r="E261" s="44"/>
      <c r="F261" s="44"/>
      <c r="H261" s="44"/>
      <c r="I261" s="44"/>
      <c r="J261" s="245"/>
      <c r="K261" s="44"/>
      <c r="L261" s="44"/>
      <c r="M261" s="44"/>
      <c r="N261" s="44"/>
      <c r="O261" s="44"/>
      <c r="P261" s="44"/>
      <c r="Q261" s="44"/>
      <c r="R261" s="44"/>
      <c r="T261" s="44"/>
      <c r="U261" s="44"/>
      <c r="V261" s="44"/>
      <c r="Y261" s="44"/>
      <c r="Z261" s="44"/>
      <c r="AA261" s="44"/>
      <c r="AB261" s="44"/>
      <c r="AC261" s="44"/>
      <c r="AD261" s="44"/>
      <c r="AE261" s="44"/>
      <c r="AF261" s="44"/>
      <c r="AG261" s="168"/>
      <c r="AH261" s="44"/>
      <c r="AI261" s="44"/>
      <c r="AJ261" s="44"/>
      <c r="AK261" s="168"/>
      <c r="AL261" s="44"/>
      <c r="AM261" s="44"/>
      <c r="AN261" s="44"/>
    </row>
    <row r="262" spans="1:40" x14ac:dyDescent="0.3">
      <c r="C262" s="44"/>
      <c r="D262" s="44"/>
      <c r="E262" s="44"/>
      <c r="F262" s="44"/>
      <c r="H262" s="44"/>
      <c r="I262" s="44"/>
      <c r="J262" s="245"/>
      <c r="K262" s="44"/>
      <c r="L262" s="44"/>
      <c r="M262" s="44"/>
      <c r="N262" s="44"/>
      <c r="O262" s="44"/>
      <c r="P262" s="44"/>
      <c r="Q262" s="44"/>
      <c r="R262" s="44"/>
      <c r="T262" s="44"/>
      <c r="U262" s="44"/>
      <c r="V262" s="44"/>
      <c r="Y262" s="44"/>
      <c r="Z262" s="44"/>
      <c r="AA262" s="44"/>
      <c r="AB262" s="44"/>
      <c r="AC262" s="44"/>
      <c r="AD262" s="44"/>
      <c r="AE262" s="44"/>
      <c r="AF262" s="44"/>
      <c r="AG262" s="168"/>
      <c r="AH262" s="44"/>
      <c r="AI262" s="44"/>
      <c r="AJ262" s="44"/>
      <c r="AK262" s="168"/>
      <c r="AL262" s="44"/>
      <c r="AM262" s="44"/>
      <c r="AN262" s="44"/>
    </row>
    <row r="263" spans="1:40" x14ac:dyDescent="0.3">
      <c r="A263" s="135"/>
      <c r="B263" s="135"/>
      <c r="C263" s="135"/>
      <c r="D263" s="135"/>
      <c r="E263" s="135"/>
      <c r="F263" s="135"/>
      <c r="G263" s="135"/>
      <c r="H263" s="135"/>
      <c r="I263" s="135"/>
      <c r="J263" s="244"/>
      <c r="K263" s="135"/>
      <c r="L263" s="135"/>
      <c r="M263" s="135"/>
      <c r="N263" s="135"/>
      <c r="O263" s="135"/>
      <c r="P263" s="135"/>
      <c r="Q263" s="135"/>
      <c r="R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207"/>
      <c r="AH263" s="135"/>
      <c r="AI263" s="135"/>
      <c r="AJ263" s="135"/>
      <c r="AK263" s="207"/>
      <c r="AL263" s="135"/>
      <c r="AM263" s="135"/>
      <c r="AN263" s="135"/>
    </row>
    <row r="264" spans="1:40" x14ac:dyDescent="0.3">
      <c r="H264" s="44"/>
      <c r="I264" s="44"/>
      <c r="J264" s="245"/>
      <c r="K264" s="44"/>
      <c r="L264" s="44"/>
      <c r="M264" s="44"/>
      <c r="N264" s="44"/>
      <c r="O264" s="44"/>
      <c r="P264" s="44"/>
      <c r="Q264" s="44"/>
      <c r="R264" s="44"/>
      <c r="Y264" s="44"/>
      <c r="Z264" s="44"/>
      <c r="AA264" s="44"/>
      <c r="AB264" s="44"/>
      <c r="AC264" s="44"/>
      <c r="AD264" s="44"/>
      <c r="AE264" s="44"/>
      <c r="AF264" s="44"/>
      <c r="AG264" s="168"/>
      <c r="AH264" s="44"/>
      <c r="AI264" s="44"/>
      <c r="AJ264" s="44"/>
      <c r="AK264" s="168"/>
      <c r="AL264" s="44"/>
      <c r="AM264" s="44"/>
      <c r="AN264" s="44"/>
    </row>
    <row r="265" spans="1:40" x14ac:dyDescent="0.3">
      <c r="C265" s="42"/>
      <c r="D265" s="42"/>
      <c r="E265" s="42"/>
      <c r="J265" s="188"/>
      <c r="T265" s="42"/>
      <c r="U265" s="42"/>
    </row>
    <row r="266" spans="1:40" x14ac:dyDescent="0.3">
      <c r="C266" s="42"/>
      <c r="J266" s="188"/>
      <c r="T266" s="42"/>
    </row>
    <row r="267" spans="1:40" x14ac:dyDescent="0.3">
      <c r="J267" s="188"/>
    </row>
    <row r="268" spans="1:40" x14ac:dyDescent="0.3">
      <c r="C268" s="42"/>
      <c r="F268" s="184"/>
      <c r="H268" s="184"/>
      <c r="I268" s="184"/>
      <c r="J268" s="238"/>
      <c r="K268" s="193"/>
      <c r="L268" s="123"/>
      <c r="M268" s="123"/>
      <c r="N268" s="160"/>
      <c r="O268" s="160"/>
      <c r="R268" s="123"/>
      <c r="T268" s="42"/>
      <c r="V268" s="123"/>
      <c r="Y268" s="184"/>
      <c r="Z268" s="193"/>
      <c r="AA268" s="123"/>
      <c r="AB268" s="123"/>
      <c r="AC268" s="160"/>
      <c r="AD268" s="160"/>
      <c r="AE268" s="123"/>
      <c r="AF268" s="123"/>
      <c r="AH268" s="236"/>
      <c r="AL268" s="123"/>
      <c r="AM268" s="160"/>
      <c r="AN268" s="160"/>
    </row>
    <row r="269" spans="1:40" x14ac:dyDescent="0.3">
      <c r="F269" s="210"/>
      <c r="H269" s="123"/>
      <c r="I269" s="123"/>
      <c r="J269" s="238"/>
      <c r="K269" s="213"/>
      <c r="L269" s="210"/>
      <c r="M269" s="210"/>
      <c r="N269" s="210"/>
      <c r="O269" s="210"/>
      <c r="P269" s="210"/>
      <c r="Q269" s="210"/>
      <c r="R269" s="210"/>
      <c r="V269" s="210"/>
      <c r="Y269" s="123"/>
      <c r="Z269" s="213"/>
      <c r="AA269" s="210"/>
      <c r="AB269" s="210"/>
      <c r="AC269" s="210"/>
      <c r="AD269" s="210"/>
      <c r="AE269" s="210"/>
      <c r="AF269" s="210"/>
      <c r="AI269" s="210"/>
      <c r="AJ269" s="210"/>
      <c r="AK269" s="214"/>
      <c r="AL269" s="210"/>
      <c r="AM269" s="160"/>
      <c r="AN269" s="160"/>
    </row>
    <row r="270" spans="1:40" x14ac:dyDescent="0.3">
      <c r="C270" s="42"/>
      <c r="F270" s="184"/>
      <c r="H270" s="184"/>
      <c r="I270" s="184"/>
      <c r="J270" s="238"/>
      <c r="K270" s="237"/>
      <c r="L270" s="123"/>
      <c r="M270" s="123"/>
      <c r="N270" s="160"/>
      <c r="O270" s="160"/>
      <c r="P270" s="123"/>
      <c r="Q270" s="123"/>
      <c r="R270" s="123"/>
      <c r="S270" s="123"/>
      <c r="T270" s="42"/>
      <c r="V270" s="184"/>
      <c r="Y270" s="184"/>
      <c r="Z270" s="237"/>
      <c r="AA270" s="123"/>
      <c r="AB270" s="123"/>
      <c r="AC270" s="160"/>
      <c r="AD270" s="160"/>
      <c r="AE270" s="123"/>
      <c r="AF270" s="123"/>
      <c r="AH270" s="160"/>
      <c r="AI270" s="123"/>
      <c r="AJ270" s="123"/>
      <c r="AL270" s="123"/>
      <c r="AM270" s="160"/>
      <c r="AN270" s="160"/>
    </row>
    <row r="271" spans="1:40" x14ac:dyDescent="0.3">
      <c r="C271" s="42"/>
      <c r="F271" s="184"/>
      <c r="H271" s="184"/>
      <c r="I271" s="184"/>
      <c r="J271" s="238"/>
      <c r="K271" s="193"/>
      <c r="L271" s="123"/>
      <c r="M271" s="123"/>
      <c r="N271" s="160"/>
      <c r="O271" s="160"/>
      <c r="P271" s="123"/>
      <c r="Q271" s="123"/>
      <c r="R271" s="123"/>
      <c r="T271" s="42"/>
      <c r="V271" s="184"/>
      <c r="Y271" s="123"/>
      <c r="Z271" s="193"/>
      <c r="AA271" s="123"/>
      <c r="AB271" s="123"/>
      <c r="AC271" s="160"/>
      <c r="AD271" s="160"/>
      <c r="AE271" s="123"/>
      <c r="AF271" s="123"/>
      <c r="AH271" s="236"/>
      <c r="AI271" s="123"/>
      <c r="AJ271" s="123"/>
      <c r="AL271" s="123"/>
      <c r="AM271" s="160"/>
      <c r="AN271" s="160"/>
    </row>
    <row r="272" spans="1:40" x14ac:dyDescent="0.3">
      <c r="C272" s="42"/>
      <c r="F272" s="184"/>
      <c r="H272" s="184"/>
      <c r="I272" s="184"/>
      <c r="J272" s="238"/>
      <c r="K272" s="193"/>
      <c r="L272" s="123"/>
      <c r="M272" s="123"/>
      <c r="N272" s="160"/>
      <c r="O272" s="160"/>
      <c r="P272" s="123"/>
      <c r="Q272" s="123"/>
      <c r="R272" s="123"/>
      <c r="T272" s="42"/>
      <c r="V272" s="184"/>
      <c r="Y272" s="123"/>
      <c r="Z272" s="193"/>
      <c r="AA272" s="123"/>
      <c r="AB272" s="123"/>
      <c r="AC272" s="160"/>
      <c r="AD272" s="160"/>
      <c r="AE272" s="123"/>
      <c r="AF272" s="123"/>
      <c r="AH272" s="236"/>
      <c r="AI272" s="123"/>
      <c r="AJ272" s="123"/>
      <c r="AL272" s="123"/>
      <c r="AM272" s="160"/>
      <c r="AN272" s="160"/>
    </row>
    <row r="273" spans="3:40" x14ac:dyDescent="0.3">
      <c r="F273" s="210"/>
      <c r="H273" s="210"/>
      <c r="I273" s="210"/>
      <c r="J273" s="238"/>
      <c r="K273" s="213"/>
      <c r="L273" s="210"/>
      <c r="M273" s="210"/>
      <c r="N273" s="210"/>
      <c r="O273" s="210"/>
      <c r="P273" s="210"/>
      <c r="Q273" s="210"/>
      <c r="R273" s="210"/>
      <c r="V273" s="210"/>
      <c r="Y273" s="210"/>
      <c r="Z273" s="213"/>
      <c r="AA273" s="210"/>
      <c r="AB273" s="210"/>
      <c r="AC273" s="210"/>
      <c r="AD273" s="210"/>
      <c r="AE273" s="210"/>
      <c r="AF273" s="210"/>
      <c r="AI273" s="210"/>
      <c r="AJ273" s="210"/>
      <c r="AK273" s="214"/>
      <c r="AL273" s="210"/>
      <c r="AM273" s="160"/>
      <c r="AN273" s="160"/>
    </row>
    <row r="274" spans="3:40" x14ac:dyDescent="0.3">
      <c r="C274" s="42"/>
      <c r="F274" s="123"/>
      <c r="H274" s="123"/>
      <c r="I274" s="123"/>
      <c r="J274" s="188"/>
      <c r="K274" s="219"/>
      <c r="L274" s="123"/>
      <c r="M274" s="123"/>
      <c r="N274" s="160"/>
      <c r="O274" s="160"/>
      <c r="P274" s="123"/>
      <c r="Q274" s="123"/>
      <c r="R274" s="123"/>
      <c r="T274" s="42"/>
      <c r="V274" s="123"/>
      <c r="Y274" s="123"/>
      <c r="Z274" s="219"/>
      <c r="AA274" s="123"/>
      <c r="AB274" s="123"/>
      <c r="AC274" s="160"/>
      <c r="AD274" s="160"/>
      <c r="AE274" s="123"/>
      <c r="AF274" s="123"/>
      <c r="AH274" s="236"/>
      <c r="AI274" s="123"/>
      <c r="AJ274" s="123"/>
      <c r="AL274" s="123"/>
      <c r="AM274" s="160"/>
      <c r="AN274" s="160"/>
    </row>
    <row r="275" spans="3:40" x14ac:dyDescent="0.3">
      <c r="F275" s="210"/>
      <c r="H275" s="210"/>
      <c r="I275" s="210"/>
      <c r="J275" s="238"/>
      <c r="K275" s="213"/>
      <c r="L275" s="210"/>
      <c r="M275" s="210"/>
      <c r="N275" s="210"/>
      <c r="O275" s="210"/>
      <c r="P275" s="210"/>
      <c r="Q275" s="210"/>
      <c r="R275" s="210"/>
      <c r="V275" s="210"/>
      <c r="Y275" s="210"/>
      <c r="Z275" s="213"/>
      <c r="AA275" s="210"/>
      <c r="AB275" s="210"/>
      <c r="AC275" s="210"/>
      <c r="AD275" s="210"/>
      <c r="AE275" s="210"/>
      <c r="AF275" s="210"/>
      <c r="AI275" s="210"/>
      <c r="AJ275" s="210"/>
      <c r="AK275" s="214"/>
      <c r="AL275" s="210"/>
      <c r="AM275" s="160"/>
      <c r="AN275" s="160"/>
    </row>
    <row r="276" spans="3:40" x14ac:dyDescent="0.3">
      <c r="C276" s="42"/>
      <c r="F276" s="123"/>
      <c r="H276" s="123"/>
      <c r="I276" s="123"/>
      <c r="J276" s="188"/>
      <c r="K276" s="219"/>
      <c r="L276" s="123"/>
      <c r="M276" s="123"/>
      <c r="N276" s="160"/>
      <c r="O276" s="160"/>
      <c r="P276" s="123"/>
      <c r="Q276" s="123"/>
      <c r="R276" s="123"/>
      <c r="T276" s="42"/>
      <c r="V276" s="123"/>
      <c r="Y276" s="123"/>
      <c r="Z276" s="219"/>
      <c r="AA276" s="123"/>
      <c r="AB276" s="123"/>
      <c r="AC276" s="160"/>
      <c r="AD276" s="160"/>
      <c r="AE276" s="123"/>
      <c r="AF276" s="123"/>
      <c r="AH276" s="236"/>
      <c r="AI276" s="123"/>
      <c r="AJ276" s="123"/>
      <c r="AL276" s="123"/>
      <c r="AM276" s="160"/>
      <c r="AN276" s="160"/>
    </row>
    <row r="277" spans="3:40" x14ac:dyDescent="0.3">
      <c r="C277" s="42"/>
      <c r="F277" s="123"/>
      <c r="H277" s="184"/>
      <c r="I277" s="184"/>
      <c r="J277" s="238"/>
      <c r="K277" s="227"/>
      <c r="L277" s="123"/>
      <c r="M277" s="123"/>
      <c r="N277" s="160"/>
      <c r="O277" s="160"/>
      <c r="P277" s="123"/>
      <c r="Q277" s="123"/>
      <c r="R277" s="123"/>
      <c r="T277" s="42"/>
      <c r="V277" s="123"/>
      <c r="Y277" s="123"/>
      <c r="Z277" s="212"/>
      <c r="AA277" s="123"/>
      <c r="AB277" s="123"/>
      <c r="AC277" s="160"/>
      <c r="AD277" s="160"/>
      <c r="AE277" s="123"/>
      <c r="AF277" s="123"/>
      <c r="AH277" s="236"/>
      <c r="AI277" s="123"/>
      <c r="AJ277" s="123"/>
      <c r="AL277" s="123"/>
      <c r="AM277" s="160"/>
      <c r="AN277" s="160"/>
    </row>
    <row r="278" spans="3:40" x14ac:dyDescent="0.3">
      <c r="H278" s="210"/>
      <c r="I278" s="210"/>
      <c r="J278" s="238"/>
      <c r="K278" s="213"/>
      <c r="L278" s="210"/>
      <c r="M278" s="210"/>
      <c r="N278" s="210"/>
      <c r="O278" s="210"/>
      <c r="P278" s="210"/>
      <c r="Q278" s="210"/>
      <c r="R278" s="210"/>
      <c r="V278" s="210"/>
      <c r="Y278" s="210"/>
      <c r="Z278" s="213"/>
      <c r="AA278" s="210"/>
      <c r="AB278" s="210"/>
      <c r="AC278" s="210"/>
      <c r="AD278" s="210"/>
      <c r="AE278" s="210"/>
      <c r="AF278" s="210"/>
      <c r="AI278" s="210"/>
      <c r="AJ278" s="210"/>
      <c r="AK278" s="214"/>
      <c r="AL278" s="210"/>
      <c r="AM278" s="160"/>
      <c r="AN278" s="160"/>
    </row>
    <row r="279" spans="3:40" x14ac:dyDescent="0.3">
      <c r="F279" s="210"/>
      <c r="J279" s="188"/>
    </row>
    <row r="280" spans="3:40" x14ac:dyDescent="0.3">
      <c r="C280" s="42"/>
      <c r="F280" s="123"/>
      <c r="H280" s="123"/>
      <c r="I280" s="123"/>
      <c r="J280" s="238"/>
      <c r="K280" s="213"/>
      <c r="L280" s="123"/>
      <c r="M280" s="123"/>
      <c r="N280" s="160"/>
      <c r="O280" s="160"/>
      <c r="P280" s="123"/>
      <c r="Q280" s="123"/>
      <c r="R280" s="123"/>
      <c r="S280" s="123"/>
      <c r="T280" s="42"/>
      <c r="V280" s="123"/>
      <c r="Y280" s="123"/>
      <c r="Z280" s="213"/>
      <c r="AA280" s="123"/>
      <c r="AB280" s="123"/>
      <c r="AC280" s="160"/>
      <c r="AD280" s="160"/>
      <c r="AE280" s="123"/>
      <c r="AF280" s="123"/>
      <c r="AH280" s="160"/>
      <c r="AI280" s="123"/>
      <c r="AJ280" s="123"/>
      <c r="AL280" s="123"/>
      <c r="AM280" s="160"/>
      <c r="AN280" s="160"/>
    </row>
    <row r="281" spans="3:40" x14ac:dyDescent="0.3">
      <c r="F281" s="210"/>
      <c r="H281" s="210"/>
      <c r="I281" s="210"/>
      <c r="J281" s="238"/>
      <c r="K281" s="213"/>
      <c r="L281" s="210"/>
      <c r="M281" s="210"/>
      <c r="N281" s="210"/>
      <c r="O281" s="210"/>
      <c r="P281" s="210"/>
      <c r="Q281" s="210"/>
      <c r="R281" s="210"/>
      <c r="S281" s="123"/>
      <c r="V281" s="210"/>
      <c r="Y281" s="210"/>
      <c r="Z281" s="213"/>
      <c r="AA281" s="210"/>
      <c r="AB281" s="210"/>
      <c r="AC281" s="210"/>
      <c r="AD281" s="210"/>
      <c r="AE281" s="210"/>
      <c r="AF281" s="210"/>
      <c r="AI281" s="210"/>
      <c r="AJ281" s="210"/>
      <c r="AK281" s="214"/>
      <c r="AL281" s="210"/>
      <c r="AM281" s="160"/>
      <c r="AN281" s="160"/>
    </row>
    <row r="282" spans="3:40" x14ac:dyDescent="0.3">
      <c r="C282" s="42"/>
      <c r="H282" s="184"/>
      <c r="I282" s="184"/>
      <c r="J282" s="238"/>
      <c r="K282" s="213"/>
      <c r="L282" s="123"/>
      <c r="M282" s="123"/>
      <c r="N282" s="160"/>
      <c r="O282" s="160"/>
      <c r="P282" s="123"/>
      <c r="Q282" s="123"/>
      <c r="R282" s="123"/>
      <c r="S282" s="123"/>
      <c r="T282" s="42"/>
      <c r="V282" s="184"/>
      <c r="Y282" s="184"/>
      <c r="Z282" s="213"/>
      <c r="AA282" s="123"/>
      <c r="AB282" s="123"/>
      <c r="AC282" s="160"/>
      <c r="AD282" s="160"/>
      <c r="AE282" s="123"/>
      <c r="AF282" s="123"/>
      <c r="AI282" s="123"/>
      <c r="AJ282" s="123"/>
      <c r="AL282" s="123"/>
      <c r="AM282" s="160"/>
      <c r="AN282" s="160"/>
    </row>
    <row r="283" spans="3:40" x14ac:dyDescent="0.3">
      <c r="F283" s="184"/>
      <c r="J283" s="188"/>
    </row>
    <row r="284" spans="3:40" x14ac:dyDescent="0.3">
      <c r="C284" s="42"/>
      <c r="F284" s="184"/>
      <c r="H284" s="184"/>
      <c r="I284" s="184"/>
      <c r="J284" s="238"/>
      <c r="K284" s="193"/>
      <c r="L284" s="123"/>
      <c r="M284" s="123"/>
      <c r="N284" s="160"/>
      <c r="O284" s="160"/>
      <c r="R284" s="123"/>
      <c r="T284" s="42"/>
      <c r="V284" s="123"/>
      <c r="Y284" s="184"/>
      <c r="Z284" s="193"/>
      <c r="AA284" s="123"/>
      <c r="AB284" s="123"/>
      <c r="AC284" s="160"/>
      <c r="AD284" s="160"/>
      <c r="AE284" s="123"/>
      <c r="AF284" s="123"/>
      <c r="AH284" s="236"/>
      <c r="AL284" s="123"/>
      <c r="AM284" s="160"/>
      <c r="AN284" s="160"/>
    </row>
    <row r="285" spans="3:40" x14ac:dyDescent="0.3">
      <c r="F285" s="210"/>
      <c r="H285" s="123"/>
      <c r="I285" s="123"/>
      <c r="J285" s="238"/>
      <c r="K285" s="213"/>
      <c r="L285" s="210"/>
      <c r="M285" s="210"/>
      <c r="N285" s="210"/>
      <c r="O285" s="210"/>
      <c r="P285" s="210"/>
      <c r="Q285" s="210"/>
      <c r="R285" s="210"/>
      <c r="V285" s="210"/>
      <c r="Y285" s="123"/>
      <c r="Z285" s="213"/>
      <c r="AA285" s="210"/>
      <c r="AB285" s="210"/>
      <c r="AC285" s="210"/>
      <c r="AD285" s="210"/>
      <c r="AE285" s="210"/>
      <c r="AF285" s="210"/>
      <c r="AI285" s="210"/>
      <c r="AJ285" s="210"/>
      <c r="AK285" s="214"/>
      <c r="AL285" s="210"/>
      <c r="AM285" s="160"/>
      <c r="AN285" s="160"/>
    </row>
    <row r="286" spans="3:40" x14ac:dyDescent="0.3">
      <c r="C286" s="42"/>
      <c r="F286" s="184"/>
      <c r="H286" s="184"/>
      <c r="I286" s="184"/>
      <c r="J286" s="238"/>
      <c r="K286" s="237"/>
      <c r="L286" s="123"/>
      <c r="M286" s="123"/>
      <c r="N286" s="160"/>
      <c r="O286" s="160"/>
      <c r="P286" s="123"/>
      <c r="Q286" s="123"/>
      <c r="R286" s="123"/>
      <c r="S286" s="123"/>
      <c r="T286" s="42"/>
      <c r="V286" s="184"/>
      <c r="Y286" s="184"/>
      <c r="Z286" s="237"/>
      <c r="AA286" s="123"/>
      <c r="AB286" s="123"/>
      <c r="AC286" s="160"/>
      <c r="AD286" s="160"/>
      <c r="AE286" s="123"/>
      <c r="AF286" s="123"/>
      <c r="AH286" s="160"/>
      <c r="AI286" s="123"/>
      <c r="AJ286" s="123"/>
      <c r="AL286" s="123"/>
      <c r="AM286" s="160"/>
      <c r="AN286" s="160"/>
    </row>
    <row r="287" spans="3:40" x14ac:dyDescent="0.3">
      <c r="C287" s="42"/>
      <c r="F287" s="184"/>
      <c r="H287" s="184"/>
      <c r="I287" s="184"/>
      <c r="J287" s="238"/>
      <c r="K287" s="193"/>
      <c r="L287" s="123"/>
      <c r="M287" s="123"/>
      <c r="N287" s="160"/>
      <c r="O287" s="160"/>
      <c r="P287" s="123"/>
      <c r="Q287" s="123"/>
      <c r="R287" s="123"/>
      <c r="T287" s="42"/>
      <c r="V287" s="184"/>
      <c r="Y287" s="123"/>
      <c r="Z287" s="193"/>
      <c r="AA287" s="123"/>
      <c r="AB287" s="123"/>
      <c r="AC287" s="160"/>
      <c r="AD287" s="160"/>
      <c r="AE287" s="123"/>
      <c r="AF287" s="123"/>
      <c r="AH287" s="236"/>
      <c r="AI287" s="123"/>
      <c r="AJ287" s="123"/>
      <c r="AL287" s="123"/>
      <c r="AM287" s="160"/>
      <c r="AN287" s="160"/>
    </row>
    <row r="288" spans="3:40" x14ac:dyDescent="0.3">
      <c r="C288" s="42"/>
      <c r="F288" s="184"/>
      <c r="H288" s="184"/>
      <c r="I288" s="184"/>
      <c r="J288" s="238"/>
      <c r="K288" s="193"/>
      <c r="L288" s="123"/>
      <c r="M288" s="123"/>
      <c r="N288" s="160"/>
      <c r="O288" s="160"/>
      <c r="P288" s="123"/>
      <c r="Q288" s="123"/>
      <c r="R288" s="123"/>
      <c r="T288" s="42"/>
      <c r="V288" s="184"/>
      <c r="Y288" s="123"/>
      <c r="Z288" s="193"/>
      <c r="AA288" s="123"/>
      <c r="AB288" s="123"/>
      <c r="AC288" s="160"/>
      <c r="AD288" s="160"/>
      <c r="AE288" s="123"/>
      <c r="AF288" s="123"/>
      <c r="AH288" s="236"/>
      <c r="AI288" s="123"/>
      <c r="AJ288" s="123"/>
      <c r="AL288" s="123"/>
      <c r="AM288" s="160"/>
      <c r="AN288" s="160"/>
    </row>
    <row r="289" spans="1:40" x14ac:dyDescent="0.3">
      <c r="F289" s="210"/>
      <c r="H289" s="210"/>
      <c r="I289" s="210"/>
      <c r="J289" s="238"/>
      <c r="K289" s="213"/>
      <c r="L289" s="210"/>
      <c r="M289" s="210"/>
      <c r="N289" s="210"/>
      <c r="O289" s="210"/>
      <c r="P289" s="210"/>
      <c r="Q289" s="210"/>
      <c r="R289" s="210"/>
      <c r="V289" s="210"/>
      <c r="Y289" s="210"/>
      <c r="Z289" s="213"/>
      <c r="AA289" s="210"/>
      <c r="AB289" s="210"/>
      <c r="AC289" s="210"/>
      <c r="AD289" s="210"/>
      <c r="AE289" s="210"/>
      <c r="AF289" s="210"/>
      <c r="AI289" s="210"/>
      <c r="AJ289" s="210"/>
      <c r="AK289" s="214"/>
      <c r="AL289" s="210"/>
      <c r="AM289" s="160"/>
      <c r="AN289" s="160"/>
    </row>
    <row r="290" spans="1:40" x14ac:dyDescent="0.3">
      <c r="C290" s="42"/>
      <c r="F290" s="123"/>
      <c r="H290" s="123"/>
      <c r="I290" s="123"/>
      <c r="J290" s="188"/>
      <c r="K290" s="219"/>
      <c r="L290" s="123"/>
      <c r="M290" s="123"/>
      <c r="N290" s="160"/>
      <c r="O290" s="160"/>
      <c r="P290" s="123"/>
      <c r="Q290" s="123"/>
      <c r="R290" s="123"/>
      <c r="T290" s="42"/>
      <c r="V290" s="123"/>
      <c r="Y290" s="123"/>
      <c r="Z290" s="219"/>
      <c r="AA290" s="123"/>
      <c r="AB290" s="123"/>
      <c r="AC290" s="160"/>
      <c r="AD290" s="160"/>
      <c r="AE290" s="123"/>
      <c r="AF290" s="123"/>
      <c r="AH290" s="236"/>
      <c r="AI290" s="123"/>
      <c r="AJ290" s="123"/>
      <c r="AL290" s="123"/>
      <c r="AM290" s="160"/>
      <c r="AN290" s="160"/>
    </row>
    <row r="291" spans="1:40" x14ac:dyDescent="0.3">
      <c r="F291" s="210"/>
      <c r="H291" s="210"/>
      <c r="I291" s="210"/>
      <c r="J291" s="238"/>
      <c r="K291" s="213"/>
      <c r="L291" s="210"/>
      <c r="M291" s="210"/>
      <c r="N291" s="210"/>
      <c r="O291" s="210"/>
      <c r="P291" s="210"/>
      <c r="Q291" s="210"/>
      <c r="R291" s="210"/>
      <c r="V291" s="210"/>
      <c r="Y291" s="210"/>
      <c r="Z291" s="213"/>
      <c r="AA291" s="210"/>
      <c r="AB291" s="210"/>
      <c r="AC291" s="210"/>
      <c r="AD291" s="210"/>
      <c r="AE291" s="210"/>
      <c r="AF291" s="210"/>
      <c r="AI291" s="210"/>
      <c r="AJ291" s="210"/>
      <c r="AK291" s="214"/>
      <c r="AL291" s="210"/>
      <c r="AM291" s="160"/>
      <c r="AN291" s="160"/>
    </row>
    <row r="292" spans="1:40" x14ac:dyDescent="0.3">
      <c r="C292" s="42"/>
      <c r="F292" s="123"/>
      <c r="H292" s="123"/>
      <c r="I292" s="123"/>
      <c r="J292" s="188"/>
      <c r="K292" s="219"/>
      <c r="L292" s="123"/>
      <c r="M292" s="123"/>
      <c r="N292" s="160"/>
      <c r="O292" s="160"/>
      <c r="P292" s="123"/>
      <c r="Q292" s="123"/>
      <c r="R292" s="123"/>
      <c r="T292" s="42"/>
      <c r="V292" s="123"/>
      <c r="Y292" s="123"/>
      <c r="Z292" s="219"/>
      <c r="AA292" s="123"/>
      <c r="AB292" s="123"/>
      <c r="AC292" s="160"/>
      <c r="AD292" s="160"/>
      <c r="AE292" s="123"/>
      <c r="AF292" s="123"/>
      <c r="AH292" s="236"/>
      <c r="AI292" s="123"/>
      <c r="AJ292" s="123"/>
      <c r="AL292" s="123"/>
      <c r="AM292" s="160"/>
      <c r="AN292" s="160"/>
    </row>
    <row r="293" spans="1:40" x14ac:dyDescent="0.3">
      <c r="C293" s="42"/>
      <c r="F293" s="123"/>
      <c r="H293" s="184"/>
      <c r="I293" s="184"/>
      <c r="J293" s="238"/>
      <c r="K293" s="227"/>
      <c r="L293" s="123"/>
      <c r="M293" s="123"/>
      <c r="N293" s="160"/>
      <c r="O293" s="160"/>
      <c r="P293" s="123"/>
      <c r="Q293" s="123"/>
      <c r="R293" s="123"/>
      <c r="T293" s="42"/>
      <c r="V293" s="123"/>
      <c r="Y293" s="123"/>
      <c r="Z293" s="212"/>
      <c r="AA293" s="123"/>
      <c r="AB293" s="123"/>
      <c r="AC293" s="160"/>
      <c r="AD293" s="160"/>
      <c r="AE293" s="123"/>
      <c r="AF293" s="123"/>
      <c r="AH293" s="236"/>
      <c r="AI293" s="123"/>
      <c r="AJ293" s="123"/>
      <c r="AL293" s="123"/>
      <c r="AM293" s="160"/>
      <c r="AN293" s="160"/>
    </row>
    <row r="294" spans="1:40" x14ac:dyDescent="0.3">
      <c r="H294" s="210"/>
      <c r="I294" s="210"/>
      <c r="J294" s="238"/>
      <c r="K294" s="213"/>
      <c r="L294" s="210"/>
      <c r="M294" s="210"/>
      <c r="N294" s="210"/>
      <c r="O294" s="210"/>
      <c r="P294" s="210"/>
      <c r="Q294" s="210"/>
      <c r="R294" s="210"/>
      <c r="V294" s="210"/>
      <c r="Y294" s="210"/>
      <c r="Z294" s="213"/>
      <c r="AA294" s="210"/>
      <c r="AB294" s="210"/>
      <c r="AC294" s="210"/>
      <c r="AD294" s="210"/>
      <c r="AE294" s="210"/>
      <c r="AF294" s="210"/>
      <c r="AI294" s="210"/>
      <c r="AJ294" s="210"/>
      <c r="AK294" s="214"/>
      <c r="AL294" s="210"/>
      <c r="AM294" s="160"/>
      <c r="AN294" s="160"/>
    </row>
    <row r="295" spans="1:40" x14ac:dyDescent="0.3">
      <c r="F295" s="210"/>
      <c r="J295" s="188"/>
    </row>
    <row r="296" spans="1:40" x14ac:dyDescent="0.3">
      <c r="C296" s="42"/>
      <c r="F296" s="123"/>
      <c r="H296" s="123"/>
      <c r="I296" s="123"/>
      <c r="J296" s="238"/>
      <c r="K296" s="213"/>
      <c r="L296" s="123"/>
      <c r="M296" s="123"/>
      <c r="N296" s="160"/>
      <c r="O296" s="160"/>
      <c r="P296" s="123"/>
      <c r="Q296" s="123"/>
      <c r="R296" s="123"/>
      <c r="S296" s="123"/>
      <c r="T296" s="42"/>
      <c r="V296" s="123"/>
      <c r="Y296" s="123"/>
      <c r="Z296" s="213"/>
      <c r="AA296" s="123"/>
      <c r="AB296" s="123"/>
      <c r="AC296" s="160"/>
      <c r="AD296" s="160"/>
      <c r="AE296" s="123"/>
      <c r="AF296" s="123"/>
      <c r="AH296" s="160"/>
      <c r="AI296" s="123"/>
      <c r="AJ296" s="123"/>
      <c r="AL296" s="123"/>
      <c r="AM296" s="160"/>
      <c r="AN296" s="160"/>
    </row>
    <row r="297" spans="1:40" x14ac:dyDescent="0.3">
      <c r="F297" s="210"/>
      <c r="H297" s="210"/>
      <c r="I297" s="210"/>
      <c r="J297" s="238"/>
      <c r="K297" s="213"/>
      <c r="L297" s="210"/>
      <c r="M297" s="210"/>
      <c r="N297" s="210"/>
      <c r="O297" s="210"/>
      <c r="P297" s="210"/>
      <c r="Q297" s="210"/>
      <c r="R297" s="210"/>
      <c r="S297" s="123"/>
      <c r="V297" s="210"/>
      <c r="Y297" s="210"/>
      <c r="Z297" s="213"/>
      <c r="AA297" s="210"/>
      <c r="AB297" s="210"/>
      <c r="AC297" s="210"/>
      <c r="AD297" s="210"/>
      <c r="AE297" s="210"/>
      <c r="AF297" s="210"/>
      <c r="AI297" s="210"/>
      <c r="AJ297" s="210"/>
      <c r="AK297" s="214"/>
      <c r="AL297" s="210"/>
      <c r="AM297" s="160"/>
      <c r="AN297" s="160"/>
    </row>
    <row r="298" spans="1:40" x14ac:dyDescent="0.3">
      <c r="C298" s="42"/>
      <c r="J298" s="188"/>
      <c r="T298" s="42"/>
    </row>
    <row r="299" spans="1:40" x14ac:dyDescent="0.3">
      <c r="C299" s="42"/>
      <c r="F299" s="123"/>
      <c r="H299" s="123"/>
      <c r="I299" s="123"/>
      <c r="J299" s="188"/>
      <c r="L299" s="123"/>
      <c r="M299" s="123"/>
      <c r="N299" s="160"/>
      <c r="O299" s="160"/>
      <c r="P299" s="184"/>
      <c r="Q299" s="184"/>
      <c r="R299" s="123"/>
      <c r="T299" s="42"/>
      <c r="V299" s="123"/>
      <c r="Y299" s="123"/>
      <c r="AA299" s="123"/>
      <c r="AB299" s="123"/>
      <c r="AC299" s="160"/>
      <c r="AD299" s="160"/>
      <c r="AE299" s="123"/>
      <c r="AF299" s="123"/>
      <c r="AH299" s="160"/>
      <c r="AI299" s="184"/>
      <c r="AJ299" s="184"/>
      <c r="AL299" s="123"/>
      <c r="AM299" s="160"/>
      <c r="AN299" s="160"/>
    </row>
    <row r="300" spans="1:40" x14ac:dyDescent="0.3">
      <c r="H300" s="210"/>
      <c r="I300" s="210"/>
      <c r="J300" s="238"/>
      <c r="K300" s="213"/>
      <c r="L300" s="210"/>
      <c r="M300" s="210"/>
      <c r="N300" s="210"/>
      <c r="O300" s="210"/>
      <c r="P300" s="210"/>
      <c r="Q300" s="210"/>
      <c r="R300" s="210"/>
      <c r="V300" s="210"/>
      <c r="Y300" s="210"/>
      <c r="Z300" s="213"/>
      <c r="AA300" s="210"/>
      <c r="AB300" s="210"/>
      <c r="AC300" s="210"/>
      <c r="AD300" s="210"/>
      <c r="AE300" s="210"/>
      <c r="AF300" s="210"/>
      <c r="AI300" s="210"/>
      <c r="AJ300" s="210"/>
      <c r="AK300" s="214"/>
      <c r="AL300" s="210"/>
    </row>
    <row r="301" spans="1:40" x14ac:dyDescent="0.3">
      <c r="F301" s="210"/>
      <c r="J301" s="188"/>
    </row>
    <row r="302" spans="1:40" x14ac:dyDescent="0.3">
      <c r="C302" s="42"/>
      <c r="J302" s="188"/>
      <c r="L302" s="123"/>
      <c r="M302" s="123"/>
      <c r="N302" s="123"/>
      <c r="O302" s="123"/>
      <c r="P302" s="123"/>
      <c r="Q302" s="123"/>
      <c r="R302" s="123"/>
      <c r="S302" s="123"/>
      <c r="T302" s="42"/>
      <c r="AA302" s="123"/>
      <c r="AB302" s="123"/>
      <c r="AC302" s="123"/>
      <c r="AD302" s="123"/>
      <c r="AI302" s="123"/>
      <c r="AJ302" s="123"/>
      <c r="AL302" s="123"/>
    </row>
    <row r="303" spans="1:40" x14ac:dyDescent="0.3">
      <c r="A303" s="42"/>
      <c r="J303" s="188"/>
    </row>
    <row r="304" spans="1:40" x14ac:dyDescent="0.3">
      <c r="J304" s="188"/>
    </row>
    <row r="305" spans="1:40" x14ac:dyDescent="0.3">
      <c r="H305" s="42"/>
      <c r="I305" s="42"/>
      <c r="J305" s="188"/>
      <c r="Y305" s="42"/>
    </row>
    <row r="306" spans="1:40" x14ac:dyDescent="0.3">
      <c r="J306" s="188"/>
    </row>
    <row r="307" spans="1:40" x14ac:dyDescent="0.3">
      <c r="J307" s="188"/>
      <c r="L307" s="42"/>
      <c r="M307" s="42"/>
      <c r="AA307" s="42"/>
      <c r="AB307" s="42"/>
    </row>
    <row r="308" spans="1:40" x14ac:dyDescent="0.3">
      <c r="J308" s="188"/>
      <c r="R308" s="42"/>
      <c r="AK308" s="206"/>
      <c r="AL308" s="42"/>
    </row>
    <row r="309" spans="1:40" x14ac:dyDescent="0.3">
      <c r="J309" s="188"/>
      <c r="R309" s="42"/>
      <c r="AK309" s="206"/>
      <c r="AL309" s="42"/>
    </row>
    <row r="310" spans="1:40" x14ac:dyDescent="0.3">
      <c r="A310" s="42"/>
      <c r="J310" s="188"/>
      <c r="R310" s="42"/>
      <c r="AK310" s="206"/>
      <c r="AL310" s="42"/>
    </row>
    <row r="311" spans="1:40" x14ac:dyDescent="0.3">
      <c r="J311" s="188"/>
      <c r="L311" s="42"/>
      <c r="M311" s="42"/>
      <c r="AA311" s="42"/>
      <c r="AB311" s="42"/>
    </row>
    <row r="312" spans="1:40" x14ac:dyDescent="0.3">
      <c r="A312" s="135"/>
      <c r="B312" s="135"/>
      <c r="C312" s="135"/>
      <c r="D312" s="135"/>
      <c r="E312" s="135"/>
      <c r="F312" s="135"/>
      <c r="G312" s="135"/>
      <c r="H312" s="135"/>
      <c r="I312" s="135"/>
      <c r="J312" s="244"/>
      <c r="K312" s="135"/>
      <c r="L312" s="135"/>
      <c r="M312" s="135"/>
      <c r="N312" s="135"/>
      <c r="O312" s="135"/>
      <c r="P312" s="135"/>
      <c r="Q312" s="135"/>
      <c r="R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207"/>
      <c r="AH312" s="135"/>
      <c r="AI312" s="135"/>
      <c r="AJ312" s="135"/>
      <c r="AK312" s="207"/>
      <c r="AL312" s="135"/>
      <c r="AM312" s="135"/>
      <c r="AN312" s="135"/>
    </row>
    <row r="313" spans="1:40" x14ac:dyDescent="0.3">
      <c r="J313" s="188"/>
      <c r="L313" s="44"/>
      <c r="M313" s="44"/>
      <c r="N313" s="44"/>
      <c r="O313" s="44"/>
      <c r="R313" s="44"/>
      <c r="AA313" s="44"/>
      <c r="AB313" s="44"/>
      <c r="AC313" s="44"/>
      <c r="AD313" s="44"/>
      <c r="AE313" s="44"/>
      <c r="AF313" s="44"/>
      <c r="AG313" s="168"/>
      <c r="AH313" s="44"/>
      <c r="AK313" s="168"/>
      <c r="AL313" s="44"/>
      <c r="AM313" s="44"/>
      <c r="AN313" s="44"/>
    </row>
    <row r="314" spans="1:40" x14ac:dyDescent="0.3">
      <c r="J314" s="188"/>
      <c r="L314" s="44"/>
      <c r="M314" s="44"/>
      <c r="N314" s="44"/>
      <c r="O314" s="44"/>
      <c r="R314" s="44"/>
      <c r="Z314" s="44"/>
      <c r="AA314" s="44"/>
      <c r="AB314" s="44"/>
      <c r="AC314" s="44"/>
      <c r="AD314" s="44"/>
      <c r="AE314" s="44"/>
      <c r="AF314" s="44"/>
      <c r="AG314" s="168"/>
      <c r="AH314" s="44"/>
      <c r="AK314" s="168"/>
      <c r="AL314" s="44"/>
      <c r="AM314" s="44"/>
      <c r="AN314" s="44"/>
    </row>
    <row r="315" spans="1:40" x14ac:dyDescent="0.3">
      <c r="A315" s="44"/>
      <c r="C315" s="44"/>
      <c r="D315" s="44"/>
      <c r="E315" s="44"/>
      <c r="F315" s="44"/>
      <c r="J315" s="245"/>
      <c r="K315" s="44"/>
      <c r="L315" s="44"/>
      <c r="M315" s="44"/>
      <c r="N315" s="44"/>
      <c r="O315" s="44"/>
      <c r="P315" s="44"/>
      <c r="Q315" s="44"/>
      <c r="R315" s="44"/>
      <c r="T315" s="44"/>
      <c r="U315" s="44"/>
      <c r="V315" s="44"/>
      <c r="Z315" s="44"/>
      <c r="AA315" s="44"/>
      <c r="AB315" s="44"/>
      <c r="AC315" s="44"/>
      <c r="AD315" s="44"/>
      <c r="AE315" s="44"/>
      <c r="AF315" s="44"/>
      <c r="AG315" s="168"/>
      <c r="AH315" s="44"/>
      <c r="AI315" s="44"/>
      <c r="AJ315" s="44"/>
      <c r="AK315" s="168"/>
      <c r="AL315" s="44"/>
      <c r="AM315" s="44"/>
      <c r="AN315" s="44"/>
    </row>
    <row r="316" spans="1:40" x14ac:dyDescent="0.3">
      <c r="A316" s="44"/>
      <c r="C316" s="44"/>
      <c r="D316" s="44"/>
      <c r="E316" s="44"/>
      <c r="F316" s="44"/>
      <c r="H316" s="44"/>
      <c r="I316" s="44"/>
      <c r="J316" s="245"/>
      <c r="K316" s="44"/>
      <c r="L316" s="44"/>
      <c r="M316" s="44"/>
      <c r="N316" s="44"/>
      <c r="O316" s="44"/>
      <c r="P316" s="44"/>
      <c r="Q316" s="44"/>
      <c r="R316" s="44"/>
      <c r="T316" s="44"/>
      <c r="U316" s="44"/>
      <c r="V316" s="44"/>
      <c r="Y316" s="44"/>
      <c r="Z316" s="44"/>
      <c r="AA316" s="44"/>
      <c r="AB316" s="44"/>
      <c r="AC316" s="44"/>
      <c r="AD316" s="44"/>
      <c r="AE316" s="44"/>
      <c r="AF316" s="44"/>
      <c r="AG316" s="168"/>
      <c r="AH316" s="44"/>
      <c r="AI316" s="44"/>
      <c r="AJ316" s="44"/>
      <c r="AK316" s="168"/>
      <c r="AL316" s="44"/>
      <c r="AM316" s="44"/>
      <c r="AN316" s="44"/>
    </row>
    <row r="317" spans="1:40" x14ac:dyDescent="0.3">
      <c r="C317" s="44"/>
      <c r="D317" s="44"/>
      <c r="E317" s="44"/>
      <c r="F317" s="44"/>
      <c r="H317" s="44"/>
      <c r="I317" s="44"/>
      <c r="J317" s="245"/>
      <c r="K317" s="44"/>
      <c r="L317" s="44"/>
      <c r="M317" s="44"/>
      <c r="N317" s="44"/>
      <c r="O317" s="44"/>
      <c r="P317" s="44"/>
      <c r="Q317" s="44"/>
      <c r="R317" s="44"/>
      <c r="T317" s="44"/>
      <c r="U317" s="44"/>
      <c r="V317" s="44"/>
      <c r="Y317" s="44"/>
      <c r="Z317" s="44"/>
      <c r="AA317" s="44"/>
      <c r="AB317" s="44"/>
      <c r="AC317" s="44"/>
      <c r="AD317" s="44"/>
      <c r="AE317" s="44"/>
      <c r="AF317" s="44"/>
      <c r="AG317" s="168"/>
      <c r="AH317" s="44"/>
      <c r="AI317" s="44"/>
      <c r="AJ317" s="44"/>
      <c r="AK317" s="168"/>
      <c r="AL317" s="44"/>
      <c r="AM317" s="44"/>
      <c r="AN317" s="44"/>
    </row>
    <row r="318" spans="1:40" x14ac:dyDescent="0.3">
      <c r="A318" s="135"/>
      <c r="B318" s="135"/>
      <c r="C318" s="135"/>
      <c r="D318" s="135"/>
      <c r="E318" s="135"/>
      <c r="F318" s="135"/>
      <c r="G318" s="135"/>
      <c r="H318" s="135"/>
      <c r="I318" s="135"/>
      <c r="J318" s="244"/>
      <c r="K318" s="135"/>
      <c r="L318" s="135"/>
      <c r="M318" s="135"/>
      <c r="N318" s="135"/>
      <c r="O318" s="135"/>
      <c r="P318" s="135"/>
      <c r="Q318" s="135"/>
      <c r="R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207"/>
      <c r="AH318" s="135"/>
      <c r="AI318" s="135"/>
      <c r="AJ318" s="135"/>
      <c r="AK318" s="207"/>
      <c r="AL318" s="135"/>
      <c r="AM318" s="135"/>
      <c r="AN318" s="135"/>
    </row>
    <row r="319" spans="1:40" x14ac:dyDescent="0.3">
      <c r="H319" s="44"/>
      <c r="I319" s="44"/>
      <c r="J319" s="245"/>
      <c r="K319" s="44"/>
      <c r="L319" s="44"/>
      <c r="M319" s="44"/>
      <c r="N319" s="44"/>
      <c r="O319" s="44"/>
      <c r="P319" s="44"/>
      <c r="Q319" s="44"/>
      <c r="R319" s="44"/>
      <c r="Y319" s="44"/>
      <c r="Z319" s="44"/>
      <c r="AA319" s="44"/>
      <c r="AB319" s="44"/>
      <c r="AC319" s="44"/>
      <c r="AD319" s="44"/>
      <c r="AE319" s="44"/>
      <c r="AF319" s="44"/>
      <c r="AG319" s="168"/>
      <c r="AH319" s="44"/>
      <c r="AI319" s="44"/>
      <c r="AJ319" s="44"/>
      <c r="AK319" s="168"/>
      <c r="AL319" s="44"/>
      <c r="AM319" s="44"/>
      <c r="AN319" s="44"/>
    </row>
    <row r="320" spans="1:40" x14ac:dyDescent="0.3">
      <c r="C320" s="42"/>
      <c r="D320" s="42"/>
      <c r="E320" s="42"/>
      <c r="J320" s="188"/>
      <c r="T320" s="42"/>
      <c r="U320" s="42"/>
    </row>
    <row r="321" spans="3:40" x14ac:dyDescent="0.3">
      <c r="D321" s="42"/>
      <c r="E321" s="42"/>
      <c r="J321" s="188"/>
      <c r="U321" s="42"/>
    </row>
    <row r="322" spans="3:40" x14ac:dyDescent="0.3">
      <c r="J322" s="188"/>
    </row>
    <row r="323" spans="3:40" x14ac:dyDescent="0.3">
      <c r="C323" s="42"/>
      <c r="J323" s="188"/>
      <c r="T323" s="42"/>
    </row>
    <row r="324" spans="3:40" x14ac:dyDescent="0.3">
      <c r="C324" s="42"/>
      <c r="F324" s="184"/>
      <c r="H324" s="184"/>
      <c r="I324" s="184"/>
      <c r="J324" s="238"/>
      <c r="K324" s="238"/>
      <c r="L324" s="123"/>
      <c r="M324" s="123"/>
      <c r="N324" s="160"/>
      <c r="O324" s="160"/>
      <c r="P324" s="123"/>
      <c r="Q324" s="123"/>
      <c r="R324" s="123"/>
      <c r="T324" s="42"/>
      <c r="V324" s="184"/>
      <c r="W324" s="123"/>
      <c r="X324" s="123"/>
      <c r="Y324" s="184"/>
      <c r="Z324" s="238"/>
      <c r="AA324" s="123"/>
      <c r="AB324" s="123"/>
      <c r="AC324" s="160"/>
      <c r="AD324" s="160"/>
      <c r="AE324" s="123"/>
      <c r="AF324" s="123"/>
      <c r="AH324" s="236"/>
      <c r="AI324" s="123"/>
      <c r="AJ324" s="123"/>
      <c r="AL324" s="123"/>
      <c r="AM324" s="160"/>
      <c r="AN324" s="160"/>
    </row>
    <row r="325" spans="3:40" x14ac:dyDescent="0.3">
      <c r="C325" s="42"/>
      <c r="F325" s="123"/>
      <c r="H325" s="123"/>
      <c r="I325" s="123"/>
      <c r="J325" s="238"/>
      <c r="K325" s="213"/>
      <c r="L325" s="123"/>
      <c r="M325" s="123"/>
      <c r="N325" s="160"/>
      <c r="O325" s="160"/>
      <c r="P325" s="123"/>
      <c r="Q325" s="123"/>
      <c r="R325" s="123"/>
      <c r="T325" s="42"/>
      <c r="V325" s="184"/>
      <c r="W325" s="123"/>
      <c r="X325" s="123"/>
      <c r="Y325" s="184"/>
      <c r="Z325" s="213"/>
      <c r="AA325" s="123"/>
      <c r="AB325" s="123"/>
      <c r="AC325" s="160"/>
      <c r="AD325" s="160"/>
      <c r="AE325" s="123"/>
      <c r="AF325" s="123"/>
      <c r="AH325" s="236"/>
      <c r="AI325" s="123"/>
      <c r="AJ325" s="123"/>
      <c r="AL325" s="123"/>
      <c r="AM325" s="160"/>
      <c r="AN325" s="160"/>
    </row>
    <row r="326" spans="3:40" x14ac:dyDescent="0.3">
      <c r="C326" s="42"/>
      <c r="F326" s="184"/>
      <c r="H326" s="184"/>
      <c r="I326" s="184"/>
      <c r="J326" s="238"/>
      <c r="K326" s="238"/>
      <c r="L326" s="123"/>
      <c r="M326" s="123"/>
      <c r="N326" s="160"/>
      <c r="O326" s="160"/>
      <c r="P326" s="123"/>
      <c r="Q326" s="123"/>
      <c r="R326" s="123"/>
      <c r="T326" s="42"/>
      <c r="V326" s="184"/>
      <c r="W326" s="123"/>
      <c r="X326" s="123"/>
      <c r="Y326" s="184"/>
      <c r="Z326" s="238"/>
      <c r="AA326" s="123"/>
      <c r="AB326" s="123"/>
      <c r="AC326" s="160"/>
      <c r="AD326" s="160"/>
      <c r="AE326" s="123"/>
      <c r="AF326" s="123"/>
      <c r="AH326" s="236"/>
      <c r="AI326" s="123"/>
      <c r="AJ326" s="123"/>
      <c r="AL326" s="123"/>
      <c r="AM326" s="160"/>
      <c r="AN326" s="160"/>
    </row>
    <row r="327" spans="3:40" x14ac:dyDescent="0.3">
      <c r="C327" s="42"/>
      <c r="F327" s="184"/>
      <c r="H327" s="184"/>
      <c r="I327" s="184"/>
      <c r="J327" s="238"/>
      <c r="K327" s="238"/>
      <c r="L327" s="123"/>
      <c r="M327" s="123"/>
      <c r="N327" s="160"/>
      <c r="O327" s="160"/>
      <c r="P327" s="123"/>
      <c r="Q327" s="123"/>
      <c r="R327" s="123"/>
      <c r="T327" s="42"/>
      <c r="V327" s="184"/>
      <c r="W327" s="123"/>
      <c r="X327" s="123"/>
      <c r="Y327" s="184"/>
      <c r="Z327" s="238"/>
      <c r="AA327" s="123"/>
      <c r="AB327" s="123"/>
      <c r="AC327" s="160"/>
      <c r="AD327" s="160"/>
      <c r="AE327" s="123"/>
      <c r="AF327" s="123"/>
      <c r="AH327" s="236"/>
      <c r="AI327" s="123"/>
      <c r="AJ327" s="123"/>
      <c r="AL327" s="123"/>
      <c r="AM327" s="160"/>
      <c r="AN327" s="160"/>
    </row>
    <row r="328" spans="3:40" x14ac:dyDescent="0.3">
      <c r="C328" s="42"/>
      <c r="F328" s="184"/>
      <c r="H328" s="184"/>
      <c r="I328" s="184"/>
      <c r="J328" s="238"/>
      <c r="K328" s="238"/>
      <c r="L328" s="123"/>
      <c r="M328" s="123"/>
      <c r="N328" s="160"/>
      <c r="O328" s="160"/>
      <c r="P328" s="123"/>
      <c r="Q328" s="123"/>
      <c r="R328" s="123"/>
      <c r="T328" s="42"/>
      <c r="V328" s="184"/>
      <c r="W328" s="123"/>
      <c r="X328" s="123"/>
      <c r="Y328" s="184"/>
      <c r="Z328" s="238"/>
      <c r="AA328" s="123"/>
      <c r="AB328" s="123"/>
      <c r="AC328" s="160"/>
      <c r="AD328" s="160"/>
      <c r="AE328" s="123"/>
      <c r="AF328" s="123"/>
      <c r="AH328" s="236"/>
      <c r="AI328" s="123"/>
      <c r="AJ328" s="123"/>
      <c r="AL328" s="123"/>
      <c r="AM328" s="160"/>
      <c r="AN328" s="160"/>
    </row>
    <row r="329" spans="3:40" x14ac:dyDescent="0.3">
      <c r="C329" s="42"/>
      <c r="F329" s="123"/>
      <c r="H329" s="123"/>
      <c r="I329" s="123"/>
      <c r="J329" s="238"/>
      <c r="K329" s="238"/>
      <c r="L329" s="123"/>
      <c r="M329" s="123"/>
      <c r="N329" s="160"/>
      <c r="O329" s="160"/>
      <c r="P329" s="123"/>
      <c r="Q329" s="123"/>
      <c r="R329" s="123"/>
      <c r="T329" s="42"/>
      <c r="V329" s="184"/>
      <c r="W329" s="123"/>
      <c r="X329" s="123"/>
      <c r="Y329" s="184"/>
      <c r="Z329" s="238"/>
      <c r="AA329" s="123"/>
      <c r="AB329" s="123"/>
      <c r="AC329" s="160"/>
      <c r="AD329" s="160"/>
      <c r="AE329" s="123"/>
      <c r="AF329" s="123"/>
      <c r="AH329" s="236"/>
      <c r="AI329" s="123"/>
      <c r="AJ329" s="123"/>
      <c r="AL329" s="123"/>
      <c r="AM329" s="160"/>
      <c r="AN329" s="160"/>
    </row>
    <row r="330" spans="3:40" x14ac:dyDescent="0.3">
      <c r="C330" s="42"/>
      <c r="F330" s="123"/>
      <c r="H330" s="123"/>
      <c r="I330" s="123"/>
      <c r="J330" s="238"/>
      <c r="K330" s="238"/>
      <c r="L330" s="123"/>
      <c r="M330" s="123"/>
      <c r="N330" s="160"/>
      <c r="O330" s="160"/>
      <c r="P330" s="123"/>
      <c r="Q330" s="123"/>
      <c r="R330" s="123"/>
      <c r="T330" s="42"/>
      <c r="V330" s="184"/>
      <c r="W330" s="123"/>
      <c r="X330" s="123"/>
      <c r="Y330" s="184"/>
      <c r="Z330" s="238"/>
      <c r="AA330" s="123"/>
      <c r="AB330" s="123"/>
      <c r="AC330" s="160"/>
      <c r="AD330" s="160"/>
      <c r="AE330" s="123"/>
      <c r="AF330" s="123"/>
      <c r="AH330" s="236"/>
      <c r="AI330" s="123"/>
      <c r="AJ330" s="123"/>
      <c r="AL330" s="123"/>
      <c r="AM330" s="160"/>
      <c r="AN330" s="160"/>
    </row>
    <row r="331" spans="3:40" x14ac:dyDescent="0.3">
      <c r="F331" s="241"/>
      <c r="H331" s="242"/>
      <c r="I331" s="242"/>
      <c r="J331" s="238"/>
      <c r="K331" s="238"/>
      <c r="L331" s="241"/>
      <c r="M331" s="241"/>
      <c r="N331" s="210"/>
      <c r="O331" s="210"/>
      <c r="P331" s="241"/>
      <c r="Q331" s="241"/>
      <c r="R331" s="241"/>
      <c r="V331" s="241"/>
      <c r="W331" s="123"/>
      <c r="X331" s="123"/>
      <c r="Y331" s="241"/>
      <c r="Z331" s="238"/>
      <c r="AA331" s="241"/>
      <c r="AB331" s="241"/>
      <c r="AC331" s="243"/>
      <c r="AD331" s="243"/>
      <c r="AE331" s="241"/>
      <c r="AF331" s="241"/>
      <c r="AH331" s="236"/>
      <c r="AI331" s="241"/>
      <c r="AJ331" s="241"/>
      <c r="AK331" s="207"/>
      <c r="AL331" s="241"/>
      <c r="AM331" s="160"/>
      <c r="AN331" s="160"/>
    </row>
    <row r="332" spans="3:40" x14ac:dyDescent="0.3">
      <c r="C332" s="42"/>
      <c r="F332" s="123"/>
      <c r="H332" s="123"/>
      <c r="I332" s="123"/>
      <c r="J332" s="238"/>
      <c r="K332" s="238"/>
      <c r="L332" s="123"/>
      <c r="M332" s="123"/>
      <c r="N332" s="236"/>
      <c r="O332" s="236"/>
      <c r="P332" s="123"/>
      <c r="Q332" s="123"/>
      <c r="R332" s="123"/>
      <c r="T332" s="44"/>
      <c r="V332" s="123"/>
      <c r="W332" s="123"/>
      <c r="X332" s="123"/>
      <c r="Y332" s="123"/>
      <c r="Z332" s="238"/>
      <c r="AA332" s="123"/>
      <c r="AB332" s="123"/>
      <c r="AC332" s="236"/>
      <c r="AD332" s="236"/>
      <c r="AE332" s="123"/>
      <c r="AF332" s="123"/>
      <c r="AH332" s="236"/>
      <c r="AI332" s="123"/>
      <c r="AJ332" s="123"/>
      <c r="AL332" s="123"/>
      <c r="AM332" s="160"/>
      <c r="AN332" s="160"/>
    </row>
    <row r="333" spans="3:40" x14ac:dyDescent="0.3">
      <c r="F333" s="135"/>
      <c r="H333" s="135"/>
      <c r="I333" s="135"/>
      <c r="J333" s="188"/>
      <c r="L333" s="135"/>
      <c r="M333" s="135"/>
      <c r="N333" s="243"/>
      <c r="O333" s="243"/>
      <c r="P333" s="241"/>
      <c r="Q333" s="241"/>
      <c r="R333" s="241"/>
      <c r="V333" s="241"/>
      <c r="Y333" s="241"/>
      <c r="Z333" s="213"/>
      <c r="AA333" s="241"/>
      <c r="AB333" s="241"/>
      <c r="AC333" s="241"/>
      <c r="AD333" s="241"/>
      <c r="AE333" s="241"/>
      <c r="AF333" s="241"/>
      <c r="AI333" s="241"/>
      <c r="AJ333" s="241"/>
      <c r="AK333" s="207"/>
      <c r="AL333" s="241"/>
      <c r="AM333" s="243"/>
      <c r="AN333" s="243"/>
    </row>
    <row r="334" spans="3:40" x14ac:dyDescent="0.3">
      <c r="J334" s="188"/>
    </row>
    <row r="335" spans="3:40" x14ac:dyDescent="0.3">
      <c r="J335" s="188"/>
    </row>
    <row r="336" spans="3:40" x14ac:dyDescent="0.3">
      <c r="J336" s="188"/>
    </row>
    <row r="337" spans="1:40" x14ac:dyDescent="0.3">
      <c r="J337" s="188"/>
    </row>
    <row r="338" spans="1:40" x14ac:dyDescent="0.3">
      <c r="J338" s="188"/>
      <c r="N338" s="123"/>
      <c r="O338" s="123"/>
      <c r="P338" s="123"/>
      <c r="Q338" s="123"/>
      <c r="R338" s="123"/>
      <c r="V338" s="123"/>
      <c r="Y338" s="123"/>
      <c r="Z338" s="219"/>
      <c r="AA338" s="123"/>
      <c r="AB338" s="123"/>
      <c r="AC338" s="160"/>
      <c r="AD338" s="160"/>
      <c r="AE338" s="123"/>
      <c r="AF338" s="123"/>
      <c r="AH338" s="236"/>
      <c r="AI338" s="123"/>
      <c r="AJ338" s="123"/>
      <c r="AL338" s="123"/>
      <c r="AM338" s="160"/>
      <c r="AN338" s="160"/>
    </row>
    <row r="339" spans="1:40" x14ac:dyDescent="0.3">
      <c r="C339" s="42"/>
      <c r="D339" s="42"/>
      <c r="E339" s="42"/>
      <c r="J339" s="188"/>
      <c r="K339" s="188"/>
      <c r="T339" s="42"/>
      <c r="U339" s="42"/>
      <c r="Z339" s="188"/>
      <c r="AE339" s="123"/>
      <c r="AF339" s="123"/>
      <c r="AI339" s="123"/>
      <c r="AJ339" s="123"/>
      <c r="AL339" s="123"/>
      <c r="AM339" s="160"/>
      <c r="AN339" s="160"/>
    </row>
    <row r="340" spans="1:40" x14ac:dyDescent="0.3">
      <c r="D340" s="42"/>
      <c r="E340" s="42"/>
      <c r="F340" s="123"/>
      <c r="H340" s="123"/>
      <c r="I340" s="123"/>
      <c r="J340" s="238"/>
      <c r="K340" s="238"/>
      <c r="L340" s="123"/>
      <c r="M340" s="123"/>
      <c r="N340" s="160"/>
      <c r="O340" s="160"/>
      <c r="P340" s="123"/>
      <c r="Q340" s="123"/>
      <c r="R340" s="123"/>
      <c r="U340" s="42"/>
      <c r="V340" s="123"/>
      <c r="Y340" s="123"/>
      <c r="Z340" s="238"/>
      <c r="AA340" s="123"/>
      <c r="AB340" s="123"/>
      <c r="AC340" s="160"/>
      <c r="AD340" s="160"/>
      <c r="AE340" s="123"/>
      <c r="AF340" s="123"/>
      <c r="AH340" s="236"/>
      <c r="AI340" s="123"/>
      <c r="AJ340" s="123"/>
      <c r="AL340" s="123"/>
      <c r="AM340" s="160"/>
      <c r="AN340" s="160"/>
    </row>
    <row r="341" spans="1:40" x14ac:dyDescent="0.3">
      <c r="F341" s="123"/>
      <c r="H341" s="123"/>
      <c r="I341" s="123"/>
      <c r="J341" s="238"/>
      <c r="K341" s="213"/>
      <c r="L341" s="123"/>
      <c r="M341" s="123"/>
      <c r="N341" s="123"/>
      <c r="O341" s="123"/>
      <c r="P341" s="123"/>
      <c r="Q341" s="123"/>
      <c r="R341" s="123"/>
      <c r="V341" s="123"/>
      <c r="Y341" s="123"/>
      <c r="Z341" s="213"/>
      <c r="AA341" s="123"/>
      <c r="AB341" s="123"/>
      <c r="AC341" s="123"/>
      <c r="AD341" s="123"/>
      <c r="AE341" s="123"/>
      <c r="AF341" s="123"/>
      <c r="AH341" s="236"/>
      <c r="AI341" s="184"/>
      <c r="AJ341" s="184"/>
      <c r="AL341" s="123"/>
      <c r="AM341" s="160"/>
      <c r="AN341" s="160"/>
    </row>
    <row r="342" spans="1:40" x14ac:dyDescent="0.3">
      <c r="C342" s="42"/>
      <c r="F342" s="184"/>
      <c r="H342" s="184"/>
      <c r="I342" s="184"/>
      <c r="J342" s="238"/>
      <c r="K342" s="212"/>
      <c r="L342" s="123"/>
      <c r="M342" s="123"/>
      <c r="N342" s="160"/>
      <c r="O342" s="160"/>
      <c r="P342" s="123"/>
      <c r="Q342" s="123"/>
      <c r="R342" s="123"/>
      <c r="T342" s="42"/>
      <c r="V342" s="184"/>
      <c r="Y342" s="184"/>
      <c r="Z342" s="212"/>
      <c r="AA342" s="123"/>
      <c r="AB342" s="123"/>
      <c r="AC342" s="160"/>
      <c r="AD342" s="160"/>
      <c r="AE342" s="123"/>
      <c r="AF342" s="123"/>
      <c r="AH342" s="236"/>
      <c r="AI342" s="123"/>
      <c r="AJ342" s="123"/>
      <c r="AL342" s="123"/>
      <c r="AM342" s="160"/>
      <c r="AN342" s="160"/>
    </row>
    <row r="343" spans="1:40" x14ac:dyDescent="0.3">
      <c r="F343" s="135"/>
      <c r="H343" s="135"/>
      <c r="I343" s="135"/>
      <c r="J343" s="188"/>
      <c r="L343" s="135"/>
      <c r="M343" s="135"/>
      <c r="N343" s="135"/>
      <c r="O343" s="135"/>
      <c r="P343" s="135"/>
      <c r="Q343" s="135"/>
      <c r="R343" s="135"/>
      <c r="V343" s="135"/>
      <c r="Y343" s="135"/>
      <c r="AA343" s="135"/>
      <c r="AB343" s="135"/>
      <c r="AC343" s="135"/>
      <c r="AD343" s="135"/>
      <c r="AE343" s="135"/>
      <c r="AF343" s="135"/>
      <c r="AG343" s="207"/>
      <c r="AH343" s="135"/>
      <c r="AI343" s="135"/>
      <c r="AJ343" s="135"/>
      <c r="AK343" s="207"/>
      <c r="AL343" s="135"/>
      <c r="AM343" s="135"/>
      <c r="AN343" s="135"/>
    </row>
    <row r="344" spans="1:40" x14ac:dyDescent="0.3">
      <c r="C344" s="44"/>
      <c r="F344" s="184"/>
      <c r="H344" s="184"/>
      <c r="I344" s="184"/>
      <c r="J344" s="238"/>
      <c r="K344" s="193"/>
      <c r="L344" s="184"/>
      <c r="M344" s="184"/>
      <c r="N344" s="160"/>
      <c r="O344" s="160"/>
      <c r="P344" s="184"/>
      <c r="Q344" s="184"/>
      <c r="R344" s="184"/>
      <c r="T344" s="44"/>
      <c r="V344" s="123"/>
      <c r="Y344" s="123"/>
      <c r="Z344" s="219"/>
      <c r="AA344" s="123"/>
      <c r="AB344" s="123"/>
      <c r="AC344" s="160"/>
      <c r="AD344" s="160"/>
      <c r="AH344" s="236"/>
      <c r="AI344" s="123"/>
      <c r="AJ344" s="123"/>
      <c r="AL344" s="123"/>
      <c r="AM344" s="160"/>
      <c r="AN344" s="160"/>
    </row>
    <row r="345" spans="1:40" x14ac:dyDescent="0.3">
      <c r="F345" s="241"/>
      <c r="H345" s="241"/>
      <c r="I345" s="241"/>
      <c r="J345" s="238"/>
      <c r="K345" s="213"/>
      <c r="L345" s="241"/>
      <c r="M345" s="241"/>
      <c r="N345" s="241"/>
      <c r="O345" s="241"/>
      <c r="P345" s="241"/>
      <c r="Q345" s="241"/>
      <c r="R345" s="241"/>
      <c r="V345" s="135"/>
      <c r="Y345" s="135"/>
      <c r="AA345" s="135"/>
      <c r="AB345" s="135"/>
      <c r="AC345" s="135"/>
      <c r="AD345" s="135"/>
      <c r="AE345" s="135"/>
      <c r="AF345" s="135"/>
      <c r="AG345" s="207"/>
      <c r="AH345" s="135"/>
      <c r="AI345" s="135"/>
      <c r="AJ345" s="135"/>
      <c r="AK345" s="207"/>
      <c r="AL345" s="135"/>
      <c r="AM345" s="135"/>
      <c r="AN345" s="135"/>
    </row>
    <row r="346" spans="1:40" x14ac:dyDescent="0.3">
      <c r="F346" s="184"/>
      <c r="H346" s="184"/>
      <c r="I346" s="184"/>
      <c r="J346" s="238"/>
      <c r="K346" s="237"/>
      <c r="L346" s="123"/>
      <c r="M346" s="123"/>
      <c r="N346" s="160"/>
      <c r="O346" s="160"/>
      <c r="P346" s="123"/>
      <c r="Q346" s="123"/>
      <c r="R346" s="123"/>
    </row>
    <row r="347" spans="1:40" x14ac:dyDescent="0.3">
      <c r="A347" s="42"/>
      <c r="F347" s="184"/>
      <c r="H347" s="184"/>
      <c r="I347" s="184"/>
      <c r="J347" s="238"/>
      <c r="K347" s="193"/>
      <c r="L347" s="123"/>
      <c r="M347" s="123"/>
      <c r="N347" s="160"/>
      <c r="O347" s="160"/>
      <c r="P347" s="123"/>
      <c r="Q347" s="123"/>
      <c r="R347" s="123"/>
    </row>
    <row r="348" spans="1:40" x14ac:dyDescent="0.3">
      <c r="F348" s="184"/>
      <c r="H348" s="184"/>
      <c r="I348" s="184"/>
      <c r="J348" s="238"/>
      <c r="K348" s="193"/>
      <c r="L348" s="123"/>
      <c r="M348" s="123"/>
      <c r="N348" s="160"/>
      <c r="O348" s="160"/>
      <c r="P348" s="123"/>
      <c r="Q348" s="123"/>
      <c r="R348" s="123"/>
    </row>
    <row r="349" spans="1:40" x14ac:dyDescent="0.3">
      <c r="A349" s="42"/>
      <c r="J349" s="188"/>
    </row>
    <row r="350" spans="1:40" x14ac:dyDescent="0.3">
      <c r="J350" s="188"/>
    </row>
    <row r="351" spans="1:40" x14ac:dyDescent="0.3">
      <c r="J351" s="188"/>
    </row>
    <row r="352" spans="1:40" x14ac:dyDescent="0.3">
      <c r="H352" s="42"/>
      <c r="I352" s="42"/>
      <c r="J352" s="188"/>
      <c r="Y352" s="42"/>
    </row>
    <row r="353" spans="1:40" x14ac:dyDescent="0.3">
      <c r="J353" s="188"/>
    </row>
    <row r="354" spans="1:40" x14ac:dyDescent="0.3">
      <c r="J354" s="188"/>
      <c r="L354" s="42"/>
      <c r="M354" s="42"/>
      <c r="AA354" s="42"/>
      <c r="AB354" s="42"/>
    </row>
    <row r="355" spans="1:40" x14ac:dyDescent="0.3">
      <c r="J355" s="188"/>
      <c r="R355" s="42"/>
      <c r="AK355" s="206"/>
      <c r="AL355" s="42"/>
    </row>
    <row r="356" spans="1:40" x14ac:dyDescent="0.3">
      <c r="J356" s="188"/>
      <c r="R356" s="42"/>
      <c r="AK356" s="206"/>
      <c r="AL356" s="42"/>
    </row>
    <row r="357" spans="1:40" x14ac:dyDescent="0.3">
      <c r="A357" s="42"/>
      <c r="J357" s="188"/>
      <c r="R357" s="42"/>
      <c r="AK357" s="206"/>
      <c r="AL357" s="42"/>
    </row>
    <row r="358" spans="1:40" x14ac:dyDescent="0.3">
      <c r="J358" s="188"/>
      <c r="L358" s="42"/>
      <c r="M358" s="42"/>
      <c r="AA358" s="42"/>
      <c r="AB358" s="42"/>
    </row>
    <row r="359" spans="1:40" x14ac:dyDescent="0.3">
      <c r="A359" s="135"/>
      <c r="B359" s="135"/>
      <c r="C359" s="135"/>
      <c r="D359" s="135"/>
      <c r="E359" s="135"/>
      <c r="F359" s="135"/>
      <c r="G359" s="135"/>
      <c r="H359" s="135"/>
      <c r="I359" s="135"/>
      <c r="J359" s="244"/>
      <c r="K359" s="135"/>
      <c r="L359" s="135"/>
      <c r="M359" s="135"/>
      <c r="N359" s="135"/>
      <c r="O359" s="135"/>
      <c r="P359" s="135"/>
      <c r="Q359" s="135"/>
      <c r="R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207"/>
      <c r="AH359" s="135"/>
      <c r="AI359" s="135"/>
      <c r="AJ359" s="135"/>
      <c r="AK359" s="207"/>
      <c r="AL359" s="135"/>
      <c r="AM359" s="135"/>
      <c r="AN359" s="135"/>
    </row>
    <row r="360" spans="1:40" x14ac:dyDescent="0.3">
      <c r="J360" s="188"/>
      <c r="L360" s="44"/>
      <c r="M360" s="44"/>
      <c r="N360" s="44"/>
      <c r="O360" s="44"/>
      <c r="R360" s="44"/>
      <c r="AA360" s="44"/>
      <c r="AB360" s="44"/>
      <c r="AC360" s="44"/>
      <c r="AD360" s="44"/>
      <c r="AE360" s="44"/>
      <c r="AF360" s="44"/>
      <c r="AG360" s="168"/>
      <c r="AH360" s="44"/>
      <c r="AK360" s="168"/>
      <c r="AL360" s="44"/>
      <c r="AM360" s="44"/>
      <c r="AN360" s="44"/>
    </row>
    <row r="361" spans="1:40" x14ac:dyDescent="0.3">
      <c r="J361" s="188"/>
      <c r="L361" s="44"/>
      <c r="M361" s="44"/>
      <c r="N361" s="44"/>
      <c r="O361" s="44"/>
      <c r="R361" s="44"/>
      <c r="Z361" s="44"/>
      <c r="AA361" s="44"/>
      <c r="AB361" s="44"/>
      <c r="AC361" s="44"/>
      <c r="AD361" s="44"/>
      <c r="AE361" s="44"/>
      <c r="AF361" s="44"/>
      <c r="AG361" s="168"/>
      <c r="AH361" s="44"/>
      <c r="AK361" s="168"/>
      <c r="AL361" s="44"/>
      <c r="AM361" s="44"/>
      <c r="AN361" s="44"/>
    </row>
    <row r="362" spans="1:40" x14ac:dyDescent="0.3">
      <c r="A362" s="44"/>
      <c r="C362" s="44"/>
      <c r="D362" s="44"/>
      <c r="E362" s="44"/>
      <c r="F362" s="44"/>
      <c r="J362" s="245"/>
      <c r="K362" s="44"/>
      <c r="L362" s="44"/>
      <c r="M362" s="44"/>
      <c r="N362" s="44"/>
      <c r="O362" s="44"/>
      <c r="P362" s="44"/>
      <c r="Q362" s="44"/>
      <c r="R362" s="44"/>
      <c r="T362" s="44"/>
      <c r="U362" s="44"/>
      <c r="V362" s="44"/>
      <c r="Z362" s="44"/>
      <c r="AA362" s="44"/>
      <c r="AB362" s="44"/>
      <c r="AC362" s="44"/>
      <c r="AD362" s="44"/>
      <c r="AE362" s="44"/>
      <c r="AF362" s="44"/>
      <c r="AG362" s="168"/>
      <c r="AH362" s="44"/>
      <c r="AI362" s="44"/>
      <c r="AJ362" s="44"/>
      <c r="AK362" s="168"/>
      <c r="AL362" s="44"/>
      <c r="AM362" s="44"/>
      <c r="AN362" s="44"/>
    </row>
    <row r="363" spans="1:40" x14ac:dyDescent="0.3">
      <c r="A363" s="44"/>
      <c r="C363" s="44"/>
      <c r="D363" s="44"/>
      <c r="E363" s="44"/>
      <c r="F363" s="44"/>
      <c r="H363" s="44"/>
      <c r="I363" s="44"/>
      <c r="J363" s="245"/>
      <c r="K363" s="44"/>
      <c r="L363" s="44"/>
      <c r="M363" s="44"/>
      <c r="N363" s="44"/>
      <c r="O363" s="44"/>
      <c r="P363" s="44"/>
      <c r="Q363" s="44"/>
      <c r="R363" s="44"/>
      <c r="T363" s="44"/>
      <c r="U363" s="44"/>
      <c r="V363" s="44"/>
      <c r="Y363" s="44"/>
      <c r="Z363" s="44"/>
      <c r="AA363" s="44"/>
      <c r="AB363" s="44"/>
      <c r="AC363" s="44"/>
      <c r="AD363" s="44"/>
      <c r="AE363" s="44"/>
      <c r="AF363" s="44"/>
      <c r="AG363" s="168"/>
      <c r="AH363" s="44"/>
      <c r="AI363" s="44"/>
      <c r="AJ363" s="44"/>
      <c r="AK363" s="168"/>
      <c r="AL363" s="44"/>
      <c r="AM363" s="44"/>
      <c r="AN363" s="44"/>
    </row>
    <row r="364" spans="1:40" x14ac:dyDescent="0.3">
      <c r="C364" s="44"/>
      <c r="D364" s="44"/>
      <c r="E364" s="44"/>
      <c r="F364" s="44"/>
      <c r="H364" s="44"/>
      <c r="I364" s="44"/>
      <c r="J364" s="245"/>
      <c r="K364" s="44"/>
      <c r="L364" s="44"/>
      <c r="M364" s="44"/>
      <c r="N364" s="44"/>
      <c r="O364" s="44"/>
      <c r="P364" s="44"/>
      <c r="Q364" s="44"/>
      <c r="R364" s="44"/>
      <c r="T364" s="44"/>
      <c r="U364" s="44"/>
      <c r="V364" s="44"/>
      <c r="Y364" s="44"/>
      <c r="Z364" s="44"/>
      <c r="AA364" s="44"/>
      <c r="AB364" s="44"/>
      <c r="AC364" s="44"/>
      <c r="AD364" s="44"/>
      <c r="AE364" s="44"/>
      <c r="AF364" s="44"/>
      <c r="AG364" s="168"/>
      <c r="AH364" s="44"/>
      <c r="AI364" s="44"/>
      <c r="AJ364" s="44"/>
      <c r="AK364" s="168"/>
      <c r="AL364" s="44"/>
      <c r="AM364" s="44"/>
      <c r="AN364" s="44"/>
    </row>
    <row r="365" spans="1:40" x14ac:dyDescent="0.3">
      <c r="A365" s="135"/>
      <c r="B365" s="135"/>
      <c r="C365" s="135"/>
      <c r="D365" s="135"/>
      <c r="E365" s="135"/>
      <c r="F365" s="135"/>
      <c r="G365" s="135"/>
      <c r="H365" s="135"/>
      <c r="I365" s="135"/>
      <c r="J365" s="244"/>
      <c r="K365" s="135"/>
      <c r="L365" s="135"/>
      <c r="M365" s="135"/>
      <c r="N365" s="135"/>
      <c r="O365" s="135"/>
      <c r="P365" s="135"/>
      <c r="Q365" s="135"/>
      <c r="R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207"/>
      <c r="AH365" s="135"/>
      <c r="AI365" s="135"/>
      <c r="AJ365" s="135"/>
      <c r="AK365" s="207"/>
      <c r="AL365" s="135"/>
      <c r="AM365" s="135"/>
      <c r="AN365" s="135"/>
    </row>
    <row r="366" spans="1:40" x14ac:dyDescent="0.3">
      <c r="H366" s="44"/>
      <c r="I366" s="44"/>
      <c r="J366" s="245"/>
      <c r="K366" s="44"/>
      <c r="L366" s="44"/>
      <c r="M366" s="44"/>
      <c r="N366" s="44"/>
      <c r="O366" s="44"/>
      <c r="P366" s="44"/>
      <c r="Q366" s="44"/>
      <c r="R366" s="44"/>
      <c r="Y366" s="44"/>
      <c r="Z366" s="44"/>
      <c r="AA366" s="44"/>
      <c r="AB366" s="44"/>
      <c r="AC366" s="44"/>
      <c r="AD366" s="44"/>
      <c r="AE366" s="44"/>
      <c r="AF366" s="44"/>
      <c r="AG366" s="168"/>
      <c r="AH366" s="44"/>
      <c r="AI366" s="44"/>
      <c r="AJ366" s="44"/>
      <c r="AK366" s="168"/>
      <c r="AL366" s="44"/>
      <c r="AM366" s="44"/>
      <c r="AN366" s="44"/>
    </row>
    <row r="367" spans="1:40" x14ac:dyDescent="0.3">
      <c r="C367" s="42"/>
      <c r="D367" s="42"/>
      <c r="E367" s="42"/>
      <c r="J367" s="188"/>
      <c r="T367" s="42"/>
      <c r="U367" s="42"/>
    </row>
    <row r="368" spans="1:40" x14ac:dyDescent="0.3">
      <c r="J368" s="188"/>
    </row>
    <row r="369" spans="3:40" x14ac:dyDescent="0.3">
      <c r="C369" s="42"/>
      <c r="J369" s="188"/>
      <c r="T369" s="42"/>
    </row>
    <row r="370" spans="3:40" x14ac:dyDescent="0.3">
      <c r="C370" s="42"/>
      <c r="F370" s="184"/>
      <c r="H370" s="184"/>
      <c r="I370" s="184"/>
      <c r="J370" s="238"/>
      <c r="K370" s="213"/>
      <c r="L370" s="123"/>
      <c r="M370" s="123"/>
      <c r="N370" s="160"/>
      <c r="O370" s="160"/>
      <c r="P370" s="123"/>
      <c r="Q370" s="123"/>
      <c r="R370" s="123"/>
      <c r="T370" s="42"/>
      <c r="V370" s="184"/>
      <c r="Y370" s="184"/>
      <c r="Z370" s="213"/>
      <c r="AA370" s="123"/>
      <c r="AB370" s="123"/>
      <c r="AC370" s="160"/>
      <c r="AD370" s="160"/>
      <c r="AE370" s="123"/>
      <c r="AF370" s="123"/>
      <c r="AH370" s="236"/>
      <c r="AI370" s="123"/>
      <c r="AJ370" s="123"/>
      <c r="AL370" s="123"/>
      <c r="AM370" s="160"/>
      <c r="AN370" s="160"/>
    </row>
    <row r="371" spans="3:40" x14ac:dyDescent="0.3">
      <c r="C371" s="42"/>
      <c r="J371" s="188"/>
      <c r="T371" s="42"/>
    </row>
    <row r="372" spans="3:40" x14ac:dyDescent="0.3">
      <c r="C372" s="42"/>
      <c r="F372" s="184"/>
      <c r="H372" s="184"/>
      <c r="I372" s="184"/>
      <c r="J372" s="238"/>
      <c r="K372" s="238"/>
      <c r="L372" s="123"/>
      <c r="M372" s="123"/>
      <c r="N372" s="160"/>
      <c r="O372" s="160"/>
      <c r="P372" s="123"/>
      <c r="Q372" s="123"/>
      <c r="R372" s="123"/>
      <c r="T372" s="42"/>
      <c r="V372" s="123"/>
      <c r="Y372" s="123"/>
      <c r="Z372" s="238"/>
      <c r="AA372" s="123"/>
      <c r="AB372" s="123"/>
      <c r="AC372" s="160"/>
      <c r="AD372" s="160"/>
      <c r="AE372" s="123"/>
      <c r="AF372" s="123"/>
      <c r="AH372" s="236"/>
      <c r="AI372" s="123"/>
      <c r="AJ372" s="123"/>
      <c r="AL372" s="123"/>
      <c r="AM372" s="160"/>
      <c r="AN372" s="160"/>
    </row>
    <row r="373" spans="3:40" x14ac:dyDescent="0.3">
      <c r="C373" s="42"/>
      <c r="F373" s="184"/>
      <c r="H373" s="184"/>
      <c r="I373" s="184"/>
      <c r="J373" s="238"/>
      <c r="K373" s="238"/>
      <c r="L373" s="123"/>
      <c r="M373" s="123"/>
      <c r="N373" s="160"/>
      <c r="O373" s="160"/>
      <c r="P373" s="123"/>
      <c r="Q373" s="123"/>
      <c r="R373" s="123"/>
      <c r="T373" s="42"/>
      <c r="V373" s="123"/>
      <c r="Y373" s="123"/>
      <c r="Z373" s="238"/>
      <c r="AA373" s="123"/>
      <c r="AB373" s="123"/>
      <c r="AC373" s="160"/>
      <c r="AD373" s="160"/>
      <c r="AE373" s="123"/>
      <c r="AF373" s="123"/>
      <c r="AH373" s="236"/>
      <c r="AI373" s="123"/>
      <c r="AJ373" s="123"/>
      <c r="AL373" s="123"/>
      <c r="AM373" s="160"/>
      <c r="AN373" s="160"/>
    </row>
    <row r="374" spans="3:40" x14ac:dyDescent="0.3">
      <c r="C374" s="42"/>
      <c r="F374" s="184"/>
      <c r="H374" s="184"/>
      <c r="I374" s="184"/>
      <c r="J374" s="238"/>
      <c r="K374" s="238"/>
      <c r="L374" s="123"/>
      <c r="M374" s="123"/>
      <c r="N374" s="160"/>
      <c r="O374" s="160"/>
      <c r="P374" s="123"/>
      <c r="Q374" s="123"/>
      <c r="R374" s="123"/>
      <c r="T374" s="42"/>
      <c r="V374" s="123"/>
      <c r="Y374" s="123"/>
      <c r="Z374" s="238"/>
      <c r="AA374" s="123"/>
      <c r="AB374" s="123"/>
      <c r="AC374" s="160"/>
      <c r="AD374" s="160"/>
      <c r="AE374" s="123"/>
      <c r="AF374" s="123"/>
      <c r="AH374" s="236"/>
      <c r="AI374" s="123"/>
      <c r="AJ374" s="123"/>
      <c r="AL374" s="123"/>
      <c r="AM374" s="160"/>
      <c r="AN374" s="160"/>
    </row>
    <row r="375" spans="3:40" x14ac:dyDescent="0.3">
      <c r="C375" s="42"/>
      <c r="F375" s="184"/>
      <c r="H375" s="184"/>
      <c r="I375" s="184"/>
      <c r="J375" s="238"/>
      <c r="K375" s="238"/>
      <c r="L375" s="123"/>
      <c r="M375" s="123"/>
      <c r="N375" s="160"/>
      <c r="O375" s="160"/>
      <c r="P375" s="123"/>
      <c r="Q375" s="123"/>
      <c r="R375" s="123"/>
      <c r="T375" s="42"/>
      <c r="V375" s="123"/>
      <c r="Y375" s="123"/>
      <c r="Z375" s="238"/>
      <c r="AA375" s="123"/>
      <c r="AB375" s="123"/>
      <c r="AC375" s="160"/>
      <c r="AD375" s="160"/>
      <c r="AE375" s="123"/>
      <c r="AF375" s="123"/>
      <c r="AH375" s="236"/>
      <c r="AI375" s="123"/>
      <c r="AJ375" s="123"/>
      <c r="AL375" s="123"/>
      <c r="AM375" s="160"/>
      <c r="AN375" s="160"/>
    </row>
    <row r="376" spans="3:40" x14ac:dyDescent="0.3">
      <c r="C376" s="42"/>
      <c r="J376" s="188"/>
      <c r="K376" s="188"/>
      <c r="T376" s="42"/>
      <c r="Z376" s="188"/>
    </row>
    <row r="377" spans="3:40" x14ac:dyDescent="0.3">
      <c r="C377" s="42"/>
      <c r="F377" s="184"/>
      <c r="H377" s="184"/>
      <c r="I377" s="184"/>
      <c r="J377" s="238"/>
      <c r="K377" s="238"/>
      <c r="L377" s="123"/>
      <c r="M377" s="123"/>
      <c r="N377" s="160"/>
      <c r="O377" s="160"/>
      <c r="P377" s="123"/>
      <c r="Q377" s="123"/>
      <c r="R377" s="123"/>
      <c r="T377" s="42"/>
      <c r="V377" s="123"/>
      <c r="Y377" s="123"/>
      <c r="Z377" s="238"/>
      <c r="AA377" s="123"/>
      <c r="AB377" s="123"/>
      <c r="AC377" s="160"/>
      <c r="AD377" s="160"/>
      <c r="AE377" s="123"/>
      <c r="AF377" s="123"/>
      <c r="AH377" s="236"/>
      <c r="AI377" s="123"/>
      <c r="AJ377" s="123"/>
      <c r="AL377" s="123"/>
      <c r="AM377" s="160"/>
      <c r="AN377" s="160"/>
    </row>
    <row r="378" spans="3:40" x14ac:dyDescent="0.3">
      <c r="C378" s="42"/>
      <c r="F378" s="184"/>
      <c r="H378" s="184"/>
      <c r="I378" s="184"/>
      <c r="J378" s="238"/>
      <c r="K378" s="238"/>
      <c r="L378" s="123"/>
      <c r="M378" s="123"/>
      <c r="N378" s="160"/>
      <c r="O378" s="160"/>
      <c r="P378" s="123"/>
      <c r="Q378" s="123"/>
      <c r="R378" s="123"/>
      <c r="T378" s="42"/>
      <c r="V378" s="123"/>
      <c r="Y378" s="123"/>
      <c r="Z378" s="238"/>
      <c r="AA378" s="123"/>
      <c r="AB378" s="123"/>
      <c r="AC378" s="160"/>
      <c r="AD378" s="160"/>
      <c r="AE378" s="123"/>
      <c r="AF378" s="123"/>
      <c r="AH378" s="236"/>
      <c r="AI378" s="123"/>
      <c r="AJ378" s="123"/>
      <c r="AL378" s="123"/>
      <c r="AM378" s="160"/>
      <c r="AN378" s="160"/>
    </row>
    <row r="379" spans="3:40" x14ac:dyDescent="0.3">
      <c r="C379" s="42"/>
      <c r="F379" s="184"/>
      <c r="H379" s="184"/>
      <c r="I379" s="184"/>
      <c r="J379" s="238"/>
      <c r="K379" s="238"/>
      <c r="L379" s="123"/>
      <c r="M379" s="123"/>
      <c r="N379" s="160"/>
      <c r="O379" s="160"/>
      <c r="P379" s="123"/>
      <c r="Q379" s="123"/>
      <c r="R379" s="123"/>
      <c r="T379" s="42"/>
      <c r="V379" s="123"/>
      <c r="Y379" s="123"/>
      <c r="Z379" s="238"/>
      <c r="AA379" s="123"/>
      <c r="AB379" s="123"/>
      <c r="AC379" s="160"/>
      <c r="AD379" s="160"/>
      <c r="AE379" s="123"/>
      <c r="AF379" s="123"/>
      <c r="AH379" s="236"/>
      <c r="AI379" s="123"/>
      <c r="AJ379" s="123"/>
      <c r="AL379" s="123"/>
      <c r="AM379" s="160"/>
      <c r="AN379" s="160"/>
    </row>
    <row r="380" spans="3:40" x14ac:dyDescent="0.3">
      <c r="C380" s="42"/>
      <c r="J380" s="188"/>
      <c r="K380" s="188"/>
      <c r="T380" s="42"/>
      <c r="Z380" s="188"/>
    </row>
    <row r="381" spans="3:40" x14ac:dyDescent="0.3">
      <c r="C381" s="42"/>
      <c r="F381" s="184"/>
      <c r="H381" s="184"/>
      <c r="I381" s="184"/>
      <c r="J381" s="238"/>
      <c r="K381" s="238"/>
      <c r="L381" s="123"/>
      <c r="M381" s="123"/>
      <c r="N381" s="160"/>
      <c r="O381" s="160"/>
      <c r="P381" s="123"/>
      <c r="Q381" s="123"/>
      <c r="R381" s="123"/>
      <c r="T381" s="42"/>
      <c r="V381" s="123"/>
      <c r="Y381" s="123"/>
      <c r="Z381" s="238"/>
      <c r="AA381" s="123"/>
      <c r="AB381" s="123"/>
      <c r="AC381" s="160"/>
      <c r="AD381" s="160"/>
      <c r="AE381" s="123"/>
      <c r="AF381" s="123"/>
      <c r="AH381" s="236"/>
      <c r="AI381" s="123"/>
      <c r="AJ381" s="123"/>
      <c r="AL381" s="123"/>
      <c r="AM381" s="160"/>
      <c r="AN381" s="160"/>
    </row>
    <row r="382" spans="3:40" x14ac:dyDescent="0.3">
      <c r="C382" s="42"/>
      <c r="F382" s="184"/>
      <c r="H382" s="184"/>
      <c r="I382" s="184"/>
      <c r="J382" s="238"/>
      <c r="K382" s="238"/>
      <c r="L382" s="123"/>
      <c r="M382" s="123"/>
      <c r="N382" s="160"/>
      <c r="O382" s="160"/>
      <c r="P382" s="123"/>
      <c r="Q382" s="123"/>
      <c r="R382" s="123"/>
      <c r="T382" s="42"/>
      <c r="V382" s="123"/>
      <c r="Y382" s="123"/>
      <c r="Z382" s="238"/>
      <c r="AA382" s="123"/>
      <c r="AB382" s="123"/>
      <c r="AC382" s="160"/>
      <c r="AD382" s="160"/>
      <c r="AE382" s="123"/>
      <c r="AF382" s="123"/>
      <c r="AH382" s="236"/>
      <c r="AI382" s="123"/>
      <c r="AJ382" s="123"/>
      <c r="AL382" s="123"/>
      <c r="AM382" s="160"/>
      <c r="AN382" s="160"/>
    </row>
    <row r="383" spans="3:40" x14ac:dyDescent="0.3">
      <c r="C383" s="42"/>
      <c r="J383" s="188"/>
      <c r="K383" s="188"/>
      <c r="T383" s="42"/>
      <c r="Z383" s="188"/>
    </row>
    <row r="384" spans="3:40" x14ac:dyDescent="0.3">
      <c r="C384" s="42"/>
      <c r="F384" s="184"/>
      <c r="H384" s="184"/>
      <c r="I384" s="184"/>
      <c r="J384" s="238"/>
      <c r="K384" s="238"/>
      <c r="L384" s="123"/>
      <c r="M384" s="123"/>
      <c r="N384" s="160"/>
      <c r="O384" s="160"/>
      <c r="P384" s="123"/>
      <c r="Q384" s="123"/>
      <c r="R384" s="123"/>
      <c r="T384" s="42"/>
      <c r="V384" s="123"/>
      <c r="Y384" s="123"/>
      <c r="Z384" s="238"/>
      <c r="AA384" s="123"/>
      <c r="AB384" s="123"/>
      <c r="AC384" s="160"/>
      <c r="AD384" s="160"/>
      <c r="AE384" s="123"/>
      <c r="AF384" s="123"/>
      <c r="AH384" s="236"/>
      <c r="AI384" s="123"/>
      <c r="AJ384" s="123"/>
      <c r="AL384" s="123"/>
      <c r="AM384" s="160"/>
      <c r="AN384" s="160"/>
    </row>
    <row r="385" spans="3:40" x14ac:dyDescent="0.3">
      <c r="C385" s="42"/>
      <c r="F385" s="184"/>
      <c r="H385" s="184"/>
      <c r="I385" s="184"/>
      <c r="J385" s="238"/>
      <c r="K385" s="238"/>
      <c r="L385" s="123"/>
      <c r="M385" s="123"/>
      <c r="N385" s="160"/>
      <c r="O385" s="160"/>
      <c r="P385" s="123"/>
      <c r="Q385" s="123"/>
      <c r="R385" s="123"/>
      <c r="T385" s="42"/>
      <c r="V385" s="123"/>
      <c r="Y385" s="123"/>
      <c r="Z385" s="238"/>
      <c r="AA385" s="123"/>
      <c r="AB385" s="123"/>
      <c r="AC385" s="160"/>
      <c r="AD385" s="160"/>
      <c r="AE385" s="123"/>
      <c r="AF385" s="123"/>
      <c r="AH385" s="236"/>
      <c r="AI385" s="123"/>
      <c r="AJ385" s="123"/>
      <c r="AL385" s="123"/>
      <c r="AM385" s="160"/>
      <c r="AN385" s="160"/>
    </row>
    <row r="386" spans="3:40" x14ac:dyDescent="0.3">
      <c r="C386" s="42"/>
      <c r="F386" s="184"/>
      <c r="H386" s="184"/>
      <c r="I386" s="184"/>
      <c r="J386" s="238"/>
      <c r="K386" s="238"/>
      <c r="L386" s="123"/>
      <c r="M386" s="123"/>
      <c r="N386" s="160"/>
      <c r="O386" s="160"/>
      <c r="P386" s="123"/>
      <c r="Q386" s="123"/>
      <c r="R386" s="123"/>
      <c r="T386" s="42"/>
      <c r="V386" s="123"/>
      <c r="Y386" s="123"/>
      <c r="Z386" s="238"/>
      <c r="AA386" s="123"/>
      <c r="AB386" s="123"/>
      <c r="AC386" s="160"/>
      <c r="AD386" s="160"/>
      <c r="AE386" s="123"/>
      <c r="AF386" s="123"/>
      <c r="AH386" s="236"/>
      <c r="AI386" s="123"/>
      <c r="AJ386" s="123"/>
      <c r="AL386" s="123"/>
      <c r="AM386" s="160"/>
      <c r="AN386" s="160"/>
    </row>
    <row r="387" spans="3:40" x14ac:dyDescent="0.3">
      <c r="F387" s="210"/>
      <c r="H387" s="210"/>
      <c r="I387" s="210"/>
      <c r="J387" s="238"/>
      <c r="K387" s="238"/>
      <c r="L387" s="210"/>
      <c r="M387" s="210"/>
      <c r="N387" s="210"/>
      <c r="O387" s="210"/>
      <c r="P387" s="210"/>
      <c r="Q387" s="210"/>
      <c r="R387" s="210"/>
      <c r="V387" s="210"/>
      <c r="Y387" s="210"/>
      <c r="Z387" s="238"/>
      <c r="AA387" s="210"/>
      <c r="AB387" s="210"/>
      <c r="AC387" s="210"/>
      <c r="AD387" s="210"/>
      <c r="AE387" s="210"/>
      <c r="AF387" s="210"/>
      <c r="AI387" s="210"/>
      <c r="AJ387" s="210"/>
      <c r="AK387" s="214"/>
      <c r="AL387" s="210"/>
    </row>
    <row r="388" spans="3:40" x14ac:dyDescent="0.3">
      <c r="C388" s="44"/>
      <c r="F388" s="123"/>
      <c r="H388" s="123"/>
      <c r="I388" s="123"/>
      <c r="J388" s="188"/>
      <c r="K388" s="188"/>
      <c r="L388" s="123"/>
      <c r="M388" s="123"/>
      <c r="N388" s="236"/>
      <c r="O388" s="236"/>
      <c r="P388" s="123"/>
      <c r="Q388" s="123"/>
      <c r="R388" s="123"/>
      <c r="T388" s="44"/>
      <c r="V388" s="123"/>
      <c r="Y388" s="123"/>
      <c r="Z388" s="188"/>
      <c r="AA388" s="123"/>
      <c r="AB388" s="123"/>
      <c r="AC388" s="123"/>
      <c r="AD388" s="123"/>
      <c r="AE388" s="123"/>
      <c r="AF388" s="123"/>
      <c r="AH388" s="236"/>
      <c r="AI388" s="123"/>
      <c r="AJ388" s="123"/>
      <c r="AL388" s="123"/>
      <c r="AM388" s="160"/>
      <c r="AN388" s="160"/>
    </row>
    <row r="389" spans="3:40" x14ac:dyDescent="0.3">
      <c r="F389" s="210"/>
      <c r="H389" s="210"/>
      <c r="I389" s="210"/>
      <c r="J389" s="238"/>
      <c r="K389" s="238"/>
      <c r="L389" s="210"/>
      <c r="M389" s="210"/>
      <c r="N389" s="210"/>
      <c r="O389" s="210"/>
      <c r="P389" s="210"/>
      <c r="Q389" s="210"/>
      <c r="R389" s="210"/>
      <c r="V389" s="210"/>
      <c r="Y389" s="210"/>
      <c r="Z389" s="238"/>
      <c r="AA389" s="210"/>
      <c r="AB389" s="210"/>
      <c r="AC389" s="210"/>
      <c r="AD389" s="210"/>
      <c r="AE389" s="210"/>
      <c r="AF389" s="210"/>
      <c r="AI389" s="210"/>
      <c r="AJ389" s="210"/>
      <c r="AK389" s="214"/>
      <c r="AL389" s="210"/>
    </row>
    <row r="390" spans="3:40" x14ac:dyDescent="0.3">
      <c r="C390" s="42"/>
      <c r="J390" s="188"/>
      <c r="K390" s="188"/>
      <c r="T390" s="42"/>
      <c r="Z390" s="188"/>
    </row>
    <row r="391" spans="3:40" x14ac:dyDescent="0.3">
      <c r="C391" s="42"/>
      <c r="J391" s="188"/>
      <c r="K391" s="188"/>
      <c r="T391" s="42"/>
      <c r="Z391" s="188"/>
    </row>
    <row r="392" spans="3:40" x14ac:dyDescent="0.3">
      <c r="C392" s="42"/>
      <c r="F392" s="184"/>
      <c r="H392" s="184"/>
      <c r="I392" s="184"/>
      <c r="J392" s="238"/>
      <c r="K392" s="238"/>
      <c r="L392" s="123"/>
      <c r="M392" s="123"/>
      <c r="N392" s="160"/>
      <c r="O392" s="160"/>
      <c r="P392" s="123"/>
      <c r="Q392" s="123"/>
      <c r="R392" s="123"/>
      <c r="T392" s="42"/>
      <c r="V392" s="123"/>
      <c r="Y392" s="123"/>
      <c r="Z392" s="238"/>
      <c r="AA392" s="123"/>
      <c r="AB392" s="123"/>
      <c r="AC392" s="160"/>
      <c r="AD392" s="160"/>
      <c r="AE392" s="123"/>
      <c r="AF392" s="123"/>
      <c r="AH392" s="236"/>
      <c r="AI392" s="123"/>
      <c r="AJ392" s="123"/>
      <c r="AL392" s="123"/>
      <c r="AM392" s="160"/>
      <c r="AN392" s="160"/>
    </row>
    <row r="393" spans="3:40" x14ac:dyDescent="0.3">
      <c r="C393" s="42"/>
      <c r="F393" s="184"/>
      <c r="H393" s="184"/>
      <c r="I393" s="184"/>
      <c r="J393" s="238"/>
      <c r="K393" s="238"/>
      <c r="L393" s="123"/>
      <c r="M393" s="123"/>
      <c r="N393" s="160"/>
      <c r="O393" s="160"/>
      <c r="P393" s="123"/>
      <c r="Q393" s="123"/>
      <c r="R393" s="123"/>
      <c r="T393" s="42"/>
      <c r="V393" s="123"/>
      <c r="Y393" s="123"/>
      <c r="Z393" s="238"/>
      <c r="AA393" s="123"/>
      <c r="AB393" s="123"/>
      <c r="AC393" s="160"/>
      <c r="AD393" s="160"/>
      <c r="AE393" s="123"/>
      <c r="AF393" s="123"/>
      <c r="AH393" s="236"/>
      <c r="AI393" s="123"/>
      <c r="AJ393" s="123"/>
      <c r="AL393" s="123"/>
      <c r="AM393" s="160"/>
      <c r="AN393" s="160"/>
    </row>
    <row r="394" spans="3:40" x14ac:dyDescent="0.3">
      <c r="C394" s="42"/>
      <c r="F394" s="184"/>
      <c r="H394" s="184"/>
      <c r="I394" s="184"/>
      <c r="J394" s="238"/>
      <c r="K394" s="238"/>
      <c r="L394" s="123"/>
      <c r="M394" s="123"/>
      <c r="N394" s="160"/>
      <c r="O394" s="160"/>
      <c r="P394" s="123"/>
      <c r="Q394" s="123"/>
      <c r="R394" s="123"/>
      <c r="T394" s="42"/>
      <c r="V394" s="123"/>
      <c r="Y394" s="123"/>
      <c r="Z394" s="238"/>
      <c r="AA394" s="123"/>
      <c r="AB394" s="123"/>
      <c r="AC394" s="160"/>
      <c r="AD394" s="160"/>
      <c r="AE394" s="123"/>
      <c r="AF394" s="123"/>
      <c r="AH394" s="236"/>
      <c r="AI394" s="123"/>
      <c r="AJ394" s="123"/>
      <c r="AL394" s="123"/>
      <c r="AM394" s="160"/>
      <c r="AN394" s="160"/>
    </row>
    <row r="395" spans="3:40" x14ac:dyDescent="0.3">
      <c r="C395" s="42"/>
      <c r="F395" s="184"/>
      <c r="H395" s="184"/>
      <c r="I395" s="184"/>
      <c r="J395" s="238"/>
      <c r="K395" s="238"/>
      <c r="L395" s="123"/>
      <c r="M395" s="123"/>
      <c r="N395" s="160"/>
      <c r="O395" s="160"/>
      <c r="P395" s="123"/>
      <c r="Q395" s="123"/>
      <c r="R395" s="123"/>
      <c r="T395" s="42"/>
      <c r="V395" s="123"/>
      <c r="Y395" s="123"/>
      <c r="Z395" s="238"/>
      <c r="AA395" s="123"/>
      <c r="AB395" s="123"/>
      <c r="AC395" s="160"/>
      <c r="AD395" s="160"/>
      <c r="AE395" s="123"/>
      <c r="AF395" s="123"/>
      <c r="AH395" s="236"/>
      <c r="AI395" s="123"/>
      <c r="AJ395" s="123"/>
      <c r="AL395" s="123"/>
      <c r="AM395" s="160"/>
      <c r="AN395" s="160"/>
    </row>
    <row r="396" spans="3:40" x14ac:dyDescent="0.3">
      <c r="C396" s="42"/>
      <c r="F396" s="184"/>
      <c r="H396" s="184"/>
      <c r="I396" s="184"/>
      <c r="J396" s="238"/>
      <c r="K396" s="238"/>
      <c r="L396" s="123"/>
      <c r="M396" s="123"/>
      <c r="N396" s="160"/>
      <c r="O396" s="160"/>
      <c r="P396" s="123"/>
      <c r="Q396" s="123"/>
      <c r="R396" s="123"/>
      <c r="T396" s="42"/>
      <c r="V396" s="123"/>
      <c r="Y396" s="123"/>
      <c r="Z396" s="238"/>
      <c r="AA396" s="123"/>
      <c r="AB396" s="123"/>
      <c r="AC396" s="160"/>
      <c r="AD396" s="160"/>
      <c r="AE396" s="123"/>
      <c r="AF396" s="123"/>
      <c r="AH396" s="236"/>
      <c r="AI396" s="123"/>
      <c r="AJ396" s="123"/>
      <c r="AL396" s="123"/>
      <c r="AM396" s="160"/>
      <c r="AN396" s="160"/>
    </row>
    <row r="397" spans="3:40" x14ac:dyDescent="0.3">
      <c r="C397" s="42"/>
      <c r="F397" s="184"/>
      <c r="H397" s="184"/>
      <c r="I397" s="184"/>
      <c r="J397" s="238"/>
      <c r="K397" s="238"/>
      <c r="L397" s="123"/>
      <c r="M397" s="123"/>
      <c r="N397" s="160"/>
      <c r="O397" s="160"/>
      <c r="P397" s="123"/>
      <c r="Q397" s="123"/>
      <c r="R397" s="123"/>
      <c r="T397" s="42"/>
      <c r="V397" s="123"/>
      <c r="Y397" s="123"/>
      <c r="Z397" s="238"/>
      <c r="AA397" s="123"/>
      <c r="AB397" s="123"/>
      <c r="AC397" s="160"/>
      <c r="AD397" s="160"/>
      <c r="AE397" s="123"/>
      <c r="AF397" s="123"/>
      <c r="AH397" s="236"/>
      <c r="AI397" s="123"/>
      <c r="AJ397" s="123"/>
      <c r="AL397" s="123"/>
      <c r="AM397" s="160"/>
      <c r="AN397" s="160"/>
    </row>
    <row r="398" spans="3:40" x14ac:dyDescent="0.3">
      <c r="C398" s="42"/>
      <c r="F398" s="184"/>
      <c r="H398" s="184"/>
      <c r="I398" s="184"/>
      <c r="J398" s="238"/>
      <c r="K398" s="238"/>
      <c r="L398" s="123"/>
      <c r="M398" s="123"/>
      <c r="N398" s="160"/>
      <c r="O398" s="160"/>
      <c r="P398" s="123"/>
      <c r="Q398" s="123"/>
      <c r="R398" s="123"/>
      <c r="T398" s="42"/>
      <c r="V398" s="123"/>
      <c r="Y398" s="123"/>
      <c r="Z398" s="238"/>
      <c r="AA398" s="123"/>
      <c r="AB398" s="123"/>
      <c r="AC398" s="160"/>
      <c r="AD398" s="160"/>
      <c r="AE398" s="123"/>
      <c r="AF398" s="123"/>
      <c r="AH398" s="236"/>
      <c r="AI398" s="123"/>
      <c r="AJ398" s="123"/>
      <c r="AL398" s="123"/>
      <c r="AM398" s="160"/>
      <c r="AN398" s="160"/>
    </row>
    <row r="399" spans="3:40" x14ac:dyDescent="0.3">
      <c r="C399" s="42"/>
      <c r="J399" s="188"/>
      <c r="K399" s="188"/>
      <c r="T399" s="42"/>
      <c r="Z399" s="188"/>
    </row>
    <row r="400" spans="3:40" x14ac:dyDescent="0.3">
      <c r="C400" s="42"/>
      <c r="F400" s="184"/>
      <c r="H400" s="184"/>
      <c r="I400" s="184"/>
      <c r="J400" s="238"/>
      <c r="K400" s="238"/>
      <c r="L400" s="123"/>
      <c r="M400" s="123"/>
      <c r="N400" s="160"/>
      <c r="O400" s="160"/>
      <c r="P400" s="123"/>
      <c r="Q400" s="123"/>
      <c r="R400" s="123"/>
      <c r="T400" s="42"/>
      <c r="V400" s="123"/>
      <c r="Y400" s="123"/>
      <c r="Z400" s="238"/>
      <c r="AA400" s="123"/>
      <c r="AB400" s="123"/>
      <c r="AC400" s="160"/>
      <c r="AD400" s="160"/>
      <c r="AE400" s="123"/>
      <c r="AF400" s="123"/>
      <c r="AH400" s="236"/>
      <c r="AI400" s="123"/>
      <c r="AJ400" s="123"/>
      <c r="AL400" s="123"/>
      <c r="AM400" s="160"/>
      <c r="AN400" s="160"/>
    </row>
    <row r="401" spans="3:40" x14ac:dyDescent="0.3">
      <c r="C401" s="42"/>
      <c r="F401" s="184"/>
      <c r="H401" s="184"/>
      <c r="I401" s="184"/>
      <c r="J401" s="238"/>
      <c r="K401" s="238"/>
      <c r="L401" s="123"/>
      <c r="M401" s="123"/>
      <c r="N401" s="160"/>
      <c r="O401" s="160"/>
      <c r="P401" s="123"/>
      <c r="Q401" s="123"/>
      <c r="R401" s="123"/>
      <c r="T401" s="42"/>
      <c r="V401" s="123"/>
      <c r="Y401" s="123"/>
      <c r="Z401" s="238"/>
      <c r="AA401" s="123"/>
      <c r="AB401" s="123"/>
      <c r="AC401" s="160"/>
      <c r="AD401" s="160"/>
      <c r="AE401" s="123"/>
      <c r="AF401" s="123"/>
      <c r="AH401" s="236"/>
      <c r="AI401" s="123"/>
      <c r="AJ401" s="123"/>
      <c r="AL401" s="123"/>
      <c r="AM401" s="160"/>
      <c r="AN401" s="160"/>
    </row>
    <row r="402" spans="3:40" x14ac:dyDescent="0.3">
      <c r="C402" s="42"/>
      <c r="F402" s="184"/>
      <c r="H402" s="184"/>
      <c r="I402" s="184"/>
      <c r="J402" s="238"/>
      <c r="K402" s="238"/>
      <c r="L402" s="123"/>
      <c r="M402" s="123"/>
      <c r="N402" s="160"/>
      <c r="O402" s="160"/>
      <c r="P402" s="123"/>
      <c r="Q402" s="123"/>
      <c r="R402" s="123"/>
      <c r="T402" s="42"/>
      <c r="V402" s="123"/>
      <c r="Y402" s="123"/>
      <c r="Z402" s="238"/>
      <c r="AA402" s="123"/>
      <c r="AB402" s="123"/>
      <c r="AC402" s="160"/>
      <c r="AD402" s="160"/>
      <c r="AE402" s="123"/>
      <c r="AF402" s="123"/>
      <c r="AH402" s="236"/>
      <c r="AI402" s="123"/>
      <c r="AJ402" s="123"/>
      <c r="AL402" s="123"/>
      <c r="AM402" s="160"/>
      <c r="AN402" s="160"/>
    </row>
    <row r="403" spans="3:40" x14ac:dyDescent="0.3">
      <c r="C403" s="42"/>
      <c r="F403" s="184"/>
      <c r="H403" s="184"/>
      <c r="I403" s="184"/>
      <c r="J403" s="238"/>
      <c r="K403" s="238"/>
      <c r="L403" s="123"/>
      <c r="M403" s="123"/>
      <c r="N403" s="160"/>
      <c r="O403" s="160"/>
      <c r="P403" s="123"/>
      <c r="Q403" s="123"/>
      <c r="R403" s="123"/>
      <c r="T403" s="42"/>
      <c r="V403" s="123"/>
      <c r="Y403" s="123"/>
      <c r="Z403" s="238"/>
      <c r="AA403" s="123"/>
      <c r="AB403" s="123"/>
      <c r="AC403" s="160"/>
      <c r="AD403" s="160"/>
      <c r="AE403" s="123"/>
      <c r="AF403" s="123"/>
      <c r="AH403" s="236"/>
      <c r="AI403" s="123"/>
      <c r="AJ403" s="123"/>
      <c r="AL403" s="123"/>
      <c r="AM403" s="160"/>
      <c r="AN403" s="160"/>
    </row>
    <row r="404" spans="3:40" x14ac:dyDescent="0.3">
      <c r="C404" s="42"/>
      <c r="J404" s="188"/>
      <c r="K404" s="188"/>
      <c r="T404" s="42"/>
      <c r="Z404" s="188"/>
    </row>
    <row r="405" spans="3:40" x14ac:dyDescent="0.3">
      <c r="C405" s="42"/>
      <c r="F405" s="184"/>
      <c r="H405" s="184"/>
      <c r="I405" s="184"/>
      <c r="J405" s="238"/>
      <c r="K405" s="238"/>
      <c r="L405" s="123"/>
      <c r="M405" s="123"/>
      <c r="N405" s="160"/>
      <c r="O405" s="160"/>
      <c r="P405" s="123"/>
      <c r="Q405" s="123"/>
      <c r="R405" s="123"/>
      <c r="T405" s="42"/>
      <c r="V405" s="123"/>
      <c r="Y405" s="123"/>
      <c r="Z405" s="238"/>
      <c r="AA405" s="123"/>
      <c r="AB405" s="123"/>
      <c r="AC405" s="160"/>
      <c r="AD405" s="160"/>
      <c r="AE405" s="123"/>
      <c r="AF405" s="123"/>
      <c r="AH405" s="236"/>
      <c r="AI405" s="123"/>
      <c r="AJ405" s="123"/>
      <c r="AL405" s="123"/>
      <c r="AM405" s="160"/>
      <c r="AN405" s="160"/>
    </row>
    <row r="406" spans="3:40" x14ac:dyDescent="0.3">
      <c r="C406" s="42"/>
      <c r="F406" s="184"/>
      <c r="H406" s="184"/>
      <c r="I406" s="184"/>
      <c r="J406" s="238"/>
      <c r="K406" s="238"/>
      <c r="L406" s="123"/>
      <c r="M406" s="123"/>
      <c r="N406" s="160"/>
      <c r="O406" s="160"/>
      <c r="P406" s="123"/>
      <c r="Q406" s="123"/>
      <c r="R406" s="123"/>
      <c r="T406" s="42"/>
      <c r="V406" s="123"/>
      <c r="Y406" s="123"/>
      <c r="Z406" s="238"/>
      <c r="AA406" s="123"/>
      <c r="AB406" s="123"/>
      <c r="AC406" s="160"/>
      <c r="AD406" s="160"/>
      <c r="AE406" s="123"/>
      <c r="AF406" s="123"/>
      <c r="AH406" s="236"/>
      <c r="AI406" s="123"/>
      <c r="AJ406" s="123"/>
      <c r="AL406" s="123"/>
      <c r="AM406" s="160"/>
      <c r="AN406" s="160"/>
    </row>
    <row r="407" spans="3:40" x14ac:dyDescent="0.3">
      <c r="C407" s="42"/>
      <c r="F407" s="184"/>
      <c r="H407" s="184"/>
      <c r="I407" s="184"/>
      <c r="J407" s="238"/>
      <c r="K407" s="238"/>
      <c r="L407" s="123"/>
      <c r="M407" s="123"/>
      <c r="N407" s="160"/>
      <c r="O407" s="160"/>
      <c r="P407" s="123"/>
      <c r="Q407" s="123"/>
      <c r="R407" s="123"/>
      <c r="T407" s="42"/>
      <c r="V407" s="123"/>
      <c r="Y407" s="123"/>
      <c r="Z407" s="238"/>
      <c r="AA407" s="123"/>
      <c r="AB407" s="123"/>
      <c r="AC407" s="160"/>
      <c r="AD407" s="160"/>
      <c r="AE407" s="123"/>
      <c r="AF407" s="123"/>
      <c r="AH407" s="236"/>
      <c r="AI407" s="123"/>
      <c r="AJ407" s="123"/>
      <c r="AL407" s="123"/>
      <c r="AM407" s="160"/>
      <c r="AN407" s="160"/>
    </row>
    <row r="408" spans="3:40" x14ac:dyDescent="0.3">
      <c r="C408" s="42"/>
      <c r="F408" s="184"/>
      <c r="H408" s="184"/>
      <c r="I408" s="184"/>
      <c r="J408" s="238"/>
      <c r="K408" s="238"/>
      <c r="L408" s="123"/>
      <c r="M408" s="123"/>
      <c r="N408" s="160"/>
      <c r="O408" s="160"/>
      <c r="P408" s="123"/>
      <c r="Q408" s="123"/>
      <c r="R408" s="123"/>
      <c r="T408" s="42"/>
      <c r="V408" s="123"/>
      <c r="Y408" s="123"/>
      <c r="Z408" s="238"/>
      <c r="AA408" s="123"/>
      <c r="AB408" s="123"/>
      <c r="AC408" s="160"/>
      <c r="AD408" s="160"/>
      <c r="AE408" s="123"/>
      <c r="AF408" s="123"/>
      <c r="AH408" s="236"/>
      <c r="AI408" s="123"/>
      <c r="AJ408" s="123"/>
      <c r="AL408" s="123"/>
      <c r="AM408" s="160"/>
      <c r="AN408" s="160"/>
    </row>
    <row r="409" spans="3:40" x14ac:dyDescent="0.3">
      <c r="C409" s="42"/>
      <c r="F409" s="184"/>
      <c r="H409" s="184"/>
      <c r="I409" s="184"/>
      <c r="J409" s="238"/>
      <c r="K409" s="238"/>
      <c r="L409" s="123"/>
      <c r="M409" s="123"/>
      <c r="N409" s="160"/>
      <c r="O409" s="160"/>
      <c r="P409" s="123"/>
      <c r="Q409" s="123"/>
      <c r="R409" s="123"/>
      <c r="T409" s="42"/>
      <c r="V409" s="123"/>
      <c r="Y409" s="123"/>
      <c r="Z409" s="238"/>
      <c r="AA409" s="123"/>
      <c r="AB409" s="123"/>
      <c r="AC409" s="160"/>
      <c r="AD409" s="160"/>
      <c r="AE409" s="123"/>
      <c r="AF409" s="123"/>
      <c r="AH409" s="236"/>
      <c r="AI409" s="123"/>
      <c r="AJ409" s="123"/>
      <c r="AL409" s="123"/>
      <c r="AM409" s="160"/>
      <c r="AN409" s="160"/>
    </row>
    <row r="410" spans="3:40" x14ac:dyDescent="0.3">
      <c r="F410" s="210"/>
      <c r="H410" s="210"/>
      <c r="I410" s="210"/>
      <c r="J410" s="238"/>
      <c r="K410" s="213"/>
      <c r="L410" s="210"/>
      <c r="M410" s="210"/>
      <c r="N410" s="210"/>
      <c r="O410" s="210"/>
      <c r="P410" s="210"/>
      <c r="Q410" s="210"/>
      <c r="R410" s="210"/>
      <c r="V410" s="210"/>
      <c r="Y410" s="210"/>
      <c r="Z410" s="238"/>
      <c r="AA410" s="210"/>
      <c r="AB410" s="210"/>
      <c r="AC410" s="210"/>
      <c r="AD410" s="210"/>
      <c r="AE410" s="210"/>
      <c r="AF410" s="210"/>
      <c r="AI410" s="210"/>
      <c r="AJ410" s="210"/>
      <c r="AK410" s="214"/>
      <c r="AL410" s="210"/>
    </row>
    <row r="411" spans="3:40" x14ac:dyDescent="0.3">
      <c r="C411" s="42"/>
      <c r="F411" s="123"/>
      <c r="H411" s="123"/>
      <c r="I411" s="123"/>
      <c r="J411" s="188"/>
      <c r="L411" s="123"/>
      <c r="M411" s="123"/>
      <c r="N411" s="236"/>
      <c r="O411" s="236"/>
      <c r="P411" s="123"/>
      <c r="Q411" s="123"/>
      <c r="R411" s="123"/>
      <c r="T411" s="42"/>
      <c r="V411" s="123"/>
      <c r="Y411" s="123"/>
      <c r="AA411" s="123"/>
      <c r="AB411" s="123"/>
      <c r="AC411" s="160"/>
      <c r="AD411" s="160"/>
      <c r="AE411" s="123"/>
      <c r="AF411" s="123"/>
      <c r="AH411" s="236"/>
      <c r="AI411" s="123"/>
      <c r="AJ411" s="123"/>
      <c r="AL411" s="123"/>
      <c r="AM411" s="160"/>
      <c r="AN411" s="160"/>
    </row>
    <row r="412" spans="3:40" x14ac:dyDescent="0.3">
      <c r="F412" s="210"/>
      <c r="H412" s="210"/>
      <c r="I412" s="210"/>
      <c r="J412" s="238"/>
      <c r="K412" s="213"/>
      <c r="L412" s="210"/>
      <c r="M412" s="210"/>
      <c r="N412" s="210"/>
      <c r="O412" s="210"/>
      <c r="P412" s="210"/>
      <c r="Q412" s="210"/>
      <c r="R412" s="210"/>
      <c r="V412" s="210"/>
      <c r="Y412" s="210"/>
      <c r="Z412" s="213"/>
      <c r="AA412" s="210"/>
      <c r="AB412" s="210"/>
      <c r="AC412" s="210"/>
      <c r="AD412" s="210"/>
      <c r="AE412" s="210"/>
      <c r="AF412" s="210"/>
      <c r="AI412" s="210"/>
      <c r="AJ412" s="210"/>
      <c r="AK412" s="214"/>
      <c r="AL412" s="210"/>
    </row>
    <row r="413" spans="3:40" x14ac:dyDescent="0.3">
      <c r="C413" s="42"/>
      <c r="J413" s="188"/>
      <c r="T413" s="42"/>
    </row>
    <row r="414" spans="3:40" x14ac:dyDescent="0.3">
      <c r="C414" s="42"/>
      <c r="F414" s="184"/>
      <c r="H414" s="184"/>
      <c r="I414" s="184"/>
      <c r="J414" s="238"/>
      <c r="K414" s="193"/>
      <c r="L414" s="123"/>
      <c r="M414" s="123"/>
      <c r="N414" s="160"/>
      <c r="O414" s="160"/>
      <c r="P414" s="123"/>
      <c r="Q414" s="123"/>
      <c r="R414" s="123"/>
      <c r="T414" s="42"/>
      <c r="V414" s="123"/>
      <c r="Y414" s="123"/>
      <c r="Z414" s="193"/>
      <c r="AA414" s="123"/>
      <c r="AB414" s="123"/>
      <c r="AC414" s="160"/>
      <c r="AD414" s="160"/>
      <c r="AE414" s="123"/>
      <c r="AF414" s="123"/>
      <c r="AH414" s="236"/>
      <c r="AI414" s="123"/>
      <c r="AJ414" s="123"/>
      <c r="AL414" s="123"/>
      <c r="AM414" s="160"/>
      <c r="AN414" s="160"/>
    </row>
    <row r="415" spans="3:40" x14ac:dyDescent="0.3">
      <c r="C415" s="42"/>
      <c r="F415" s="184"/>
      <c r="H415" s="184"/>
      <c r="I415" s="184"/>
      <c r="J415" s="238"/>
      <c r="K415" s="193"/>
      <c r="L415" s="123"/>
      <c r="M415" s="123"/>
      <c r="N415" s="160"/>
      <c r="O415" s="160"/>
      <c r="P415" s="123"/>
      <c r="Q415" s="123"/>
      <c r="R415" s="123"/>
      <c r="T415" s="42"/>
      <c r="V415" s="123"/>
      <c r="Y415" s="123"/>
      <c r="Z415" s="193"/>
      <c r="AA415" s="123"/>
      <c r="AB415" s="123"/>
      <c r="AC415" s="160"/>
      <c r="AD415" s="160"/>
      <c r="AE415" s="123"/>
      <c r="AF415" s="123"/>
      <c r="AH415" s="236"/>
      <c r="AI415" s="123"/>
      <c r="AJ415" s="123"/>
      <c r="AL415" s="123"/>
      <c r="AM415" s="160"/>
      <c r="AN415" s="160"/>
    </row>
    <row r="416" spans="3:40" x14ac:dyDescent="0.3">
      <c r="F416" s="210"/>
      <c r="H416" s="123"/>
      <c r="I416" s="123"/>
      <c r="J416" s="238"/>
      <c r="K416" s="213"/>
      <c r="L416" s="210"/>
      <c r="M416" s="210"/>
      <c r="N416" s="210"/>
      <c r="O416" s="210"/>
      <c r="P416" s="210"/>
      <c r="Q416" s="210"/>
      <c r="R416" s="210"/>
      <c r="V416" s="210"/>
      <c r="Y416" s="123"/>
      <c r="Z416" s="213"/>
      <c r="AA416" s="210"/>
      <c r="AB416" s="210"/>
      <c r="AC416" s="210"/>
      <c r="AD416" s="210"/>
      <c r="AE416" s="210"/>
      <c r="AF416" s="210"/>
      <c r="AI416" s="210"/>
      <c r="AJ416" s="210"/>
      <c r="AK416" s="214"/>
      <c r="AL416" s="210"/>
    </row>
    <row r="417" spans="1:40" x14ac:dyDescent="0.3">
      <c r="F417" s="123"/>
      <c r="H417" s="123"/>
      <c r="I417" s="123"/>
      <c r="J417" s="238"/>
      <c r="K417" s="213"/>
      <c r="L417" s="123"/>
      <c r="M417" s="123"/>
      <c r="N417" s="123"/>
      <c r="O417" s="123"/>
      <c r="P417" s="123"/>
      <c r="Q417" s="123"/>
      <c r="R417" s="123"/>
      <c r="V417" s="123"/>
      <c r="Y417" s="123"/>
      <c r="Z417" s="213"/>
      <c r="AA417" s="123"/>
      <c r="AB417" s="123"/>
      <c r="AC417" s="123"/>
      <c r="AD417" s="123"/>
      <c r="AE417" s="123"/>
      <c r="AF417" s="123"/>
      <c r="AI417" s="123"/>
      <c r="AJ417" s="123"/>
      <c r="AL417" s="123"/>
    </row>
    <row r="418" spans="1:40" x14ac:dyDescent="0.3">
      <c r="C418" s="42"/>
      <c r="F418" s="123"/>
      <c r="H418" s="123"/>
      <c r="I418" s="123"/>
      <c r="J418" s="188"/>
      <c r="L418" s="123"/>
      <c r="M418" s="123"/>
      <c r="N418" s="160"/>
      <c r="O418" s="160"/>
      <c r="P418" s="123"/>
      <c r="Q418" s="123"/>
      <c r="R418" s="123"/>
      <c r="T418" s="42"/>
      <c r="V418" s="123"/>
      <c r="Y418" s="123"/>
      <c r="AA418" s="123"/>
      <c r="AB418" s="123"/>
      <c r="AC418" s="160"/>
      <c r="AD418" s="160"/>
      <c r="AE418" s="123"/>
      <c r="AF418" s="123"/>
      <c r="AH418" s="236"/>
      <c r="AI418" s="184"/>
      <c r="AJ418" s="184"/>
      <c r="AL418" s="123"/>
      <c r="AM418" s="160"/>
      <c r="AN418" s="160"/>
    </row>
    <row r="419" spans="1:40" x14ac:dyDescent="0.3">
      <c r="H419" s="210"/>
      <c r="I419" s="210"/>
      <c r="J419" s="238"/>
      <c r="K419" s="213"/>
      <c r="L419" s="210"/>
      <c r="M419" s="210"/>
      <c r="N419" s="210"/>
      <c r="O419" s="210"/>
      <c r="P419" s="210"/>
      <c r="Q419" s="210"/>
      <c r="R419" s="210"/>
      <c r="V419" s="210"/>
      <c r="Y419" s="210"/>
      <c r="Z419" s="213"/>
      <c r="AA419" s="210"/>
      <c r="AB419" s="210"/>
      <c r="AC419" s="210"/>
      <c r="AD419" s="210"/>
      <c r="AE419" s="210"/>
      <c r="AF419" s="210"/>
      <c r="AI419" s="210"/>
      <c r="AJ419" s="210"/>
      <c r="AK419" s="214"/>
      <c r="AL419" s="210"/>
    </row>
    <row r="420" spans="1:40" x14ac:dyDescent="0.3">
      <c r="F420" s="210"/>
      <c r="J420" s="188"/>
    </row>
    <row r="421" spans="1:40" x14ac:dyDescent="0.3">
      <c r="A421" s="42"/>
      <c r="J421" s="188"/>
      <c r="T421" s="42"/>
    </row>
    <row r="422" spans="1:40" x14ac:dyDescent="0.3">
      <c r="A422" s="42"/>
      <c r="J422" s="188"/>
      <c r="T422" s="42"/>
    </row>
    <row r="423" spans="1:40" x14ac:dyDescent="0.3">
      <c r="A423" s="42"/>
      <c r="J423" s="188"/>
      <c r="T423" s="42"/>
    </row>
    <row r="424" spans="1:40" x14ac:dyDescent="0.3">
      <c r="A424" s="42"/>
      <c r="J424" s="188"/>
      <c r="T424" s="42"/>
    </row>
    <row r="425" spans="1:40" x14ac:dyDescent="0.3">
      <c r="A425" s="42"/>
      <c r="J425" s="188"/>
      <c r="T425" s="42"/>
    </row>
    <row r="426" spans="1:40" x14ac:dyDescent="0.3">
      <c r="A426" s="42"/>
      <c r="J426" s="188"/>
      <c r="T426" s="42"/>
    </row>
    <row r="427" spans="1:40" x14ac:dyDescent="0.3">
      <c r="A427" s="42"/>
      <c r="J427" s="188"/>
      <c r="T427" s="42"/>
    </row>
    <row r="428" spans="1:40" x14ac:dyDescent="0.3">
      <c r="A428" s="42"/>
      <c r="J428" s="188"/>
      <c r="T428" s="42"/>
    </row>
    <row r="429" spans="1:40" x14ac:dyDescent="0.3">
      <c r="A429" s="42"/>
      <c r="J429" s="188"/>
      <c r="T429" s="42"/>
    </row>
    <row r="430" spans="1:40" x14ac:dyDescent="0.3">
      <c r="J430" s="188"/>
    </row>
    <row r="431" spans="1:40" x14ac:dyDescent="0.3">
      <c r="A431" s="42"/>
      <c r="J431" s="188"/>
    </row>
    <row r="432" spans="1:40" x14ac:dyDescent="0.3">
      <c r="J432" s="188"/>
    </row>
    <row r="433" spans="1:40" x14ac:dyDescent="0.3">
      <c r="H433" s="42"/>
      <c r="I433" s="42"/>
      <c r="J433" s="188"/>
      <c r="Y433" s="42"/>
    </row>
    <row r="434" spans="1:40" x14ac:dyDescent="0.3">
      <c r="J434" s="188"/>
    </row>
    <row r="435" spans="1:40" x14ac:dyDescent="0.3">
      <c r="J435" s="188"/>
      <c r="L435" s="42"/>
      <c r="M435" s="42"/>
      <c r="AA435" s="42"/>
      <c r="AB435" s="42"/>
    </row>
    <row r="436" spans="1:40" x14ac:dyDescent="0.3">
      <c r="J436" s="188"/>
      <c r="R436" s="42"/>
      <c r="AK436" s="206"/>
      <c r="AL436" s="42"/>
    </row>
    <row r="437" spans="1:40" x14ac:dyDescent="0.3">
      <c r="J437" s="188"/>
      <c r="R437" s="42"/>
      <c r="AK437" s="206"/>
      <c r="AL437" s="42"/>
    </row>
    <row r="438" spans="1:40" x14ac:dyDescent="0.3">
      <c r="A438" s="42"/>
      <c r="J438" s="188"/>
      <c r="R438" s="42"/>
      <c r="AK438" s="206"/>
      <c r="AL438" s="42"/>
    </row>
    <row r="439" spans="1:40" x14ac:dyDescent="0.3">
      <c r="J439" s="188"/>
      <c r="L439" s="42"/>
      <c r="M439" s="42"/>
      <c r="AA439" s="42"/>
      <c r="AB439" s="42"/>
    </row>
    <row r="440" spans="1:40" x14ac:dyDescent="0.3">
      <c r="A440" s="135"/>
      <c r="B440" s="135"/>
      <c r="C440" s="135"/>
      <c r="D440" s="135"/>
      <c r="E440" s="135"/>
      <c r="F440" s="135"/>
      <c r="G440" s="135"/>
      <c r="H440" s="135"/>
      <c r="I440" s="135"/>
      <c r="J440" s="244"/>
      <c r="K440" s="135"/>
      <c r="L440" s="135"/>
      <c r="M440" s="135"/>
      <c r="N440" s="135"/>
      <c r="O440" s="135"/>
      <c r="P440" s="135"/>
      <c r="Q440" s="135"/>
      <c r="R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207"/>
      <c r="AH440" s="135"/>
      <c r="AI440" s="135"/>
      <c r="AJ440" s="135"/>
      <c r="AK440" s="207"/>
      <c r="AL440" s="135"/>
      <c r="AM440" s="135"/>
      <c r="AN440" s="135"/>
    </row>
    <row r="441" spans="1:40" x14ac:dyDescent="0.3">
      <c r="J441" s="188"/>
      <c r="L441" s="44"/>
      <c r="M441" s="44"/>
      <c r="N441" s="44"/>
      <c r="O441" s="44"/>
      <c r="R441" s="44"/>
      <c r="AA441" s="44"/>
      <c r="AB441" s="44"/>
      <c r="AC441" s="44"/>
      <c r="AD441" s="44"/>
      <c r="AE441" s="44"/>
      <c r="AF441" s="44"/>
      <c r="AG441" s="168"/>
      <c r="AH441" s="44"/>
      <c r="AK441" s="168"/>
      <c r="AL441" s="44"/>
      <c r="AM441" s="44"/>
      <c r="AN441" s="44"/>
    </row>
    <row r="442" spans="1:40" x14ac:dyDescent="0.3">
      <c r="J442" s="188"/>
      <c r="L442" s="44"/>
      <c r="M442" s="44"/>
      <c r="N442" s="44"/>
      <c r="O442" s="44"/>
      <c r="R442" s="44"/>
      <c r="Z442" s="44"/>
      <c r="AA442" s="44"/>
      <c r="AB442" s="44"/>
      <c r="AC442" s="44"/>
      <c r="AD442" s="44"/>
      <c r="AE442" s="44"/>
      <c r="AF442" s="44"/>
      <c r="AG442" s="168"/>
      <c r="AH442" s="44"/>
      <c r="AK442" s="168"/>
      <c r="AL442" s="44"/>
      <c r="AM442" s="44"/>
      <c r="AN442" s="44"/>
    </row>
    <row r="443" spans="1:40" x14ac:dyDescent="0.3">
      <c r="A443" s="44"/>
      <c r="C443" s="44"/>
      <c r="D443" s="44"/>
      <c r="E443" s="44"/>
      <c r="F443" s="44"/>
      <c r="J443" s="245"/>
      <c r="K443" s="44"/>
      <c r="L443" s="44"/>
      <c r="M443" s="44"/>
      <c r="N443" s="44"/>
      <c r="O443" s="44"/>
      <c r="P443" s="44"/>
      <c r="Q443" s="44"/>
      <c r="R443" s="44"/>
      <c r="T443" s="44"/>
      <c r="U443" s="44"/>
      <c r="V443" s="44"/>
      <c r="Z443" s="44"/>
      <c r="AA443" s="44"/>
      <c r="AB443" s="44"/>
      <c r="AC443" s="44"/>
      <c r="AD443" s="44"/>
      <c r="AE443" s="44"/>
      <c r="AF443" s="44"/>
      <c r="AG443" s="168"/>
      <c r="AH443" s="44"/>
      <c r="AI443" s="44"/>
      <c r="AJ443" s="44"/>
      <c r="AK443" s="168"/>
      <c r="AL443" s="44"/>
      <c r="AM443" s="44"/>
      <c r="AN443" s="44"/>
    </row>
    <row r="444" spans="1:40" x14ac:dyDescent="0.3">
      <c r="A444" s="44"/>
      <c r="C444" s="44"/>
      <c r="D444" s="44"/>
      <c r="E444" s="44"/>
      <c r="F444" s="44"/>
      <c r="H444" s="44"/>
      <c r="I444" s="44"/>
      <c r="J444" s="245"/>
      <c r="K444" s="44"/>
      <c r="L444" s="44"/>
      <c r="M444" s="44"/>
      <c r="N444" s="44"/>
      <c r="O444" s="44"/>
      <c r="P444" s="44"/>
      <c r="Q444" s="44"/>
      <c r="R444" s="44"/>
      <c r="T444" s="44"/>
      <c r="U444" s="44"/>
      <c r="V444" s="44"/>
      <c r="Y444" s="44"/>
      <c r="Z444" s="44"/>
      <c r="AA444" s="44"/>
      <c r="AB444" s="44"/>
      <c r="AC444" s="44"/>
      <c r="AD444" s="44"/>
      <c r="AE444" s="44"/>
      <c r="AF444" s="44"/>
      <c r="AG444" s="168"/>
      <c r="AH444" s="44"/>
      <c r="AI444" s="44"/>
      <c r="AJ444" s="44"/>
      <c r="AK444" s="168"/>
      <c r="AL444" s="44"/>
      <c r="AM444" s="44"/>
      <c r="AN444" s="44"/>
    </row>
    <row r="445" spans="1:40" x14ac:dyDescent="0.3">
      <c r="C445" s="44"/>
      <c r="D445" s="44"/>
      <c r="E445" s="44"/>
      <c r="F445" s="44"/>
      <c r="H445" s="44"/>
      <c r="I445" s="44"/>
      <c r="J445" s="245"/>
      <c r="K445" s="44"/>
      <c r="L445" s="44"/>
      <c r="M445" s="44"/>
      <c r="N445" s="44"/>
      <c r="O445" s="44"/>
      <c r="P445" s="44"/>
      <c r="Q445" s="44"/>
      <c r="R445" s="44"/>
      <c r="T445" s="44"/>
      <c r="U445" s="44"/>
      <c r="V445" s="44"/>
      <c r="Y445" s="44"/>
      <c r="Z445" s="44"/>
      <c r="AA445" s="44"/>
      <c r="AB445" s="44"/>
      <c r="AC445" s="44"/>
      <c r="AD445" s="44"/>
      <c r="AE445" s="44"/>
      <c r="AF445" s="44"/>
      <c r="AG445" s="168"/>
      <c r="AH445" s="44"/>
      <c r="AI445" s="44"/>
      <c r="AJ445" s="44"/>
      <c r="AK445" s="168"/>
      <c r="AL445" s="44"/>
      <c r="AM445" s="44"/>
      <c r="AN445" s="44"/>
    </row>
    <row r="446" spans="1:40" x14ac:dyDescent="0.3">
      <c r="A446" s="135"/>
      <c r="B446" s="135"/>
      <c r="C446" s="135"/>
      <c r="D446" s="135"/>
      <c r="E446" s="135"/>
      <c r="F446" s="135"/>
      <c r="G446" s="135"/>
      <c r="H446" s="135"/>
      <c r="I446" s="135"/>
      <c r="J446" s="244"/>
      <c r="K446" s="135"/>
      <c r="L446" s="135"/>
      <c r="M446" s="135"/>
      <c r="N446" s="135"/>
      <c r="O446" s="135"/>
      <c r="P446" s="135"/>
      <c r="Q446" s="135"/>
      <c r="R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207"/>
      <c r="AH446" s="135"/>
      <c r="AI446" s="135"/>
      <c r="AJ446" s="135"/>
      <c r="AK446" s="207"/>
      <c r="AL446" s="135"/>
      <c r="AM446" s="135"/>
      <c r="AN446" s="135"/>
    </row>
    <row r="447" spans="1:40" x14ac:dyDescent="0.3">
      <c r="H447" s="44"/>
      <c r="I447" s="44"/>
      <c r="J447" s="245"/>
      <c r="K447" s="44"/>
      <c r="L447" s="44"/>
      <c r="M447" s="44"/>
      <c r="N447" s="44"/>
      <c r="O447" s="44"/>
      <c r="P447" s="44"/>
      <c r="Q447" s="44"/>
      <c r="R447" s="44"/>
      <c r="Y447" s="44"/>
      <c r="Z447" s="44"/>
      <c r="AA447" s="44"/>
      <c r="AB447" s="44"/>
      <c r="AC447" s="44"/>
      <c r="AD447" s="44"/>
      <c r="AE447" s="44"/>
      <c r="AF447" s="44"/>
      <c r="AG447" s="168"/>
      <c r="AH447" s="44"/>
      <c r="AI447" s="44"/>
      <c r="AJ447" s="44"/>
      <c r="AK447" s="168"/>
      <c r="AL447" s="44"/>
      <c r="AM447" s="44"/>
      <c r="AN447" s="44"/>
    </row>
    <row r="448" spans="1:40" x14ac:dyDescent="0.3">
      <c r="C448" s="42"/>
      <c r="D448" s="42"/>
      <c r="E448" s="42"/>
      <c r="J448" s="188"/>
      <c r="T448" s="42"/>
      <c r="U448" s="42"/>
    </row>
    <row r="449" spans="3:40" x14ac:dyDescent="0.3">
      <c r="D449" s="42"/>
      <c r="E449" s="42"/>
      <c r="J449" s="188"/>
      <c r="U449" s="42"/>
    </row>
    <row r="450" spans="3:40" x14ac:dyDescent="0.3">
      <c r="J450" s="188"/>
    </row>
    <row r="451" spans="3:40" x14ac:dyDescent="0.3">
      <c r="C451" s="42"/>
      <c r="F451" s="123"/>
      <c r="J451" s="188"/>
      <c r="K451" s="209"/>
      <c r="L451" s="123"/>
      <c r="M451" s="123"/>
      <c r="R451" s="123"/>
      <c r="T451" s="42"/>
      <c r="V451" s="123"/>
      <c r="Z451" s="209"/>
      <c r="AA451" s="123"/>
      <c r="AB451" s="123"/>
      <c r="AH451" s="123"/>
      <c r="AL451" s="123"/>
    </row>
    <row r="452" spans="3:40" x14ac:dyDescent="0.3">
      <c r="C452" s="42"/>
      <c r="F452" s="123"/>
      <c r="J452" s="188"/>
      <c r="R452" s="123"/>
      <c r="T452" s="42"/>
      <c r="V452" s="123"/>
      <c r="AH452" s="123"/>
      <c r="AL452" s="123"/>
    </row>
    <row r="453" spans="3:40" x14ac:dyDescent="0.3">
      <c r="J453" s="188"/>
      <c r="AI453" s="123"/>
      <c r="AJ453" s="123"/>
      <c r="AL453" s="123"/>
      <c r="AM453" s="160"/>
      <c r="AN453" s="160"/>
    </row>
    <row r="454" spans="3:40" x14ac:dyDescent="0.3">
      <c r="C454" s="42"/>
      <c r="F454" s="184"/>
      <c r="H454" s="184"/>
      <c r="I454" s="184"/>
      <c r="J454" s="238"/>
      <c r="K454" s="237"/>
      <c r="L454" s="123"/>
      <c r="M454" s="123"/>
      <c r="N454" s="160"/>
      <c r="O454" s="160"/>
      <c r="P454" s="123"/>
      <c r="Q454" s="123"/>
      <c r="R454" s="123"/>
      <c r="T454" s="42"/>
      <c r="V454" s="123"/>
      <c r="Y454" s="123"/>
      <c r="Z454" s="237"/>
      <c r="AA454" s="123"/>
      <c r="AB454" s="123"/>
      <c r="AC454" s="160"/>
      <c r="AD454" s="160"/>
      <c r="AE454" s="123"/>
      <c r="AF454" s="123"/>
      <c r="AH454" s="236"/>
      <c r="AI454" s="123"/>
      <c r="AJ454" s="123"/>
      <c r="AL454" s="123"/>
      <c r="AM454" s="160"/>
      <c r="AN454" s="160"/>
    </row>
    <row r="455" spans="3:40" x14ac:dyDescent="0.3">
      <c r="F455" s="123"/>
      <c r="H455" s="123"/>
      <c r="I455" s="123"/>
      <c r="J455" s="188"/>
      <c r="K455" s="219"/>
      <c r="L455" s="123"/>
      <c r="M455" s="123"/>
      <c r="P455" s="123"/>
      <c r="Q455" s="123"/>
      <c r="R455" s="123"/>
      <c r="V455" s="123"/>
      <c r="Y455" s="123"/>
      <c r="Z455" s="219"/>
      <c r="AA455" s="123"/>
      <c r="AB455" s="123"/>
      <c r="AI455" s="123"/>
      <c r="AJ455" s="123"/>
      <c r="AL455" s="123"/>
      <c r="AM455" s="160"/>
      <c r="AN455" s="160"/>
    </row>
    <row r="456" spans="3:40" x14ac:dyDescent="0.3">
      <c r="F456" s="123"/>
      <c r="J456" s="188"/>
      <c r="R456" s="123"/>
      <c r="V456" s="123"/>
      <c r="AL456" s="123"/>
      <c r="AM456" s="160"/>
      <c r="AN456" s="160"/>
    </row>
    <row r="457" spans="3:40" x14ac:dyDescent="0.3">
      <c r="C457" s="42"/>
      <c r="F457" s="123"/>
      <c r="J457" s="188"/>
      <c r="K457" s="209"/>
      <c r="L457" s="123"/>
      <c r="M457" s="123"/>
      <c r="N457" s="160"/>
      <c r="O457" s="160"/>
      <c r="R457" s="123"/>
      <c r="T457" s="42"/>
      <c r="V457" s="123"/>
      <c r="Z457" s="209"/>
      <c r="AA457" s="123"/>
      <c r="AB457" s="123"/>
      <c r="AC457" s="160"/>
      <c r="AD457" s="160"/>
      <c r="AL457" s="123"/>
      <c r="AM457" s="160"/>
      <c r="AN457" s="160"/>
    </row>
    <row r="458" spans="3:40" x14ac:dyDescent="0.3">
      <c r="C458" s="42"/>
      <c r="F458" s="123"/>
      <c r="H458" s="123"/>
      <c r="I458" s="123"/>
      <c r="J458" s="188"/>
      <c r="K458" s="209"/>
      <c r="L458" s="123"/>
      <c r="M458" s="123"/>
      <c r="N458" s="160"/>
      <c r="O458" s="160"/>
      <c r="P458" s="123"/>
      <c r="Q458" s="123"/>
      <c r="R458" s="123"/>
      <c r="T458" s="42"/>
      <c r="V458" s="123"/>
      <c r="Y458" s="123"/>
      <c r="Z458" s="209"/>
      <c r="AA458" s="123"/>
      <c r="AB458" s="123"/>
      <c r="AC458" s="160"/>
      <c r="AD458" s="160"/>
      <c r="AI458" s="123"/>
      <c r="AJ458" s="123"/>
      <c r="AL458" s="123"/>
      <c r="AM458" s="160"/>
      <c r="AN458" s="160"/>
    </row>
    <row r="459" spans="3:40" x14ac:dyDescent="0.3">
      <c r="C459" s="42"/>
      <c r="J459" s="188"/>
      <c r="T459" s="42"/>
      <c r="AM459" s="160"/>
      <c r="AN459" s="160"/>
    </row>
    <row r="460" spans="3:40" x14ac:dyDescent="0.3">
      <c r="C460" s="42"/>
      <c r="J460" s="188"/>
      <c r="T460" s="42"/>
      <c r="AM460" s="160"/>
      <c r="AN460" s="160"/>
    </row>
    <row r="461" spans="3:40" x14ac:dyDescent="0.3">
      <c r="J461" s="188"/>
      <c r="AM461" s="160"/>
      <c r="AN461" s="160"/>
    </row>
    <row r="462" spans="3:40" x14ac:dyDescent="0.3">
      <c r="C462" s="42"/>
      <c r="F462" s="184"/>
      <c r="H462" s="184"/>
      <c r="I462" s="184"/>
      <c r="J462" s="238"/>
      <c r="K462" s="237"/>
      <c r="L462" s="123"/>
      <c r="M462" s="123"/>
      <c r="N462" s="160"/>
      <c r="O462" s="160"/>
      <c r="P462" s="123"/>
      <c r="Q462" s="123"/>
      <c r="R462" s="123"/>
      <c r="T462" s="42"/>
      <c r="V462" s="123"/>
      <c r="Y462" s="123"/>
      <c r="Z462" s="237"/>
      <c r="AA462" s="123"/>
      <c r="AB462" s="123"/>
      <c r="AC462" s="160"/>
      <c r="AD462" s="160"/>
      <c r="AE462" s="123"/>
      <c r="AF462" s="123"/>
      <c r="AH462" s="236"/>
      <c r="AI462" s="123"/>
      <c r="AJ462" s="123"/>
      <c r="AL462" s="123"/>
      <c r="AM462" s="160"/>
      <c r="AN462" s="160"/>
    </row>
    <row r="463" spans="3:40" x14ac:dyDescent="0.3">
      <c r="F463" s="210"/>
      <c r="H463" s="210"/>
      <c r="I463" s="210"/>
      <c r="J463" s="238"/>
      <c r="K463" s="213"/>
      <c r="L463" s="210"/>
      <c r="M463" s="210"/>
      <c r="N463" s="210"/>
      <c r="O463" s="210"/>
      <c r="P463" s="210"/>
      <c r="Q463" s="210"/>
      <c r="R463" s="210"/>
      <c r="V463" s="210"/>
      <c r="Y463" s="210"/>
      <c r="Z463" s="213"/>
      <c r="AA463" s="210"/>
      <c r="AB463" s="210"/>
      <c r="AC463" s="210"/>
      <c r="AD463" s="210"/>
      <c r="AE463" s="210"/>
      <c r="AF463" s="210"/>
      <c r="AI463" s="210"/>
      <c r="AJ463" s="210"/>
      <c r="AK463" s="214"/>
      <c r="AL463" s="210"/>
      <c r="AM463" s="160"/>
      <c r="AN463" s="160"/>
    </row>
    <row r="464" spans="3:40" x14ac:dyDescent="0.3">
      <c r="H464" s="123"/>
      <c r="I464" s="123"/>
      <c r="J464" s="188"/>
      <c r="Y464" s="123"/>
      <c r="AM464" s="160"/>
      <c r="AN464" s="160"/>
    </row>
    <row r="465" spans="1:40" x14ac:dyDescent="0.3">
      <c r="C465" s="42"/>
      <c r="F465" s="123"/>
      <c r="H465" s="123"/>
      <c r="I465" s="123"/>
      <c r="J465" s="188"/>
      <c r="L465" s="123"/>
      <c r="M465" s="123"/>
      <c r="N465" s="160"/>
      <c r="O465" s="160"/>
      <c r="P465" s="184"/>
      <c r="Q465" s="184"/>
      <c r="R465" s="123"/>
      <c r="T465" s="42"/>
      <c r="V465" s="123"/>
      <c r="Y465" s="123"/>
      <c r="AA465" s="123"/>
      <c r="AB465" s="123"/>
      <c r="AC465" s="160"/>
      <c r="AD465" s="160"/>
      <c r="AE465" s="123"/>
      <c r="AF465" s="123"/>
      <c r="AH465" s="236"/>
      <c r="AI465" s="184"/>
      <c r="AJ465" s="184"/>
      <c r="AL465" s="123"/>
      <c r="AM465" s="160"/>
      <c r="AN465" s="160"/>
    </row>
    <row r="466" spans="1:40" x14ac:dyDescent="0.3">
      <c r="H466" s="210"/>
      <c r="I466" s="210"/>
      <c r="J466" s="238"/>
      <c r="K466" s="213"/>
      <c r="L466" s="210"/>
      <c r="M466" s="210"/>
      <c r="N466" s="210"/>
      <c r="O466" s="210"/>
      <c r="P466" s="210"/>
      <c r="Q466" s="210"/>
      <c r="R466" s="210"/>
      <c r="V466" s="210"/>
      <c r="Y466" s="210"/>
      <c r="Z466" s="213"/>
      <c r="AA466" s="210"/>
      <c r="AB466" s="210"/>
      <c r="AC466" s="210"/>
      <c r="AD466" s="210"/>
      <c r="AE466" s="210"/>
      <c r="AF466" s="210"/>
      <c r="AI466" s="210"/>
      <c r="AJ466" s="210"/>
      <c r="AK466" s="214"/>
      <c r="AL466" s="210"/>
      <c r="AM466" s="160"/>
      <c r="AN466" s="160"/>
    </row>
    <row r="467" spans="1:40" x14ac:dyDescent="0.3">
      <c r="F467" s="210"/>
      <c r="J467" s="188"/>
    </row>
    <row r="468" spans="1:40" x14ac:dyDescent="0.3">
      <c r="F468" s="123"/>
      <c r="H468" s="123"/>
      <c r="I468" s="123"/>
      <c r="J468" s="188"/>
      <c r="K468" s="219"/>
      <c r="L468" s="123"/>
      <c r="M468" s="123"/>
      <c r="N468" s="123"/>
      <c r="O468" s="123"/>
      <c r="P468" s="123"/>
      <c r="Q468" s="123"/>
      <c r="R468" s="123"/>
      <c r="V468" s="123"/>
      <c r="Y468" s="123"/>
      <c r="Z468" s="219"/>
      <c r="AA468" s="123"/>
      <c r="AB468" s="123"/>
      <c r="AC468" s="123"/>
      <c r="AD468" s="123"/>
      <c r="AE468" s="123"/>
      <c r="AF468" s="123"/>
      <c r="AH468" s="123"/>
      <c r="AI468" s="123"/>
      <c r="AJ468" s="123"/>
      <c r="AL468" s="123"/>
    </row>
    <row r="469" spans="1:40" x14ac:dyDescent="0.3">
      <c r="A469" s="42"/>
      <c r="J469" s="188"/>
    </row>
    <row r="470" spans="1:40" x14ac:dyDescent="0.3">
      <c r="J470" s="188"/>
    </row>
    <row r="471" spans="1:40" x14ac:dyDescent="0.3">
      <c r="H471" s="42"/>
      <c r="I471" s="42"/>
      <c r="J471" s="188"/>
      <c r="Y471" s="42"/>
    </row>
    <row r="472" spans="1:40" x14ac:dyDescent="0.3">
      <c r="J472" s="188"/>
    </row>
    <row r="473" spans="1:40" x14ac:dyDescent="0.3">
      <c r="J473" s="188"/>
      <c r="L473" s="42"/>
      <c r="M473" s="42"/>
      <c r="AA473" s="42"/>
      <c r="AB473" s="42"/>
    </row>
    <row r="474" spans="1:40" x14ac:dyDescent="0.3">
      <c r="J474" s="188"/>
      <c r="R474" s="42"/>
      <c r="AK474" s="206"/>
      <c r="AL474" s="42"/>
    </row>
    <row r="475" spans="1:40" x14ac:dyDescent="0.3">
      <c r="J475" s="188"/>
      <c r="R475" s="42"/>
      <c r="AK475" s="206"/>
      <c r="AL475" s="42"/>
    </row>
    <row r="476" spans="1:40" x14ac:dyDescent="0.3">
      <c r="A476" s="42"/>
      <c r="J476" s="188"/>
      <c r="R476" s="42"/>
      <c r="AK476" s="206"/>
      <c r="AL476" s="42"/>
    </row>
    <row r="477" spans="1:40" x14ac:dyDescent="0.3">
      <c r="J477" s="188"/>
      <c r="L477" s="42"/>
      <c r="M477" s="42"/>
      <c r="AA477" s="42"/>
      <c r="AB477" s="42"/>
    </row>
    <row r="478" spans="1:40" x14ac:dyDescent="0.3">
      <c r="A478" s="135"/>
      <c r="B478" s="135"/>
      <c r="C478" s="135"/>
      <c r="D478" s="135"/>
      <c r="E478" s="135"/>
      <c r="F478" s="135"/>
      <c r="G478" s="135"/>
      <c r="H478" s="135"/>
      <c r="I478" s="135"/>
      <c r="J478" s="244"/>
      <c r="K478" s="135"/>
      <c r="L478" s="135"/>
      <c r="M478" s="135"/>
      <c r="N478" s="135"/>
      <c r="O478" s="135"/>
      <c r="P478" s="135"/>
      <c r="Q478" s="135"/>
      <c r="R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207"/>
      <c r="AH478" s="135"/>
      <c r="AI478" s="135"/>
      <c r="AJ478" s="135"/>
      <c r="AK478" s="207"/>
      <c r="AL478" s="135"/>
      <c r="AM478" s="135"/>
      <c r="AN478" s="135"/>
    </row>
    <row r="479" spans="1:40" x14ac:dyDescent="0.3">
      <c r="J479" s="188"/>
      <c r="L479" s="44"/>
      <c r="M479" s="44"/>
      <c r="N479" s="44"/>
      <c r="O479" s="44"/>
      <c r="R479" s="44"/>
      <c r="AA479" s="44"/>
      <c r="AB479" s="44"/>
      <c r="AC479" s="44"/>
      <c r="AD479" s="44"/>
      <c r="AE479" s="44"/>
      <c r="AF479" s="44"/>
      <c r="AG479" s="168"/>
      <c r="AH479" s="44"/>
      <c r="AK479" s="168"/>
      <c r="AL479" s="44"/>
      <c r="AM479" s="44"/>
      <c r="AN479" s="44"/>
    </row>
    <row r="480" spans="1:40" x14ac:dyDescent="0.3">
      <c r="J480" s="188"/>
      <c r="L480" s="44"/>
      <c r="M480" s="44"/>
      <c r="N480" s="44"/>
      <c r="O480" s="44"/>
      <c r="R480" s="44"/>
      <c r="Z480" s="44"/>
      <c r="AA480" s="44"/>
      <c r="AB480" s="44"/>
      <c r="AC480" s="44"/>
      <c r="AD480" s="44"/>
      <c r="AE480" s="44"/>
      <c r="AF480" s="44"/>
      <c r="AG480" s="168"/>
      <c r="AH480" s="44"/>
      <c r="AK480" s="168"/>
      <c r="AL480" s="44"/>
      <c r="AM480" s="44"/>
      <c r="AN480" s="44"/>
    </row>
    <row r="481" spans="1:40" x14ac:dyDescent="0.3">
      <c r="A481" s="44"/>
      <c r="C481" s="44"/>
      <c r="D481" s="44"/>
      <c r="E481" s="44"/>
      <c r="F481" s="44"/>
      <c r="J481" s="245"/>
      <c r="K481" s="44"/>
      <c r="L481" s="44"/>
      <c r="M481" s="44"/>
      <c r="N481" s="44"/>
      <c r="O481" s="44"/>
      <c r="P481" s="44"/>
      <c r="Q481" s="44"/>
      <c r="R481" s="44"/>
      <c r="T481" s="44"/>
      <c r="U481" s="44"/>
      <c r="V481" s="44"/>
      <c r="Z481" s="44"/>
      <c r="AA481" s="44"/>
      <c r="AB481" s="44"/>
      <c r="AC481" s="44"/>
      <c r="AD481" s="44"/>
      <c r="AE481" s="44"/>
      <c r="AF481" s="44"/>
      <c r="AG481" s="168"/>
      <c r="AH481" s="44"/>
      <c r="AI481" s="44"/>
      <c r="AJ481" s="44"/>
      <c r="AK481" s="168"/>
      <c r="AL481" s="44"/>
      <c r="AM481" s="44"/>
      <c r="AN481" s="44"/>
    </row>
    <row r="482" spans="1:40" x14ac:dyDescent="0.3">
      <c r="A482" s="44"/>
      <c r="C482" s="44"/>
      <c r="D482" s="44"/>
      <c r="E482" s="44"/>
      <c r="F482" s="44"/>
      <c r="H482" s="44"/>
      <c r="I482" s="44"/>
      <c r="J482" s="245"/>
      <c r="K482" s="44"/>
      <c r="L482" s="44"/>
      <c r="M482" s="44"/>
      <c r="N482" s="44"/>
      <c r="O482" s="44"/>
      <c r="P482" s="44"/>
      <c r="Q482" s="44"/>
      <c r="R482" s="44"/>
      <c r="T482" s="44"/>
      <c r="U482" s="44"/>
      <c r="V482" s="44"/>
      <c r="Y482" s="44"/>
      <c r="Z482" s="44"/>
      <c r="AA482" s="44"/>
      <c r="AB482" s="44"/>
      <c r="AC482" s="44"/>
      <c r="AD482" s="44"/>
      <c r="AE482" s="44"/>
      <c r="AF482" s="44"/>
      <c r="AG482" s="168"/>
      <c r="AH482" s="44"/>
      <c r="AI482" s="44"/>
      <c r="AJ482" s="44"/>
      <c r="AK482" s="168"/>
      <c r="AL482" s="44"/>
      <c r="AM482" s="44"/>
      <c r="AN482" s="44"/>
    </row>
    <row r="483" spans="1:40" x14ac:dyDescent="0.3">
      <c r="C483" s="44"/>
      <c r="D483" s="44"/>
      <c r="E483" s="44"/>
      <c r="F483" s="44"/>
      <c r="H483" s="44"/>
      <c r="I483" s="44"/>
      <c r="J483" s="245"/>
      <c r="K483" s="44"/>
      <c r="L483" s="44"/>
      <c r="M483" s="44"/>
      <c r="N483" s="44"/>
      <c r="O483" s="44"/>
      <c r="P483" s="44"/>
      <c r="Q483" s="44"/>
      <c r="R483" s="44"/>
      <c r="T483" s="44"/>
      <c r="U483" s="44"/>
      <c r="V483" s="44"/>
      <c r="Y483" s="44"/>
      <c r="Z483" s="44"/>
      <c r="AA483" s="44"/>
      <c r="AB483" s="44"/>
      <c r="AC483" s="44"/>
      <c r="AD483" s="44"/>
      <c r="AE483" s="44"/>
      <c r="AF483" s="44"/>
      <c r="AG483" s="168"/>
      <c r="AH483" s="44"/>
      <c r="AI483" s="44"/>
      <c r="AJ483" s="44"/>
      <c r="AK483" s="168"/>
      <c r="AL483" s="44"/>
      <c r="AM483" s="44"/>
      <c r="AN483" s="44"/>
    </row>
    <row r="484" spans="1:40" x14ac:dyDescent="0.3">
      <c r="A484" s="135"/>
      <c r="B484" s="135"/>
      <c r="C484" s="135"/>
      <c r="D484" s="135"/>
      <c r="E484" s="135"/>
      <c r="F484" s="135"/>
      <c r="G484" s="135"/>
      <c r="H484" s="135"/>
      <c r="I484" s="135"/>
      <c r="J484" s="244"/>
      <c r="K484" s="135"/>
      <c r="L484" s="135"/>
      <c r="M484" s="135"/>
      <c r="N484" s="135"/>
      <c r="O484" s="135"/>
      <c r="P484" s="135"/>
      <c r="Q484" s="135"/>
      <c r="R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207"/>
      <c r="AH484" s="135"/>
      <c r="AI484" s="135"/>
      <c r="AJ484" s="135"/>
      <c r="AK484" s="207"/>
      <c r="AL484" s="135"/>
      <c r="AM484" s="135"/>
      <c r="AN484" s="135"/>
    </row>
    <row r="485" spans="1:40" x14ac:dyDescent="0.3">
      <c r="H485" s="44"/>
      <c r="I485" s="44"/>
      <c r="J485" s="245"/>
      <c r="K485" s="44"/>
      <c r="L485" s="44"/>
      <c r="M485" s="44"/>
      <c r="N485" s="44"/>
      <c r="O485" s="44"/>
      <c r="P485" s="44"/>
      <c r="Q485" s="44"/>
      <c r="R485" s="44"/>
      <c r="Y485" s="44"/>
      <c r="Z485" s="44"/>
      <c r="AA485" s="44"/>
      <c r="AB485" s="44"/>
      <c r="AC485" s="44"/>
      <c r="AD485" s="44"/>
      <c r="AE485" s="44"/>
      <c r="AF485" s="44"/>
      <c r="AG485" s="168"/>
      <c r="AH485" s="44"/>
      <c r="AI485" s="44"/>
      <c r="AJ485" s="44"/>
      <c r="AK485" s="168"/>
      <c r="AL485" s="44"/>
      <c r="AM485" s="44"/>
      <c r="AN485" s="44"/>
    </row>
    <row r="486" spans="1:40" x14ac:dyDescent="0.3">
      <c r="C486" s="42"/>
      <c r="D486" s="42"/>
      <c r="E486" s="42"/>
      <c r="J486" s="188"/>
      <c r="T486" s="42"/>
      <c r="U486" s="42"/>
      <c r="V486" s="123"/>
      <c r="W486" s="123"/>
      <c r="X486" s="123"/>
      <c r="Y486" s="123"/>
      <c r="Z486" s="237"/>
    </row>
    <row r="487" spans="1:40" x14ac:dyDescent="0.3">
      <c r="J487" s="188"/>
    </row>
    <row r="488" spans="1:40" x14ac:dyDescent="0.3">
      <c r="C488" s="42"/>
      <c r="J488" s="188"/>
      <c r="T488" s="42"/>
      <c r="V488" s="123"/>
      <c r="W488" s="123"/>
      <c r="X488" s="123"/>
      <c r="Y488" s="123"/>
      <c r="Z488" s="237"/>
    </row>
    <row r="489" spans="1:40" x14ac:dyDescent="0.3">
      <c r="C489" s="42"/>
      <c r="F489" s="184"/>
      <c r="H489" s="184"/>
      <c r="I489" s="184"/>
      <c r="J489" s="238"/>
      <c r="K489" s="238"/>
      <c r="L489" s="123"/>
      <c r="M489" s="123"/>
      <c r="N489" s="160"/>
      <c r="O489" s="160"/>
      <c r="P489" s="123"/>
      <c r="Q489" s="123"/>
      <c r="R489" s="123"/>
      <c r="T489" s="42"/>
      <c r="V489" s="123"/>
      <c r="W489" s="123"/>
      <c r="X489" s="123"/>
      <c r="Y489" s="123"/>
      <c r="Z489" s="238"/>
      <c r="AA489" s="123"/>
      <c r="AB489" s="123"/>
      <c r="AC489" s="160"/>
      <c r="AD489" s="160"/>
      <c r="AE489" s="123"/>
      <c r="AF489" s="123"/>
      <c r="AH489" s="236"/>
      <c r="AI489" s="123"/>
      <c r="AJ489" s="123"/>
      <c r="AL489" s="123"/>
      <c r="AM489" s="160"/>
      <c r="AN489" s="160"/>
    </row>
    <row r="490" spans="1:40" x14ac:dyDescent="0.3">
      <c r="C490" s="42"/>
      <c r="F490" s="184"/>
      <c r="H490" s="184"/>
      <c r="I490" s="184"/>
      <c r="J490" s="238"/>
      <c r="K490" s="238"/>
      <c r="L490" s="123"/>
      <c r="M490" s="123"/>
      <c r="N490" s="160"/>
      <c r="O490" s="160"/>
      <c r="P490" s="123"/>
      <c r="Q490" s="123"/>
      <c r="R490" s="123"/>
      <c r="T490" s="42"/>
      <c r="V490" s="123"/>
      <c r="W490" s="123"/>
      <c r="X490" s="123"/>
      <c r="Y490" s="123"/>
      <c r="Z490" s="238"/>
      <c r="AA490" s="123"/>
      <c r="AB490" s="123"/>
      <c r="AC490" s="160"/>
      <c r="AD490" s="160"/>
      <c r="AE490" s="123"/>
      <c r="AF490" s="123"/>
      <c r="AH490" s="236"/>
      <c r="AI490" s="123"/>
      <c r="AJ490" s="123"/>
      <c r="AL490" s="123"/>
      <c r="AM490" s="160"/>
      <c r="AN490" s="160"/>
    </row>
    <row r="491" spans="1:40" x14ac:dyDescent="0.3">
      <c r="C491" s="42"/>
      <c r="F491" s="184"/>
      <c r="H491" s="184"/>
      <c r="I491" s="184"/>
      <c r="J491" s="238"/>
      <c r="K491" s="238"/>
      <c r="L491" s="123"/>
      <c r="M491" s="123"/>
      <c r="N491" s="160"/>
      <c r="O491" s="160"/>
      <c r="P491" s="123"/>
      <c r="Q491" s="123"/>
      <c r="R491" s="123"/>
      <c r="T491" s="42"/>
      <c r="V491" s="123"/>
      <c r="W491" s="123"/>
      <c r="X491" s="123"/>
      <c r="Y491" s="123"/>
      <c r="Z491" s="238"/>
      <c r="AA491" s="123"/>
      <c r="AB491" s="123"/>
      <c r="AC491" s="160"/>
      <c r="AD491" s="160"/>
      <c r="AE491" s="123"/>
      <c r="AF491" s="123"/>
      <c r="AH491" s="236"/>
      <c r="AI491" s="123"/>
      <c r="AJ491" s="123"/>
      <c r="AL491" s="123"/>
      <c r="AM491" s="160"/>
      <c r="AN491" s="160"/>
    </row>
    <row r="492" spans="1:40" x14ac:dyDescent="0.3">
      <c r="C492" s="42"/>
      <c r="F492" s="184"/>
      <c r="H492" s="184"/>
      <c r="I492" s="184"/>
      <c r="J492" s="238"/>
      <c r="K492" s="238"/>
      <c r="L492" s="123"/>
      <c r="M492" s="123"/>
      <c r="N492" s="160"/>
      <c r="O492" s="160"/>
      <c r="P492" s="123"/>
      <c r="Q492" s="123"/>
      <c r="R492" s="123"/>
      <c r="T492" s="42"/>
      <c r="V492" s="123"/>
      <c r="W492" s="123"/>
      <c r="X492" s="123"/>
      <c r="Y492" s="123"/>
      <c r="Z492" s="238"/>
      <c r="AA492" s="123"/>
      <c r="AB492" s="123"/>
      <c r="AC492" s="160"/>
      <c r="AD492" s="160"/>
      <c r="AE492" s="123"/>
      <c r="AF492" s="123"/>
      <c r="AH492" s="236"/>
      <c r="AI492" s="123"/>
      <c r="AJ492" s="123"/>
      <c r="AL492" s="123"/>
      <c r="AM492" s="160"/>
      <c r="AN492" s="160"/>
    </row>
    <row r="493" spans="1:40" x14ac:dyDescent="0.3">
      <c r="J493" s="188"/>
      <c r="K493" s="188"/>
      <c r="V493" s="123"/>
      <c r="W493" s="123"/>
      <c r="X493" s="123"/>
      <c r="Y493" s="123"/>
      <c r="Z493" s="238"/>
    </row>
    <row r="494" spans="1:40" x14ac:dyDescent="0.3">
      <c r="C494" s="42"/>
      <c r="F494" s="184"/>
      <c r="H494" s="184"/>
      <c r="I494" s="184"/>
      <c r="J494" s="238"/>
      <c r="K494" s="238"/>
      <c r="L494" s="123"/>
      <c r="M494" s="123"/>
      <c r="N494" s="160"/>
      <c r="O494" s="160"/>
      <c r="P494" s="123"/>
      <c r="Q494" s="123"/>
      <c r="R494" s="123"/>
      <c r="T494" s="42"/>
      <c r="V494" s="123"/>
      <c r="W494" s="123"/>
      <c r="X494" s="123"/>
      <c r="Y494" s="123"/>
      <c r="Z494" s="238"/>
      <c r="AA494" s="123"/>
      <c r="AB494" s="123"/>
      <c r="AC494" s="160"/>
      <c r="AD494" s="160"/>
      <c r="AE494" s="123"/>
      <c r="AF494" s="123"/>
      <c r="AH494" s="236"/>
      <c r="AI494" s="123"/>
      <c r="AJ494" s="123"/>
      <c r="AL494" s="123"/>
      <c r="AM494" s="236"/>
      <c r="AN494" s="236"/>
    </row>
    <row r="495" spans="1:40" x14ac:dyDescent="0.3">
      <c r="C495" s="42"/>
      <c r="J495" s="188"/>
      <c r="K495" s="188"/>
      <c r="T495" s="42"/>
      <c r="V495" s="123"/>
      <c r="W495" s="123"/>
      <c r="X495" s="123"/>
      <c r="Y495" s="123"/>
      <c r="Z495" s="238"/>
    </row>
    <row r="496" spans="1:40" x14ac:dyDescent="0.3">
      <c r="C496" s="42"/>
      <c r="F496" s="184"/>
      <c r="H496" s="184"/>
      <c r="I496" s="184"/>
      <c r="J496" s="238"/>
      <c r="K496" s="238"/>
      <c r="L496" s="123"/>
      <c r="M496" s="123"/>
      <c r="N496" s="160"/>
      <c r="O496" s="160"/>
      <c r="P496" s="123"/>
      <c r="Q496" s="123"/>
      <c r="R496" s="123"/>
      <c r="T496" s="42"/>
      <c r="V496" s="123"/>
      <c r="W496" s="123"/>
      <c r="X496" s="123"/>
      <c r="Y496" s="123"/>
      <c r="Z496" s="238"/>
      <c r="AA496" s="123"/>
      <c r="AB496" s="123"/>
      <c r="AC496" s="160"/>
      <c r="AD496" s="160"/>
      <c r="AE496" s="123"/>
      <c r="AF496" s="123"/>
      <c r="AH496" s="236"/>
      <c r="AI496" s="123"/>
      <c r="AJ496" s="123"/>
      <c r="AL496" s="123"/>
      <c r="AM496" s="236"/>
      <c r="AN496" s="236"/>
    </row>
    <row r="497" spans="1:40" x14ac:dyDescent="0.3">
      <c r="J497" s="188"/>
      <c r="K497" s="188"/>
      <c r="Z497" s="188"/>
    </row>
    <row r="498" spans="1:40" x14ac:dyDescent="0.3">
      <c r="C498" s="42"/>
      <c r="J498" s="188"/>
      <c r="K498" s="188"/>
      <c r="T498" s="42"/>
      <c r="V498" s="123"/>
      <c r="W498" s="123"/>
      <c r="X498" s="123"/>
      <c r="Y498" s="123"/>
      <c r="Z498" s="238"/>
    </row>
    <row r="499" spans="1:40" x14ac:dyDescent="0.3">
      <c r="C499" s="42"/>
      <c r="F499" s="184"/>
      <c r="H499" s="184"/>
      <c r="I499" s="184"/>
      <c r="J499" s="238"/>
      <c r="K499" s="238"/>
      <c r="L499" s="123"/>
      <c r="M499" s="123"/>
      <c r="N499" s="160"/>
      <c r="O499" s="160"/>
      <c r="P499" s="123"/>
      <c r="Q499" s="123"/>
      <c r="R499" s="123"/>
      <c r="T499" s="42"/>
      <c r="V499" s="123"/>
      <c r="W499" s="123"/>
      <c r="X499" s="123"/>
      <c r="Y499" s="123"/>
      <c r="Z499" s="238"/>
      <c r="AA499" s="123"/>
      <c r="AB499" s="123"/>
      <c r="AC499" s="160"/>
      <c r="AD499" s="160"/>
      <c r="AE499" s="123"/>
      <c r="AF499" s="123"/>
      <c r="AH499" s="236"/>
      <c r="AI499" s="123"/>
      <c r="AJ499" s="123"/>
      <c r="AL499" s="123"/>
      <c r="AM499" s="236"/>
      <c r="AN499" s="236"/>
    </row>
    <row r="500" spans="1:40" x14ac:dyDescent="0.3">
      <c r="C500" s="42"/>
      <c r="F500" s="184"/>
      <c r="H500" s="184"/>
      <c r="I500" s="184"/>
      <c r="J500" s="238"/>
      <c r="K500" s="238"/>
      <c r="L500" s="123"/>
      <c r="M500" s="123"/>
      <c r="N500" s="160"/>
      <c r="O500" s="160"/>
      <c r="P500" s="123"/>
      <c r="Q500" s="123"/>
      <c r="R500" s="123"/>
      <c r="T500" s="42"/>
      <c r="V500" s="123"/>
      <c r="W500" s="123"/>
      <c r="X500" s="123"/>
      <c r="Y500" s="123"/>
      <c r="Z500" s="238"/>
      <c r="AA500" s="123"/>
      <c r="AB500" s="123"/>
      <c r="AC500" s="160"/>
      <c r="AD500" s="160"/>
      <c r="AE500" s="123"/>
      <c r="AF500" s="123"/>
      <c r="AH500" s="236"/>
      <c r="AI500" s="123"/>
      <c r="AJ500" s="123"/>
      <c r="AL500" s="123"/>
      <c r="AM500" s="236"/>
      <c r="AN500" s="236"/>
    </row>
    <row r="501" spans="1:40" x14ac:dyDescent="0.3">
      <c r="F501" s="210"/>
      <c r="H501" s="210"/>
      <c r="I501" s="210"/>
      <c r="J501" s="238"/>
      <c r="K501" s="238"/>
      <c r="L501" s="210"/>
      <c r="M501" s="210"/>
      <c r="N501" s="210"/>
      <c r="O501" s="210"/>
      <c r="P501" s="210"/>
      <c r="Q501" s="210"/>
      <c r="R501" s="210"/>
      <c r="V501" s="210"/>
      <c r="Y501" s="210"/>
      <c r="Z501" s="213"/>
      <c r="AA501" s="210"/>
      <c r="AB501" s="210"/>
      <c r="AC501" s="210"/>
      <c r="AD501" s="210"/>
      <c r="AE501" s="210"/>
      <c r="AF501" s="210"/>
      <c r="AI501" s="210"/>
      <c r="AJ501" s="210"/>
      <c r="AK501" s="214"/>
      <c r="AL501" s="210"/>
    </row>
    <row r="502" spans="1:40" x14ac:dyDescent="0.3">
      <c r="C502" s="42"/>
      <c r="F502" s="123"/>
      <c r="H502" s="123"/>
      <c r="I502" s="123"/>
      <c r="J502" s="188"/>
      <c r="L502" s="123"/>
      <c r="M502" s="123"/>
      <c r="N502" s="160"/>
      <c r="O502" s="160"/>
      <c r="P502" s="184"/>
      <c r="Q502" s="184"/>
      <c r="R502" s="123"/>
      <c r="T502" s="42"/>
      <c r="V502" s="123"/>
      <c r="W502" s="123"/>
      <c r="X502" s="123"/>
      <c r="Y502" s="123"/>
      <c r="Z502" s="237"/>
      <c r="AA502" s="123"/>
      <c r="AB502" s="123"/>
      <c r="AC502" s="160"/>
      <c r="AD502" s="160"/>
      <c r="AE502" s="123"/>
      <c r="AF502" s="123"/>
      <c r="AH502" s="236"/>
      <c r="AI502" s="184"/>
      <c r="AJ502" s="184"/>
      <c r="AL502" s="123"/>
      <c r="AM502" s="236"/>
      <c r="AN502" s="236"/>
    </row>
    <row r="503" spans="1:40" x14ac:dyDescent="0.3">
      <c r="H503" s="210"/>
      <c r="I503" s="210"/>
      <c r="J503" s="238"/>
      <c r="K503" s="213"/>
      <c r="L503" s="210"/>
      <c r="M503" s="210"/>
      <c r="N503" s="210"/>
      <c r="O503" s="210"/>
      <c r="P503" s="210"/>
      <c r="Q503" s="210"/>
      <c r="R503" s="210"/>
      <c r="V503" s="210"/>
      <c r="Y503" s="210"/>
      <c r="Z503" s="213"/>
      <c r="AA503" s="210"/>
      <c r="AB503" s="210"/>
      <c r="AC503" s="210"/>
      <c r="AD503" s="210"/>
      <c r="AE503" s="210"/>
      <c r="AF503" s="210"/>
      <c r="AI503" s="210"/>
      <c r="AJ503" s="210"/>
      <c r="AK503" s="214"/>
      <c r="AL503" s="210"/>
    </row>
    <row r="504" spans="1:40" x14ac:dyDescent="0.3">
      <c r="F504" s="210"/>
      <c r="J504" s="188"/>
    </row>
    <row r="505" spans="1:40" x14ac:dyDescent="0.3">
      <c r="J505" s="188"/>
    </row>
    <row r="506" spans="1:40" x14ac:dyDescent="0.3">
      <c r="A506" s="42"/>
      <c r="J506" s="188"/>
    </row>
    <row r="507" spans="1:40" x14ac:dyDescent="0.3">
      <c r="J507" s="188"/>
    </row>
    <row r="508" spans="1:40" x14ac:dyDescent="0.3">
      <c r="H508" s="42"/>
      <c r="I508" s="42"/>
      <c r="J508" s="188"/>
      <c r="Y508" s="42"/>
    </row>
    <row r="509" spans="1:40" x14ac:dyDescent="0.3">
      <c r="J509" s="188"/>
    </row>
    <row r="510" spans="1:40" x14ac:dyDescent="0.3">
      <c r="J510" s="188"/>
      <c r="L510" s="42"/>
      <c r="M510" s="42"/>
      <c r="AA510" s="42"/>
      <c r="AB510" s="42"/>
    </row>
    <row r="511" spans="1:40" x14ac:dyDescent="0.3">
      <c r="J511" s="188"/>
      <c r="R511" s="42"/>
      <c r="AK511" s="206"/>
      <c r="AL511" s="42"/>
    </row>
    <row r="512" spans="1:40" x14ac:dyDescent="0.3">
      <c r="J512" s="188"/>
      <c r="R512" s="42"/>
      <c r="AK512" s="206"/>
      <c r="AL512" s="42"/>
    </row>
    <row r="513" spans="1:40" x14ac:dyDescent="0.3">
      <c r="A513" s="42"/>
      <c r="J513" s="188"/>
      <c r="R513" s="42"/>
      <c r="AK513" s="206"/>
      <c r="AL513" s="42"/>
    </row>
    <row r="514" spans="1:40" x14ac:dyDescent="0.3">
      <c r="J514" s="188"/>
      <c r="L514" s="42"/>
      <c r="M514" s="42"/>
      <c r="AA514" s="42"/>
      <c r="AB514" s="42"/>
    </row>
    <row r="515" spans="1:40" x14ac:dyDescent="0.3">
      <c r="A515" s="135"/>
      <c r="B515" s="135"/>
      <c r="C515" s="135"/>
      <c r="D515" s="135"/>
      <c r="E515" s="135"/>
      <c r="F515" s="135"/>
      <c r="G515" s="135"/>
      <c r="H515" s="135"/>
      <c r="I515" s="135"/>
      <c r="J515" s="244"/>
      <c r="K515" s="135"/>
      <c r="L515" s="135"/>
      <c r="M515" s="135"/>
      <c r="N515" s="135"/>
      <c r="O515" s="135"/>
      <c r="P515" s="135"/>
      <c r="Q515" s="135"/>
      <c r="R515" s="135"/>
      <c r="T515" s="135"/>
      <c r="U515" s="135"/>
      <c r="V515" s="135"/>
      <c r="W515" s="135"/>
      <c r="X515" s="135"/>
      <c r="Y515" s="135"/>
      <c r="Z515" s="135"/>
      <c r="AA515" s="135"/>
      <c r="AB515" s="135"/>
      <c r="AC515" s="135"/>
      <c r="AD515" s="135"/>
      <c r="AE515" s="135"/>
      <c r="AF515" s="135"/>
      <c r="AG515" s="207"/>
      <c r="AH515" s="135"/>
      <c r="AI515" s="135"/>
      <c r="AJ515" s="135"/>
      <c r="AK515" s="207"/>
      <c r="AL515" s="135"/>
      <c r="AM515" s="135"/>
      <c r="AN515" s="135"/>
    </row>
    <row r="516" spans="1:40" x14ac:dyDescent="0.3">
      <c r="J516" s="188"/>
      <c r="L516" s="44"/>
      <c r="M516" s="44"/>
      <c r="N516" s="44"/>
      <c r="O516" s="44"/>
      <c r="R516" s="44"/>
      <c r="AA516" s="44"/>
      <c r="AB516" s="44"/>
      <c r="AC516" s="44"/>
      <c r="AD516" s="44"/>
      <c r="AE516" s="44"/>
      <c r="AF516" s="44"/>
      <c r="AG516" s="168"/>
      <c r="AH516" s="44"/>
      <c r="AK516" s="168"/>
      <c r="AL516" s="44"/>
      <c r="AM516" s="44"/>
      <c r="AN516" s="44"/>
    </row>
    <row r="517" spans="1:40" x14ac:dyDescent="0.3">
      <c r="J517" s="188"/>
      <c r="L517" s="44"/>
      <c r="M517" s="44"/>
      <c r="N517" s="44"/>
      <c r="O517" s="44"/>
      <c r="R517" s="44"/>
      <c r="Z517" s="44"/>
      <c r="AA517" s="44"/>
      <c r="AB517" s="44"/>
      <c r="AC517" s="44"/>
      <c r="AD517" s="44"/>
      <c r="AE517" s="44"/>
      <c r="AF517" s="44"/>
      <c r="AG517" s="168"/>
      <c r="AH517" s="44"/>
      <c r="AK517" s="168"/>
      <c r="AL517" s="44"/>
      <c r="AM517" s="44"/>
      <c r="AN517" s="44"/>
    </row>
    <row r="518" spans="1:40" x14ac:dyDescent="0.3">
      <c r="A518" s="44"/>
      <c r="C518" s="44"/>
      <c r="D518" s="44"/>
      <c r="E518" s="44"/>
      <c r="F518" s="44"/>
      <c r="J518" s="245"/>
      <c r="K518" s="44"/>
      <c r="L518" s="44"/>
      <c r="M518" s="44"/>
      <c r="N518" s="44"/>
      <c r="O518" s="44"/>
      <c r="P518" s="44"/>
      <c r="Q518" s="44"/>
      <c r="R518" s="44"/>
      <c r="T518" s="44"/>
      <c r="U518" s="44"/>
      <c r="V518" s="44"/>
      <c r="Z518" s="44"/>
      <c r="AA518" s="44"/>
      <c r="AB518" s="44"/>
      <c r="AC518" s="44"/>
      <c r="AD518" s="44"/>
      <c r="AE518" s="44"/>
      <c r="AF518" s="44"/>
      <c r="AG518" s="168"/>
      <c r="AH518" s="44"/>
      <c r="AI518" s="44"/>
      <c r="AJ518" s="44"/>
      <c r="AK518" s="168"/>
      <c r="AL518" s="44"/>
      <c r="AM518" s="44"/>
      <c r="AN518" s="44"/>
    </row>
    <row r="519" spans="1:40" x14ac:dyDescent="0.3">
      <c r="A519" s="44"/>
      <c r="C519" s="44"/>
      <c r="D519" s="44"/>
      <c r="E519" s="44"/>
      <c r="F519" s="44"/>
      <c r="H519" s="44"/>
      <c r="I519" s="44"/>
      <c r="J519" s="245"/>
      <c r="K519" s="44"/>
      <c r="L519" s="44"/>
      <c r="M519" s="44"/>
      <c r="N519" s="44"/>
      <c r="O519" s="44"/>
      <c r="P519" s="44"/>
      <c r="Q519" s="44"/>
      <c r="R519" s="44"/>
      <c r="T519" s="44"/>
      <c r="U519" s="44"/>
      <c r="V519" s="44"/>
      <c r="Y519" s="44"/>
      <c r="Z519" s="44"/>
      <c r="AA519" s="44"/>
      <c r="AB519" s="44"/>
      <c r="AC519" s="44"/>
      <c r="AD519" s="44"/>
      <c r="AE519" s="44"/>
      <c r="AF519" s="44"/>
      <c r="AG519" s="168"/>
      <c r="AH519" s="44"/>
      <c r="AI519" s="44"/>
      <c r="AJ519" s="44"/>
      <c r="AK519" s="168"/>
      <c r="AL519" s="44"/>
      <c r="AM519" s="44"/>
      <c r="AN519" s="44"/>
    </row>
    <row r="520" spans="1:40" x14ac:dyDescent="0.3">
      <c r="C520" s="44"/>
      <c r="D520" s="44"/>
      <c r="E520" s="44"/>
      <c r="F520" s="44"/>
      <c r="H520" s="44"/>
      <c r="I520" s="44"/>
      <c r="J520" s="245"/>
      <c r="K520" s="44"/>
      <c r="L520" s="44"/>
      <c r="M520" s="44"/>
      <c r="N520" s="44"/>
      <c r="O520" s="44"/>
      <c r="P520" s="44"/>
      <c r="Q520" s="44"/>
      <c r="R520" s="44"/>
      <c r="T520" s="44"/>
      <c r="U520" s="44"/>
      <c r="V520" s="44"/>
      <c r="Y520" s="44"/>
      <c r="Z520" s="44"/>
      <c r="AA520" s="44"/>
      <c r="AB520" s="44"/>
      <c r="AC520" s="44"/>
      <c r="AD520" s="44"/>
      <c r="AE520" s="44"/>
      <c r="AF520" s="44"/>
      <c r="AG520" s="168"/>
      <c r="AH520" s="44"/>
      <c r="AI520" s="44"/>
      <c r="AJ520" s="44"/>
      <c r="AK520" s="168"/>
      <c r="AL520" s="44"/>
      <c r="AM520" s="44"/>
      <c r="AN520" s="44"/>
    </row>
    <row r="521" spans="1:40" x14ac:dyDescent="0.3">
      <c r="A521" s="135"/>
      <c r="B521" s="135"/>
      <c r="C521" s="135"/>
      <c r="D521" s="135"/>
      <c r="E521" s="135"/>
      <c r="F521" s="135"/>
      <c r="G521" s="135"/>
      <c r="H521" s="135"/>
      <c r="I521" s="135"/>
      <c r="J521" s="244"/>
      <c r="K521" s="135"/>
      <c r="L521" s="135"/>
      <c r="M521" s="135"/>
      <c r="N521" s="135"/>
      <c r="O521" s="135"/>
      <c r="P521" s="135"/>
      <c r="Q521" s="135"/>
      <c r="R521" s="135"/>
      <c r="T521" s="135"/>
      <c r="U521" s="135"/>
      <c r="V521" s="135"/>
      <c r="W521" s="135"/>
      <c r="X521" s="135"/>
      <c r="Y521" s="135"/>
      <c r="Z521" s="135"/>
      <c r="AA521" s="135"/>
      <c r="AB521" s="135"/>
      <c r="AC521" s="135"/>
      <c r="AD521" s="135"/>
      <c r="AE521" s="135"/>
      <c r="AF521" s="135"/>
      <c r="AG521" s="207"/>
      <c r="AH521" s="135"/>
      <c r="AI521" s="135"/>
      <c r="AJ521" s="135"/>
      <c r="AK521" s="207"/>
      <c r="AL521" s="135"/>
      <c r="AM521" s="135"/>
      <c r="AN521" s="135"/>
    </row>
    <row r="522" spans="1:40" x14ac:dyDescent="0.3">
      <c r="H522" s="44"/>
      <c r="I522" s="44"/>
      <c r="J522" s="245"/>
      <c r="K522" s="44"/>
      <c r="L522" s="44"/>
      <c r="M522" s="44"/>
      <c r="N522" s="44"/>
      <c r="O522" s="44"/>
      <c r="P522" s="44"/>
      <c r="Q522" s="44"/>
      <c r="R522" s="44"/>
      <c r="Y522" s="44"/>
      <c r="Z522" s="44"/>
      <c r="AA522" s="44"/>
      <c r="AB522" s="44"/>
      <c r="AC522" s="44"/>
      <c r="AD522" s="44"/>
      <c r="AE522" s="44"/>
      <c r="AF522" s="44"/>
      <c r="AG522" s="168"/>
      <c r="AH522" s="44"/>
      <c r="AI522" s="44"/>
      <c r="AJ522" s="44"/>
      <c r="AK522" s="168"/>
      <c r="AL522" s="44"/>
      <c r="AM522" s="44"/>
      <c r="AN522" s="44"/>
    </row>
    <row r="523" spans="1:40" x14ac:dyDescent="0.3">
      <c r="C523" s="42"/>
      <c r="D523" s="42"/>
      <c r="E523" s="42"/>
      <c r="J523" s="188"/>
      <c r="T523" s="42"/>
      <c r="U523" s="42"/>
    </row>
    <row r="524" spans="1:40" x14ac:dyDescent="0.3">
      <c r="J524" s="188"/>
    </row>
    <row r="525" spans="1:40" x14ac:dyDescent="0.3">
      <c r="C525" s="42"/>
      <c r="J525" s="188"/>
      <c r="T525" s="42"/>
    </row>
    <row r="526" spans="1:40" x14ac:dyDescent="0.3">
      <c r="C526" s="42"/>
      <c r="J526" s="188"/>
      <c r="T526" s="42"/>
    </row>
    <row r="527" spans="1:40" x14ac:dyDescent="0.3">
      <c r="C527" s="42"/>
      <c r="F527" s="184"/>
      <c r="H527" s="184"/>
      <c r="I527" s="184"/>
      <c r="J527" s="238"/>
      <c r="K527" s="238"/>
      <c r="L527" s="123"/>
      <c r="M527" s="123"/>
      <c r="N527" s="160"/>
      <c r="O527" s="160"/>
      <c r="P527" s="123"/>
      <c r="Q527" s="123"/>
      <c r="R527" s="123"/>
      <c r="T527" s="42"/>
      <c r="V527" s="123"/>
      <c r="W527" s="123"/>
      <c r="X527" s="123"/>
      <c r="Y527" s="123"/>
      <c r="Z527" s="238"/>
      <c r="AA527" s="123"/>
      <c r="AB527" s="123"/>
      <c r="AC527" s="160"/>
      <c r="AD527" s="160"/>
      <c r="AE527" s="123"/>
      <c r="AF527" s="123"/>
      <c r="AH527" s="236"/>
      <c r="AI527" s="123"/>
      <c r="AJ527" s="123"/>
      <c r="AL527" s="123"/>
      <c r="AM527" s="236"/>
      <c r="AN527" s="236"/>
    </row>
    <row r="528" spans="1:40" x14ac:dyDescent="0.3">
      <c r="C528" s="42"/>
      <c r="F528" s="123"/>
      <c r="H528" s="123"/>
      <c r="I528" s="123"/>
      <c r="J528" s="188"/>
      <c r="K528" s="188"/>
      <c r="L528" s="123"/>
      <c r="M528" s="123"/>
      <c r="N528" s="160"/>
      <c r="O528" s="160"/>
      <c r="P528" s="123"/>
      <c r="Q528" s="123"/>
      <c r="R528" s="123"/>
      <c r="T528" s="42"/>
      <c r="V528" s="123"/>
      <c r="W528" s="123"/>
      <c r="X528" s="123"/>
      <c r="Y528" s="123"/>
      <c r="Z528" s="188"/>
      <c r="AA528" s="123"/>
      <c r="AB528" s="123"/>
      <c r="AC528" s="160"/>
      <c r="AD528" s="160"/>
      <c r="AE528" s="123"/>
      <c r="AF528" s="123"/>
      <c r="AH528" s="236"/>
      <c r="AI528" s="123"/>
      <c r="AJ528" s="123"/>
      <c r="AL528" s="123"/>
      <c r="AM528" s="236"/>
      <c r="AN528" s="236"/>
    </row>
    <row r="529" spans="3:40" x14ac:dyDescent="0.3">
      <c r="C529" s="42"/>
      <c r="F529" s="123"/>
      <c r="H529" s="123"/>
      <c r="I529" s="123"/>
      <c r="J529" s="188"/>
      <c r="K529" s="188"/>
      <c r="L529" s="123"/>
      <c r="M529" s="123"/>
      <c r="N529" s="160"/>
      <c r="O529" s="160"/>
      <c r="P529" s="123"/>
      <c r="Q529" s="123"/>
      <c r="R529" s="123"/>
      <c r="T529" s="42"/>
      <c r="V529" s="123"/>
      <c r="W529" s="123"/>
      <c r="X529" s="123"/>
      <c r="Y529" s="123"/>
      <c r="Z529" s="188"/>
      <c r="AA529" s="123"/>
      <c r="AB529" s="123"/>
      <c r="AC529" s="160"/>
      <c r="AD529" s="160"/>
      <c r="AE529" s="123"/>
      <c r="AF529" s="123"/>
      <c r="AH529" s="236"/>
      <c r="AI529" s="123"/>
      <c r="AJ529" s="123"/>
      <c r="AL529" s="123"/>
      <c r="AM529" s="236"/>
      <c r="AN529" s="236"/>
    </row>
    <row r="530" spans="3:40" x14ac:dyDescent="0.3">
      <c r="C530" s="42"/>
      <c r="F530" s="123"/>
      <c r="H530" s="123"/>
      <c r="I530" s="123"/>
      <c r="J530" s="188"/>
      <c r="K530" s="188"/>
      <c r="T530" s="42"/>
      <c r="V530" s="123"/>
      <c r="Z530" s="188"/>
    </row>
    <row r="531" spans="3:40" x14ac:dyDescent="0.3">
      <c r="C531" s="42"/>
      <c r="F531" s="184"/>
      <c r="H531" s="184"/>
      <c r="I531" s="184"/>
      <c r="J531" s="238"/>
      <c r="K531" s="238"/>
      <c r="L531" s="123"/>
      <c r="M531" s="123"/>
      <c r="N531" s="160"/>
      <c r="O531" s="160"/>
      <c r="P531" s="123"/>
      <c r="Q531" s="123"/>
      <c r="R531" s="123"/>
      <c r="T531" s="42"/>
      <c r="V531" s="123"/>
      <c r="W531" s="123"/>
      <c r="X531" s="123"/>
      <c r="Y531" s="123"/>
      <c r="Z531" s="238"/>
      <c r="AA531" s="123"/>
      <c r="AB531" s="123"/>
      <c r="AC531" s="160"/>
      <c r="AD531" s="160"/>
      <c r="AE531" s="123"/>
      <c r="AF531" s="123"/>
      <c r="AH531" s="236"/>
      <c r="AI531" s="123"/>
      <c r="AJ531" s="123"/>
      <c r="AL531" s="123"/>
      <c r="AM531" s="236"/>
      <c r="AN531" s="236"/>
    </row>
    <row r="532" spans="3:40" x14ac:dyDescent="0.3">
      <c r="C532" s="42"/>
      <c r="F532" s="123"/>
      <c r="H532" s="123"/>
      <c r="I532" s="123"/>
      <c r="J532" s="188"/>
      <c r="K532" s="188"/>
      <c r="T532" s="42"/>
      <c r="V532" s="123"/>
      <c r="W532" s="123"/>
      <c r="X532" s="123"/>
      <c r="Y532" s="123"/>
      <c r="Z532" s="188"/>
      <c r="AC532" s="160"/>
      <c r="AD532" s="160"/>
      <c r="AE532" s="123"/>
      <c r="AF532" s="123"/>
      <c r="AH532" s="236"/>
      <c r="AI532" s="123"/>
      <c r="AJ532" s="123"/>
      <c r="AL532" s="123"/>
      <c r="AM532" s="236"/>
      <c r="AN532" s="236"/>
    </row>
    <row r="533" spans="3:40" x14ac:dyDescent="0.3">
      <c r="C533" s="42"/>
      <c r="F533" s="184"/>
      <c r="H533" s="184"/>
      <c r="I533" s="184"/>
      <c r="J533" s="238"/>
      <c r="K533" s="238"/>
      <c r="L533" s="123"/>
      <c r="M533" s="123"/>
      <c r="N533" s="160"/>
      <c r="O533" s="160"/>
      <c r="P533" s="123"/>
      <c r="Q533" s="123"/>
      <c r="R533" s="123"/>
      <c r="T533" s="42"/>
      <c r="V533" s="123"/>
      <c r="W533" s="123"/>
      <c r="X533" s="123"/>
      <c r="Y533" s="123"/>
      <c r="Z533" s="238"/>
      <c r="AA533" s="123"/>
      <c r="AB533" s="123"/>
      <c r="AC533" s="160"/>
      <c r="AD533" s="160"/>
      <c r="AE533" s="123"/>
      <c r="AF533" s="123"/>
      <c r="AH533" s="236"/>
      <c r="AI533" s="123"/>
      <c r="AJ533" s="123"/>
      <c r="AL533" s="123"/>
      <c r="AM533" s="236"/>
      <c r="AN533" s="236"/>
    </row>
    <row r="534" spans="3:40" x14ac:dyDescent="0.3">
      <c r="C534" s="42"/>
      <c r="F534" s="123"/>
      <c r="H534" s="123"/>
      <c r="I534" s="123"/>
      <c r="J534" s="188"/>
      <c r="K534" s="188"/>
      <c r="L534" s="123"/>
      <c r="M534" s="123"/>
      <c r="N534" s="160"/>
      <c r="O534" s="160"/>
      <c r="P534" s="123"/>
      <c r="Q534" s="123"/>
      <c r="R534" s="123"/>
      <c r="T534" s="42"/>
      <c r="V534" s="123"/>
      <c r="W534" s="123"/>
      <c r="X534" s="123"/>
      <c r="Y534" s="123"/>
      <c r="Z534" s="188"/>
      <c r="AA534" s="123"/>
      <c r="AB534" s="123"/>
      <c r="AC534" s="160"/>
      <c r="AD534" s="160"/>
      <c r="AE534" s="123"/>
      <c r="AF534" s="123"/>
      <c r="AH534" s="236"/>
      <c r="AI534" s="123"/>
      <c r="AJ534" s="123"/>
      <c r="AL534" s="123"/>
      <c r="AM534" s="236"/>
      <c r="AN534" s="236"/>
    </row>
    <row r="535" spans="3:40" x14ac:dyDescent="0.3">
      <c r="F535" s="123"/>
      <c r="H535" s="123"/>
      <c r="I535" s="123"/>
      <c r="J535" s="188"/>
      <c r="K535" s="188"/>
      <c r="Z535" s="188"/>
    </row>
    <row r="536" spans="3:40" x14ac:dyDescent="0.3">
      <c r="C536" s="42"/>
      <c r="F536" s="123"/>
      <c r="H536" s="184"/>
      <c r="I536" s="184"/>
      <c r="J536" s="238"/>
      <c r="K536" s="238"/>
      <c r="L536" s="123"/>
      <c r="M536" s="123"/>
      <c r="N536" s="160"/>
      <c r="O536" s="160"/>
      <c r="P536" s="123"/>
      <c r="Q536" s="123"/>
      <c r="R536" s="123"/>
      <c r="T536" s="42"/>
      <c r="V536" s="123"/>
      <c r="W536" s="123"/>
      <c r="X536" s="123"/>
      <c r="Y536" s="123"/>
      <c r="Z536" s="238"/>
      <c r="AA536" s="123"/>
      <c r="AB536" s="123"/>
      <c r="AC536" s="160"/>
      <c r="AD536" s="160"/>
      <c r="AE536" s="123"/>
      <c r="AF536" s="123"/>
      <c r="AH536" s="236"/>
      <c r="AI536" s="123"/>
      <c r="AJ536" s="123"/>
      <c r="AL536" s="123"/>
      <c r="AM536" s="236"/>
      <c r="AN536" s="236"/>
    </row>
    <row r="537" spans="3:40" x14ac:dyDescent="0.3">
      <c r="F537" s="210"/>
      <c r="H537" s="210"/>
      <c r="I537" s="210"/>
      <c r="J537" s="238"/>
      <c r="K537" s="238"/>
      <c r="L537" s="210"/>
      <c r="M537" s="210"/>
      <c r="N537" s="210"/>
      <c r="O537" s="210"/>
      <c r="P537" s="210"/>
      <c r="Q537" s="210"/>
      <c r="R537" s="210"/>
      <c r="V537" s="210"/>
      <c r="Y537" s="210"/>
      <c r="Z537" s="238"/>
      <c r="AA537" s="210"/>
      <c r="AB537" s="210"/>
      <c r="AC537" s="210"/>
      <c r="AD537" s="210"/>
      <c r="AE537" s="210"/>
      <c r="AF537" s="210"/>
      <c r="AI537" s="210"/>
      <c r="AJ537" s="210"/>
      <c r="AK537" s="214"/>
      <c r="AL537" s="210"/>
    </row>
    <row r="538" spans="3:40" x14ac:dyDescent="0.3">
      <c r="C538" s="42"/>
      <c r="F538" s="123"/>
      <c r="H538" s="123"/>
      <c r="I538" s="123"/>
      <c r="J538" s="188"/>
      <c r="K538" s="188"/>
      <c r="L538" s="123"/>
      <c r="M538" s="123"/>
      <c r="P538" s="123"/>
      <c r="Q538" s="123"/>
      <c r="R538" s="123"/>
      <c r="T538" s="42"/>
      <c r="V538" s="123"/>
      <c r="Y538" s="123"/>
      <c r="Z538" s="188"/>
      <c r="AA538" s="123"/>
      <c r="AB538" s="123"/>
      <c r="AC538" s="236"/>
      <c r="AD538" s="236"/>
      <c r="AE538" s="123"/>
      <c r="AF538" s="123"/>
      <c r="AH538" s="236"/>
      <c r="AI538" s="123"/>
      <c r="AJ538" s="123"/>
      <c r="AL538" s="123"/>
      <c r="AM538" s="236"/>
      <c r="AN538" s="236"/>
    </row>
    <row r="539" spans="3:40" x14ac:dyDescent="0.3">
      <c r="F539" s="210"/>
      <c r="H539" s="210"/>
      <c r="I539" s="210"/>
      <c r="J539" s="238"/>
      <c r="K539" s="238"/>
      <c r="L539" s="210"/>
      <c r="M539" s="210"/>
      <c r="N539" s="210"/>
      <c r="O539" s="210"/>
      <c r="P539" s="210"/>
      <c r="Q539" s="210"/>
      <c r="R539" s="210"/>
      <c r="V539" s="210"/>
      <c r="Y539" s="210"/>
      <c r="Z539" s="238"/>
      <c r="AA539" s="210"/>
      <c r="AB539" s="210"/>
      <c r="AC539" s="210"/>
      <c r="AD539" s="210"/>
      <c r="AE539" s="210"/>
      <c r="AF539" s="210"/>
      <c r="AI539" s="210"/>
      <c r="AJ539" s="210"/>
      <c r="AK539" s="214"/>
      <c r="AL539" s="210"/>
    </row>
    <row r="540" spans="3:40" x14ac:dyDescent="0.3">
      <c r="J540" s="188"/>
      <c r="K540" s="188"/>
      <c r="Z540" s="188"/>
    </row>
    <row r="541" spans="3:40" x14ac:dyDescent="0.3">
      <c r="C541" s="42"/>
      <c r="J541" s="188"/>
      <c r="K541" s="188"/>
      <c r="T541" s="42"/>
      <c r="Z541" s="188"/>
    </row>
    <row r="542" spans="3:40" x14ac:dyDescent="0.3">
      <c r="C542" s="42"/>
      <c r="J542" s="188"/>
      <c r="K542" s="188"/>
      <c r="T542" s="42"/>
      <c r="Z542" s="188"/>
    </row>
    <row r="543" spans="3:40" x14ac:dyDescent="0.3">
      <c r="C543" s="42"/>
      <c r="F543" s="184"/>
      <c r="H543" s="184"/>
      <c r="I543" s="184"/>
      <c r="J543" s="238"/>
      <c r="K543" s="238"/>
      <c r="L543" s="123"/>
      <c r="M543" s="123"/>
      <c r="N543" s="160"/>
      <c r="O543" s="160"/>
      <c r="P543" s="123"/>
      <c r="Q543" s="123"/>
      <c r="R543" s="123"/>
      <c r="T543" s="42"/>
      <c r="V543" s="123"/>
      <c r="W543" s="123"/>
      <c r="X543" s="123"/>
      <c r="Y543" s="123"/>
      <c r="Z543" s="238"/>
      <c r="AA543" s="123"/>
      <c r="AB543" s="123"/>
      <c r="AC543" s="160"/>
      <c r="AD543" s="160"/>
      <c r="AE543" s="123"/>
      <c r="AF543" s="123"/>
      <c r="AH543" s="236"/>
      <c r="AI543" s="123"/>
      <c r="AJ543" s="123"/>
      <c r="AL543" s="123"/>
      <c r="AM543" s="236"/>
      <c r="AN543" s="236"/>
    </row>
    <row r="544" spans="3:40" x14ac:dyDescent="0.3">
      <c r="C544" s="42"/>
      <c r="J544" s="188"/>
      <c r="K544" s="188"/>
      <c r="T544" s="42"/>
      <c r="Z544" s="188"/>
    </row>
    <row r="545" spans="1:40" x14ac:dyDescent="0.3">
      <c r="C545" s="42"/>
      <c r="F545" s="184"/>
      <c r="H545" s="184"/>
      <c r="I545" s="184"/>
      <c r="J545" s="238"/>
      <c r="K545" s="238"/>
      <c r="L545" s="123"/>
      <c r="M545" s="123"/>
      <c r="N545" s="160"/>
      <c r="O545" s="160"/>
      <c r="P545" s="123"/>
      <c r="Q545" s="123"/>
      <c r="R545" s="123"/>
      <c r="T545" s="42"/>
      <c r="V545" s="123"/>
      <c r="W545" s="123"/>
      <c r="X545" s="123"/>
      <c r="Y545" s="123"/>
      <c r="Z545" s="238"/>
      <c r="AA545" s="123"/>
      <c r="AB545" s="123"/>
      <c r="AC545" s="160"/>
      <c r="AD545" s="160"/>
      <c r="AE545" s="123"/>
      <c r="AF545" s="123"/>
      <c r="AH545" s="236"/>
      <c r="AI545" s="123"/>
      <c r="AJ545" s="123"/>
      <c r="AL545" s="123"/>
      <c r="AM545" s="236"/>
      <c r="AN545" s="236"/>
    </row>
    <row r="546" spans="1:40" x14ac:dyDescent="0.3">
      <c r="F546" s="210"/>
      <c r="H546" s="210"/>
      <c r="I546" s="210"/>
      <c r="J546" s="238"/>
      <c r="K546" s="238"/>
      <c r="L546" s="210"/>
      <c r="M546" s="210"/>
      <c r="N546" s="210"/>
      <c r="O546" s="210"/>
      <c r="P546" s="210"/>
      <c r="Q546" s="210"/>
      <c r="R546" s="210"/>
      <c r="V546" s="210"/>
      <c r="Y546" s="210"/>
      <c r="Z546" s="238"/>
      <c r="AA546" s="210"/>
      <c r="AB546" s="210"/>
      <c r="AC546" s="210"/>
      <c r="AD546" s="210"/>
      <c r="AE546" s="210"/>
      <c r="AF546" s="210"/>
      <c r="AI546" s="210"/>
      <c r="AJ546" s="210"/>
      <c r="AK546" s="214"/>
      <c r="AL546" s="210"/>
    </row>
    <row r="547" spans="1:40" x14ac:dyDescent="0.3">
      <c r="C547" s="42"/>
      <c r="F547" s="123"/>
      <c r="H547" s="123"/>
      <c r="I547" s="123"/>
      <c r="J547" s="188"/>
      <c r="K547" s="188"/>
      <c r="L547" s="123"/>
      <c r="M547" s="123"/>
      <c r="N547" s="236"/>
      <c r="O547" s="236"/>
      <c r="P547" s="123"/>
      <c r="Q547" s="123"/>
      <c r="R547" s="123"/>
      <c r="T547" s="42"/>
      <c r="V547" s="123"/>
      <c r="Y547" s="123"/>
      <c r="Z547" s="188"/>
      <c r="AA547" s="123"/>
      <c r="AB547" s="123"/>
      <c r="AC547" s="236"/>
      <c r="AD547" s="236"/>
      <c r="AE547" s="123"/>
      <c r="AF547" s="123"/>
      <c r="AH547" s="236"/>
      <c r="AI547" s="123"/>
      <c r="AJ547" s="123"/>
      <c r="AL547" s="123"/>
      <c r="AM547" s="236"/>
      <c r="AN547" s="236"/>
    </row>
    <row r="548" spans="1:40" x14ac:dyDescent="0.3">
      <c r="F548" s="210"/>
      <c r="H548" s="210"/>
      <c r="I548" s="210"/>
      <c r="J548" s="238"/>
      <c r="K548" s="238"/>
      <c r="L548" s="210"/>
      <c r="M548" s="210"/>
      <c r="N548" s="210"/>
      <c r="O548" s="210"/>
      <c r="P548" s="210"/>
      <c r="Q548" s="210"/>
      <c r="R548" s="210"/>
      <c r="V548" s="210"/>
      <c r="Y548" s="210"/>
      <c r="Z548" s="213"/>
      <c r="AA548" s="210"/>
      <c r="AB548" s="210"/>
      <c r="AC548" s="210"/>
      <c r="AD548" s="210"/>
      <c r="AE548" s="210"/>
      <c r="AF548" s="210"/>
      <c r="AI548" s="210"/>
      <c r="AJ548" s="210"/>
      <c r="AK548" s="214"/>
      <c r="AL548" s="210"/>
    </row>
    <row r="549" spans="1:40" x14ac:dyDescent="0.3">
      <c r="J549" s="188"/>
      <c r="K549" s="188"/>
    </row>
    <row r="550" spans="1:40" x14ac:dyDescent="0.3">
      <c r="C550" s="42"/>
      <c r="F550" s="123"/>
      <c r="H550" s="123"/>
      <c r="I550" s="123"/>
      <c r="J550" s="188"/>
      <c r="K550" s="188"/>
      <c r="L550" s="123"/>
      <c r="M550" s="123"/>
      <c r="N550" s="160"/>
      <c r="O550" s="160"/>
      <c r="P550" s="184"/>
      <c r="Q550" s="184"/>
      <c r="R550" s="123"/>
      <c r="T550" s="42"/>
      <c r="V550" s="123"/>
      <c r="Y550" s="123"/>
      <c r="AA550" s="123"/>
      <c r="AB550" s="123"/>
      <c r="AC550" s="236"/>
      <c r="AD550" s="236"/>
      <c r="AE550" s="123"/>
      <c r="AF550" s="123"/>
      <c r="AH550" s="236"/>
      <c r="AI550" s="184"/>
      <c r="AJ550" s="184"/>
      <c r="AL550" s="123"/>
      <c r="AM550" s="236"/>
      <c r="AN550" s="236"/>
    </row>
    <row r="551" spans="1:40" x14ac:dyDescent="0.3">
      <c r="H551" s="210"/>
      <c r="I551" s="210"/>
      <c r="J551" s="238"/>
      <c r="K551" s="238"/>
      <c r="L551" s="210"/>
      <c r="M551" s="210"/>
      <c r="N551" s="210"/>
      <c r="O551" s="210"/>
      <c r="P551" s="210"/>
      <c r="Q551" s="210"/>
      <c r="R551" s="210"/>
      <c r="V551" s="210"/>
      <c r="Y551" s="210"/>
      <c r="Z551" s="213"/>
      <c r="AA551" s="210"/>
      <c r="AB551" s="210"/>
      <c r="AC551" s="210"/>
      <c r="AD551" s="210"/>
      <c r="AE551" s="210"/>
      <c r="AF551" s="210"/>
      <c r="AI551" s="210"/>
      <c r="AJ551" s="210"/>
      <c r="AK551" s="214"/>
      <c r="AL551" s="210"/>
    </row>
    <row r="552" spans="1:40" x14ac:dyDescent="0.3">
      <c r="F552" s="210"/>
      <c r="J552" s="188"/>
    </row>
    <row r="553" spans="1:40" x14ac:dyDescent="0.3">
      <c r="J553" s="188"/>
    </row>
    <row r="554" spans="1:40" x14ac:dyDescent="0.3">
      <c r="A554" s="42"/>
      <c r="J554" s="188"/>
    </row>
    <row r="555" spans="1:40" x14ac:dyDescent="0.3">
      <c r="J555" s="188"/>
    </row>
    <row r="556" spans="1:40" x14ac:dyDescent="0.3">
      <c r="H556" s="42"/>
      <c r="I556" s="42"/>
      <c r="J556" s="188"/>
      <c r="Y556" s="42"/>
    </row>
    <row r="557" spans="1:40" x14ac:dyDescent="0.3">
      <c r="J557" s="188"/>
    </row>
    <row r="558" spans="1:40" x14ac:dyDescent="0.3">
      <c r="J558" s="188"/>
      <c r="L558" s="42"/>
      <c r="M558" s="42"/>
      <c r="AA558" s="42"/>
      <c r="AB558" s="42"/>
    </row>
    <row r="559" spans="1:40" x14ac:dyDescent="0.3">
      <c r="J559" s="188"/>
      <c r="R559" s="42"/>
      <c r="AK559" s="206"/>
      <c r="AL559" s="42"/>
    </row>
    <row r="560" spans="1:40" x14ac:dyDescent="0.3">
      <c r="J560" s="188"/>
      <c r="R560" s="42"/>
      <c r="AK560" s="206"/>
      <c r="AL560" s="42"/>
    </row>
    <row r="561" spans="1:40" x14ac:dyDescent="0.3">
      <c r="A561" s="42"/>
      <c r="J561" s="188"/>
      <c r="R561" s="42"/>
      <c r="AK561" s="206"/>
      <c r="AL561" s="42"/>
    </row>
    <row r="562" spans="1:40" x14ac:dyDescent="0.3">
      <c r="J562" s="188"/>
      <c r="L562" s="42"/>
      <c r="M562" s="42"/>
      <c r="AA562" s="42"/>
      <c r="AB562" s="42"/>
    </row>
    <row r="563" spans="1:40" x14ac:dyDescent="0.3">
      <c r="A563" s="135"/>
      <c r="B563" s="135"/>
      <c r="C563" s="135"/>
      <c r="D563" s="135"/>
      <c r="E563" s="135"/>
      <c r="F563" s="135"/>
      <c r="G563" s="135"/>
      <c r="H563" s="135"/>
      <c r="I563" s="135"/>
      <c r="J563" s="244"/>
      <c r="K563" s="135"/>
      <c r="L563" s="135"/>
      <c r="M563" s="135"/>
      <c r="N563" s="135"/>
      <c r="O563" s="135"/>
      <c r="P563" s="135"/>
      <c r="Q563" s="135"/>
      <c r="R563" s="135"/>
      <c r="T563" s="135"/>
      <c r="U563" s="135"/>
      <c r="V563" s="135"/>
      <c r="W563" s="135"/>
      <c r="X563" s="135"/>
      <c r="Y563" s="135"/>
      <c r="Z563" s="135"/>
      <c r="AA563" s="135"/>
      <c r="AB563" s="135"/>
      <c r="AC563" s="135"/>
      <c r="AD563" s="135"/>
      <c r="AE563" s="135"/>
      <c r="AF563" s="135"/>
      <c r="AG563" s="207"/>
      <c r="AH563" s="135"/>
      <c r="AI563" s="135"/>
      <c r="AJ563" s="135"/>
      <c r="AK563" s="207"/>
      <c r="AL563" s="135"/>
      <c r="AM563" s="135"/>
      <c r="AN563" s="135"/>
    </row>
    <row r="564" spans="1:40" x14ac:dyDescent="0.3">
      <c r="J564" s="188"/>
      <c r="L564" s="44"/>
      <c r="M564" s="44"/>
      <c r="N564" s="44"/>
      <c r="O564" s="44"/>
      <c r="R564" s="44"/>
      <c r="AA564" s="44"/>
      <c r="AB564" s="44"/>
      <c r="AC564" s="44"/>
      <c r="AD564" s="44"/>
      <c r="AE564" s="44"/>
      <c r="AF564" s="44"/>
      <c r="AG564" s="168"/>
      <c r="AH564" s="44"/>
      <c r="AK564" s="168"/>
      <c r="AL564" s="44"/>
      <c r="AM564" s="44"/>
      <c r="AN564" s="44"/>
    </row>
    <row r="565" spans="1:40" x14ac:dyDescent="0.3">
      <c r="J565" s="188"/>
      <c r="L565" s="44"/>
      <c r="M565" s="44"/>
      <c r="N565" s="44"/>
      <c r="O565" s="44"/>
      <c r="R565" s="44"/>
      <c r="Z565" s="44"/>
      <c r="AA565" s="44"/>
      <c r="AB565" s="44"/>
      <c r="AC565" s="44"/>
      <c r="AD565" s="44"/>
      <c r="AE565" s="44"/>
      <c r="AF565" s="44"/>
      <c r="AG565" s="168"/>
      <c r="AH565" s="44"/>
      <c r="AK565" s="168"/>
      <c r="AL565" s="44"/>
      <c r="AM565" s="44"/>
      <c r="AN565" s="44"/>
    </row>
    <row r="566" spans="1:40" x14ac:dyDescent="0.3">
      <c r="A566" s="44"/>
      <c r="C566" s="44"/>
      <c r="D566" s="44"/>
      <c r="E566" s="44"/>
      <c r="F566" s="44"/>
      <c r="J566" s="245"/>
      <c r="K566" s="44"/>
      <c r="L566" s="44"/>
      <c r="M566" s="44"/>
      <c r="N566" s="44"/>
      <c r="O566" s="44"/>
      <c r="P566" s="44"/>
      <c r="Q566" s="44"/>
      <c r="R566" s="44"/>
      <c r="T566" s="44"/>
      <c r="U566" s="44"/>
      <c r="V566" s="44"/>
      <c r="Z566" s="44"/>
      <c r="AA566" s="44"/>
      <c r="AB566" s="44"/>
      <c r="AC566" s="44"/>
      <c r="AD566" s="44"/>
      <c r="AE566" s="44"/>
      <c r="AF566" s="44"/>
      <c r="AG566" s="168"/>
      <c r="AH566" s="44"/>
      <c r="AI566" s="44"/>
      <c r="AJ566" s="44"/>
      <c r="AK566" s="168"/>
      <c r="AL566" s="44"/>
      <c r="AM566" s="44"/>
      <c r="AN566" s="44"/>
    </row>
    <row r="567" spans="1:40" x14ac:dyDescent="0.3">
      <c r="A567" s="44"/>
      <c r="C567" s="44"/>
      <c r="D567" s="44"/>
      <c r="E567" s="44"/>
      <c r="F567" s="44"/>
      <c r="H567" s="44"/>
      <c r="I567" s="44"/>
      <c r="J567" s="245"/>
      <c r="K567" s="44"/>
      <c r="L567" s="44"/>
      <c r="M567" s="44"/>
      <c r="N567" s="44"/>
      <c r="O567" s="44"/>
      <c r="P567" s="44"/>
      <c r="Q567" s="44"/>
      <c r="R567" s="44"/>
      <c r="T567" s="44"/>
      <c r="U567" s="44"/>
      <c r="V567" s="44"/>
      <c r="Y567" s="44"/>
      <c r="Z567" s="44"/>
      <c r="AA567" s="44"/>
      <c r="AB567" s="44"/>
      <c r="AC567" s="44"/>
      <c r="AD567" s="44"/>
      <c r="AE567" s="44"/>
      <c r="AF567" s="44"/>
      <c r="AG567" s="168"/>
      <c r="AH567" s="44"/>
      <c r="AI567" s="44"/>
      <c r="AJ567" s="44"/>
      <c r="AK567" s="168"/>
      <c r="AL567" s="44"/>
      <c r="AM567" s="44"/>
      <c r="AN567" s="44"/>
    </row>
    <row r="568" spans="1:40" x14ac:dyDescent="0.3">
      <c r="C568" s="44"/>
      <c r="D568" s="44"/>
      <c r="E568" s="44"/>
      <c r="F568" s="44"/>
      <c r="H568" s="44"/>
      <c r="I568" s="44"/>
      <c r="J568" s="245"/>
      <c r="K568" s="44"/>
      <c r="L568" s="44"/>
      <c r="M568" s="44"/>
      <c r="N568" s="44"/>
      <c r="O568" s="44"/>
      <c r="P568" s="44"/>
      <c r="Q568" s="44"/>
      <c r="R568" s="44"/>
      <c r="T568" s="44"/>
      <c r="U568" s="44"/>
      <c r="V568" s="44"/>
      <c r="Y568" s="44"/>
      <c r="Z568" s="44"/>
      <c r="AA568" s="44"/>
      <c r="AB568" s="44"/>
      <c r="AC568" s="44"/>
      <c r="AD568" s="44"/>
      <c r="AE568" s="44"/>
      <c r="AF568" s="44"/>
      <c r="AG568" s="168"/>
      <c r="AH568" s="44"/>
      <c r="AI568" s="44"/>
      <c r="AJ568" s="44"/>
      <c r="AK568" s="168"/>
      <c r="AL568" s="44"/>
      <c r="AM568" s="44"/>
      <c r="AN568" s="44"/>
    </row>
    <row r="569" spans="1:40" x14ac:dyDescent="0.3">
      <c r="A569" s="135"/>
      <c r="B569" s="135"/>
      <c r="C569" s="135"/>
      <c r="D569" s="135"/>
      <c r="E569" s="135"/>
      <c r="F569" s="135"/>
      <c r="G569" s="135"/>
      <c r="H569" s="135"/>
      <c r="I569" s="135"/>
      <c r="J569" s="244"/>
      <c r="K569" s="135"/>
      <c r="L569" s="135"/>
      <c r="M569" s="135"/>
      <c r="N569" s="135"/>
      <c r="O569" s="135"/>
      <c r="P569" s="135"/>
      <c r="Q569" s="135"/>
      <c r="R569" s="135"/>
      <c r="T569" s="135"/>
      <c r="U569" s="135"/>
      <c r="V569" s="135"/>
      <c r="W569" s="135"/>
      <c r="X569" s="135"/>
      <c r="Y569" s="135"/>
      <c r="Z569" s="135"/>
      <c r="AA569" s="135"/>
      <c r="AB569" s="135"/>
      <c r="AC569" s="135"/>
      <c r="AD569" s="135"/>
      <c r="AE569" s="135"/>
      <c r="AF569" s="135"/>
      <c r="AG569" s="207"/>
      <c r="AH569" s="135"/>
      <c r="AI569" s="135"/>
      <c r="AJ569" s="135"/>
      <c r="AK569" s="207"/>
      <c r="AL569" s="135"/>
      <c r="AM569" s="135"/>
      <c r="AN569" s="135"/>
    </row>
    <row r="570" spans="1:40" x14ac:dyDescent="0.3">
      <c r="H570" s="44"/>
      <c r="I570" s="44"/>
      <c r="J570" s="245"/>
      <c r="K570" s="44"/>
      <c r="L570" s="44"/>
      <c r="M570" s="44"/>
      <c r="N570" s="44"/>
      <c r="O570" s="44"/>
      <c r="P570" s="44"/>
      <c r="Q570" s="44"/>
      <c r="R570" s="44"/>
      <c r="Y570" s="44"/>
      <c r="Z570" s="44"/>
      <c r="AA570" s="44"/>
      <c r="AB570" s="44"/>
      <c r="AC570" s="44"/>
      <c r="AD570" s="44"/>
      <c r="AE570" s="44"/>
      <c r="AF570" s="44"/>
      <c r="AG570" s="168"/>
      <c r="AH570" s="44"/>
      <c r="AI570" s="44"/>
      <c r="AJ570" s="44"/>
      <c r="AK570" s="168"/>
      <c r="AL570" s="44"/>
      <c r="AM570" s="44"/>
      <c r="AN570" s="44"/>
    </row>
    <row r="571" spans="1:40" x14ac:dyDescent="0.3">
      <c r="C571" s="42"/>
      <c r="D571" s="42"/>
      <c r="E571" s="42"/>
      <c r="J571" s="188"/>
      <c r="T571" s="42"/>
      <c r="U571" s="42"/>
    </row>
    <row r="572" spans="1:40" x14ac:dyDescent="0.3">
      <c r="J572" s="188"/>
    </row>
    <row r="573" spans="1:40" x14ac:dyDescent="0.3">
      <c r="C573" s="42"/>
      <c r="D573" s="42"/>
      <c r="E573" s="42"/>
      <c r="J573" s="188"/>
      <c r="T573" s="42"/>
      <c r="U573" s="42"/>
    </row>
    <row r="574" spans="1:40" x14ac:dyDescent="0.3">
      <c r="C574" s="42"/>
      <c r="J574" s="188"/>
      <c r="T574" s="42"/>
    </row>
    <row r="575" spans="1:40" x14ac:dyDescent="0.3">
      <c r="C575" s="42"/>
      <c r="J575" s="188"/>
      <c r="T575" s="42"/>
    </row>
    <row r="576" spans="1:40" x14ac:dyDescent="0.3">
      <c r="C576" s="42"/>
      <c r="H576" s="184"/>
      <c r="I576" s="184"/>
      <c r="J576" s="238"/>
      <c r="K576" s="238"/>
      <c r="L576" s="123"/>
      <c r="M576" s="123"/>
      <c r="N576" s="160"/>
      <c r="O576" s="160"/>
      <c r="P576" s="123"/>
      <c r="Q576" s="123"/>
      <c r="R576" s="123"/>
      <c r="T576" s="42"/>
      <c r="V576" s="123"/>
      <c r="W576" s="123"/>
      <c r="X576" s="123"/>
      <c r="Y576" s="123"/>
      <c r="Z576" s="238"/>
      <c r="AA576" s="123"/>
      <c r="AB576" s="123"/>
      <c r="AC576" s="160"/>
      <c r="AD576" s="160"/>
      <c r="AE576" s="123"/>
      <c r="AF576" s="123"/>
      <c r="AH576" s="236"/>
      <c r="AI576" s="123"/>
      <c r="AJ576" s="123"/>
      <c r="AL576" s="123"/>
      <c r="AM576" s="160"/>
      <c r="AN576" s="160"/>
    </row>
    <row r="577" spans="3:40" x14ac:dyDescent="0.3">
      <c r="C577" s="42"/>
      <c r="F577" s="184"/>
      <c r="J577" s="188"/>
      <c r="K577" s="188"/>
      <c r="T577" s="42"/>
      <c r="V577" s="123"/>
      <c r="W577" s="123"/>
      <c r="X577" s="123"/>
      <c r="Y577" s="123"/>
      <c r="Z577" s="238"/>
    </row>
    <row r="578" spans="3:40" x14ac:dyDescent="0.3">
      <c r="C578" s="42"/>
      <c r="H578" s="184"/>
      <c r="I578" s="184"/>
      <c r="J578" s="238"/>
      <c r="K578" s="238"/>
      <c r="L578" s="123"/>
      <c r="M578" s="123"/>
      <c r="N578" s="160"/>
      <c r="O578" s="160"/>
      <c r="P578" s="123"/>
      <c r="Q578" s="123"/>
      <c r="R578" s="123"/>
      <c r="T578" s="42"/>
      <c r="V578" s="123"/>
      <c r="W578" s="123"/>
      <c r="X578" s="123"/>
      <c r="Y578" s="123"/>
      <c r="Z578" s="238"/>
      <c r="AA578" s="123"/>
      <c r="AB578" s="123"/>
      <c r="AC578" s="160"/>
      <c r="AD578" s="160"/>
      <c r="AE578" s="123"/>
      <c r="AF578" s="123"/>
      <c r="AH578" s="236"/>
      <c r="AI578" s="123"/>
      <c r="AJ578" s="123"/>
      <c r="AL578" s="123"/>
      <c r="AM578" s="160"/>
      <c r="AN578" s="160"/>
    </row>
    <row r="579" spans="3:40" x14ac:dyDescent="0.3">
      <c r="C579" s="42"/>
      <c r="F579" s="184"/>
      <c r="J579" s="188"/>
      <c r="K579" s="188"/>
      <c r="T579" s="42"/>
      <c r="V579" s="123"/>
      <c r="W579" s="123"/>
      <c r="X579" s="123"/>
      <c r="Y579" s="123"/>
      <c r="Z579" s="238"/>
    </row>
    <row r="580" spans="3:40" x14ac:dyDescent="0.3">
      <c r="C580" s="42"/>
      <c r="H580" s="184"/>
      <c r="I580" s="184"/>
      <c r="J580" s="238"/>
      <c r="K580" s="238"/>
      <c r="L580" s="123"/>
      <c r="M580" s="123"/>
      <c r="N580" s="160"/>
      <c r="O580" s="160"/>
      <c r="P580" s="123"/>
      <c r="Q580" s="123"/>
      <c r="R580" s="123"/>
      <c r="T580" s="42"/>
      <c r="V580" s="123"/>
      <c r="W580" s="123"/>
      <c r="X580" s="123"/>
      <c r="Y580" s="123"/>
      <c r="Z580" s="238"/>
      <c r="AA580" s="123"/>
      <c r="AB580" s="123"/>
      <c r="AC580" s="160"/>
      <c r="AD580" s="160"/>
      <c r="AE580" s="123"/>
      <c r="AF580" s="123"/>
      <c r="AH580" s="236"/>
      <c r="AI580" s="123"/>
      <c r="AJ580" s="123"/>
      <c r="AL580" s="123"/>
      <c r="AM580" s="160"/>
      <c r="AN580" s="160"/>
    </row>
    <row r="581" spans="3:40" x14ac:dyDescent="0.3">
      <c r="C581" s="42"/>
      <c r="F581" s="184"/>
      <c r="J581" s="188"/>
      <c r="K581" s="188"/>
      <c r="T581" s="42"/>
      <c r="V581" s="123"/>
      <c r="W581" s="123"/>
      <c r="X581" s="123"/>
      <c r="Y581" s="123"/>
      <c r="Z581" s="238"/>
    </row>
    <row r="582" spans="3:40" x14ac:dyDescent="0.3">
      <c r="C582" s="42"/>
      <c r="H582" s="184"/>
      <c r="I582" s="184"/>
      <c r="J582" s="238"/>
      <c r="K582" s="238"/>
      <c r="L582" s="123"/>
      <c r="M582" s="123"/>
      <c r="N582" s="160"/>
      <c r="O582" s="160"/>
      <c r="P582" s="123"/>
      <c r="Q582" s="123"/>
      <c r="R582" s="123"/>
      <c r="T582" s="42"/>
      <c r="V582" s="123"/>
      <c r="W582" s="123"/>
      <c r="X582" s="123"/>
      <c r="Y582" s="123"/>
      <c r="Z582" s="238"/>
      <c r="AA582" s="123"/>
      <c r="AB582" s="123"/>
      <c r="AC582" s="160"/>
      <c r="AD582" s="160"/>
      <c r="AE582" s="123"/>
      <c r="AF582" s="123"/>
      <c r="AH582" s="236"/>
      <c r="AI582" s="123"/>
      <c r="AJ582" s="123"/>
      <c r="AL582" s="123"/>
      <c r="AM582" s="160"/>
      <c r="AN582" s="160"/>
    </row>
    <row r="583" spans="3:40" x14ac:dyDescent="0.3">
      <c r="C583" s="42"/>
      <c r="F583" s="184"/>
      <c r="J583" s="188"/>
      <c r="K583" s="188"/>
      <c r="T583" s="42"/>
      <c r="V583" s="123"/>
      <c r="W583" s="123"/>
      <c r="X583" s="123"/>
      <c r="Y583" s="123"/>
      <c r="Z583" s="238"/>
    </row>
    <row r="584" spans="3:40" x14ac:dyDescent="0.3">
      <c r="C584" s="42"/>
      <c r="H584" s="184"/>
      <c r="I584" s="184"/>
      <c r="J584" s="238"/>
      <c r="K584" s="238"/>
      <c r="L584" s="123"/>
      <c r="M584" s="123"/>
      <c r="N584" s="160"/>
      <c r="O584" s="160"/>
      <c r="P584" s="123"/>
      <c r="Q584" s="123"/>
      <c r="R584" s="123"/>
      <c r="T584" s="42"/>
      <c r="V584" s="123"/>
      <c r="W584" s="123"/>
      <c r="X584" s="123"/>
      <c r="Y584" s="123"/>
      <c r="Z584" s="238"/>
      <c r="AA584" s="123"/>
      <c r="AB584" s="123"/>
      <c r="AC584" s="160"/>
      <c r="AD584" s="160"/>
      <c r="AE584" s="123"/>
      <c r="AF584" s="123"/>
      <c r="AH584" s="236"/>
      <c r="AI584" s="123"/>
      <c r="AJ584" s="123"/>
      <c r="AL584" s="123"/>
      <c r="AM584" s="160"/>
      <c r="AN584" s="160"/>
    </row>
    <row r="585" spans="3:40" x14ac:dyDescent="0.3">
      <c r="C585" s="42"/>
      <c r="F585" s="184"/>
      <c r="J585" s="188"/>
      <c r="K585" s="188"/>
      <c r="T585" s="42"/>
      <c r="V585" s="123"/>
      <c r="W585" s="123"/>
      <c r="X585" s="123"/>
      <c r="Y585" s="123"/>
      <c r="Z585" s="238"/>
    </row>
    <row r="586" spans="3:40" x14ac:dyDescent="0.3">
      <c r="C586" s="42"/>
      <c r="H586" s="184"/>
      <c r="I586" s="184"/>
      <c r="J586" s="238"/>
      <c r="K586" s="238"/>
      <c r="L586" s="123"/>
      <c r="M586" s="123"/>
      <c r="N586" s="160"/>
      <c r="O586" s="160"/>
      <c r="P586" s="123"/>
      <c r="Q586" s="123"/>
      <c r="R586" s="123"/>
      <c r="T586" s="42"/>
      <c r="V586" s="123"/>
      <c r="W586" s="123"/>
      <c r="X586" s="123"/>
      <c r="Y586" s="123"/>
      <c r="Z586" s="238"/>
      <c r="AA586" s="123"/>
      <c r="AB586" s="123"/>
      <c r="AC586" s="160"/>
      <c r="AD586" s="160"/>
      <c r="AE586" s="123"/>
      <c r="AF586" s="123"/>
      <c r="AH586" s="236"/>
      <c r="AI586" s="123"/>
      <c r="AJ586" s="123"/>
      <c r="AL586" s="123"/>
      <c r="AM586" s="160"/>
      <c r="AN586" s="160"/>
    </row>
    <row r="587" spans="3:40" x14ac:dyDescent="0.3">
      <c r="F587" s="184"/>
      <c r="H587" s="210"/>
      <c r="I587" s="210"/>
      <c r="J587" s="238"/>
      <c r="K587" s="238"/>
      <c r="L587" s="210"/>
      <c r="M587" s="210"/>
      <c r="N587" s="210"/>
      <c r="O587" s="210"/>
      <c r="P587" s="210"/>
      <c r="Q587" s="210"/>
      <c r="R587" s="210"/>
      <c r="V587" s="210"/>
      <c r="Y587" s="210"/>
      <c r="Z587" s="238"/>
      <c r="AA587" s="210"/>
      <c r="AB587" s="210"/>
      <c r="AC587" s="210"/>
      <c r="AD587" s="210"/>
      <c r="AE587" s="210"/>
      <c r="AF587" s="210"/>
      <c r="AI587" s="210"/>
      <c r="AJ587" s="210"/>
      <c r="AK587" s="214"/>
      <c r="AL587" s="210"/>
      <c r="AM587" s="160"/>
      <c r="AN587" s="160"/>
    </row>
    <row r="588" spans="3:40" x14ac:dyDescent="0.3">
      <c r="C588" s="42"/>
      <c r="F588" s="210"/>
      <c r="H588" s="123"/>
      <c r="I588" s="123"/>
      <c r="J588" s="188"/>
      <c r="K588" s="188"/>
      <c r="L588" s="123"/>
      <c r="M588" s="123"/>
      <c r="N588" s="160"/>
      <c r="O588" s="160"/>
      <c r="P588" s="184"/>
      <c r="Q588" s="184"/>
      <c r="R588" s="123"/>
      <c r="T588" s="42"/>
      <c r="V588" s="123"/>
      <c r="W588" s="123"/>
      <c r="X588" s="123"/>
      <c r="Y588" s="123"/>
      <c r="Z588" s="238"/>
      <c r="AA588" s="123"/>
      <c r="AB588" s="123"/>
      <c r="AC588" s="160"/>
      <c r="AD588" s="160"/>
      <c r="AE588" s="123"/>
      <c r="AF588" s="123"/>
      <c r="AH588" s="236"/>
      <c r="AI588" s="184"/>
      <c r="AJ588" s="184"/>
      <c r="AL588" s="123"/>
      <c r="AM588" s="160"/>
      <c r="AN588" s="160"/>
    </row>
    <row r="589" spans="3:40" x14ac:dyDescent="0.3">
      <c r="F589" s="123"/>
      <c r="H589" s="210"/>
      <c r="I589" s="210"/>
      <c r="J589" s="238"/>
      <c r="K589" s="238"/>
      <c r="L589" s="210"/>
      <c r="M589" s="210"/>
      <c r="N589" s="210"/>
      <c r="O589" s="210"/>
      <c r="P589" s="210"/>
      <c r="Q589" s="210"/>
      <c r="R589" s="210"/>
      <c r="V589" s="210"/>
      <c r="Y589" s="210"/>
      <c r="Z589" s="238"/>
      <c r="AA589" s="210"/>
      <c r="AB589" s="210"/>
      <c r="AC589" s="210"/>
      <c r="AD589" s="210"/>
      <c r="AE589" s="210"/>
      <c r="AF589" s="210"/>
      <c r="AI589" s="210"/>
      <c r="AJ589" s="210"/>
      <c r="AK589" s="214"/>
      <c r="AL589" s="210"/>
    </row>
    <row r="590" spans="3:40" x14ac:dyDescent="0.3">
      <c r="C590" s="42"/>
      <c r="D590" s="42"/>
      <c r="E590" s="42"/>
      <c r="F590" s="210"/>
      <c r="J590" s="188"/>
      <c r="K590" s="188"/>
      <c r="T590" s="42"/>
      <c r="U590" s="42"/>
      <c r="V590" s="123"/>
      <c r="W590" s="123"/>
      <c r="X590" s="123"/>
      <c r="Y590" s="123"/>
      <c r="Z590" s="238"/>
    </row>
    <row r="591" spans="3:40" x14ac:dyDescent="0.3">
      <c r="C591" s="42"/>
      <c r="J591" s="188"/>
      <c r="K591" s="188"/>
      <c r="T591" s="42"/>
      <c r="V591" s="123"/>
      <c r="W591" s="123"/>
      <c r="X591" s="123"/>
      <c r="Y591" s="123"/>
      <c r="Z591" s="238"/>
    </row>
    <row r="592" spans="3:40" x14ac:dyDescent="0.3">
      <c r="C592" s="42"/>
      <c r="J592" s="188"/>
      <c r="K592" s="188"/>
      <c r="T592" s="42"/>
      <c r="V592" s="123"/>
      <c r="W592" s="123"/>
      <c r="X592" s="123"/>
      <c r="Y592" s="123"/>
      <c r="Z592" s="238"/>
    </row>
    <row r="593" spans="3:40" x14ac:dyDescent="0.3">
      <c r="C593" s="42"/>
      <c r="H593" s="184"/>
      <c r="I593" s="184"/>
      <c r="J593" s="238"/>
      <c r="K593" s="238"/>
      <c r="L593" s="123"/>
      <c r="M593" s="123"/>
      <c r="N593" s="160"/>
      <c r="O593" s="160"/>
      <c r="P593" s="123"/>
      <c r="Q593" s="123"/>
      <c r="R593" s="123"/>
      <c r="T593" s="42"/>
      <c r="V593" s="123"/>
      <c r="W593" s="123"/>
      <c r="X593" s="123"/>
      <c r="Y593" s="123"/>
      <c r="Z593" s="238"/>
      <c r="AA593" s="123"/>
      <c r="AB593" s="123"/>
      <c r="AC593" s="160"/>
      <c r="AD593" s="160"/>
      <c r="AE593" s="123"/>
      <c r="AF593" s="123"/>
      <c r="AH593" s="236"/>
      <c r="AI593" s="123"/>
      <c r="AJ593" s="123"/>
      <c r="AL593" s="123"/>
      <c r="AM593" s="160"/>
      <c r="AN593" s="160"/>
    </row>
    <row r="594" spans="3:40" x14ac:dyDescent="0.3">
      <c r="C594" s="42"/>
      <c r="F594" s="184"/>
      <c r="J594" s="188"/>
      <c r="K594" s="188"/>
      <c r="T594" s="42"/>
      <c r="V594" s="123"/>
      <c r="W594" s="123"/>
      <c r="X594" s="123"/>
      <c r="Y594" s="123"/>
      <c r="Z594" s="238"/>
    </row>
    <row r="595" spans="3:40" x14ac:dyDescent="0.3">
      <c r="C595" s="42"/>
      <c r="H595" s="184"/>
      <c r="I595" s="184"/>
      <c r="J595" s="238"/>
      <c r="K595" s="238"/>
      <c r="L595" s="123"/>
      <c r="M595" s="123"/>
      <c r="N595" s="160"/>
      <c r="O595" s="160"/>
      <c r="P595" s="123"/>
      <c r="Q595" s="123"/>
      <c r="R595" s="123"/>
      <c r="T595" s="42"/>
      <c r="V595" s="123"/>
      <c r="W595" s="123"/>
      <c r="X595" s="123"/>
      <c r="Y595" s="123"/>
      <c r="Z595" s="238"/>
      <c r="AA595" s="123"/>
      <c r="AB595" s="123"/>
      <c r="AC595" s="160"/>
      <c r="AD595" s="160"/>
      <c r="AE595" s="123"/>
      <c r="AF595" s="123"/>
      <c r="AH595" s="236"/>
      <c r="AI595" s="123"/>
      <c r="AJ595" s="123"/>
      <c r="AL595" s="123"/>
      <c r="AM595" s="160"/>
      <c r="AN595" s="160"/>
    </row>
    <row r="596" spans="3:40" x14ac:dyDescent="0.3">
      <c r="F596" s="184"/>
      <c r="H596" s="210"/>
      <c r="I596" s="210"/>
      <c r="J596" s="238"/>
      <c r="K596" s="238"/>
      <c r="L596" s="210"/>
      <c r="M596" s="210"/>
      <c r="N596" s="210"/>
      <c r="O596" s="210"/>
      <c r="P596" s="210"/>
      <c r="Q596" s="210"/>
      <c r="R596" s="210"/>
      <c r="V596" s="210"/>
      <c r="Y596" s="210"/>
      <c r="Z596" s="213"/>
      <c r="AA596" s="210"/>
      <c r="AB596" s="210"/>
      <c r="AC596" s="210"/>
      <c r="AD596" s="210"/>
      <c r="AE596" s="210"/>
      <c r="AF596" s="210"/>
      <c r="AI596" s="210"/>
      <c r="AJ596" s="210"/>
      <c r="AK596" s="214"/>
      <c r="AL596" s="210"/>
    </row>
    <row r="597" spans="3:40" x14ac:dyDescent="0.3">
      <c r="C597" s="42"/>
      <c r="F597" s="210"/>
      <c r="H597" s="123"/>
      <c r="I597" s="123"/>
      <c r="L597" s="123"/>
      <c r="M597" s="123"/>
      <c r="N597" s="160"/>
      <c r="O597" s="160"/>
      <c r="P597" s="184"/>
      <c r="Q597" s="184"/>
      <c r="R597" s="123"/>
      <c r="T597" s="42"/>
      <c r="V597" s="123"/>
      <c r="W597" s="123"/>
      <c r="X597" s="123"/>
      <c r="Y597" s="123"/>
      <c r="Z597" s="237"/>
      <c r="AA597" s="123"/>
      <c r="AB597" s="123"/>
      <c r="AC597" s="160"/>
      <c r="AD597" s="160"/>
      <c r="AE597" s="123"/>
      <c r="AF597" s="123"/>
      <c r="AH597" s="236"/>
      <c r="AI597" s="184"/>
      <c r="AJ597" s="184"/>
      <c r="AL597" s="123"/>
      <c r="AM597" s="160"/>
      <c r="AN597" s="160"/>
    </row>
    <row r="598" spans="3:40" x14ac:dyDescent="0.3">
      <c r="F598" s="123"/>
      <c r="H598" s="210"/>
      <c r="I598" s="210"/>
      <c r="J598" s="213"/>
      <c r="K598" s="213"/>
      <c r="L598" s="210"/>
      <c r="M598" s="210"/>
      <c r="N598" s="210"/>
      <c r="O598" s="210"/>
      <c r="P598" s="210"/>
      <c r="Q598" s="210"/>
      <c r="R598" s="210"/>
      <c r="V598" s="210"/>
      <c r="Y598" s="210"/>
      <c r="Z598" s="213"/>
      <c r="AA598" s="210"/>
      <c r="AB598" s="210"/>
      <c r="AC598" s="210"/>
      <c r="AD598" s="210"/>
      <c r="AE598" s="210"/>
      <c r="AF598" s="210"/>
      <c r="AI598" s="210"/>
      <c r="AJ598" s="210"/>
      <c r="AK598" s="214"/>
      <c r="AL598" s="210"/>
    </row>
    <row r="599" spans="3:40" x14ac:dyDescent="0.3">
      <c r="C599" s="42"/>
      <c r="D599" s="42"/>
      <c r="E599" s="42"/>
      <c r="F599" s="210"/>
      <c r="T599" s="42"/>
      <c r="U599" s="42"/>
      <c r="V599" s="123"/>
      <c r="W599" s="123"/>
      <c r="X599" s="123"/>
      <c r="Y599" s="123"/>
      <c r="Z599" s="237"/>
    </row>
    <row r="600" spans="3:40" x14ac:dyDescent="0.3">
      <c r="C600" s="42"/>
      <c r="T600" s="42"/>
      <c r="V600" s="123"/>
      <c r="W600" s="123"/>
      <c r="X600" s="123"/>
      <c r="Y600" s="123"/>
      <c r="Z600" s="237"/>
    </row>
    <row r="601" spans="3:40" x14ac:dyDescent="0.3">
      <c r="C601" s="42"/>
      <c r="H601" s="184"/>
      <c r="I601" s="184"/>
      <c r="J601" s="237"/>
      <c r="K601" s="237"/>
      <c r="L601" s="123"/>
      <c r="M601" s="123"/>
      <c r="N601" s="160"/>
      <c r="O601" s="160"/>
      <c r="P601" s="123"/>
      <c r="Q601" s="123"/>
      <c r="R601" s="123"/>
      <c r="T601" s="42"/>
      <c r="V601" s="123"/>
      <c r="W601" s="123"/>
      <c r="X601" s="123"/>
      <c r="Y601" s="123"/>
      <c r="Z601" s="237"/>
      <c r="AA601" s="123"/>
      <c r="AB601" s="123"/>
      <c r="AC601" s="160"/>
      <c r="AD601" s="160"/>
      <c r="AE601" s="123"/>
      <c r="AF601" s="123"/>
      <c r="AH601" s="236"/>
      <c r="AI601" s="123"/>
      <c r="AJ601" s="123"/>
      <c r="AL601" s="123"/>
      <c r="AM601" s="160"/>
      <c r="AN601" s="160"/>
    </row>
    <row r="602" spans="3:40" x14ac:dyDescent="0.3">
      <c r="C602" s="42"/>
      <c r="F602" s="184"/>
      <c r="T602" s="42"/>
      <c r="V602" s="123"/>
      <c r="W602" s="123"/>
      <c r="X602" s="123"/>
      <c r="Y602" s="123"/>
      <c r="Z602" s="237"/>
    </row>
    <row r="603" spans="3:40" x14ac:dyDescent="0.3">
      <c r="C603" s="42"/>
      <c r="H603" s="184"/>
      <c r="I603" s="184"/>
      <c r="J603" s="237"/>
      <c r="K603" s="237"/>
      <c r="L603" s="123"/>
      <c r="M603" s="123"/>
      <c r="N603" s="160"/>
      <c r="O603" s="160"/>
      <c r="P603" s="123"/>
      <c r="Q603" s="123"/>
      <c r="R603" s="123"/>
      <c r="T603" s="42"/>
      <c r="V603" s="123"/>
      <c r="W603" s="123"/>
      <c r="X603" s="123"/>
      <c r="Y603" s="123"/>
      <c r="Z603" s="237"/>
      <c r="AA603" s="123"/>
      <c r="AB603" s="123"/>
      <c r="AC603" s="160"/>
      <c r="AD603" s="160"/>
      <c r="AE603" s="123"/>
      <c r="AF603" s="123"/>
      <c r="AH603" s="236"/>
      <c r="AI603" s="123"/>
      <c r="AJ603" s="123"/>
      <c r="AL603" s="123"/>
      <c r="AM603" s="160"/>
      <c r="AN603" s="160"/>
    </row>
    <row r="604" spans="3:40" x14ac:dyDescent="0.3">
      <c r="C604" s="42"/>
      <c r="F604" s="184"/>
      <c r="T604" s="42"/>
      <c r="V604" s="123"/>
      <c r="W604" s="123"/>
      <c r="X604" s="123"/>
      <c r="Y604" s="123"/>
      <c r="Z604" s="237"/>
    </row>
    <row r="605" spans="3:40" x14ac:dyDescent="0.3">
      <c r="C605" s="42"/>
      <c r="H605" s="184"/>
      <c r="I605" s="184"/>
      <c r="J605" s="237"/>
      <c r="K605" s="237"/>
      <c r="L605" s="123"/>
      <c r="M605" s="123"/>
      <c r="N605" s="160"/>
      <c r="O605" s="160"/>
      <c r="P605" s="123"/>
      <c r="Q605" s="123"/>
      <c r="R605" s="123"/>
      <c r="T605" s="42"/>
      <c r="V605" s="123"/>
      <c r="W605" s="123"/>
      <c r="X605" s="123"/>
      <c r="Y605" s="123"/>
      <c r="Z605" s="237"/>
      <c r="AA605" s="123"/>
      <c r="AB605" s="123"/>
      <c r="AC605" s="160"/>
      <c r="AD605" s="160"/>
      <c r="AE605" s="123"/>
      <c r="AF605" s="123"/>
      <c r="AH605" s="236"/>
      <c r="AI605" s="123"/>
      <c r="AJ605" s="123"/>
      <c r="AL605" s="123"/>
      <c r="AM605" s="160"/>
      <c r="AN605" s="160"/>
    </row>
    <row r="606" spans="3:40" x14ac:dyDescent="0.3">
      <c r="C606" s="42"/>
      <c r="F606" s="184"/>
      <c r="T606" s="42"/>
      <c r="V606" s="123"/>
      <c r="W606" s="123"/>
      <c r="X606" s="123"/>
      <c r="Y606" s="123"/>
      <c r="Z606" s="237"/>
    </row>
    <row r="607" spans="3:40" x14ac:dyDescent="0.3">
      <c r="C607" s="42"/>
      <c r="H607" s="184"/>
      <c r="I607" s="184"/>
      <c r="J607" s="237"/>
      <c r="K607" s="237"/>
      <c r="L607" s="123"/>
      <c r="M607" s="123"/>
      <c r="N607" s="160"/>
      <c r="O607" s="160"/>
      <c r="P607" s="123"/>
      <c r="Q607" s="123"/>
      <c r="R607" s="123"/>
      <c r="T607" s="42"/>
      <c r="V607" s="123"/>
      <c r="W607" s="123"/>
      <c r="X607" s="123"/>
      <c r="Y607" s="123"/>
      <c r="Z607" s="237"/>
      <c r="AA607" s="123"/>
      <c r="AB607" s="123"/>
      <c r="AC607" s="160"/>
      <c r="AD607" s="160"/>
      <c r="AE607" s="123"/>
      <c r="AF607" s="123"/>
      <c r="AH607" s="236"/>
      <c r="AI607" s="123"/>
      <c r="AJ607" s="123"/>
      <c r="AL607" s="123"/>
      <c r="AM607" s="160"/>
      <c r="AN607" s="160"/>
    </row>
    <row r="608" spans="3:40" x14ac:dyDescent="0.3">
      <c r="F608" s="184"/>
      <c r="H608" s="210"/>
      <c r="I608" s="210"/>
      <c r="J608" s="213"/>
      <c r="K608" s="213"/>
      <c r="L608" s="210"/>
      <c r="M608" s="210"/>
      <c r="N608" s="210"/>
      <c r="O608" s="210"/>
      <c r="P608" s="210"/>
      <c r="Q608" s="210"/>
      <c r="R608" s="210"/>
      <c r="V608" s="210"/>
      <c r="Y608" s="210"/>
      <c r="Z608" s="213"/>
      <c r="AA608" s="210"/>
      <c r="AB608" s="210"/>
      <c r="AC608" s="210"/>
      <c r="AD608" s="210"/>
      <c r="AE608" s="210"/>
      <c r="AF608" s="210"/>
      <c r="AI608" s="210"/>
      <c r="AJ608" s="210"/>
      <c r="AK608" s="214"/>
      <c r="AL608" s="210"/>
    </row>
    <row r="609" spans="1:40" x14ac:dyDescent="0.3">
      <c r="C609" s="42"/>
      <c r="F609" s="210"/>
      <c r="H609" s="123"/>
      <c r="I609" s="123"/>
      <c r="L609" s="123"/>
      <c r="M609" s="123"/>
      <c r="N609" s="160"/>
      <c r="O609" s="160"/>
      <c r="P609" s="184"/>
      <c r="Q609" s="184"/>
      <c r="R609" s="123"/>
      <c r="T609" s="42"/>
      <c r="V609" s="123"/>
      <c r="W609" s="123"/>
      <c r="X609" s="123"/>
      <c r="Y609" s="123"/>
      <c r="Z609" s="237"/>
      <c r="AA609" s="123"/>
      <c r="AB609" s="123"/>
      <c r="AC609" s="160"/>
      <c r="AD609" s="160"/>
      <c r="AE609" s="123"/>
      <c r="AF609" s="123"/>
      <c r="AH609" s="236"/>
      <c r="AI609" s="184"/>
      <c r="AJ609" s="184"/>
      <c r="AL609" s="123"/>
      <c r="AM609" s="160"/>
      <c r="AN609" s="160"/>
    </row>
    <row r="610" spans="1:40" x14ac:dyDescent="0.3">
      <c r="F610" s="123"/>
      <c r="H610" s="210"/>
      <c r="I610" s="210"/>
      <c r="J610" s="213"/>
      <c r="K610" s="213"/>
      <c r="L610" s="210"/>
      <c r="M610" s="210"/>
      <c r="N610" s="210"/>
      <c r="O610" s="210"/>
      <c r="P610" s="210"/>
      <c r="Q610" s="210"/>
      <c r="R610" s="210"/>
      <c r="V610" s="210"/>
      <c r="Y610" s="210"/>
      <c r="Z610" s="213"/>
      <c r="AA610" s="210"/>
      <c r="AB610" s="210"/>
      <c r="AC610" s="210"/>
      <c r="AD610" s="210"/>
      <c r="AE610" s="210"/>
      <c r="AF610" s="210"/>
      <c r="AI610" s="210"/>
      <c r="AJ610" s="210"/>
      <c r="AK610" s="214"/>
      <c r="AL610" s="210"/>
    </row>
    <row r="611" spans="1:40" x14ac:dyDescent="0.3">
      <c r="C611" s="42"/>
      <c r="F611" s="210"/>
      <c r="H611" s="123"/>
      <c r="I611" s="123"/>
      <c r="L611" s="123"/>
      <c r="M611" s="123"/>
      <c r="N611" s="160"/>
      <c r="O611" s="160"/>
      <c r="P611" s="123"/>
      <c r="Q611" s="123"/>
      <c r="R611" s="123"/>
      <c r="T611" s="42"/>
      <c r="V611" s="123"/>
      <c r="W611" s="123"/>
      <c r="X611" s="123"/>
      <c r="Y611" s="123"/>
      <c r="AA611" s="123"/>
      <c r="AB611" s="123"/>
      <c r="AC611" s="160"/>
      <c r="AD611" s="160"/>
      <c r="AE611" s="123"/>
      <c r="AF611" s="123"/>
      <c r="AH611" s="236"/>
      <c r="AI611" s="123"/>
      <c r="AJ611" s="123"/>
      <c r="AL611" s="123"/>
      <c r="AM611" s="236"/>
      <c r="AN611" s="236"/>
    </row>
    <row r="612" spans="1:40" x14ac:dyDescent="0.3">
      <c r="F612" s="123"/>
      <c r="H612" s="210"/>
      <c r="I612" s="210"/>
      <c r="J612" s="213"/>
      <c r="K612" s="213"/>
      <c r="L612" s="210"/>
      <c r="M612" s="210"/>
      <c r="N612" s="210"/>
      <c r="O612" s="210"/>
      <c r="P612" s="210"/>
      <c r="Q612" s="210"/>
      <c r="R612" s="210"/>
      <c r="V612" s="210"/>
      <c r="Y612" s="210"/>
      <c r="Z612" s="213"/>
      <c r="AA612" s="210"/>
      <c r="AB612" s="210"/>
      <c r="AC612" s="210"/>
      <c r="AD612" s="210"/>
      <c r="AE612" s="210"/>
      <c r="AF612" s="210"/>
      <c r="AI612" s="210"/>
      <c r="AJ612" s="210"/>
      <c r="AK612" s="214"/>
      <c r="AL612" s="210"/>
    </row>
    <row r="614" spans="1:40" x14ac:dyDescent="0.3">
      <c r="F614" s="210"/>
    </row>
    <row r="615" spans="1:40" x14ac:dyDescent="0.3">
      <c r="A615" s="42"/>
    </row>
    <row r="617" spans="1:40" x14ac:dyDescent="0.3">
      <c r="H617" s="42"/>
      <c r="I617" s="42"/>
      <c r="Y617" s="42"/>
    </row>
    <row r="619" spans="1:40" x14ac:dyDescent="0.3">
      <c r="L619" s="42"/>
      <c r="M619" s="42"/>
      <c r="AA619" s="42"/>
      <c r="AB619" s="42"/>
    </row>
    <row r="620" spans="1:40" x14ac:dyDescent="0.3">
      <c r="R620" s="42"/>
      <c r="AK620" s="206"/>
      <c r="AL620" s="42"/>
    </row>
    <row r="621" spans="1:40" x14ac:dyDescent="0.3">
      <c r="R621" s="42"/>
      <c r="AK621" s="206"/>
      <c r="AL621" s="42"/>
    </row>
    <row r="622" spans="1:40" x14ac:dyDescent="0.3">
      <c r="A622" s="42"/>
      <c r="R622" s="42"/>
      <c r="AK622" s="206"/>
      <c r="AL622" s="42"/>
    </row>
    <row r="623" spans="1:40" x14ac:dyDescent="0.3">
      <c r="L623" s="42"/>
      <c r="M623" s="42"/>
      <c r="AA623" s="42"/>
      <c r="AB623" s="42"/>
    </row>
    <row r="624" spans="1:40" x14ac:dyDescent="0.3">
      <c r="A624" s="135"/>
      <c r="B624" s="135"/>
      <c r="C624" s="135"/>
      <c r="D624" s="135"/>
      <c r="E624" s="135"/>
      <c r="G624" s="135"/>
      <c r="H624" s="135"/>
      <c r="I624" s="135"/>
      <c r="J624" s="135"/>
      <c r="K624" s="135"/>
      <c r="L624" s="135"/>
      <c r="M624" s="135"/>
      <c r="N624" s="135"/>
      <c r="O624" s="135"/>
      <c r="P624" s="135"/>
      <c r="Q624" s="135"/>
      <c r="R624" s="135"/>
      <c r="T624" s="135"/>
      <c r="U624" s="135"/>
      <c r="V624" s="135"/>
      <c r="W624" s="135"/>
      <c r="X624" s="135"/>
      <c r="Y624" s="135"/>
      <c r="Z624" s="135"/>
      <c r="AA624" s="135"/>
      <c r="AB624" s="135"/>
      <c r="AC624" s="135"/>
      <c r="AD624" s="135"/>
      <c r="AE624" s="135"/>
      <c r="AF624" s="135"/>
      <c r="AG624" s="207"/>
      <c r="AH624" s="135"/>
      <c r="AI624" s="135"/>
      <c r="AJ624" s="135"/>
      <c r="AK624" s="207"/>
      <c r="AL624" s="135"/>
      <c r="AM624" s="135"/>
      <c r="AN624" s="135"/>
    </row>
    <row r="625" spans="1:40" x14ac:dyDescent="0.3">
      <c r="F625" s="135"/>
      <c r="L625" s="44"/>
      <c r="M625" s="44"/>
      <c r="N625" s="44"/>
      <c r="O625" s="44"/>
      <c r="R625" s="44"/>
      <c r="AA625" s="44"/>
      <c r="AB625" s="44"/>
      <c r="AC625" s="44"/>
      <c r="AD625" s="44"/>
      <c r="AE625" s="44"/>
      <c r="AF625" s="44"/>
      <c r="AG625" s="168"/>
      <c r="AH625" s="44"/>
      <c r="AK625" s="168"/>
      <c r="AL625" s="44"/>
      <c r="AM625" s="44"/>
      <c r="AN625" s="44"/>
    </row>
    <row r="626" spans="1:40" x14ac:dyDescent="0.3">
      <c r="L626" s="44"/>
      <c r="M626" s="44"/>
      <c r="N626" s="44"/>
      <c r="O626" s="44"/>
      <c r="R626" s="44"/>
      <c r="Z626" s="44"/>
      <c r="AA626" s="44"/>
      <c r="AB626" s="44"/>
      <c r="AC626" s="44"/>
      <c r="AD626" s="44"/>
      <c r="AE626" s="44"/>
      <c r="AF626" s="44"/>
      <c r="AG626" s="168"/>
      <c r="AH626" s="44"/>
      <c r="AK626" s="168"/>
      <c r="AL626" s="44"/>
      <c r="AM626" s="44"/>
      <c r="AN626" s="44"/>
    </row>
    <row r="627" spans="1:40" x14ac:dyDescent="0.3">
      <c r="A627" s="44"/>
      <c r="C627" s="44"/>
      <c r="D627" s="44"/>
      <c r="E627" s="44"/>
      <c r="J627" s="44"/>
      <c r="K627" s="44"/>
      <c r="L627" s="44"/>
      <c r="M627" s="44"/>
      <c r="N627" s="44"/>
      <c r="O627" s="44"/>
      <c r="P627" s="44"/>
      <c r="Q627" s="44"/>
      <c r="R627" s="44"/>
      <c r="T627" s="44"/>
      <c r="U627" s="44"/>
      <c r="V627" s="44"/>
      <c r="Z627" s="44"/>
      <c r="AA627" s="44"/>
      <c r="AB627" s="44"/>
      <c r="AC627" s="44"/>
      <c r="AD627" s="44"/>
      <c r="AE627" s="44"/>
      <c r="AF627" s="44"/>
      <c r="AG627" s="168"/>
      <c r="AH627" s="44"/>
      <c r="AI627" s="44"/>
      <c r="AJ627" s="44"/>
      <c r="AK627" s="168"/>
      <c r="AL627" s="44"/>
      <c r="AM627" s="44"/>
      <c r="AN627" s="44"/>
    </row>
    <row r="628" spans="1:40" x14ac:dyDescent="0.3">
      <c r="A628" s="44"/>
      <c r="C628" s="44"/>
      <c r="D628" s="44"/>
      <c r="E628" s="44"/>
      <c r="F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T628" s="44"/>
      <c r="U628" s="44"/>
      <c r="V628" s="44"/>
      <c r="Y628" s="44"/>
      <c r="Z628" s="44"/>
      <c r="AA628" s="44"/>
      <c r="AB628" s="44"/>
      <c r="AC628" s="44"/>
      <c r="AD628" s="44"/>
      <c r="AE628" s="44"/>
      <c r="AF628" s="44"/>
      <c r="AG628" s="168"/>
      <c r="AH628" s="44"/>
      <c r="AI628" s="44"/>
      <c r="AJ628" s="44"/>
      <c r="AK628" s="168"/>
      <c r="AL628" s="44"/>
      <c r="AM628" s="44"/>
      <c r="AN628" s="44"/>
    </row>
    <row r="629" spans="1:40" x14ac:dyDescent="0.3">
      <c r="C629" s="44"/>
      <c r="D629" s="44"/>
      <c r="E629" s="44"/>
      <c r="F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T629" s="44"/>
      <c r="U629" s="44"/>
      <c r="V629" s="44"/>
      <c r="Y629" s="44"/>
      <c r="Z629" s="44"/>
      <c r="AA629" s="44"/>
      <c r="AB629" s="44"/>
      <c r="AC629" s="44"/>
      <c r="AD629" s="44"/>
      <c r="AE629" s="44"/>
      <c r="AF629" s="44"/>
      <c r="AG629" s="168"/>
      <c r="AH629" s="44"/>
      <c r="AI629" s="44"/>
      <c r="AJ629" s="44"/>
      <c r="AK629" s="168"/>
      <c r="AL629" s="44"/>
      <c r="AM629" s="44"/>
      <c r="AN629" s="44"/>
    </row>
    <row r="630" spans="1:40" x14ac:dyDescent="0.3">
      <c r="A630" s="135"/>
      <c r="B630" s="135"/>
      <c r="C630" s="135"/>
      <c r="D630" s="135"/>
      <c r="E630" s="135"/>
      <c r="F630" s="44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  <c r="T630" s="135"/>
      <c r="U630" s="135"/>
      <c r="V630" s="135"/>
      <c r="W630" s="135"/>
      <c r="X630" s="135"/>
      <c r="Y630" s="135"/>
      <c r="Z630" s="135"/>
      <c r="AA630" s="135"/>
      <c r="AB630" s="135"/>
      <c r="AC630" s="135"/>
      <c r="AD630" s="135"/>
      <c r="AE630" s="135"/>
      <c r="AF630" s="135"/>
      <c r="AG630" s="207"/>
      <c r="AH630" s="135"/>
      <c r="AI630" s="135"/>
      <c r="AJ630" s="135"/>
      <c r="AK630" s="207"/>
      <c r="AL630" s="135"/>
      <c r="AM630" s="135"/>
      <c r="AN630" s="135"/>
    </row>
    <row r="631" spans="1:40" x14ac:dyDescent="0.3">
      <c r="F631" s="135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Y631" s="44"/>
      <c r="Z631" s="44"/>
      <c r="AA631" s="44"/>
      <c r="AB631" s="44"/>
      <c r="AC631" s="44"/>
      <c r="AD631" s="44"/>
      <c r="AE631" s="44"/>
      <c r="AF631" s="44"/>
      <c r="AG631" s="168"/>
      <c r="AH631" s="44"/>
      <c r="AI631" s="44"/>
      <c r="AJ631" s="44"/>
      <c r="AK631" s="168"/>
      <c r="AL631" s="44"/>
      <c r="AM631" s="44"/>
      <c r="AN631" s="44"/>
    </row>
    <row r="632" spans="1:40" x14ac:dyDescent="0.3">
      <c r="C632" s="42"/>
      <c r="D632" s="42"/>
      <c r="E632" s="42"/>
      <c r="H632" s="123"/>
      <c r="I632" s="123"/>
      <c r="J632" s="219"/>
      <c r="K632" s="219"/>
      <c r="L632" s="123"/>
      <c r="M632" s="123"/>
      <c r="N632" s="219"/>
      <c r="O632" s="219"/>
      <c r="P632" s="123"/>
      <c r="Q632" s="123"/>
      <c r="R632" s="123"/>
      <c r="T632" s="42"/>
      <c r="U632" s="42"/>
      <c r="V632" s="123"/>
      <c r="Y632" s="123"/>
      <c r="Z632" s="219"/>
      <c r="AA632" s="123"/>
      <c r="AB632" s="123"/>
      <c r="AC632" s="219"/>
      <c r="AD632" s="219"/>
      <c r="AE632" s="123"/>
      <c r="AF632" s="123"/>
      <c r="AH632" s="236"/>
      <c r="AI632" s="123"/>
      <c r="AJ632" s="123"/>
      <c r="AL632" s="123"/>
      <c r="AM632" s="160"/>
      <c r="AN632" s="160"/>
    </row>
    <row r="633" spans="1:40" x14ac:dyDescent="0.3">
      <c r="F633" s="123"/>
      <c r="H633" s="210"/>
      <c r="I633" s="210"/>
      <c r="J633" s="213"/>
      <c r="K633" s="213"/>
      <c r="L633" s="210"/>
      <c r="M633" s="210"/>
      <c r="N633" s="210"/>
      <c r="O633" s="210"/>
      <c r="P633" s="210"/>
      <c r="Q633" s="210"/>
      <c r="R633" s="210"/>
      <c r="V633" s="210"/>
      <c r="Y633" s="210"/>
      <c r="Z633" s="213"/>
      <c r="AA633" s="210"/>
      <c r="AB633" s="210"/>
      <c r="AC633" s="210"/>
      <c r="AD633" s="210"/>
      <c r="AE633" s="210"/>
      <c r="AF633" s="210"/>
      <c r="AI633" s="210"/>
      <c r="AJ633" s="210"/>
      <c r="AK633" s="214"/>
      <c r="AL633" s="210"/>
      <c r="AM633" s="160"/>
      <c r="AN633" s="160"/>
    </row>
    <row r="634" spans="1:40" x14ac:dyDescent="0.3">
      <c r="C634" s="42"/>
      <c r="F634" s="210"/>
      <c r="H634" s="123"/>
      <c r="I634" s="123"/>
      <c r="J634" s="219"/>
      <c r="K634" s="219"/>
      <c r="L634" s="123"/>
      <c r="M634" s="123"/>
      <c r="N634" s="219"/>
      <c r="O634" s="219"/>
      <c r="P634" s="123"/>
      <c r="Q634" s="123"/>
      <c r="R634" s="123"/>
      <c r="T634" s="42"/>
      <c r="V634" s="123"/>
      <c r="Y634" s="123"/>
      <c r="Z634" s="219"/>
      <c r="AA634" s="123"/>
      <c r="AB634" s="123"/>
      <c r="AC634" s="219"/>
      <c r="AD634" s="219"/>
      <c r="AE634" s="123"/>
      <c r="AF634" s="123"/>
      <c r="AH634" s="236"/>
      <c r="AI634" s="123"/>
      <c r="AJ634" s="123"/>
      <c r="AL634" s="123"/>
      <c r="AM634" s="160"/>
      <c r="AN634" s="160"/>
    </row>
    <row r="635" spans="1:40" x14ac:dyDescent="0.3">
      <c r="F635" s="123"/>
      <c r="H635" s="123"/>
      <c r="I635" s="123"/>
      <c r="J635" s="219"/>
      <c r="K635" s="219"/>
      <c r="L635" s="123"/>
      <c r="M635" s="123"/>
      <c r="N635" s="219"/>
      <c r="O635" s="219"/>
      <c r="P635" s="123"/>
      <c r="Q635" s="123"/>
      <c r="R635" s="123"/>
      <c r="V635" s="123"/>
      <c r="Y635" s="123"/>
      <c r="Z635" s="219"/>
      <c r="AA635" s="123"/>
      <c r="AB635" s="123"/>
      <c r="AC635" s="219"/>
      <c r="AD635" s="219"/>
      <c r="AH635" s="236"/>
      <c r="AI635" s="123"/>
      <c r="AJ635" s="123"/>
      <c r="AL635" s="123"/>
      <c r="AM635" s="160"/>
      <c r="AN635" s="160"/>
    </row>
    <row r="636" spans="1:40" x14ac:dyDescent="0.3">
      <c r="C636" s="42"/>
      <c r="D636" s="42"/>
      <c r="E636" s="42"/>
      <c r="F636" s="123"/>
      <c r="H636" s="123"/>
      <c r="I636" s="123"/>
      <c r="J636" s="219"/>
      <c r="K636" s="219"/>
      <c r="L636" s="123"/>
      <c r="M636" s="123"/>
      <c r="N636" s="219"/>
      <c r="O636" s="219"/>
      <c r="P636" s="123"/>
      <c r="Q636" s="123"/>
      <c r="R636" s="123"/>
      <c r="T636" s="42"/>
      <c r="U636" s="42"/>
      <c r="V636" s="123"/>
      <c r="Y636" s="123"/>
      <c r="Z636" s="219"/>
      <c r="AA636" s="123"/>
      <c r="AB636" s="123"/>
      <c r="AC636" s="219"/>
      <c r="AD636" s="219"/>
      <c r="AE636" s="123"/>
      <c r="AF636" s="123"/>
      <c r="AH636" s="236"/>
      <c r="AI636" s="123"/>
      <c r="AJ636" s="123"/>
      <c r="AL636" s="123"/>
      <c r="AM636" s="160"/>
      <c r="AN636" s="160"/>
    </row>
    <row r="637" spans="1:40" x14ac:dyDescent="0.3">
      <c r="C637" s="42"/>
      <c r="D637" s="42"/>
      <c r="E637" s="42"/>
      <c r="F637" s="123"/>
      <c r="H637" s="123"/>
      <c r="I637" s="123"/>
      <c r="J637" s="219"/>
      <c r="K637" s="219"/>
      <c r="L637" s="123"/>
      <c r="M637" s="123"/>
      <c r="N637" s="219"/>
      <c r="O637" s="219"/>
      <c r="P637" s="123"/>
      <c r="Q637" s="123"/>
      <c r="R637" s="123"/>
      <c r="T637" s="42"/>
      <c r="U637" s="42"/>
      <c r="V637" s="123"/>
      <c r="Y637" s="123"/>
      <c r="Z637" s="219"/>
      <c r="AA637" s="123"/>
      <c r="AB637" s="123"/>
      <c r="AC637" s="219"/>
      <c r="AD637" s="219"/>
      <c r="AE637" s="123"/>
      <c r="AF637" s="123"/>
      <c r="AH637" s="236"/>
      <c r="AI637" s="123"/>
      <c r="AJ637" s="123"/>
      <c r="AL637" s="123"/>
      <c r="AM637" s="160"/>
      <c r="AN637" s="160"/>
    </row>
    <row r="638" spans="1:40" x14ac:dyDescent="0.3">
      <c r="C638" s="42"/>
      <c r="D638" s="42"/>
      <c r="E638" s="42"/>
      <c r="F638" s="123"/>
      <c r="H638" s="123"/>
      <c r="I638" s="123"/>
      <c r="J638" s="219"/>
      <c r="K638" s="219"/>
      <c r="L638" s="123"/>
      <c r="M638" s="123"/>
      <c r="N638" s="219"/>
      <c r="O638" s="219"/>
      <c r="P638" s="123"/>
      <c r="Q638" s="123"/>
      <c r="R638" s="123"/>
      <c r="T638" s="42"/>
      <c r="U638" s="42"/>
      <c r="V638" s="123"/>
      <c r="Y638" s="123"/>
      <c r="Z638" s="219"/>
      <c r="AA638" s="123"/>
      <c r="AB638" s="123"/>
      <c r="AC638" s="219"/>
      <c r="AD638" s="219"/>
      <c r="AE638" s="123"/>
      <c r="AF638" s="123"/>
      <c r="AH638" s="236"/>
      <c r="AI638" s="123"/>
      <c r="AJ638" s="123"/>
      <c r="AL638" s="123"/>
      <c r="AM638" s="160"/>
      <c r="AN638" s="160"/>
    </row>
    <row r="639" spans="1:40" x14ac:dyDescent="0.3">
      <c r="C639" s="42"/>
      <c r="D639" s="42"/>
      <c r="E639" s="42"/>
      <c r="F639" s="123"/>
      <c r="H639" s="123"/>
      <c r="I639" s="123"/>
      <c r="J639" s="219"/>
      <c r="K639" s="219"/>
      <c r="L639" s="123"/>
      <c r="M639" s="123"/>
      <c r="N639" s="219"/>
      <c r="O639" s="219"/>
      <c r="P639" s="123"/>
      <c r="Q639" s="123"/>
      <c r="R639" s="123"/>
      <c r="T639" s="42"/>
      <c r="U639" s="42"/>
      <c r="V639" s="123"/>
      <c r="Y639" s="123"/>
      <c r="Z639" s="219"/>
      <c r="AA639" s="123"/>
      <c r="AB639" s="123"/>
      <c r="AC639" s="219"/>
      <c r="AD639" s="219"/>
      <c r="AE639" s="123"/>
      <c r="AF639" s="123"/>
      <c r="AH639" s="236"/>
      <c r="AI639" s="123"/>
      <c r="AJ639" s="123"/>
      <c r="AL639" s="123"/>
      <c r="AM639" s="160"/>
      <c r="AN639" s="160"/>
    </row>
    <row r="640" spans="1:40" x14ac:dyDescent="0.3">
      <c r="C640" s="42"/>
      <c r="D640" s="42"/>
      <c r="E640" s="42"/>
      <c r="F640" s="123"/>
      <c r="H640" s="123"/>
      <c r="I640" s="123"/>
      <c r="J640" s="219"/>
      <c r="K640" s="219"/>
      <c r="L640" s="123"/>
      <c r="M640" s="123"/>
      <c r="N640" s="219"/>
      <c r="O640" s="219"/>
      <c r="P640" s="123"/>
      <c r="Q640" s="123"/>
      <c r="R640" s="123"/>
      <c r="T640" s="42"/>
      <c r="U640" s="42"/>
      <c r="V640" s="123"/>
      <c r="Y640" s="123"/>
      <c r="Z640" s="219"/>
      <c r="AA640" s="123"/>
      <c r="AB640" s="123"/>
      <c r="AC640" s="219"/>
      <c r="AD640" s="219"/>
      <c r="AE640" s="123"/>
      <c r="AF640" s="123"/>
      <c r="AH640" s="236"/>
      <c r="AI640" s="123"/>
      <c r="AJ640" s="123"/>
      <c r="AL640" s="123"/>
      <c r="AM640" s="160"/>
      <c r="AN640" s="160"/>
    </row>
    <row r="641" spans="3:40" x14ac:dyDescent="0.3">
      <c r="C641" s="42"/>
      <c r="D641" s="42"/>
      <c r="E641" s="42"/>
      <c r="F641" s="123"/>
      <c r="H641" s="123"/>
      <c r="I641" s="123"/>
      <c r="J641" s="219"/>
      <c r="K641" s="219"/>
      <c r="L641" s="123"/>
      <c r="M641" s="123"/>
      <c r="N641" s="219"/>
      <c r="O641" s="219"/>
      <c r="P641" s="123"/>
      <c r="Q641" s="123"/>
      <c r="R641" s="123"/>
      <c r="T641" s="42"/>
      <c r="U641" s="42"/>
      <c r="V641" s="123"/>
      <c r="Y641" s="123"/>
      <c r="Z641" s="219"/>
      <c r="AA641" s="123"/>
      <c r="AB641" s="123"/>
      <c r="AC641" s="219"/>
      <c r="AD641" s="219"/>
      <c r="AE641" s="123"/>
      <c r="AF641" s="123"/>
      <c r="AH641" s="236"/>
      <c r="AI641" s="123"/>
      <c r="AJ641" s="123"/>
      <c r="AL641" s="123"/>
      <c r="AM641" s="160"/>
      <c r="AN641" s="160"/>
    </row>
    <row r="642" spans="3:40" x14ac:dyDescent="0.3">
      <c r="F642" s="123"/>
      <c r="H642" s="210"/>
      <c r="I642" s="210"/>
      <c r="J642" s="213"/>
      <c r="K642" s="213"/>
      <c r="L642" s="210"/>
      <c r="M642" s="210"/>
      <c r="N642" s="210"/>
      <c r="O642" s="210"/>
      <c r="P642" s="210"/>
      <c r="Q642" s="210"/>
      <c r="R642" s="210"/>
      <c r="V642" s="210"/>
      <c r="Y642" s="210"/>
      <c r="Z642" s="213"/>
      <c r="AA642" s="210"/>
      <c r="AB642" s="210"/>
      <c r="AC642" s="210"/>
      <c r="AD642" s="210"/>
      <c r="AE642" s="210"/>
      <c r="AF642" s="210"/>
      <c r="AI642" s="210"/>
      <c r="AJ642" s="210"/>
      <c r="AK642" s="214"/>
      <c r="AL642" s="210"/>
      <c r="AM642" s="160"/>
      <c r="AN642" s="160"/>
    </row>
    <row r="643" spans="3:40" x14ac:dyDescent="0.3">
      <c r="C643" s="42"/>
      <c r="F643" s="210"/>
      <c r="H643" s="123"/>
      <c r="I643" s="123"/>
      <c r="J643" s="219"/>
      <c r="K643" s="219"/>
      <c r="L643" s="123"/>
      <c r="M643" s="123"/>
      <c r="N643" s="219"/>
      <c r="O643" s="219"/>
      <c r="P643" s="123"/>
      <c r="Q643" s="123"/>
      <c r="R643" s="123"/>
      <c r="T643" s="42"/>
      <c r="V643" s="123"/>
      <c r="Y643" s="123"/>
      <c r="Z643" s="219"/>
      <c r="AA643" s="123"/>
      <c r="AB643" s="123"/>
      <c r="AC643" s="219"/>
      <c r="AD643" s="219"/>
      <c r="AE643" s="123"/>
      <c r="AF643" s="123"/>
      <c r="AH643" s="236"/>
      <c r="AI643" s="123"/>
      <c r="AJ643" s="123"/>
      <c r="AL643" s="123"/>
      <c r="AM643" s="160"/>
      <c r="AN643" s="160"/>
    </row>
    <row r="644" spans="3:40" x14ac:dyDescent="0.3">
      <c r="F644" s="123"/>
      <c r="H644" s="123"/>
      <c r="I644" s="123"/>
      <c r="J644" s="219"/>
      <c r="K644" s="219"/>
      <c r="L644" s="123"/>
      <c r="M644" s="123"/>
      <c r="N644" s="219"/>
      <c r="O644" s="219"/>
      <c r="P644" s="123"/>
      <c r="Q644" s="123"/>
      <c r="R644" s="123"/>
      <c r="V644" s="123"/>
      <c r="Y644" s="123"/>
      <c r="Z644" s="219"/>
      <c r="AA644" s="123"/>
      <c r="AB644" s="123"/>
      <c r="AC644" s="219"/>
      <c r="AD644" s="219"/>
      <c r="AH644" s="236"/>
      <c r="AI644" s="123"/>
      <c r="AJ644" s="123"/>
      <c r="AL644" s="123"/>
      <c r="AM644" s="160"/>
      <c r="AN644" s="160"/>
    </row>
    <row r="645" spans="3:40" x14ac:dyDescent="0.3">
      <c r="C645" s="42"/>
      <c r="D645" s="42"/>
      <c r="E645" s="42"/>
      <c r="F645" s="123"/>
      <c r="H645" s="123"/>
      <c r="I645" s="123"/>
      <c r="J645" s="219"/>
      <c r="K645" s="219"/>
      <c r="L645" s="123"/>
      <c r="M645" s="123"/>
      <c r="N645" s="219"/>
      <c r="O645" s="219"/>
      <c r="P645" s="123"/>
      <c r="Q645" s="123"/>
      <c r="R645" s="123"/>
      <c r="T645" s="42"/>
      <c r="U645" s="42"/>
      <c r="V645" s="123"/>
      <c r="Y645" s="123"/>
      <c r="Z645" s="219"/>
      <c r="AA645" s="123"/>
      <c r="AB645" s="123"/>
      <c r="AC645" s="219"/>
      <c r="AD645" s="219"/>
      <c r="AE645" s="123"/>
      <c r="AF645" s="123"/>
      <c r="AH645" s="236"/>
      <c r="AI645" s="123"/>
      <c r="AJ645" s="123"/>
      <c r="AL645" s="123"/>
      <c r="AM645" s="160"/>
      <c r="AN645" s="160"/>
    </row>
    <row r="646" spans="3:40" x14ac:dyDescent="0.3">
      <c r="F646" s="123"/>
      <c r="H646" s="210"/>
      <c r="I646" s="210"/>
      <c r="J646" s="213"/>
      <c r="K646" s="213"/>
      <c r="L646" s="210"/>
      <c r="M646" s="210"/>
      <c r="N646" s="210"/>
      <c r="O646" s="210"/>
      <c r="P646" s="210"/>
      <c r="Q646" s="210"/>
      <c r="R646" s="210"/>
      <c r="V646" s="210"/>
      <c r="Y646" s="210"/>
      <c r="Z646" s="213"/>
      <c r="AA646" s="210"/>
      <c r="AB646" s="210"/>
      <c r="AC646" s="210"/>
      <c r="AD646" s="210"/>
      <c r="AE646" s="210"/>
      <c r="AF646" s="210"/>
      <c r="AI646" s="210"/>
      <c r="AJ646" s="210"/>
      <c r="AK646" s="214"/>
      <c r="AL646" s="210"/>
      <c r="AM646" s="160"/>
      <c r="AN646" s="160"/>
    </row>
    <row r="647" spans="3:40" x14ac:dyDescent="0.3">
      <c r="C647" s="42"/>
      <c r="F647" s="210"/>
      <c r="H647" s="123"/>
      <c r="I647" s="123"/>
      <c r="J647" s="219"/>
      <c r="K647" s="219"/>
      <c r="L647" s="123"/>
      <c r="M647" s="123"/>
      <c r="N647" s="219"/>
      <c r="O647" s="219"/>
      <c r="P647" s="123"/>
      <c r="Q647" s="123"/>
      <c r="R647" s="123"/>
      <c r="T647" s="42"/>
      <c r="V647" s="123"/>
      <c r="Y647" s="123"/>
      <c r="Z647" s="219"/>
      <c r="AA647" s="123"/>
      <c r="AB647" s="123"/>
      <c r="AC647" s="219"/>
      <c r="AD647" s="219"/>
      <c r="AE647" s="123"/>
      <c r="AF647" s="123"/>
      <c r="AH647" s="236"/>
      <c r="AI647" s="123"/>
      <c r="AJ647" s="123"/>
      <c r="AL647" s="123"/>
      <c r="AM647" s="160"/>
      <c r="AN647" s="160"/>
    </row>
    <row r="648" spans="3:40" x14ac:dyDescent="0.3">
      <c r="F648" s="123"/>
      <c r="H648" s="123"/>
      <c r="I648" s="123"/>
      <c r="J648" s="219"/>
      <c r="K648" s="219"/>
      <c r="L648" s="123"/>
      <c r="M648" s="123"/>
      <c r="N648" s="219"/>
      <c r="O648" s="219"/>
      <c r="P648" s="123"/>
      <c r="Q648" s="123"/>
      <c r="R648" s="123"/>
      <c r="V648" s="123"/>
      <c r="Y648" s="123"/>
      <c r="Z648" s="219"/>
      <c r="AA648" s="123"/>
      <c r="AB648" s="123"/>
      <c r="AC648" s="219"/>
      <c r="AD648" s="219"/>
      <c r="AH648" s="236"/>
      <c r="AI648" s="123"/>
      <c r="AJ648" s="123"/>
      <c r="AL648" s="123"/>
      <c r="AM648" s="160"/>
      <c r="AN648" s="160"/>
    </row>
    <row r="649" spans="3:40" x14ac:dyDescent="0.3">
      <c r="C649" s="42"/>
      <c r="D649" s="42"/>
      <c r="E649" s="42"/>
      <c r="F649" s="123"/>
      <c r="H649" s="123"/>
      <c r="I649" s="123"/>
      <c r="J649" s="219"/>
      <c r="K649" s="219"/>
      <c r="L649" s="123"/>
      <c r="M649" s="123"/>
      <c r="N649" s="219"/>
      <c r="O649" s="219"/>
      <c r="P649" s="123"/>
      <c r="Q649" s="123"/>
      <c r="R649" s="123"/>
      <c r="T649" s="42"/>
      <c r="U649" s="42"/>
      <c r="V649" s="123"/>
      <c r="Y649" s="123"/>
      <c r="Z649" s="219"/>
      <c r="AA649" s="123"/>
      <c r="AB649" s="123"/>
      <c r="AC649" s="219"/>
      <c r="AD649" s="219"/>
      <c r="AE649" s="123"/>
      <c r="AF649" s="123"/>
      <c r="AH649" s="236"/>
      <c r="AI649" s="123"/>
      <c r="AJ649" s="123"/>
      <c r="AL649" s="123"/>
      <c r="AM649" s="160"/>
      <c r="AN649" s="160"/>
    </row>
    <row r="650" spans="3:40" x14ac:dyDescent="0.3">
      <c r="C650" s="42"/>
      <c r="D650" s="42"/>
      <c r="E650" s="42"/>
      <c r="F650" s="123"/>
      <c r="G650" s="123"/>
      <c r="H650" s="123"/>
      <c r="I650" s="123"/>
      <c r="J650" s="219"/>
      <c r="K650" s="219"/>
      <c r="L650" s="123"/>
      <c r="M650" s="123"/>
      <c r="N650" s="219"/>
      <c r="O650" s="219"/>
      <c r="P650" s="123"/>
      <c r="Q650" s="123"/>
      <c r="R650" s="123"/>
      <c r="T650" s="42"/>
      <c r="U650" s="42"/>
      <c r="V650" s="123"/>
      <c r="W650" s="123"/>
      <c r="X650" s="123"/>
      <c r="Y650" s="123"/>
      <c r="Z650" s="219"/>
      <c r="AA650" s="123"/>
      <c r="AB650" s="123"/>
      <c r="AC650" s="219"/>
      <c r="AD650" s="219"/>
      <c r="AE650" s="123"/>
      <c r="AF650" s="123"/>
      <c r="AH650" s="236"/>
      <c r="AI650" s="123"/>
      <c r="AJ650" s="123"/>
      <c r="AL650" s="123"/>
      <c r="AM650" s="160"/>
      <c r="AN650" s="160"/>
    </row>
    <row r="651" spans="3:40" x14ac:dyDescent="0.3">
      <c r="C651" s="42"/>
      <c r="D651" s="42"/>
      <c r="E651" s="42"/>
      <c r="F651" s="123"/>
      <c r="G651" s="123"/>
      <c r="H651" s="123"/>
      <c r="I651" s="123"/>
      <c r="J651" s="219"/>
      <c r="K651" s="219"/>
      <c r="L651" s="123"/>
      <c r="M651" s="123"/>
      <c r="N651" s="219"/>
      <c r="O651" s="219"/>
      <c r="P651" s="123"/>
      <c r="Q651" s="123"/>
      <c r="R651" s="123"/>
      <c r="T651" s="42"/>
      <c r="U651" s="42"/>
      <c r="V651" s="123"/>
      <c r="W651" s="123"/>
      <c r="X651" s="123"/>
      <c r="Y651" s="123"/>
      <c r="Z651" s="219"/>
      <c r="AA651" s="123"/>
      <c r="AB651" s="123"/>
      <c r="AC651" s="219"/>
      <c r="AD651" s="219"/>
      <c r="AE651" s="123"/>
      <c r="AF651" s="123"/>
      <c r="AH651" s="236"/>
      <c r="AI651" s="123"/>
      <c r="AJ651" s="123"/>
      <c r="AL651" s="123"/>
      <c r="AM651" s="160"/>
      <c r="AN651" s="160"/>
    </row>
    <row r="652" spans="3:40" x14ac:dyDescent="0.3">
      <c r="C652" s="42"/>
      <c r="D652" s="42"/>
      <c r="E652" s="42"/>
      <c r="F652" s="123"/>
      <c r="H652" s="123"/>
      <c r="I652" s="123"/>
      <c r="J652" s="219"/>
      <c r="K652" s="219"/>
      <c r="L652" s="123"/>
      <c r="M652" s="123"/>
      <c r="N652" s="219"/>
      <c r="O652" s="219"/>
      <c r="P652" s="123"/>
      <c r="Q652" s="123"/>
      <c r="R652" s="123"/>
      <c r="T652" s="42"/>
      <c r="U652" s="42"/>
      <c r="V652" s="123"/>
      <c r="Y652" s="123"/>
      <c r="Z652" s="219"/>
      <c r="AA652" s="123"/>
      <c r="AB652" s="123"/>
      <c r="AC652" s="219"/>
      <c r="AD652" s="219"/>
      <c r="AE652" s="123"/>
      <c r="AF652" s="123"/>
      <c r="AH652" s="236"/>
      <c r="AI652" s="123"/>
      <c r="AJ652" s="123"/>
      <c r="AL652" s="123"/>
      <c r="AM652" s="160"/>
      <c r="AN652" s="160"/>
    </row>
    <row r="653" spans="3:40" x14ac:dyDescent="0.3">
      <c r="C653" s="42"/>
      <c r="D653" s="42"/>
      <c r="E653" s="42"/>
      <c r="F653" s="123"/>
      <c r="H653" s="123"/>
      <c r="I653" s="123"/>
      <c r="J653" s="219"/>
      <c r="K653" s="219"/>
      <c r="L653" s="123"/>
      <c r="M653" s="123"/>
      <c r="N653" s="219"/>
      <c r="O653" s="219"/>
      <c r="P653" s="123"/>
      <c r="Q653" s="123"/>
      <c r="R653" s="123"/>
      <c r="T653" s="42"/>
      <c r="U653" s="42"/>
      <c r="V653" s="123"/>
      <c r="Y653" s="123"/>
      <c r="Z653" s="219"/>
      <c r="AA653" s="123"/>
      <c r="AB653" s="123"/>
      <c r="AC653" s="219"/>
      <c r="AD653" s="219"/>
      <c r="AE653" s="123"/>
      <c r="AF653" s="123"/>
      <c r="AH653" s="236"/>
      <c r="AI653" s="123"/>
      <c r="AJ653" s="123"/>
      <c r="AL653" s="123"/>
      <c r="AM653" s="160"/>
      <c r="AN653" s="160"/>
    </row>
    <row r="654" spans="3:40" x14ac:dyDescent="0.3">
      <c r="C654" s="42"/>
      <c r="D654" s="42"/>
      <c r="E654" s="42"/>
      <c r="F654" s="123"/>
      <c r="H654" s="123"/>
      <c r="I654" s="123"/>
      <c r="J654" s="219"/>
      <c r="K654" s="219"/>
      <c r="L654" s="123"/>
      <c r="M654" s="123"/>
      <c r="N654" s="219"/>
      <c r="O654" s="219"/>
      <c r="P654" s="123"/>
      <c r="Q654" s="123"/>
      <c r="R654" s="123"/>
      <c r="T654" s="42"/>
      <c r="U654" s="42"/>
      <c r="V654" s="123"/>
      <c r="Y654" s="123"/>
      <c r="Z654" s="219"/>
      <c r="AA654" s="123"/>
      <c r="AB654" s="123"/>
      <c r="AC654" s="219"/>
      <c r="AD654" s="219"/>
      <c r="AE654" s="123"/>
      <c r="AF654" s="123"/>
      <c r="AH654" s="236"/>
      <c r="AI654" s="123"/>
      <c r="AJ654" s="123"/>
      <c r="AL654" s="123"/>
      <c r="AM654" s="160"/>
      <c r="AN654" s="160"/>
    </row>
    <row r="655" spans="3:40" x14ac:dyDescent="0.3">
      <c r="C655" s="42"/>
      <c r="D655" s="42"/>
      <c r="E655" s="42"/>
      <c r="F655" s="123"/>
      <c r="H655" s="123"/>
      <c r="I655" s="123"/>
      <c r="J655" s="219"/>
      <c r="K655" s="219"/>
      <c r="L655" s="123"/>
      <c r="M655" s="123"/>
      <c r="N655" s="219"/>
      <c r="O655" s="219"/>
      <c r="P655" s="123"/>
      <c r="Q655" s="123"/>
      <c r="R655" s="123"/>
      <c r="T655" s="42"/>
      <c r="U655" s="42"/>
      <c r="V655" s="123"/>
      <c r="Y655" s="123"/>
      <c r="Z655" s="219"/>
      <c r="AA655" s="123"/>
      <c r="AB655" s="123"/>
      <c r="AC655" s="219"/>
      <c r="AD655" s="219"/>
      <c r="AE655" s="123"/>
      <c r="AF655" s="123"/>
      <c r="AH655" s="236"/>
      <c r="AI655" s="123"/>
      <c r="AJ655" s="123"/>
      <c r="AL655" s="123"/>
      <c r="AM655" s="160"/>
      <c r="AN655" s="160"/>
    </row>
    <row r="656" spans="3:40" x14ac:dyDescent="0.3">
      <c r="F656" s="123"/>
      <c r="H656" s="210"/>
      <c r="I656" s="210"/>
      <c r="J656" s="213"/>
      <c r="K656" s="213"/>
      <c r="L656" s="210"/>
      <c r="M656" s="210"/>
      <c r="N656" s="210"/>
      <c r="O656" s="210"/>
      <c r="P656" s="210"/>
      <c r="Q656" s="210"/>
      <c r="R656" s="210"/>
      <c r="V656" s="210"/>
      <c r="Y656" s="210"/>
      <c r="Z656" s="213"/>
      <c r="AA656" s="210"/>
      <c r="AB656" s="210"/>
      <c r="AC656" s="210"/>
      <c r="AD656" s="210"/>
      <c r="AE656" s="210"/>
      <c r="AF656" s="210"/>
      <c r="AI656" s="210"/>
      <c r="AJ656" s="210"/>
      <c r="AK656" s="214"/>
      <c r="AL656" s="210"/>
      <c r="AM656" s="160"/>
      <c r="AN656" s="160"/>
    </row>
    <row r="657" spans="3:40" x14ac:dyDescent="0.3">
      <c r="C657" s="42"/>
      <c r="F657" s="210"/>
      <c r="H657" s="123"/>
      <c r="I657" s="123"/>
      <c r="J657" s="219"/>
      <c r="K657" s="219"/>
      <c r="L657" s="123"/>
      <c r="M657" s="123"/>
      <c r="N657" s="219"/>
      <c r="O657" s="219"/>
      <c r="P657" s="123"/>
      <c r="Q657" s="123"/>
      <c r="R657" s="123"/>
      <c r="T657" s="42"/>
      <c r="V657" s="123"/>
      <c r="Y657" s="123"/>
      <c r="Z657" s="219"/>
      <c r="AA657" s="123"/>
      <c r="AB657" s="123"/>
      <c r="AC657" s="219"/>
      <c r="AD657" s="219"/>
      <c r="AE657" s="123"/>
      <c r="AF657" s="123"/>
      <c r="AH657" s="236"/>
      <c r="AI657" s="123"/>
      <c r="AJ657" s="123"/>
      <c r="AL657" s="123"/>
      <c r="AM657" s="160"/>
      <c r="AN657" s="160"/>
    </row>
    <row r="658" spans="3:40" x14ac:dyDescent="0.3">
      <c r="F658" s="123"/>
      <c r="V658" s="123"/>
      <c r="Y658" s="123"/>
      <c r="Z658" s="213"/>
      <c r="AA658" s="123"/>
      <c r="AB658" s="123"/>
      <c r="AC658" s="123"/>
      <c r="AD658" s="123"/>
      <c r="AE658" s="123"/>
      <c r="AF658" s="123"/>
      <c r="AI658" s="123"/>
      <c r="AJ658" s="123"/>
      <c r="AL658" s="123"/>
      <c r="AM658" s="160"/>
      <c r="AN658" s="160"/>
    </row>
    <row r="659" spans="3:40" x14ac:dyDescent="0.3">
      <c r="C659" s="42"/>
      <c r="D659" s="42"/>
      <c r="E659" s="42"/>
      <c r="L659" s="123"/>
      <c r="M659" s="123"/>
      <c r="N659" s="219"/>
      <c r="O659" s="219"/>
      <c r="R659" s="123"/>
      <c r="T659" s="42"/>
      <c r="U659" s="42"/>
      <c r="AA659" s="123"/>
      <c r="AB659" s="123"/>
      <c r="AC659" s="219"/>
      <c r="AD659" s="219"/>
      <c r="AE659" s="123"/>
      <c r="AF659" s="123"/>
      <c r="AH659" s="236"/>
      <c r="AL659" s="123"/>
      <c r="AM659" s="160"/>
      <c r="AN659" s="160"/>
    </row>
    <row r="660" spans="3:40" x14ac:dyDescent="0.3">
      <c r="D660" s="42"/>
      <c r="E660" s="42"/>
      <c r="H660" s="184"/>
      <c r="I660" s="184"/>
      <c r="J660" s="219"/>
      <c r="K660" s="219"/>
      <c r="L660" s="123"/>
      <c r="M660" s="123"/>
      <c r="N660" s="219"/>
      <c r="O660" s="219"/>
      <c r="P660" s="184"/>
      <c r="Q660" s="184"/>
      <c r="R660" s="123"/>
      <c r="U660" s="42"/>
      <c r="V660" s="123"/>
      <c r="Y660" s="123"/>
      <c r="Z660" s="219"/>
      <c r="AA660" s="123"/>
      <c r="AB660" s="123"/>
      <c r="AC660" s="219"/>
      <c r="AD660" s="219"/>
      <c r="AE660" s="123"/>
      <c r="AF660" s="123"/>
      <c r="AH660" s="236"/>
      <c r="AI660" s="123"/>
      <c r="AJ660" s="123"/>
      <c r="AL660" s="123"/>
      <c r="AM660" s="160"/>
      <c r="AN660" s="160"/>
    </row>
    <row r="661" spans="3:40" x14ac:dyDescent="0.3">
      <c r="F661" s="184"/>
      <c r="H661" s="210"/>
      <c r="I661" s="210"/>
      <c r="J661" s="213"/>
      <c r="K661" s="213"/>
      <c r="L661" s="210"/>
      <c r="M661" s="210"/>
      <c r="N661" s="210"/>
      <c r="O661" s="210"/>
      <c r="P661" s="210"/>
      <c r="Q661" s="210"/>
      <c r="R661" s="210"/>
      <c r="V661" s="210"/>
      <c r="Y661" s="210"/>
      <c r="Z661" s="213"/>
      <c r="AA661" s="210"/>
      <c r="AB661" s="210"/>
      <c r="AC661" s="210"/>
      <c r="AD661" s="210"/>
      <c r="AE661" s="210"/>
      <c r="AF661" s="210"/>
      <c r="AI661" s="210"/>
      <c r="AJ661" s="210"/>
      <c r="AK661" s="214"/>
      <c r="AL661" s="210"/>
      <c r="AM661" s="160"/>
      <c r="AN661" s="160"/>
    </row>
    <row r="662" spans="3:40" x14ac:dyDescent="0.3">
      <c r="C662" s="42"/>
      <c r="F662" s="210"/>
      <c r="H662" s="123"/>
      <c r="I662" s="123"/>
      <c r="J662" s="219"/>
      <c r="K662" s="219"/>
      <c r="L662" s="123"/>
      <c r="M662" s="123"/>
      <c r="N662" s="219"/>
      <c r="O662" s="219"/>
      <c r="P662" s="123"/>
      <c r="Q662" s="123"/>
      <c r="R662" s="123"/>
      <c r="T662" s="42"/>
      <c r="V662" s="123"/>
      <c r="Y662" s="123"/>
      <c r="Z662" s="219"/>
      <c r="AA662" s="123"/>
      <c r="AB662" s="123"/>
      <c r="AC662" s="219"/>
      <c r="AD662" s="219"/>
      <c r="AE662" s="123"/>
      <c r="AF662" s="123"/>
      <c r="AH662" s="236"/>
      <c r="AI662" s="123"/>
      <c r="AJ662" s="123"/>
      <c r="AL662" s="123"/>
      <c r="AM662" s="160"/>
      <c r="AN662" s="160"/>
    </row>
    <row r="663" spans="3:40" x14ac:dyDescent="0.3">
      <c r="F663" s="123"/>
      <c r="H663" s="123"/>
      <c r="I663" s="123"/>
      <c r="J663" s="219"/>
      <c r="K663" s="219"/>
      <c r="L663" s="123"/>
      <c r="M663" s="123"/>
      <c r="N663" s="219"/>
      <c r="O663" s="219"/>
      <c r="P663" s="123"/>
      <c r="Q663" s="123"/>
      <c r="R663" s="123"/>
      <c r="V663" s="123"/>
      <c r="Y663" s="123"/>
      <c r="Z663" s="219"/>
      <c r="AA663" s="123"/>
      <c r="AB663" s="123"/>
      <c r="AC663" s="219"/>
      <c r="AD663" s="219"/>
      <c r="AH663" s="236"/>
      <c r="AI663" s="123"/>
      <c r="AJ663" s="123"/>
      <c r="AL663" s="123"/>
      <c r="AM663" s="160"/>
      <c r="AN663" s="160"/>
    </row>
    <row r="664" spans="3:40" x14ac:dyDescent="0.3">
      <c r="D664" s="42"/>
      <c r="E664" s="42"/>
      <c r="F664" s="123"/>
      <c r="H664" s="123"/>
      <c r="I664" s="123"/>
      <c r="J664" s="219"/>
      <c r="K664" s="219"/>
      <c r="L664" s="184"/>
      <c r="M664" s="184"/>
      <c r="N664" s="219"/>
      <c r="O664" s="219"/>
      <c r="P664" s="123"/>
      <c r="Q664" s="123"/>
      <c r="R664" s="123"/>
      <c r="U664" s="42"/>
      <c r="V664" s="123"/>
      <c r="Y664" s="123"/>
      <c r="Z664" s="219"/>
      <c r="AA664" s="184"/>
      <c r="AB664" s="184"/>
      <c r="AC664" s="219"/>
      <c r="AD664" s="219"/>
      <c r="AE664" s="123"/>
      <c r="AF664" s="123"/>
      <c r="AH664" s="236"/>
      <c r="AI664" s="123"/>
      <c r="AJ664" s="123"/>
      <c r="AL664" s="123"/>
      <c r="AM664" s="160"/>
      <c r="AN664" s="160"/>
    </row>
    <row r="665" spans="3:40" x14ac:dyDescent="0.3">
      <c r="D665" s="42"/>
      <c r="E665" s="42"/>
      <c r="F665" s="123"/>
      <c r="H665" s="123"/>
      <c r="I665" s="123"/>
      <c r="J665" s="219"/>
      <c r="K665" s="219"/>
      <c r="L665" s="184"/>
      <c r="M665" s="184"/>
      <c r="N665" s="219"/>
      <c r="O665" s="219"/>
      <c r="P665" s="123"/>
      <c r="Q665" s="123"/>
      <c r="R665" s="123"/>
      <c r="U665" s="42"/>
      <c r="V665" s="123"/>
      <c r="Y665" s="123"/>
      <c r="Z665" s="219"/>
      <c r="AA665" s="184"/>
      <c r="AB665" s="184"/>
      <c r="AC665" s="219"/>
      <c r="AD665" s="219"/>
      <c r="AE665" s="123"/>
      <c r="AF665" s="123"/>
      <c r="AH665" s="236"/>
      <c r="AI665" s="123"/>
      <c r="AJ665" s="123"/>
      <c r="AL665" s="123"/>
      <c r="AM665" s="160"/>
      <c r="AN665" s="160"/>
    </row>
    <row r="666" spans="3:40" x14ac:dyDescent="0.3">
      <c r="D666" s="42"/>
      <c r="E666" s="42"/>
      <c r="F666" s="123"/>
      <c r="H666" s="123"/>
      <c r="I666" s="123"/>
      <c r="J666" s="219"/>
      <c r="K666" s="219"/>
      <c r="L666" s="184"/>
      <c r="M666" s="184"/>
      <c r="N666" s="219"/>
      <c r="O666" s="219"/>
      <c r="P666" s="123"/>
      <c r="Q666" s="123"/>
      <c r="R666" s="123"/>
      <c r="U666" s="42"/>
      <c r="V666" s="123"/>
      <c r="Y666" s="123"/>
      <c r="Z666" s="219"/>
      <c r="AA666" s="184"/>
      <c r="AB666" s="184"/>
      <c r="AC666" s="219"/>
      <c r="AD666" s="219"/>
      <c r="AE666" s="123"/>
      <c r="AF666" s="123"/>
      <c r="AH666" s="236"/>
      <c r="AI666" s="123"/>
      <c r="AJ666" s="123"/>
      <c r="AL666" s="123"/>
      <c r="AM666" s="160"/>
      <c r="AN666" s="160"/>
    </row>
    <row r="667" spans="3:40" x14ac:dyDescent="0.3">
      <c r="F667" s="123"/>
      <c r="H667" s="210"/>
      <c r="I667" s="210"/>
      <c r="J667" s="213"/>
      <c r="K667" s="213"/>
      <c r="L667" s="210"/>
      <c r="M667" s="210"/>
      <c r="N667" s="210"/>
      <c r="O667" s="210"/>
      <c r="P667" s="210"/>
      <c r="Q667" s="210"/>
      <c r="R667" s="210"/>
      <c r="V667" s="210"/>
      <c r="Y667" s="210"/>
      <c r="Z667" s="213"/>
      <c r="AA667" s="210"/>
      <c r="AB667" s="210"/>
      <c r="AC667" s="210"/>
      <c r="AD667" s="210"/>
      <c r="AE667" s="210"/>
      <c r="AF667" s="210"/>
      <c r="AI667" s="210"/>
      <c r="AJ667" s="210"/>
      <c r="AK667" s="214"/>
      <c r="AL667" s="210"/>
      <c r="AM667" s="160"/>
      <c r="AN667" s="160"/>
    </row>
    <row r="668" spans="3:40" x14ac:dyDescent="0.3">
      <c r="C668" s="42"/>
      <c r="F668" s="210"/>
      <c r="H668" s="123"/>
      <c r="I668" s="123"/>
      <c r="J668" s="219"/>
      <c r="K668" s="219"/>
      <c r="L668" s="123"/>
      <c r="M668" s="123"/>
      <c r="N668" s="219"/>
      <c r="O668" s="219"/>
      <c r="P668" s="123"/>
      <c r="Q668" s="123"/>
      <c r="R668" s="123"/>
      <c r="T668" s="42"/>
      <c r="V668" s="123"/>
      <c r="Y668" s="123"/>
      <c r="Z668" s="219"/>
      <c r="AA668" s="123"/>
      <c r="AB668" s="123"/>
      <c r="AC668" s="219"/>
      <c r="AD668" s="219"/>
      <c r="AE668" s="123"/>
      <c r="AF668" s="123"/>
      <c r="AH668" s="236"/>
      <c r="AI668" s="123"/>
      <c r="AJ668" s="123"/>
      <c r="AL668" s="123"/>
      <c r="AM668" s="160"/>
      <c r="AN668" s="160"/>
    </row>
    <row r="669" spans="3:40" x14ac:dyDescent="0.3">
      <c r="F669" s="123"/>
      <c r="H669" s="123"/>
      <c r="I669" s="123"/>
      <c r="J669" s="219"/>
      <c r="K669" s="219"/>
      <c r="L669" s="123"/>
      <c r="M669" s="123"/>
      <c r="N669" s="219"/>
      <c r="O669" s="219"/>
      <c r="P669" s="123"/>
      <c r="Q669" s="123"/>
      <c r="R669" s="123"/>
      <c r="V669" s="123"/>
      <c r="Y669" s="123"/>
      <c r="Z669" s="219"/>
      <c r="AA669" s="123"/>
      <c r="AB669" s="123"/>
      <c r="AC669" s="219"/>
      <c r="AD669" s="219"/>
      <c r="AH669" s="236"/>
      <c r="AI669" s="123"/>
      <c r="AJ669" s="123"/>
      <c r="AL669" s="123"/>
      <c r="AM669" s="160"/>
      <c r="AN669" s="160"/>
    </row>
    <row r="670" spans="3:40" x14ac:dyDescent="0.3">
      <c r="C670" s="42"/>
      <c r="F670" s="123"/>
      <c r="H670" s="123"/>
      <c r="I670" s="123"/>
      <c r="J670" s="219"/>
      <c r="K670" s="219"/>
      <c r="L670" s="123"/>
      <c r="M670" s="123"/>
      <c r="N670" s="219"/>
      <c r="O670" s="219"/>
      <c r="P670" s="123"/>
      <c r="Q670" s="123"/>
      <c r="R670" s="123"/>
      <c r="T670" s="42"/>
      <c r="V670" s="123"/>
      <c r="Y670" s="123"/>
      <c r="Z670" s="219"/>
      <c r="AA670" s="123"/>
      <c r="AB670" s="123"/>
      <c r="AC670" s="219"/>
      <c r="AD670" s="219"/>
      <c r="AE670" s="123"/>
      <c r="AF670" s="123"/>
      <c r="AH670" s="236"/>
      <c r="AI670" s="123"/>
      <c r="AJ670" s="123"/>
      <c r="AL670" s="123"/>
      <c r="AM670" s="160"/>
      <c r="AN670" s="160"/>
    </row>
    <row r="671" spans="3:40" x14ac:dyDescent="0.3">
      <c r="F671" s="123"/>
      <c r="H671" s="210"/>
      <c r="I671" s="210"/>
      <c r="J671" s="213"/>
      <c r="K671" s="213"/>
      <c r="L671" s="210"/>
      <c r="M671" s="210"/>
      <c r="N671" s="210"/>
      <c r="O671" s="210"/>
      <c r="P671" s="210"/>
      <c r="Q671" s="210"/>
      <c r="R671" s="210"/>
      <c r="V671" s="210"/>
      <c r="Y671" s="210"/>
      <c r="Z671" s="213"/>
      <c r="AA671" s="210"/>
      <c r="AB671" s="210"/>
      <c r="AC671" s="210"/>
      <c r="AD671" s="210"/>
      <c r="AE671" s="210"/>
      <c r="AF671" s="210"/>
      <c r="AI671" s="210"/>
      <c r="AJ671" s="210"/>
      <c r="AK671" s="214"/>
      <c r="AL671" s="210"/>
    </row>
    <row r="673" spans="1:20" x14ac:dyDescent="0.3">
      <c r="C673" s="42"/>
      <c r="F673" s="210"/>
      <c r="L673" s="123"/>
      <c r="M673" s="123"/>
      <c r="P673" s="123"/>
      <c r="Q673" s="123"/>
      <c r="R673" s="123"/>
      <c r="T673" s="42"/>
    </row>
    <row r="674" spans="1:20" x14ac:dyDescent="0.3">
      <c r="A674" s="42"/>
      <c r="L674" s="123"/>
      <c r="M674" s="123"/>
      <c r="P674" s="123"/>
      <c r="Q674" s="123"/>
      <c r="R674" s="123"/>
    </row>
    <row r="675" spans="1:20" x14ac:dyDescent="0.3">
      <c r="L675" s="123"/>
      <c r="M675" s="123"/>
      <c r="P675" s="123"/>
      <c r="Q675" s="123"/>
      <c r="R675" s="123"/>
    </row>
    <row r="676" spans="1:20" x14ac:dyDescent="0.3">
      <c r="L676" s="123"/>
      <c r="M676" s="123"/>
      <c r="P676" s="123"/>
      <c r="Q676" s="123"/>
      <c r="R676" s="123"/>
    </row>
    <row r="677" spans="1:20" x14ac:dyDescent="0.3">
      <c r="L677" s="123"/>
      <c r="M677" s="123"/>
      <c r="P677" s="123"/>
      <c r="Q677" s="123"/>
      <c r="R677" s="123"/>
    </row>
    <row r="678" spans="1:20" x14ac:dyDescent="0.3">
      <c r="L678" s="123"/>
      <c r="M678" s="123"/>
      <c r="P678" s="123"/>
      <c r="Q678" s="123"/>
      <c r="R678" s="123"/>
    </row>
    <row r="679" spans="1:20" x14ac:dyDescent="0.3">
      <c r="L679" s="123"/>
      <c r="M679" s="123"/>
      <c r="P679" s="123"/>
      <c r="Q679" s="123"/>
      <c r="R679" s="123"/>
    </row>
    <row r="712" spans="49:49" x14ac:dyDescent="0.3">
      <c r="AW712" s="123"/>
    </row>
    <row r="713" spans="49:49" x14ac:dyDescent="0.3">
      <c r="AW713" s="123"/>
    </row>
    <row r="714" spans="49:49" x14ac:dyDescent="0.3">
      <c r="AW714" s="123"/>
    </row>
    <row r="715" spans="49:49" x14ac:dyDescent="0.3">
      <c r="AW715" s="123"/>
    </row>
    <row r="716" spans="49:49" x14ac:dyDescent="0.3">
      <c r="AW716" s="123"/>
    </row>
    <row r="717" spans="49:49" x14ac:dyDescent="0.3">
      <c r="AW717" s="123"/>
    </row>
    <row r="720" spans="49:49" x14ac:dyDescent="0.3">
      <c r="AW720" s="123"/>
    </row>
    <row r="721" spans="49:49" x14ac:dyDescent="0.3">
      <c r="AW721" s="123"/>
    </row>
    <row r="722" spans="49:49" x14ac:dyDescent="0.3">
      <c r="AW722" s="123"/>
    </row>
    <row r="723" spans="49:49" x14ac:dyDescent="0.3">
      <c r="AW723" s="123"/>
    </row>
    <row r="724" spans="49:49" x14ac:dyDescent="0.3">
      <c r="AW724" s="123"/>
    </row>
    <row r="725" spans="49:49" x14ac:dyDescent="0.3">
      <c r="AW725" s="123"/>
    </row>
    <row r="726" spans="49:49" x14ac:dyDescent="0.3">
      <c r="AW726" s="123"/>
    </row>
    <row r="727" spans="49:49" x14ac:dyDescent="0.3">
      <c r="AW727" s="123"/>
    </row>
    <row r="730" spans="49:49" x14ac:dyDescent="0.3">
      <c r="AW730" s="123"/>
    </row>
    <row r="731" spans="49:49" x14ac:dyDescent="0.3">
      <c r="AW731" s="123"/>
    </row>
    <row r="734" spans="49:49" x14ac:dyDescent="0.3">
      <c r="AW734" s="123"/>
    </row>
    <row r="735" spans="49:49" x14ac:dyDescent="0.3">
      <c r="AW735" s="123"/>
    </row>
    <row r="736" spans="49:49" x14ac:dyDescent="0.3">
      <c r="AW736" s="123"/>
    </row>
    <row r="737" spans="45:57" x14ac:dyDescent="0.3">
      <c r="AW737" s="123"/>
    </row>
    <row r="745" spans="45:57" x14ac:dyDescent="0.3">
      <c r="AY745" s="42"/>
    </row>
    <row r="746" spans="45:57" x14ac:dyDescent="0.3">
      <c r="AY746" s="42"/>
    </row>
    <row r="747" spans="45:57" x14ac:dyDescent="0.3">
      <c r="BD747" s="42"/>
    </row>
    <row r="748" spans="45:57" x14ac:dyDescent="0.3">
      <c r="BD748" s="42"/>
    </row>
    <row r="749" spans="45:57" x14ac:dyDescent="0.3">
      <c r="AS749" s="42"/>
      <c r="BD749" s="42"/>
    </row>
    <row r="751" spans="45:57" x14ac:dyDescent="0.3">
      <c r="AS751" s="135"/>
      <c r="AT751" s="135"/>
      <c r="AU751" s="135"/>
      <c r="AV751" s="135"/>
      <c r="AW751" s="135"/>
      <c r="AX751" s="135"/>
      <c r="AY751" s="135"/>
      <c r="AZ751" s="135"/>
      <c r="BA751" s="135"/>
      <c r="BB751" s="135"/>
      <c r="BC751" s="135"/>
      <c r="BD751" s="135"/>
      <c r="BE751" s="135"/>
    </row>
    <row r="752" spans="45:57" x14ac:dyDescent="0.3">
      <c r="AX752" s="42"/>
    </row>
    <row r="753" spans="45:69" x14ac:dyDescent="0.3">
      <c r="AX753" s="135"/>
      <c r="AY753" s="135"/>
      <c r="AZ753" s="135"/>
      <c r="BA753" s="135"/>
      <c r="BC753" s="44"/>
      <c r="BD753" s="44"/>
    </row>
    <row r="754" spans="45:69" x14ac:dyDescent="0.3">
      <c r="AV754" s="44"/>
      <c r="AW754" s="44"/>
      <c r="AZ754" s="44"/>
      <c r="BA754" s="44"/>
      <c r="BC754" s="44"/>
      <c r="BD754" s="44"/>
      <c r="BE754" s="44"/>
      <c r="BG754" s="135"/>
      <c r="BH754" s="42"/>
      <c r="BK754" s="135"/>
      <c r="BM754" s="135"/>
      <c r="BN754" s="42"/>
      <c r="BQ754" s="135"/>
    </row>
    <row r="755" spans="45:69" x14ac:dyDescent="0.3"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H755" s="44"/>
      <c r="BI755" s="44"/>
      <c r="BJ755" s="44"/>
      <c r="BN755" s="44"/>
      <c r="BO755" s="44"/>
      <c r="BP755" s="44"/>
    </row>
    <row r="756" spans="45:69" x14ac:dyDescent="0.3">
      <c r="AS756" s="44"/>
      <c r="AU756" s="42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G756" s="44"/>
      <c r="BH756" s="44"/>
      <c r="BI756" s="44"/>
      <c r="BJ756" s="44"/>
      <c r="BK756" s="44"/>
      <c r="BM756" s="44"/>
      <c r="BN756" s="44"/>
      <c r="BO756" s="44"/>
      <c r="BP756" s="44"/>
      <c r="BQ756" s="44"/>
    </row>
    <row r="757" spans="45:69" x14ac:dyDescent="0.3">
      <c r="AS757" s="44"/>
      <c r="AU757" s="42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G757" s="44"/>
      <c r="BH757" s="44"/>
      <c r="BI757" s="44"/>
      <c r="BJ757" s="44"/>
      <c r="BK757" s="44"/>
      <c r="BM757" s="44"/>
      <c r="BN757" s="44"/>
      <c r="BO757" s="44"/>
      <c r="BP757" s="44"/>
      <c r="BQ757" s="44"/>
    </row>
    <row r="758" spans="45:69" x14ac:dyDescent="0.3">
      <c r="AS758" s="135"/>
      <c r="AT758" s="135"/>
      <c r="AU758" s="135"/>
      <c r="AV758" s="135"/>
      <c r="AW758" s="135"/>
      <c r="AX758" s="135"/>
      <c r="AY758" s="135"/>
      <c r="AZ758" s="135"/>
      <c r="BA758" s="135"/>
      <c r="BB758" s="135"/>
      <c r="BC758" s="135"/>
      <c r="BD758" s="135"/>
      <c r="BE758" s="135"/>
      <c r="BG758" s="135"/>
      <c r="BH758" s="135"/>
      <c r="BI758" s="135"/>
      <c r="BJ758" s="135"/>
      <c r="BK758" s="135"/>
      <c r="BM758" s="135"/>
      <c r="BN758" s="135"/>
      <c r="BO758" s="135"/>
      <c r="BP758" s="135"/>
      <c r="BQ758" s="135"/>
    </row>
    <row r="759" spans="45:69" x14ac:dyDescent="0.3"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</row>
    <row r="760" spans="45:69" x14ac:dyDescent="0.3">
      <c r="AU760" s="42"/>
      <c r="AV760" s="44"/>
      <c r="AY760" s="219"/>
    </row>
    <row r="761" spans="45:69" x14ac:dyDescent="0.3">
      <c r="AV761" s="44"/>
      <c r="AW761" s="123"/>
      <c r="AX761" s="188"/>
      <c r="AY761" s="188"/>
      <c r="AZ761" s="188"/>
      <c r="BA761" s="160"/>
      <c r="BB761" s="188"/>
      <c r="BC761" s="219"/>
      <c r="BD761" s="219"/>
      <c r="BE761" s="160"/>
      <c r="BG761" s="188"/>
      <c r="BH761" s="188"/>
      <c r="BI761" s="188"/>
      <c r="BJ761" s="188"/>
      <c r="BK761" s="188"/>
      <c r="BM761" s="188"/>
      <c r="BN761" s="188"/>
      <c r="BO761" s="188"/>
      <c r="BP761" s="188"/>
      <c r="BQ761" s="188"/>
    </row>
    <row r="762" spans="45:69" x14ac:dyDescent="0.3">
      <c r="AV762" s="44"/>
      <c r="AW762" s="123"/>
      <c r="AX762" s="188"/>
      <c r="AY762" s="188"/>
      <c r="AZ762" s="188"/>
      <c r="BA762" s="160"/>
      <c r="BB762" s="188"/>
      <c r="BC762" s="219"/>
      <c r="BD762" s="219"/>
      <c r="BE762" s="160"/>
      <c r="BG762" s="188"/>
      <c r="BH762" s="188"/>
      <c r="BI762" s="188"/>
      <c r="BJ762" s="188"/>
      <c r="BK762" s="188"/>
      <c r="BM762" s="188"/>
      <c r="BN762" s="188"/>
      <c r="BO762" s="188"/>
      <c r="BP762" s="188"/>
      <c r="BQ762" s="188"/>
    </row>
    <row r="763" spans="45:69" x14ac:dyDescent="0.3">
      <c r="AV763" s="44"/>
      <c r="AW763" s="123"/>
      <c r="AX763" s="188"/>
      <c r="AY763" s="188"/>
      <c r="AZ763" s="188"/>
      <c r="BA763" s="160"/>
      <c r="BB763" s="188"/>
      <c r="BC763" s="219"/>
      <c r="BD763" s="219"/>
      <c r="BE763" s="160"/>
      <c r="BG763" s="188"/>
      <c r="BH763" s="188"/>
      <c r="BI763" s="188"/>
      <c r="BJ763" s="188"/>
      <c r="BK763" s="188"/>
      <c r="BM763" s="188"/>
      <c r="BN763" s="188"/>
      <c r="BO763" s="188"/>
      <c r="BP763" s="188"/>
      <c r="BQ763" s="188"/>
    </row>
    <row r="764" spans="45:69" x14ac:dyDescent="0.3">
      <c r="AV764" s="44"/>
      <c r="AW764" s="123"/>
      <c r="AX764" s="188"/>
      <c r="AY764" s="188"/>
      <c r="AZ764" s="188"/>
      <c r="BA764" s="160"/>
      <c r="BB764" s="188"/>
      <c r="BC764" s="219"/>
      <c r="BD764" s="219"/>
      <c r="BE764" s="160"/>
      <c r="BG764" s="188"/>
      <c r="BH764" s="188"/>
      <c r="BI764" s="188"/>
      <c r="BJ764" s="188"/>
      <c r="BK764" s="188"/>
      <c r="BM764" s="188"/>
      <c r="BN764" s="188"/>
      <c r="BO764" s="188"/>
      <c r="BP764" s="188"/>
      <c r="BQ764" s="188"/>
    </row>
    <row r="765" spans="45:69" x14ac:dyDescent="0.3">
      <c r="AV765" s="44"/>
      <c r="AW765" s="123"/>
      <c r="AX765" s="188"/>
      <c r="AY765" s="188"/>
      <c r="AZ765" s="188"/>
      <c r="BA765" s="160"/>
      <c r="BB765" s="188"/>
      <c r="BC765" s="219"/>
      <c r="BD765" s="219"/>
      <c r="BE765" s="160"/>
      <c r="BG765" s="188"/>
      <c r="BH765" s="188"/>
      <c r="BI765" s="188"/>
      <c r="BJ765" s="188"/>
      <c r="BK765" s="188"/>
      <c r="BM765" s="188"/>
      <c r="BN765" s="188"/>
      <c r="BO765" s="188"/>
      <c r="BP765" s="188"/>
      <c r="BQ765" s="188"/>
    </row>
    <row r="766" spans="45:69" x14ac:dyDescent="0.3">
      <c r="AV766" s="44"/>
      <c r="AW766" s="123"/>
      <c r="AX766" s="188"/>
      <c r="AY766" s="188"/>
      <c r="AZ766" s="188"/>
      <c r="BA766" s="160"/>
      <c r="BB766" s="188"/>
      <c r="BC766" s="219"/>
      <c r="BD766" s="219"/>
      <c r="BE766" s="160"/>
      <c r="BG766" s="188"/>
      <c r="BH766" s="188"/>
      <c r="BI766" s="188"/>
      <c r="BJ766" s="188"/>
      <c r="BK766" s="188"/>
      <c r="BM766" s="188"/>
      <c r="BN766" s="188"/>
      <c r="BO766" s="188"/>
      <c r="BP766" s="188"/>
      <c r="BQ766" s="188"/>
    </row>
    <row r="767" spans="45:69" x14ac:dyDescent="0.3">
      <c r="AV767" s="44"/>
      <c r="AW767" s="123"/>
      <c r="AX767" s="188"/>
      <c r="AY767" s="188"/>
      <c r="AZ767" s="188"/>
      <c r="BA767" s="160"/>
      <c r="BB767" s="188"/>
      <c r="BC767" s="219"/>
      <c r="BD767" s="219"/>
      <c r="BE767" s="160"/>
      <c r="BG767" s="188"/>
      <c r="BH767" s="188"/>
      <c r="BI767" s="188"/>
      <c r="BJ767" s="188"/>
      <c r="BK767" s="188"/>
      <c r="BM767" s="188"/>
      <c r="BN767" s="188"/>
      <c r="BO767" s="188"/>
      <c r="BP767" s="188"/>
      <c r="BQ767" s="188"/>
    </row>
    <row r="768" spans="45:69" x14ac:dyDescent="0.3">
      <c r="AY768" s="219"/>
      <c r="AZ768" s="188"/>
      <c r="BA768" s="160"/>
      <c r="BB768" s="188"/>
      <c r="BC768" s="219"/>
      <c r="BD768" s="219"/>
      <c r="BE768" s="160"/>
      <c r="BK768" s="188"/>
      <c r="BQ768" s="188"/>
    </row>
    <row r="769" spans="45:69" x14ac:dyDescent="0.3">
      <c r="AV769" s="44"/>
      <c r="AY769" s="219"/>
      <c r="AZ769" s="188"/>
      <c r="BA769" s="160"/>
      <c r="BB769" s="188"/>
      <c r="BC769" s="219"/>
      <c r="BD769" s="219"/>
      <c r="BE769" s="160"/>
      <c r="BK769" s="188"/>
      <c r="BQ769" s="188"/>
    </row>
    <row r="770" spans="45:69" x14ac:dyDescent="0.3">
      <c r="AV770" s="44"/>
      <c r="AW770" s="123"/>
      <c r="AX770" s="188"/>
      <c r="AY770" s="188"/>
      <c r="AZ770" s="188"/>
      <c r="BA770" s="160"/>
      <c r="BB770" s="188"/>
      <c r="BC770" s="219"/>
      <c r="BD770" s="219"/>
      <c r="BE770" s="160"/>
      <c r="BG770" s="188"/>
      <c r="BH770" s="188"/>
      <c r="BI770" s="188"/>
      <c r="BJ770" s="188"/>
      <c r="BK770" s="188"/>
      <c r="BM770" s="188"/>
      <c r="BN770" s="188"/>
      <c r="BO770" s="188"/>
      <c r="BP770" s="188"/>
      <c r="BQ770" s="188"/>
    </row>
    <row r="771" spans="45:69" x14ac:dyDescent="0.3">
      <c r="AV771" s="44"/>
      <c r="AW771" s="123"/>
      <c r="AX771" s="188"/>
      <c r="AY771" s="188"/>
      <c r="AZ771" s="188"/>
      <c r="BA771" s="160"/>
      <c r="BB771" s="188"/>
      <c r="BC771" s="219"/>
      <c r="BD771" s="219"/>
      <c r="BE771" s="160"/>
      <c r="BG771" s="188"/>
      <c r="BH771" s="188"/>
      <c r="BI771" s="188"/>
      <c r="BJ771" s="188"/>
      <c r="BK771" s="188"/>
      <c r="BM771" s="188"/>
      <c r="BN771" s="188"/>
      <c r="BO771" s="188"/>
      <c r="BP771" s="188"/>
      <c r="BQ771" s="188"/>
    </row>
    <row r="772" spans="45:69" x14ac:dyDescent="0.3">
      <c r="AV772" s="44"/>
      <c r="AW772" s="123"/>
      <c r="AX772" s="188"/>
      <c r="AY772" s="188"/>
      <c r="AZ772" s="188"/>
      <c r="BA772" s="160"/>
      <c r="BB772" s="188"/>
      <c r="BC772" s="219"/>
      <c r="BD772" s="219"/>
      <c r="BE772" s="160"/>
      <c r="BG772" s="188"/>
      <c r="BH772" s="188"/>
      <c r="BI772" s="188"/>
      <c r="BJ772" s="188"/>
      <c r="BK772" s="188"/>
      <c r="BM772" s="188"/>
      <c r="BN772" s="188"/>
      <c r="BO772" s="188"/>
      <c r="BP772" s="188"/>
      <c r="BQ772" s="188"/>
    </row>
    <row r="773" spans="45:69" x14ac:dyDescent="0.3">
      <c r="AV773" s="44"/>
      <c r="AW773" s="123"/>
      <c r="AX773" s="188"/>
      <c r="AY773" s="188"/>
      <c r="AZ773" s="188"/>
      <c r="BA773" s="160"/>
      <c r="BB773" s="188"/>
      <c r="BC773" s="219"/>
      <c r="BD773" s="219"/>
      <c r="BE773" s="160"/>
      <c r="BG773" s="188"/>
      <c r="BH773" s="188"/>
      <c r="BI773" s="188"/>
      <c r="BJ773" s="188"/>
      <c r="BK773" s="188"/>
      <c r="BM773" s="188"/>
      <c r="BN773" s="188"/>
      <c r="BO773" s="188"/>
      <c r="BP773" s="188"/>
      <c r="BQ773" s="188"/>
    </row>
    <row r="774" spans="45:69" x14ac:dyDescent="0.3">
      <c r="AV774" s="44"/>
      <c r="AW774" s="123"/>
      <c r="AX774" s="188"/>
      <c r="AY774" s="188"/>
      <c r="AZ774" s="188"/>
      <c r="BA774" s="160"/>
      <c r="BB774" s="188"/>
      <c r="BC774" s="219"/>
      <c r="BD774" s="219"/>
      <c r="BE774" s="160"/>
      <c r="BG774" s="188"/>
      <c r="BH774" s="188"/>
      <c r="BI774" s="188"/>
      <c r="BJ774" s="188"/>
      <c r="BK774" s="188"/>
      <c r="BM774" s="188"/>
      <c r="BN774" s="188"/>
      <c r="BO774" s="188"/>
      <c r="BP774" s="188"/>
      <c r="BQ774" s="188"/>
    </row>
    <row r="775" spans="45:69" x14ac:dyDescent="0.3">
      <c r="AV775" s="44"/>
      <c r="AW775" s="123"/>
      <c r="AX775" s="188"/>
      <c r="AY775" s="188"/>
      <c r="AZ775" s="188"/>
      <c r="BA775" s="160"/>
      <c r="BB775" s="188"/>
      <c r="BC775" s="219"/>
      <c r="BD775" s="219"/>
      <c r="BE775" s="160"/>
      <c r="BG775" s="188"/>
      <c r="BH775" s="188"/>
      <c r="BI775" s="188"/>
      <c r="BJ775" s="188"/>
      <c r="BK775" s="188"/>
      <c r="BM775" s="188"/>
      <c r="BN775" s="188"/>
      <c r="BO775" s="188"/>
      <c r="BP775" s="188"/>
      <c r="BQ775" s="188"/>
    </row>
    <row r="776" spans="45:69" x14ac:dyDescent="0.3">
      <c r="AV776" s="44"/>
      <c r="AW776" s="123"/>
      <c r="AX776" s="188"/>
      <c r="AY776" s="188"/>
      <c r="AZ776" s="188"/>
      <c r="BA776" s="160"/>
      <c r="BB776" s="188"/>
      <c r="BC776" s="219"/>
      <c r="BD776" s="219"/>
      <c r="BE776" s="160"/>
      <c r="BG776" s="188"/>
      <c r="BH776" s="188"/>
      <c r="BI776" s="188"/>
      <c r="BJ776" s="188"/>
      <c r="BK776" s="188"/>
      <c r="BM776" s="188"/>
      <c r="BN776" s="188"/>
      <c r="BO776" s="188"/>
      <c r="BP776" s="188"/>
      <c r="BQ776" s="188"/>
    </row>
    <row r="777" spans="45:69" x14ac:dyDescent="0.3">
      <c r="AV777" s="44"/>
      <c r="AW777" s="123"/>
      <c r="AX777" s="188"/>
      <c r="AY777" s="188"/>
      <c r="AZ777" s="188"/>
      <c r="BA777" s="160"/>
      <c r="BB777" s="188"/>
      <c r="BC777" s="219"/>
      <c r="BD777" s="219"/>
      <c r="BE777" s="160"/>
      <c r="BG777" s="188"/>
      <c r="BH777" s="188"/>
      <c r="BI777" s="188"/>
      <c r="BJ777" s="188"/>
      <c r="BK777" s="188"/>
      <c r="BM777" s="188"/>
      <c r="BN777" s="188"/>
      <c r="BO777" s="188"/>
      <c r="BP777" s="188"/>
      <c r="BQ777" s="188"/>
    </row>
    <row r="778" spans="45:69" x14ac:dyDescent="0.3">
      <c r="AY778" s="219"/>
      <c r="AZ778" s="188"/>
      <c r="BA778" s="160"/>
      <c r="BB778" s="188"/>
      <c r="BC778" s="219"/>
      <c r="BD778" s="219"/>
      <c r="BE778" s="160"/>
      <c r="BK778" s="188"/>
      <c r="BQ778" s="188"/>
    </row>
    <row r="779" spans="45:69" x14ac:dyDescent="0.3">
      <c r="AU779" s="42"/>
      <c r="AZ779" s="188"/>
      <c r="BB779" s="188"/>
      <c r="BG779" s="188"/>
      <c r="BH779" s="188"/>
      <c r="BJ779" s="188"/>
      <c r="BK779" s="188"/>
    </row>
    <row r="780" spans="45:69" x14ac:dyDescent="0.3">
      <c r="AZ780" s="188"/>
      <c r="BB780" s="188"/>
    </row>
    <row r="781" spans="45:69" x14ac:dyDescent="0.3">
      <c r="AS781" s="42"/>
      <c r="AZ781" s="188"/>
      <c r="BB781" s="188"/>
      <c r="BI781" s="188"/>
    </row>
    <row r="782" spans="45:69" x14ac:dyDescent="0.3">
      <c r="AZ782" s="188"/>
      <c r="BB782" s="188"/>
    </row>
    <row r="783" spans="45:69" x14ac:dyDescent="0.3">
      <c r="AY783" s="188"/>
      <c r="BB783" s="188"/>
    </row>
    <row r="784" spans="45:69" x14ac:dyDescent="0.3">
      <c r="AY784" s="42"/>
      <c r="AZ784" s="188"/>
      <c r="BB784" s="188"/>
    </row>
    <row r="785" spans="45:75" x14ac:dyDescent="0.3">
      <c r="AY785" s="42"/>
      <c r="AZ785" s="188"/>
      <c r="BB785" s="188"/>
    </row>
    <row r="786" spans="45:75" x14ac:dyDescent="0.3">
      <c r="AZ786" s="188"/>
      <c r="BB786" s="188"/>
      <c r="BD786" s="42"/>
    </row>
    <row r="787" spans="45:75" x14ac:dyDescent="0.3">
      <c r="AZ787" s="188"/>
      <c r="BB787" s="188"/>
      <c r="BD787" s="42"/>
    </row>
    <row r="788" spans="45:75" x14ac:dyDescent="0.3">
      <c r="AS788" s="42"/>
      <c r="AZ788" s="188"/>
      <c r="BB788" s="188"/>
      <c r="BD788" s="42"/>
    </row>
    <row r="789" spans="45:75" x14ac:dyDescent="0.3">
      <c r="AZ789" s="188"/>
      <c r="BB789" s="188"/>
    </row>
    <row r="790" spans="45:75" x14ac:dyDescent="0.3">
      <c r="AS790" s="135"/>
      <c r="AT790" s="135"/>
      <c r="AU790" s="135"/>
      <c r="AV790" s="135"/>
      <c r="AW790" s="135"/>
      <c r="AX790" s="135"/>
      <c r="AY790" s="135"/>
      <c r="AZ790" s="244"/>
      <c r="BA790" s="135"/>
      <c r="BB790" s="244"/>
      <c r="BC790" s="135"/>
      <c r="BD790" s="135"/>
      <c r="BE790" s="135"/>
    </row>
    <row r="791" spans="45:75" x14ac:dyDescent="0.3">
      <c r="AX791" s="42"/>
      <c r="AZ791" s="188"/>
      <c r="BB791" s="188"/>
    </row>
    <row r="792" spans="45:75" x14ac:dyDescent="0.3">
      <c r="AX792" s="135"/>
      <c r="AY792" s="135"/>
      <c r="AZ792" s="244"/>
      <c r="BA792" s="135"/>
      <c r="BB792" s="188"/>
      <c r="BC792" s="44"/>
      <c r="BD792" s="44"/>
    </row>
    <row r="793" spans="45:75" x14ac:dyDescent="0.3">
      <c r="AV793" s="44"/>
      <c r="AW793" s="44"/>
      <c r="AZ793" s="245"/>
      <c r="BA793" s="44"/>
      <c r="BB793" s="188"/>
      <c r="BC793" s="44"/>
      <c r="BD793" s="44"/>
      <c r="BE793" s="44"/>
      <c r="BG793" s="135"/>
      <c r="BH793" s="135"/>
      <c r="BI793" s="42"/>
      <c r="BM793" s="135"/>
      <c r="BN793" s="135"/>
      <c r="BP793" s="135"/>
      <c r="BQ793" s="135"/>
      <c r="BR793" s="42"/>
      <c r="BV793" s="135"/>
      <c r="BW793" s="135"/>
    </row>
    <row r="794" spans="45:75" x14ac:dyDescent="0.3">
      <c r="AV794" s="44"/>
      <c r="AW794" s="44"/>
      <c r="AX794" s="44"/>
      <c r="AY794" s="44"/>
      <c r="AZ794" s="245"/>
      <c r="BA794" s="44"/>
      <c r="BB794" s="245"/>
      <c r="BC794" s="44"/>
      <c r="BD794" s="44"/>
      <c r="BE794" s="44"/>
      <c r="BH794" s="44"/>
      <c r="BI794" s="44"/>
      <c r="BJ794" s="44"/>
      <c r="BK794" s="44"/>
      <c r="BL794" s="44"/>
      <c r="BM794" s="44"/>
      <c r="BQ794" s="44"/>
      <c r="BR794" s="44"/>
      <c r="BS794" s="44"/>
      <c r="BT794" s="44"/>
      <c r="BU794" s="44"/>
      <c r="BV794" s="44"/>
    </row>
    <row r="795" spans="45:75" x14ac:dyDescent="0.3">
      <c r="AS795" s="44"/>
      <c r="AU795" s="42"/>
      <c r="AV795" s="44"/>
      <c r="AW795" s="44"/>
      <c r="AX795" s="44"/>
      <c r="AY795" s="44"/>
      <c r="AZ795" s="245"/>
      <c r="BA795" s="44"/>
      <c r="BB795" s="245"/>
      <c r="BC795" s="44"/>
      <c r="BD795" s="44"/>
      <c r="BE795" s="44"/>
      <c r="BG795" s="44"/>
      <c r="BH795" s="44"/>
      <c r="BI795" s="44"/>
      <c r="BJ795" s="44"/>
      <c r="BK795" s="44"/>
      <c r="BL795" s="44"/>
      <c r="BM795" s="44"/>
      <c r="BN795" s="44"/>
      <c r="BP795" s="44"/>
      <c r="BQ795" s="44"/>
      <c r="BR795" s="44"/>
      <c r="BS795" s="44"/>
      <c r="BT795" s="44"/>
      <c r="BU795" s="44"/>
      <c r="BV795" s="44"/>
      <c r="BW795" s="44"/>
    </row>
    <row r="796" spans="45:75" x14ac:dyDescent="0.3">
      <c r="AS796" s="44"/>
      <c r="AU796" s="42"/>
      <c r="AV796" s="44"/>
      <c r="AW796" s="44"/>
      <c r="AX796" s="44"/>
      <c r="AY796" s="44"/>
      <c r="AZ796" s="245"/>
      <c r="BA796" s="44"/>
      <c r="BB796" s="245"/>
      <c r="BC796" s="44"/>
      <c r="BD796" s="44"/>
      <c r="BE796" s="44"/>
      <c r="BG796" s="44"/>
      <c r="BH796" s="44"/>
      <c r="BI796" s="44"/>
      <c r="BJ796" s="44"/>
      <c r="BK796" s="44"/>
      <c r="BL796" s="44"/>
      <c r="BM796" s="44"/>
      <c r="BN796" s="44"/>
      <c r="BP796" s="44"/>
      <c r="BQ796" s="44"/>
      <c r="BR796" s="44"/>
      <c r="BS796" s="44"/>
      <c r="BT796" s="44"/>
      <c r="BU796" s="44"/>
      <c r="BV796" s="44"/>
      <c r="BW796" s="44"/>
    </row>
    <row r="797" spans="45:75" x14ac:dyDescent="0.3">
      <c r="AS797" s="135"/>
      <c r="AT797" s="135"/>
      <c r="AU797" s="135"/>
      <c r="AV797" s="135"/>
      <c r="AW797" s="135"/>
      <c r="AX797" s="135"/>
      <c r="AY797" s="135"/>
      <c r="AZ797" s="244"/>
      <c r="BA797" s="135"/>
      <c r="BB797" s="244"/>
      <c r="BC797" s="135"/>
      <c r="BD797" s="135"/>
      <c r="BE797" s="135"/>
      <c r="BG797" s="135"/>
      <c r="BH797" s="135"/>
      <c r="BI797" s="135"/>
      <c r="BJ797" s="135"/>
      <c r="BK797" s="135"/>
      <c r="BL797" s="135"/>
      <c r="BM797" s="135"/>
      <c r="BN797" s="135"/>
      <c r="BP797" s="135"/>
      <c r="BQ797" s="135"/>
      <c r="BR797" s="135"/>
      <c r="BS797" s="135"/>
      <c r="BT797" s="135"/>
      <c r="BU797" s="135"/>
      <c r="BV797" s="135"/>
      <c r="BW797" s="135"/>
    </row>
    <row r="798" spans="45:75" x14ac:dyDescent="0.3">
      <c r="AV798" s="44"/>
      <c r="AW798" s="44"/>
      <c r="AX798" s="44"/>
      <c r="AY798" s="44"/>
      <c r="AZ798" s="245"/>
      <c r="BA798" s="44"/>
      <c r="BB798" s="245"/>
      <c r="BC798" s="44"/>
      <c r="BD798" s="44"/>
      <c r="BE798" s="44"/>
      <c r="BG798" s="188"/>
      <c r="BH798" s="188"/>
      <c r="BI798" s="188"/>
      <c r="BJ798" s="188"/>
      <c r="BK798" s="188"/>
      <c r="BL798" s="188"/>
      <c r="BM798" s="188"/>
      <c r="BN798" s="188"/>
      <c r="BO798" s="188"/>
      <c r="BP798" s="188"/>
      <c r="BQ798" s="188"/>
      <c r="BR798" s="188"/>
      <c r="BS798" s="188"/>
      <c r="BT798" s="188"/>
      <c r="BU798" s="188"/>
      <c r="BV798" s="188"/>
      <c r="BW798" s="188"/>
    </row>
    <row r="799" spans="45:75" x14ac:dyDescent="0.3">
      <c r="AU799" s="42"/>
      <c r="AW799" s="123"/>
      <c r="AX799" s="188"/>
      <c r="AY799" s="188"/>
      <c r="AZ799" s="188"/>
      <c r="BA799" s="236"/>
      <c r="BB799" s="188"/>
      <c r="BC799" s="188"/>
      <c r="BD799" s="188"/>
      <c r="BE799" s="236"/>
      <c r="BG799" s="188"/>
      <c r="BH799" s="188"/>
      <c r="BI799" s="188"/>
      <c r="BJ799" s="188"/>
      <c r="BK799" s="188"/>
      <c r="BL799" s="188"/>
      <c r="BM799" s="188"/>
      <c r="BN799" s="188"/>
      <c r="BO799" s="188"/>
      <c r="BP799" s="188"/>
      <c r="BQ799" s="188"/>
      <c r="BR799" s="188"/>
      <c r="BS799" s="188"/>
      <c r="BT799" s="188"/>
      <c r="BU799" s="188"/>
      <c r="BV799" s="188"/>
      <c r="BW799" s="188"/>
    </row>
    <row r="800" spans="45:75" x14ac:dyDescent="0.3">
      <c r="AW800" s="123"/>
      <c r="AX800" s="188"/>
      <c r="AY800" s="188"/>
      <c r="AZ800" s="188"/>
      <c r="BA800" s="236"/>
      <c r="BB800" s="188"/>
      <c r="BC800" s="188"/>
      <c r="BD800" s="188"/>
      <c r="BE800" s="236"/>
      <c r="BG800" s="188"/>
      <c r="BH800" s="188"/>
      <c r="BI800" s="188"/>
      <c r="BJ800" s="188"/>
      <c r="BK800" s="188"/>
      <c r="BL800" s="188"/>
      <c r="BM800" s="188"/>
      <c r="BN800" s="188"/>
      <c r="BO800" s="188"/>
      <c r="BP800" s="188"/>
      <c r="BQ800" s="188"/>
      <c r="BR800" s="188"/>
      <c r="BS800" s="188"/>
      <c r="BT800" s="188"/>
      <c r="BU800" s="188"/>
      <c r="BV800" s="188"/>
      <c r="BW800" s="188"/>
    </row>
    <row r="801" spans="49:75" x14ac:dyDescent="0.3">
      <c r="AW801" s="123"/>
      <c r="AX801" s="188"/>
      <c r="AY801" s="188"/>
      <c r="AZ801" s="188"/>
      <c r="BA801" s="236"/>
      <c r="BB801" s="188"/>
      <c r="BC801" s="188"/>
      <c r="BD801" s="188"/>
      <c r="BE801" s="236"/>
      <c r="BG801" s="188"/>
      <c r="BH801" s="188"/>
      <c r="BI801" s="188"/>
      <c r="BJ801" s="188"/>
      <c r="BK801" s="188"/>
      <c r="BL801" s="188"/>
      <c r="BM801" s="188"/>
      <c r="BN801" s="188"/>
      <c r="BO801" s="188"/>
      <c r="BP801" s="188"/>
      <c r="BQ801" s="188"/>
      <c r="BR801" s="188"/>
      <c r="BS801" s="188"/>
      <c r="BT801" s="188"/>
      <c r="BU801" s="188"/>
      <c r="BV801" s="188"/>
      <c r="BW801" s="188"/>
    </row>
    <row r="802" spans="49:75" x14ac:dyDescent="0.3">
      <c r="AW802" s="123"/>
      <c r="AX802" s="188"/>
      <c r="AY802" s="188"/>
      <c r="AZ802" s="188"/>
      <c r="BA802" s="236"/>
      <c r="BB802" s="188"/>
      <c r="BC802" s="188"/>
      <c r="BD802" s="188"/>
      <c r="BE802" s="236"/>
      <c r="BG802" s="188"/>
      <c r="BH802" s="188"/>
      <c r="BI802" s="188"/>
      <c r="BJ802" s="188"/>
      <c r="BK802" s="188"/>
      <c r="BL802" s="188"/>
      <c r="BM802" s="188"/>
      <c r="BN802" s="188"/>
      <c r="BO802" s="188"/>
      <c r="BP802" s="188"/>
      <c r="BQ802" s="188"/>
      <c r="BR802" s="188"/>
      <c r="BS802" s="188"/>
      <c r="BT802" s="188"/>
      <c r="BU802" s="188"/>
      <c r="BV802" s="188"/>
      <c r="BW802" s="188"/>
    </row>
    <row r="803" spans="49:75" x14ac:dyDescent="0.3">
      <c r="AW803" s="123"/>
      <c r="AX803" s="188"/>
      <c r="AY803" s="188"/>
      <c r="AZ803" s="188"/>
      <c r="BA803" s="236"/>
      <c r="BB803" s="188"/>
      <c r="BC803" s="188"/>
      <c r="BD803" s="188"/>
      <c r="BE803" s="236"/>
      <c r="BG803" s="188"/>
      <c r="BH803" s="188"/>
      <c r="BI803" s="188"/>
      <c r="BJ803" s="188"/>
      <c r="BK803" s="188"/>
      <c r="BL803" s="188"/>
      <c r="BM803" s="188"/>
      <c r="BN803" s="188"/>
      <c r="BO803" s="188"/>
      <c r="BP803" s="188"/>
      <c r="BQ803" s="188"/>
      <c r="BR803" s="188"/>
      <c r="BS803" s="188"/>
      <c r="BT803" s="188"/>
      <c r="BU803" s="188"/>
      <c r="BV803" s="188"/>
      <c r="BW803" s="188"/>
    </row>
    <row r="804" spans="49:75" x14ac:dyDescent="0.3">
      <c r="AW804" s="123"/>
      <c r="AX804" s="188"/>
      <c r="AY804" s="188"/>
      <c r="AZ804" s="188"/>
      <c r="BA804" s="236"/>
      <c r="BB804" s="188"/>
      <c r="BC804" s="188"/>
      <c r="BD804" s="188"/>
      <c r="BE804" s="236"/>
      <c r="BG804" s="188"/>
      <c r="BH804" s="188"/>
      <c r="BI804" s="188"/>
      <c r="BJ804" s="188"/>
      <c r="BK804" s="188"/>
      <c r="BL804" s="188"/>
      <c r="BM804" s="188"/>
      <c r="BN804" s="188"/>
      <c r="BO804" s="188"/>
      <c r="BP804" s="188"/>
      <c r="BQ804" s="188"/>
      <c r="BR804" s="188"/>
      <c r="BS804" s="188"/>
      <c r="BT804" s="188"/>
      <c r="BU804" s="188"/>
      <c r="BV804" s="188"/>
      <c r="BW804" s="188"/>
    </row>
    <row r="805" spans="49:75" x14ac:dyDescent="0.3">
      <c r="AW805" s="123"/>
      <c r="AX805" s="188"/>
      <c r="AY805" s="188"/>
      <c r="AZ805" s="188"/>
      <c r="BA805" s="236"/>
      <c r="BB805" s="188"/>
      <c r="BC805" s="188"/>
      <c r="BD805" s="188"/>
      <c r="BE805" s="236"/>
      <c r="BG805" s="188"/>
      <c r="BH805" s="188"/>
      <c r="BI805" s="188"/>
      <c r="BJ805" s="188"/>
      <c r="BK805" s="188"/>
      <c r="BL805" s="188"/>
      <c r="BM805" s="188"/>
      <c r="BN805" s="188"/>
      <c r="BO805" s="188"/>
      <c r="BP805" s="188"/>
      <c r="BQ805" s="188"/>
      <c r="BR805" s="188"/>
      <c r="BS805" s="188"/>
      <c r="BT805" s="188"/>
      <c r="BU805" s="188"/>
      <c r="BV805" s="188"/>
      <c r="BW805" s="188"/>
    </row>
    <row r="806" spans="49:75" x14ac:dyDescent="0.3">
      <c r="AW806" s="123"/>
      <c r="AX806" s="188"/>
      <c r="AY806" s="188"/>
      <c r="AZ806" s="188"/>
      <c r="BA806" s="236"/>
      <c r="BB806" s="188"/>
      <c r="BC806" s="188"/>
      <c r="BD806" s="188"/>
      <c r="BE806" s="236"/>
      <c r="BG806" s="188"/>
      <c r="BH806" s="188"/>
      <c r="BI806" s="188"/>
      <c r="BJ806" s="188"/>
      <c r="BK806" s="188"/>
      <c r="BL806" s="188"/>
      <c r="BM806" s="188"/>
      <c r="BN806" s="188"/>
      <c r="BO806" s="188"/>
      <c r="BP806" s="188"/>
      <c r="BQ806" s="188"/>
      <c r="BR806" s="188"/>
      <c r="BS806" s="188"/>
      <c r="BT806" s="188"/>
      <c r="BU806" s="188"/>
      <c r="BV806" s="188"/>
      <c r="BW806" s="188"/>
    </row>
    <row r="807" spans="49:75" x14ac:dyDescent="0.3">
      <c r="AW807" s="123"/>
      <c r="AX807" s="188"/>
      <c r="AY807" s="188"/>
      <c r="AZ807" s="188"/>
      <c r="BA807" s="236"/>
      <c r="BB807" s="188"/>
      <c r="BC807" s="188"/>
      <c r="BD807" s="188"/>
      <c r="BE807" s="236"/>
      <c r="BG807" s="188"/>
      <c r="BH807" s="188"/>
      <c r="BI807" s="188"/>
      <c r="BJ807" s="188"/>
      <c r="BK807" s="188"/>
      <c r="BL807" s="188"/>
      <c r="BM807" s="188"/>
      <c r="BN807" s="188"/>
      <c r="BO807" s="188"/>
      <c r="BP807" s="188"/>
      <c r="BQ807" s="188"/>
      <c r="BR807" s="188"/>
      <c r="BS807" s="188"/>
      <c r="BT807" s="188"/>
      <c r="BU807" s="188"/>
      <c r="BV807" s="188"/>
      <c r="BW807" s="188"/>
    </row>
    <row r="808" spans="49:75" x14ac:dyDescent="0.3">
      <c r="AW808" s="123"/>
      <c r="AX808" s="188"/>
      <c r="AY808" s="188"/>
      <c r="AZ808" s="188"/>
      <c r="BA808" s="236"/>
      <c r="BB808" s="188"/>
      <c r="BC808" s="188"/>
      <c r="BD808" s="188"/>
      <c r="BE808" s="236"/>
      <c r="BG808" s="188"/>
      <c r="BH808" s="188"/>
      <c r="BI808" s="188"/>
      <c r="BJ808" s="188"/>
      <c r="BK808" s="188"/>
      <c r="BL808" s="188"/>
      <c r="BM808" s="188"/>
      <c r="BN808" s="188"/>
      <c r="BO808" s="188"/>
      <c r="BP808" s="188"/>
      <c r="BQ808" s="188"/>
      <c r="BR808" s="188"/>
      <c r="BS808" s="188"/>
      <c r="BT808" s="188"/>
      <c r="BU808" s="188"/>
      <c r="BV808" s="188"/>
      <c r="BW808" s="188"/>
    </row>
    <row r="809" spans="49:75" x14ac:dyDescent="0.3">
      <c r="AW809" s="123"/>
      <c r="AX809" s="188"/>
      <c r="AY809" s="188"/>
      <c r="AZ809" s="188"/>
      <c r="BA809" s="236"/>
      <c r="BB809" s="188"/>
      <c r="BC809" s="188"/>
      <c r="BD809" s="188"/>
      <c r="BE809" s="236"/>
      <c r="BG809" s="188"/>
      <c r="BH809" s="188"/>
      <c r="BI809" s="188"/>
      <c r="BJ809" s="188"/>
      <c r="BK809" s="188"/>
      <c r="BL809" s="188"/>
      <c r="BM809" s="188"/>
      <c r="BN809" s="188"/>
      <c r="BO809" s="188"/>
      <c r="BP809" s="188"/>
      <c r="BQ809" s="188"/>
      <c r="BR809" s="188"/>
      <c r="BS809" s="188"/>
      <c r="BT809" s="188"/>
      <c r="BU809" s="188"/>
      <c r="BV809" s="188"/>
      <c r="BW809" s="188"/>
    </row>
    <row r="810" spans="49:75" x14ac:dyDescent="0.3">
      <c r="AW810" s="123"/>
      <c r="AX810" s="188"/>
      <c r="AY810" s="188"/>
      <c r="AZ810" s="188"/>
      <c r="BA810" s="236"/>
      <c r="BB810" s="188"/>
      <c r="BC810" s="188"/>
      <c r="BD810" s="188"/>
      <c r="BE810" s="236"/>
      <c r="BG810" s="188"/>
      <c r="BH810" s="188"/>
      <c r="BI810" s="188"/>
      <c r="BJ810" s="188"/>
      <c r="BK810" s="188"/>
      <c r="BL810" s="188"/>
      <c r="BM810" s="188"/>
      <c r="BN810" s="188"/>
      <c r="BO810" s="188"/>
      <c r="BP810" s="188"/>
      <c r="BQ810" s="188"/>
      <c r="BR810" s="188"/>
      <c r="BS810" s="188"/>
      <c r="BT810" s="188"/>
      <c r="BU810" s="188"/>
      <c r="BV810" s="188"/>
      <c r="BW810" s="188"/>
    </row>
    <row r="811" spans="49:75" x14ac:dyDescent="0.3">
      <c r="AW811" s="123"/>
      <c r="AX811" s="188"/>
      <c r="AY811" s="188"/>
      <c r="AZ811" s="188"/>
      <c r="BA811" s="236"/>
      <c r="BB811" s="188"/>
      <c r="BC811" s="188"/>
      <c r="BD811" s="188"/>
      <c r="BE811" s="236"/>
      <c r="BG811" s="188"/>
      <c r="BH811" s="188"/>
      <c r="BI811" s="188"/>
      <c r="BJ811" s="188"/>
      <c r="BK811" s="188"/>
      <c r="BL811" s="188"/>
      <c r="BM811" s="188"/>
      <c r="BN811" s="188"/>
      <c r="BO811" s="188"/>
      <c r="BP811" s="188"/>
      <c r="BQ811" s="188"/>
      <c r="BR811" s="188"/>
      <c r="BS811" s="188"/>
      <c r="BT811" s="188"/>
      <c r="BU811" s="188"/>
      <c r="BV811" s="188"/>
      <c r="BW811" s="188"/>
    </row>
    <row r="812" spans="49:75" x14ac:dyDescent="0.3">
      <c r="AW812" s="123"/>
      <c r="AX812" s="188"/>
      <c r="AY812" s="188"/>
      <c r="AZ812" s="188"/>
      <c r="BA812" s="236"/>
      <c r="BB812" s="188"/>
      <c r="BC812" s="188"/>
      <c r="BD812" s="188"/>
      <c r="BE812" s="236"/>
      <c r="BG812" s="188"/>
      <c r="BH812" s="188"/>
      <c r="BI812" s="188"/>
      <c r="BJ812" s="188"/>
      <c r="BK812" s="188"/>
      <c r="BL812" s="188"/>
      <c r="BM812" s="188"/>
      <c r="BN812" s="188"/>
      <c r="BO812" s="188"/>
      <c r="BP812" s="188"/>
      <c r="BQ812" s="188"/>
      <c r="BR812" s="188"/>
      <c r="BS812" s="188"/>
      <c r="BT812" s="188"/>
      <c r="BU812" s="188"/>
      <c r="BV812" s="188"/>
      <c r="BW812" s="188"/>
    </row>
    <row r="813" spans="49:75" x14ac:dyDescent="0.3">
      <c r="AW813" s="123"/>
      <c r="AX813" s="188"/>
      <c r="AY813" s="188"/>
      <c r="AZ813" s="188"/>
      <c r="BA813" s="236"/>
      <c r="BB813" s="188"/>
      <c r="BC813" s="188"/>
      <c r="BD813" s="188"/>
      <c r="BE813" s="236"/>
      <c r="BG813" s="188"/>
      <c r="BH813" s="188"/>
      <c r="BI813" s="188"/>
      <c r="BJ813" s="188"/>
      <c r="BK813" s="188"/>
      <c r="BL813" s="188"/>
      <c r="BM813" s="188"/>
      <c r="BN813" s="188"/>
      <c r="BO813" s="188"/>
      <c r="BP813" s="188"/>
      <c r="BQ813" s="188"/>
      <c r="BR813" s="188"/>
      <c r="BS813" s="188"/>
      <c r="BT813" s="188"/>
      <c r="BU813" s="188"/>
      <c r="BV813" s="188"/>
      <c r="BW813" s="188"/>
    </row>
    <row r="814" spans="49:75" x14ac:dyDescent="0.3">
      <c r="AW814" s="123"/>
      <c r="AX814" s="188"/>
      <c r="AY814" s="188"/>
      <c r="AZ814" s="188"/>
      <c r="BA814" s="236"/>
      <c r="BB814" s="188"/>
      <c r="BC814" s="188"/>
      <c r="BD814" s="188"/>
      <c r="BE814" s="236"/>
      <c r="BG814" s="188"/>
      <c r="BH814" s="188"/>
      <c r="BI814" s="188"/>
      <c r="BJ814" s="188"/>
      <c r="BK814" s="188"/>
      <c r="BL814" s="188"/>
      <c r="BM814" s="188"/>
      <c r="BN814" s="188"/>
      <c r="BO814" s="188"/>
      <c r="BP814" s="188"/>
      <c r="BQ814" s="188"/>
      <c r="BR814" s="188"/>
      <c r="BS814" s="188"/>
      <c r="BT814" s="188"/>
      <c r="BU814" s="188"/>
      <c r="BV814" s="188"/>
      <c r="BW814" s="188"/>
    </row>
    <row r="815" spans="49:75" x14ac:dyDescent="0.3">
      <c r="AW815" s="123"/>
      <c r="AX815" s="188"/>
      <c r="AY815" s="188"/>
      <c r="AZ815" s="188"/>
      <c r="BA815" s="236"/>
      <c r="BB815" s="188"/>
      <c r="BC815" s="188"/>
      <c r="BD815" s="188"/>
      <c r="BE815" s="236"/>
      <c r="BG815" s="188"/>
      <c r="BH815" s="188"/>
      <c r="BI815" s="188"/>
      <c r="BJ815" s="188"/>
      <c r="BK815" s="188"/>
      <c r="BL815" s="188"/>
      <c r="BM815" s="188"/>
      <c r="BN815" s="188"/>
      <c r="BO815" s="188"/>
      <c r="BP815" s="188"/>
      <c r="BQ815" s="188"/>
      <c r="BR815" s="188"/>
      <c r="BS815" s="188"/>
      <c r="BT815" s="188"/>
      <c r="BU815" s="188"/>
      <c r="BV815" s="188"/>
      <c r="BW815" s="188"/>
    </row>
    <row r="816" spans="49:75" x14ac:dyDescent="0.3">
      <c r="AW816" s="123"/>
      <c r="AX816" s="188"/>
      <c r="AY816" s="188"/>
      <c r="AZ816" s="188"/>
      <c r="BA816" s="236"/>
      <c r="BB816" s="188"/>
      <c r="BC816" s="188"/>
      <c r="BD816" s="188"/>
      <c r="BE816" s="236"/>
      <c r="BG816" s="188"/>
      <c r="BH816" s="188"/>
      <c r="BI816" s="188"/>
      <c r="BJ816" s="188"/>
      <c r="BK816" s="188"/>
      <c r="BL816" s="188"/>
      <c r="BM816" s="188"/>
      <c r="BN816" s="188"/>
      <c r="BO816" s="188"/>
      <c r="BP816" s="188"/>
      <c r="BQ816" s="188"/>
      <c r="BR816" s="188"/>
      <c r="BS816" s="188"/>
      <c r="BT816" s="188"/>
      <c r="BU816" s="188"/>
      <c r="BV816" s="188"/>
      <c r="BW816" s="188"/>
    </row>
    <row r="817" spans="45:75" x14ac:dyDescent="0.3">
      <c r="AW817" s="123"/>
      <c r="AX817" s="188"/>
      <c r="AY817" s="188"/>
      <c r="AZ817" s="188"/>
      <c r="BA817" s="236"/>
      <c r="BB817" s="188"/>
      <c r="BC817" s="188"/>
      <c r="BD817" s="188"/>
      <c r="BE817" s="236"/>
      <c r="BG817" s="188"/>
      <c r="BH817" s="188"/>
      <c r="BI817" s="188"/>
      <c r="BJ817" s="188"/>
      <c r="BK817" s="188"/>
      <c r="BL817" s="188"/>
      <c r="BM817" s="188"/>
      <c r="BN817" s="188"/>
      <c r="BO817" s="188"/>
      <c r="BP817" s="188"/>
      <c r="BQ817" s="188"/>
      <c r="BR817" s="188"/>
      <c r="BS817" s="188"/>
      <c r="BT817" s="188"/>
      <c r="BU817" s="188"/>
      <c r="BV817" s="188"/>
      <c r="BW817" s="188"/>
    </row>
    <row r="818" spans="45:75" x14ac:dyDescent="0.3">
      <c r="AW818" s="123"/>
      <c r="AX818" s="188"/>
      <c r="AY818" s="188"/>
      <c r="AZ818" s="188"/>
      <c r="BA818" s="236"/>
      <c r="BB818" s="188"/>
      <c r="BC818" s="188"/>
      <c r="BD818" s="188"/>
      <c r="BE818" s="236"/>
      <c r="BG818" s="188"/>
      <c r="BH818" s="188"/>
      <c r="BI818" s="188"/>
      <c r="BJ818" s="188"/>
      <c r="BK818" s="188"/>
      <c r="BL818" s="188"/>
      <c r="BM818" s="188"/>
      <c r="BN818" s="188"/>
      <c r="BO818" s="188"/>
      <c r="BP818" s="188"/>
      <c r="BQ818" s="188"/>
      <c r="BR818" s="188"/>
      <c r="BS818" s="188"/>
      <c r="BT818" s="188"/>
      <c r="BU818" s="188"/>
      <c r="BV818" s="188"/>
      <c r="BW818" s="188"/>
    </row>
    <row r="819" spans="45:75" x14ac:dyDescent="0.3">
      <c r="AW819" s="123"/>
      <c r="AX819" s="188"/>
      <c r="AY819" s="188"/>
      <c r="AZ819" s="188"/>
      <c r="BA819" s="236"/>
      <c r="BB819" s="188"/>
      <c r="BC819" s="188"/>
      <c r="BD819" s="188"/>
      <c r="BE819" s="236"/>
      <c r="BG819" s="188"/>
      <c r="BH819" s="188"/>
      <c r="BI819" s="188"/>
      <c r="BJ819" s="188"/>
      <c r="BK819" s="188"/>
      <c r="BL819" s="188"/>
      <c r="BM819" s="188"/>
      <c r="BN819" s="188"/>
      <c r="BO819" s="188"/>
      <c r="BP819" s="188"/>
      <c r="BQ819" s="188"/>
      <c r="BR819" s="188"/>
      <c r="BS819" s="188"/>
      <c r="BT819" s="188"/>
      <c r="BU819" s="188"/>
      <c r="BV819" s="188"/>
      <c r="BW819" s="188"/>
    </row>
    <row r="820" spans="45:75" x14ac:dyDescent="0.3">
      <c r="AW820" s="123"/>
      <c r="AX820" s="188"/>
      <c r="AY820" s="188"/>
      <c r="AZ820" s="188"/>
      <c r="BA820" s="236"/>
      <c r="BB820" s="188"/>
      <c r="BC820" s="188"/>
      <c r="BD820" s="188"/>
      <c r="BE820" s="236"/>
      <c r="BG820" s="135"/>
      <c r="BH820" s="135"/>
      <c r="BI820" s="42"/>
      <c r="BM820" s="135"/>
      <c r="BN820" s="135"/>
      <c r="BO820" s="188"/>
      <c r="BP820" s="135"/>
      <c r="BQ820" s="135"/>
      <c r="BR820" s="42"/>
      <c r="BV820" s="135"/>
      <c r="BW820" s="135"/>
    </row>
    <row r="821" spans="45:75" x14ac:dyDescent="0.3">
      <c r="AU821" s="42"/>
      <c r="AV821" s="44"/>
      <c r="AW821" s="123"/>
      <c r="AX821" s="188"/>
      <c r="AY821" s="188"/>
      <c r="AZ821" s="188"/>
      <c r="BA821" s="236"/>
      <c r="BB821" s="188"/>
      <c r="BC821" s="188"/>
      <c r="BD821" s="188"/>
      <c r="BE821" s="236"/>
      <c r="BG821" s="245"/>
      <c r="BH821" s="188"/>
      <c r="BI821" s="188"/>
      <c r="BJ821" s="188"/>
      <c r="BK821" s="245"/>
      <c r="BL821" s="246"/>
      <c r="BM821" s="188"/>
      <c r="BN821" s="245"/>
      <c r="BO821" s="188"/>
      <c r="BP821" s="245"/>
      <c r="BQ821" s="188"/>
      <c r="BR821" s="188"/>
      <c r="BS821" s="188"/>
      <c r="BT821" s="245"/>
      <c r="BU821" s="246"/>
      <c r="BV821" s="188"/>
      <c r="BW821" s="245"/>
    </row>
    <row r="822" spans="45:75" x14ac:dyDescent="0.3">
      <c r="AV822" s="44"/>
      <c r="AW822" s="123"/>
      <c r="AX822" s="188"/>
      <c r="AY822" s="188"/>
      <c r="AZ822" s="188"/>
      <c r="BA822" s="236"/>
      <c r="BB822" s="188"/>
      <c r="BC822" s="188"/>
      <c r="BD822" s="188"/>
      <c r="BE822" s="236"/>
      <c r="BG822" s="188"/>
      <c r="BH822" s="188"/>
      <c r="BI822" s="188"/>
      <c r="BJ822" s="188"/>
      <c r="BK822" s="188"/>
      <c r="BL822" s="246"/>
      <c r="BM822" s="188"/>
      <c r="BN822" s="188"/>
      <c r="BO822" s="188"/>
      <c r="BP822" s="188"/>
      <c r="BQ822" s="188"/>
      <c r="BR822" s="188"/>
      <c r="BS822" s="188"/>
      <c r="BT822" s="188"/>
      <c r="BU822" s="246"/>
      <c r="BV822" s="188"/>
      <c r="BW822" s="188"/>
    </row>
    <row r="823" spans="45:75" x14ac:dyDescent="0.3">
      <c r="AV823" s="44"/>
      <c r="AW823" s="123"/>
      <c r="AX823" s="188"/>
      <c r="AY823" s="188"/>
      <c r="AZ823" s="188"/>
      <c r="BA823" s="236"/>
      <c r="BB823" s="188"/>
      <c r="BC823" s="188"/>
      <c r="BD823" s="188"/>
      <c r="BE823" s="236"/>
      <c r="BG823" s="188"/>
      <c r="BH823" s="188"/>
      <c r="BI823" s="188"/>
      <c r="BJ823" s="188"/>
      <c r="BK823" s="188"/>
      <c r="BL823" s="246"/>
      <c r="BM823" s="188"/>
      <c r="BN823" s="188"/>
      <c r="BO823" s="188"/>
      <c r="BP823" s="188"/>
      <c r="BQ823" s="188"/>
      <c r="BR823" s="188"/>
      <c r="BS823" s="188"/>
      <c r="BT823" s="188"/>
      <c r="BU823" s="246"/>
      <c r="BV823" s="188"/>
      <c r="BW823" s="188"/>
    </row>
    <row r="824" spans="45:75" x14ac:dyDescent="0.3">
      <c r="AV824" s="44"/>
      <c r="AW824" s="123"/>
      <c r="AX824" s="188"/>
      <c r="AY824" s="188"/>
      <c r="AZ824" s="188"/>
      <c r="BA824" s="236"/>
      <c r="BB824" s="188"/>
      <c r="BC824" s="188"/>
      <c r="BD824" s="188"/>
      <c r="BE824" s="236"/>
      <c r="BG824" s="188"/>
      <c r="BH824" s="188"/>
      <c r="BI824" s="188"/>
      <c r="BJ824" s="188"/>
      <c r="BK824" s="188"/>
      <c r="BL824" s="246"/>
      <c r="BM824" s="188"/>
      <c r="BN824" s="188"/>
      <c r="BO824" s="188"/>
      <c r="BP824" s="188"/>
      <c r="BQ824" s="188"/>
      <c r="BR824" s="188"/>
      <c r="BS824" s="188"/>
      <c r="BT824" s="188"/>
      <c r="BU824" s="246"/>
      <c r="BV824" s="188"/>
      <c r="BW824" s="188"/>
    </row>
    <row r="825" spans="45:75" x14ac:dyDescent="0.3">
      <c r="AX825" s="188"/>
      <c r="AY825" s="188"/>
      <c r="AZ825" s="188"/>
      <c r="BA825" s="236"/>
      <c r="BB825" s="188"/>
      <c r="BC825" s="188"/>
      <c r="BD825" s="188"/>
      <c r="BE825" s="236"/>
      <c r="BG825" s="188"/>
      <c r="BH825" s="188"/>
      <c r="BI825" s="188"/>
      <c r="BJ825" s="188"/>
      <c r="BK825" s="188"/>
      <c r="BL825" s="188"/>
      <c r="BM825" s="188"/>
      <c r="BN825" s="188"/>
      <c r="BO825" s="188"/>
      <c r="BP825" s="188"/>
      <c r="BQ825" s="188"/>
      <c r="BR825" s="188"/>
      <c r="BS825" s="188"/>
      <c r="BT825" s="188"/>
      <c r="BU825" s="188"/>
      <c r="BV825" s="188"/>
    </row>
    <row r="826" spans="45:75" x14ac:dyDescent="0.3">
      <c r="AU826" s="42"/>
    </row>
    <row r="827" spans="45:75" x14ac:dyDescent="0.3">
      <c r="AU827" s="42"/>
      <c r="AZ827" s="188"/>
      <c r="BA827" s="236"/>
      <c r="BB827" s="188"/>
      <c r="BC827" s="188"/>
      <c r="BD827" s="188"/>
      <c r="BE827" s="236"/>
      <c r="BG827" s="188"/>
      <c r="BH827" s="188"/>
      <c r="BI827" s="188"/>
      <c r="BJ827" s="188"/>
      <c r="BK827" s="188"/>
      <c r="BL827" s="188"/>
      <c r="BM827" s="188"/>
      <c r="BN827" s="188"/>
      <c r="BO827" s="188"/>
      <c r="BP827" s="188"/>
      <c r="BQ827" s="188"/>
      <c r="BR827" s="188"/>
      <c r="BS827" s="188"/>
      <c r="BT827" s="188"/>
      <c r="BU827" s="188"/>
      <c r="BV827" s="188"/>
    </row>
    <row r="828" spans="45:75" x14ac:dyDescent="0.3">
      <c r="AS828" s="42"/>
      <c r="AZ828" s="188"/>
      <c r="BB828" s="188"/>
    </row>
    <row r="829" spans="45:75" x14ac:dyDescent="0.3">
      <c r="AZ829" s="188"/>
      <c r="BB829" s="188"/>
      <c r="BO829" s="188"/>
      <c r="BP829" s="188"/>
      <c r="BQ829" s="188"/>
      <c r="BR829" s="188"/>
      <c r="BS829" s="188"/>
      <c r="BT829" s="188"/>
      <c r="BU829" s="188"/>
      <c r="BV829" s="188"/>
    </row>
    <row r="830" spans="45:75" x14ac:dyDescent="0.3">
      <c r="AY830" s="188"/>
      <c r="AZ830" s="188"/>
      <c r="BB830" s="188"/>
      <c r="BO830" s="188"/>
      <c r="BP830" s="188"/>
      <c r="BQ830" s="188"/>
      <c r="BR830" s="188"/>
      <c r="BS830" s="188"/>
      <c r="BT830" s="188"/>
      <c r="BU830" s="188"/>
      <c r="BV830" s="188"/>
    </row>
    <row r="831" spans="45:75" x14ac:dyDescent="0.3">
      <c r="AY831" s="42"/>
      <c r="AZ831" s="188"/>
      <c r="BB831" s="188"/>
      <c r="BO831" s="188"/>
      <c r="BP831" s="188"/>
      <c r="BQ831" s="188"/>
      <c r="BR831" s="188"/>
      <c r="BS831" s="188"/>
      <c r="BT831" s="188"/>
      <c r="BU831" s="188"/>
      <c r="BV831" s="188"/>
    </row>
    <row r="832" spans="45:75" x14ac:dyDescent="0.3">
      <c r="AY832" s="42"/>
      <c r="AZ832" s="188"/>
      <c r="BB832" s="188"/>
      <c r="BO832" s="188"/>
      <c r="BP832" s="188"/>
      <c r="BQ832" s="188"/>
      <c r="BR832" s="188"/>
      <c r="BS832" s="188"/>
      <c r="BT832" s="188"/>
      <c r="BU832" s="188"/>
      <c r="BV832" s="188"/>
    </row>
    <row r="833" spans="45:74" x14ac:dyDescent="0.3">
      <c r="AZ833" s="188"/>
      <c r="BB833" s="188"/>
      <c r="BD833" s="42"/>
      <c r="BO833" s="188"/>
      <c r="BP833" s="188"/>
      <c r="BQ833" s="188"/>
      <c r="BR833" s="188"/>
      <c r="BS833" s="188"/>
      <c r="BT833" s="188"/>
      <c r="BU833" s="188"/>
      <c r="BV833" s="188"/>
    </row>
    <row r="834" spans="45:74" x14ac:dyDescent="0.3">
      <c r="AZ834" s="188"/>
      <c r="BB834" s="188"/>
      <c r="BD834" s="42"/>
      <c r="BO834" s="188"/>
      <c r="BP834" s="188"/>
      <c r="BQ834" s="188"/>
      <c r="BR834" s="188"/>
      <c r="BS834" s="188"/>
      <c r="BT834" s="188"/>
      <c r="BU834" s="188"/>
      <c r="BV834" s="188"/>
    </row>
    <row r="835" spans="45:74" x14ac:dyDescent="0.3">
      <c r="AS835" s="42"/>
      <c r="AZ835" s="188"/>
      <c r="BB835" s="188"/>
      <c r="BD835" s="42"/>
      <c r="BO835" s="188"/>
      <c r="BP835" s="188"/>
      <c r="BQ835" s="188"/>
      <c r="BR835" s="188"/>
      <c r="BS835" s="188"/>
      <c r="BT835" s="188"/>
      <c r="BU835" s="188"/>
      <c r="BV835" s="188"/>
    </row>
    <row r="836" spans="45:74" x14ac:dyDescent="0.3">
      <c r="AZ836" s="188"/>
      <c r="BB836" s="188"/>
      <c r="BO836" s="188"/>
      <c r="BP836" s="188"/>
      <c r="BQ836" s="188"/>
      <c r="BR836" s="188"/>
      <c r="BS836" s="188"/>
      <c r="BT836" s="188"/>
      <c r="BU836" s="188"/>
      <c r="BV836" s="188"/>
    </row>
    <row r="837" spans="45:74" x14ac:dyDescent="0.3">
      <c r="AS837" s="135"/>
      <c r="AT837" s="135"/>
      <c r="AU837" s="135"/>
      <c r="AV837" s="135"/>
      <c r="AW837" s="135"/>
      <c r="AX837" s="135"/>
      <c r="AY837" s="135"/>
      <c r="AZ837" s="244"/>
      <c r="BA837" s="135"/>
      <c r="BB837" s="244"/>
      <c r="BC837" s="135"/>
      <c r="BD837" s="135"/>
      <c r="BE837" s="135"/>
      <c r="BO837" s="188"/>
      <c r="BP837" s="188"/>
      <c r="BQ837" s="188"/>
      <c r="BR837" s="188"/>
      <c r="BS837" s="188"/>
      <c r="BT837" s="188"/>
      <c r="BU837" s="188"/>
      <c r="BV837" s="188"/>
    </row>
    <row r="838" spans="45:74" x14ac:dyDescent="0.3">
      <c r="AX838" s="42"/>
      <c r="AZ838" s="188"/>
      <c r="BB838" s="188"/>
      <c r="BO838" s="188"/>
      <c r="BP838" s="188"/>
      <c r="BQ838" s="188"/>
      <c r="BR838" s="188"/>
      <c r="BS838" s="188"/>
      <c r="BT838" s="188"/>
      <c r="BU838" s="188"/>
      <c r="BV838" s="188"/>
    </row>
    <row r="839" spans="45:74" x14ac:dyDescent="0.3">
      <c r="AX839" s="135"/>
      <c r="AY839" s="135"/>
      <c r="AZ839" s="244"/>
      <c r="BA839" s="135"/>
      <c r="BB839" s="188"/>
      <c r="BC839" s="44"/>
      <c r="BD839" s="44"/>
      <c r="BO839" s="188"/>
      <c r="BP839" s="188"/>
      <c r="BQ839" s="188"/>
      <c r="BR839" s="188"/>
      <c r="BS839" s="188"/>
      <c r="BT839" s="188"/>
      <c r="BU839" s="188"/>
      <c r="BV839" s="188"/>
    </row>
    <row r="840" spans="45:74" x14ac:dyDescent="0.3">
      <c r="AV840" s="44"/>
      <c r="AW840" s="44"/>
      <c r="AZ840" s="245"/>
      <c r="BA840" s="44"/>
      <c r="BB840" s="188"/>
      <c r="BC840" s="44"/>
      <c r="BD840" s="44"/>
      <c r="BE840" s="44"/>
      <c r="BG840" s="135"/>
      <c r="BH840" s="42"/>
      <c r="BK840" s="135"/>
      <c r="BM840" s="135"/>
      <c r="BN840" s="42"/>
      <c r="BQ840" s="135"/>
    </row>
    <row r="841" spans="45:74" x14ac:dyDescent="0.3">
      <c r="AV841" s="44"/>
      <c r="AW841" s="44"/>
      <c r="AX841" s="44"/>
      <c r="AY841" s="44"/>
      <c r="AZ841" s="245"/>
      <c r="BA841" s="44"/>
      <c r="BB841" s="245"/>
      <c r="BC841" s="44"/>
      <c r="BD841" s="44"/>
      <c r="BE841" s="44"/>
      <c r="BH841" s="44"/>
      <c r="BI841" s="44"/>
      <c r="BN841" s="44"/>
      <c r="BO841" s="44"/>
    </row>
    <row r="842" spans="45:74" x14ac:dyDescent="0.3">
      <c r="AS842" s="44"/>
      <c r="AU842" s="42"/>
      <c r="AV842" s="44"/>
      <c r="AW842" s="44"/>
      <c r="AX842" s="44"/>
      <c r="AY842" s="44"/>
      <c r="AZ842" s="245"/>
      <c r="BA842" s="44"/>
      <c r="BB842" s="245"/>
      <c r="BC842" s="44"/>
      <c r="BD842" s="44"/>
      <c r="BE842" s="44"/>
      <c r="BG842" s="44"/>
      <c r="BH842" s="44"/>
      <c r="BI842" s="44"/>
      <c r="BJ842" s="44"/>
      <c r="BK842" s="44"/>
      <c r="BM842" s="44"/>
      <c r="BN842" s="44"/>
      <c r="BO842" s="44"/>
      <c r="BP842" s="44"/>
      <c r="BQ842" s="44"/>
    </row>
    <row r="843" spans="45:74" x14ac:dyDescent="0.3">
      <c r="AS843" s="44"/>
      <c r="AU843" s="42"/>
      <c r="AV843" s="44"/>
      <c r="AW843" s="44"/>
      <c r="AX843" s="44"/>
      <c r="AY843" s="44"/>
      <c r="AZ843" s="245"/>
      <c r="BA843" s="44"/>
      <c r="BB843" s="245"/>
      <c r="BC843" s="44"/>
      <c r="BD843" s="44"/>
      <c r="BE843" s="44"/>
      <c r="BG843" s="44"/>
      <c r="BH843" s="44"/>
      <c r="BI843" s="44"/>
      <c r="BJ843" s="44"/>
      <c r="BK843" s="44"/>
      <c r="BM843" s="44"/>
      <c r="BN843" s="44"/>
      <c r="BO843" s="44"/>
      <c r="BP843" s="44"/>
      <c r="BQ843" s="44"/>
    </row>
    <row r="844" spans="45:74" x14ac:dyDescent="0.3">
      <c r="AS844" s="135"/>
      <c r="AT844" s="135"/>
      <c r="AU844" s="135"/>
      <c r="AV844" s="135"/>
      <c r="AW844" s="135"/>
      <c r="AX844" s="135"/>
      <c r="AY844" s="135"/>
      <c r="AZ844" s="244"/>
      <c r="BA844" s="135"/>
      <c r="BB844" s="244"/>
      <c r="BC844" s="135"/>
      <c r="BD844" s="135"/>
      <c r="BE844" s="135"/>
      <c r="BG844" s="135"/>
      <c r="BH844" s="135"/>
      <c r="BI844" s="135"/>
      <c r="BJ844" s="135"/>
      <c r="BK844" s="135"/>
      <c r="BM844" s="135"/>
      <c r="BN844" s="135"/>
      <c r="BO844" s="135"/>
      <c r="BP844" s="135"/>
      <c r="BQ844" s="135"/>
    </row>
    <row r="845" spans="45:74" x14ac:dyDescent="0.3">
      <c r="AV845" s="44"/>
      <c r="AW845" s="44"/>
      <c r="AX845" s="44"/>
      <c r="AY845" s="44"/>
      <c r="AZ845" s="245"/>
      <c r="BA845" s="44"/>
      <c r="BB845" s="245"/>
      <c r="BC845" s="44"/>
      <c r="BD845" s="44"/>
      <c r="BE845" s="44"/>
      <c r="BG845" s="188"/>
      <c r="BH845" s="188"/>
      <c r="BI845" s="188"/>
      <c r="BJ845" s="188"/>
      <c r="BK845" s="188"/>
      <c r="BL845" s="188"/>
      <c r="BM845" s="188"/>
      <c r="BN845" s="188"/>
      <c r="BO845" s="188"/>
      <c r="BP845" s="188"/>
      <c r="BQ845" s="188"/>
    </row>
    <row r="846" spans="45:74" x14ac:dyDescent="0.3">
      <c r="AT846" s="42"/>
      <c r="AV846" s="123"/>
      <c r="AW846" s="123"/>
      <c r="AX846" s="188"/>
      <c r="AY846" s="188"/>
      <c r="AZ846" s="188"/>
      <c r="BA846" s="236"/>
      <c r="BB846" s="188"/>
      <c r="BC846" s="188"/>
      <c r="BD846" s="188"/>
      <c r="BE846" s="236"/>
      <c r="BG846" s="188"/>
      <c r="BH846" s="188"/>
      <c r="BI846" s="188"/>
      <c r="BJ846" s="188"/>
      <c r="BK846" s="188"/>
      <c r="BL846" s="188"/>
      <c r="BM846" s="188"/>
      <c r="BN846" s="188"/>
      <c r="BO846" s="188"/>
      <c r="BP846" s="188"/>
      <c r="BQ846" s="188"/>
      <c r="BR846" s="188"/>
      <c r="BS846" s="188"/>
    </row>
    <row r="847" spans="45:74" x14ac:dyDescent="0.3">
      <c r="AV847" s="123"/>
      <c r="AW847" s="123"/>
      <c r="AX847" s="188"/>
      <c r="AY847" s="188"/>
      <c r="AZ847" s="188"/>
      <c r="BA847" s="236"/>
      <c r="BB847" s="188"/>
      <c r="BC847" s="188"/>
      <c r="BD847" s="188"/>
      <c r="BE847" s="236"/>
      <c r="BG847" s="188"/>
      <c r="BH847" s="188"/>
      <c r="BI847" s="188"/>
      <c r="BJ847" s="188"/>
      <c r="BK847" s="188"/>
      <c r="BL847" s="188"/>
      <c r="BM847" s="188"/>
      <c r="BN847" s="188"/>
      <c r="BO847" s="188"/>
      <c r="BP847" s="188"/>
      <c r="BQ847" s="188"/>
      <c r="BR847" s="188"/>
      <c r="BS847" s="188"/>
    </row>
    <row r="848" spans="45:74" x14ac:dyDescent="0.3">
      <c r="AV848" s="123"/>
      <c r="AW848" s="123"/>
      <c r="AX848" s="188"/>
      <c r="AY848" s="188"/>
      <c r="AZ848" s="188"/>
      <c r="BA848" s="236"/>
      <c r="BB848" s="188"/>
      <c r="BC848" s="188"/>
      <c r="BD848" s="188"/>
      <c r="BE848" s="236"/>
      <c r="BG848" s="188"/>
      <c r="BH848" s="188"/>
      <c r="BI848" s="188"/>
      <c r="BJ848" s="188"/>
      <c r="BK848" s="188"/>
      <c r="BL848" s="188"/>
      <c r="BM848" s="188"/>
      <c r="BN848" s="188"/>
      <c r="BO848" s="188"/>
      <c r="BP848" s="188"/>
      <c r="BQ848" s="188"/>
      <c r="BR848" s="188"/>
      <c r="BS848" s="188"/>
    </row>
    <row r="849" spans="48:71" x14ac:dyDescent="0.3">
      <c r="AV849" s="123"/>
      <c r="AW849" s="123"/>
      <c r="AX849" s="188"/>
      <c r="AY849" s="188"/>
      <c r="AZ849" s="188"/>
      <c r="BA849" s="236"/>
      <c r="BB849" s="188"/>
      <c r="BC849" s="188"/>
      <c r="BD849" s="188"/>
      <c r="BE849" s="236"/>
      <c r="BG849" s="188"/>
      <c r="BH849" s="188"/>
      <c r="BI849" s="188"/>
      <c r="BJ849" s="188"/>
      <c r="BK849" s="188"/>
      <c r="BL849" s="188"/>
      <c r="BM849" s="188"/>
      <c r="BN849" s="188"/>
      <c r="BO849" s="188"/>
      <c r="BP849" s="188"/>
      <c r="BQ849" s="188"/>
      <c r="BR849" s="188"/>
      <c r="BS849" s="188"/>
    </row>
    <row r="850" spans="48:71" x14ac:dyDescent="0.3">
      <c r="AV850" s="123"/>
      <c r="AW850" s="123"/>
      <c r="AX850" s="188"/>
      <c r="AY850" s="188"/>
      <c r="AZ850" s="188"/>
      <c r="BA850" s="236"/>
      <c r="BB850" s="188"/>
      <c r="BC850" s="188"/>
      <c r="BD850" s="188"/>
      <c r="BE850" s="236"/>
      <c r="BG850" s="188"/>
      <c r="BH850" s="188"/>
      <c r="BI850" s="188"/>
      <c r="BJ850" s="188"/>
      <c r="BK850" s="188"/>
      <c r="BL850" s="188"/>
      <c r="BM850" s="188"/>
      <c r="BN850" s="188"/>
      <c r="BO850" s="188"/>
      <c r="BP850" s="188"/>
      <c r="BQ850" s="188"/>
      <c r="BR850" s="188"/>
      <c r="BS850" s="188"/>
    </row>
    <row r="851" spans="48:71" x14ac:dyDescent="0.3">
      <c r="AV851" s="123"/>
      <c r="AW851" s="123"/>
      <c r="AX851" s="188"/>
      <c r="AY851" s="188"/>
      <c r="AZ851" s="188"/>
      <c r="BA851" s="236"/>
      <c r="BB851" s="188"/>
      <c r="BC851" s="188"/>
      <c r="BD851" s="188"/>
      <c r="BE851" s="236"/>
      <c r="BG851" s="188"/>
      <c r="BH851" s="188"/>
      <c r="BI851" s="188"/>
      <c r="BJ851" s="188"/>
      <c r="BK851" s="188"/>
      <c r="BL851" s="188"/>
      <c r="BM851" s="188"/>
      <c r="BN851" s="188"/>
      <c r="BO851" s="188"/>
      <c r="BP851" s="188"/>
      <c r="BQ851" s="188"/>
      <c r="BR851" s="188"/>
      <c r="BS851" s="188"/>
    </row>
    <row r="852" spans="48:71" x14ac:dyDescent="0.3">
      <c r="AV852" s="123"/>
      <c r="AW852" s="123"/>
      <c r="AX852" s="188"/>
      <c r="AY852" s="188"/>
      <c r="AZ852" s="188"/>
      <c r="BA852" s="236"/>
      <c r="BB852" s="188"/>
      <c r="BC852" s="188"/>
      <c r="BD852" s="188"/>
      <c r="BE852" s="236"/>
      <c r="BG852" s="188"/>
      <c r="BH852" s="188"/>
      <c r="BI852" s="188"/>
      <c r="BJ852" s="188"/>
      <c r="BK852" s="188"/>
      <c r="BL852" s="188"/>
      <c r="BM852" s="188"/>
      <c r="BN852" s="188"/>
      <c r="BO852" s="188"/>
      <c r="BP852" s="188"/>
      <c r="BQ852" s="188"/>
      <c r="BR852" s="188"/>
      <c r="BS852" s="188"/>
    </row>
    <row r="853" spans="48:71" x14ac:dyDescent="0.3">
      <c r="AV853" s="123"/>
      <c r="AW853" s="123"/>
      <c r="AX853" s="188"/>
      <c r="AY853" s="188"/>
      <c r="AZ853" s="188"/>
      <c r="BA853" s="236"/>
      <c r="BB853" s="188"/>
      <c r="BC853" s="188"/>
      <c r="BD853" s="188"/>
      <c r="BE853" s="236"/>
      <c r="BG853" s="188"/>
      <c r="BH853" s="188"/>
      <c r="BI853" s="188"/>
      <c r="BJ853" s="188"/>
      <c r="BK853" s="188"/>
      <c r="BL853" s="188"/>
      <c r="BM853" s="188"/>
      <c r="BN853" s="188"/>
      <c r="BO853" s="188"/>
      <c r="BP853" s="188"/>
      <c r="BQ853" s="188"/>
      <c r="BR853" s="188"/>
      <c r="BS853" s="188"/>
    </row>
    <row r="854" spans="48:71" x14ac:dyDescent="0.3">
      <c r="AV854" s="123"/>
      <c r="AW854" s="123"/>
      <c r="AX854" s="188"/>
      <c r="AY854" s="188"/>
      <c r="AZ854" s="188"/>
      <c r="BA854" s="236"/>
      <c r="BB854" s="188"/>
      <c r="BC854" s="188"/>
      <c r="BD854" s="188"/>
      <c r="BE854" s="236"/>
      <c r="BG854" s="188"/>
      <c r="BH854" s="188"/>
      <c r="BI854" s="188"/>
      <c r="BJ854" s="188"/>
      <c r="BK854" s="188"/>
      <c r="BL854" s="188"/>
      <c r="BM854" s="188"/>
      <c r="BN854" s="188"/>
      <c r="BO854" s="188"/>
      <c r="BP854" s="188"/>
      <c r="BQ854" s="188"/>
      <c r="BR854" s="188"/>
      <c r="BS854" s="188"/>
    </row>
    <row r="855" spans="48:71" x14ac:dyDescent="0.3">
      <c r="AV855" s="123"/>
      <c r="AW855" s="123"/>
      <c r="AX855" s="188"/>
      <c r="AY855" s="188"/>
      <c r="AZ855" s="188"/>
      <c r="BA855" s="236"/>
      <c r="BB855" s="188"/>
      <c r="BC855" s="188"/>
      <c r="BD855" s="188"/>
      <c r="BE855" s="236"/>
      <c r="BG855" s="188"/>
      <c r="BH855" s="188"/>
      <c r="BI855" s="188"/>
      <c r="BJ855" s="188"/>
      <c r="BK855" s="188"/>
      <c r="BL855" s="188"/>
      <c r="BM855" s="188"/>
      <c r="BN855" s="188"/>
      <c r="BO855" s="188"/>
      <c r="BP855" s="188"/>
      <c r="BQ855" s="188"/>
      <c r="BR855" s="188"/>
      <c r="BS855" s="188"/>
    </row>
    <row r="856" spans="48:71" x14ac:dyDescent="0.3">
      <c r="AV856" s="123"/>
      <c r="AW856" s="123"/>
      <c r="AX856" s="188"/>
      <c r="AY856" s="188"/>
      <c r="AZ856" s="188"/>
      <c r="BA856" s="236"/>
      <c r="BB856" s="188"/>
      <c r="BC856" s="188"/>
      <c r="BD856" s="188"/>
      <c r="BE856" s="236"/>
      <c r="BG856" s="188"/>
      <c r="BH856" s="188"/>
      <c r="BI856" s="188"/>
      <c r="BJ856" s="188"/>
      <c r="BK856" s="188"/>
      <c r="BL856" s="188"/>
      <c r="BM856" s="188"/>
      <c r="BN856" s="188"/>
      <c r="BO856" s="188"/>
      <c r="BP856" s="188"/>
      <c r="BQ856" s="188"/>
      <c r="BR856" s="188"/>
      <c r="BS856" s="188"/>
    </row>
    <row r="857" spans="48:71" x14ac:dyDescent="0.3">
      <c r="AV857" s="123"/>
      <c r="AW857" s="123"/>
      <c r="AX857" s="188"/>
      <c r="AY857" s="188"/>
      <c r="AZ857" s="188"/>
      <c r="BA857" s="236"/>
      <c r="BB857" s="188"/>
      <c r="BC857" s="188"/>
      <c r="BD857" s="188"/>
      <c r="BE857" s="236"/>
      <c r="BG857" s="188"/>
      <c r="BH857" s="188"/>
      <c r="BI857" s="188"/>
      <c r="BJ857" s="188"/>
      <c r="BK857" s="188"/>
      <c r="BL857" s="188"/>
      <c r="BM857" s="188"/>
      <c r="BN857" s="188"/>
      <c r="BO857" s="188"/>
      <c r="BP857" s="188"/>
      <c r="BQ857" s="188"/>
      <c r="BR857" s="188"/>
      <c r="BS857" s="188"/>
    </row>
    <row r="858" spans="48:71" x14ac:dyDescent="0.3">
      <c r="AV858" s="123"/>
      <c r="AW858" s="123"/>
      <c r="AX858" s="188"/>
      <c r="AY858" s="188"/>
      <c r="AZ858" s="188"/>
      <c r="BA858" s="236"/>
      <c r="BB858" s="188"/>
      <c r="BC858" s="188"/>
      <c r="BD858" s="188"/>
      <c r="BE858" s="236"/>
      <c r="BG858" s="188"/>
      <c r="BH858" s="188"/>
      <c r="BI858" s="188"/>
      <c r="BJ858" s="188"/>
      <c r="BK858" s="188"/>
      <c r="BL858" s="188"/>
      <c r="BM858" s="188"/>
      <c r="BN858" s="188"/>
      <c r="BO858" s="188"/>
      <c r="BP858" s="188"/>
      <c r="BQ858" s="188"/>
      <c r="BR858" s="188"/>
      <c r="BS858" s="188"/>
    </row>
    <row r="859" spans="48:71" x14ac:dyDescent="0.3">
      <c r="AV859" s="123"/>
      <c r="AW859" s="123"/>
      <c r="AX859" s="188"/>
      <c r="AY859" s="188"/>
      <c r="AZ859" s="188"/>
      <c r="BA859" s="236"/>
      <c r="BB859" s="188"/>
      <c r="BC859" s="188"/>
      <c r="BD859" s="188"/>
      <c r="BE859" s="236"/>
      <c r="BG859" s="188"/>
      <c r="BH859" s="188"/>
      <c r="BI859" s="188"/>
      <c r="BJ859" s="188"/>
      <c r="BK859" s="188"/>
      <c r="BL859" s="188"/>
      <c r="BM859" s="188"/>
      <c r="BN859" s="188"/>
      <c r="BO859" s="188"/>
      <c r="BP859" s="188"/>
      <c r="BQ859" s="188"/>
      <c r="BR859" s="188"/>
      <c r="BS859" s="188"/>
    </row>
    <row r="860" spans="48:71" x14ac:dyDescent="0.3">
      <c r="AV860" s="123"/>
      <c r="AW860" s="123"/>
      <c r="AX860" s="188"/>
      <c r="AY860" s="188"/>
      <c r="AZ860" s="188"/>
      <c r="BA860" s="236"/>
      <c r="BB860" s="188"/>
      <c r="BC860" s="188"/>
      <c r="BD860" s="188"/>
      <c r="BE860" s="236"/>
      <c r="BG860" s="188"/>
      <c r="BH860" s="188"/>
      <c r="BI860" s="188"/>
      <c r="BJ860" s="188"/>
      <c r="BK860" s="188"/>
      <c r="BL860" s="188"/>
      <c r="BM860" s="188"/>
      <c r="BN860" s="188"/>
      <c r="BO860" s="188"/>
      <c r="BP860" s="188"/>
      <c r="BQ860" s="188"/>
      <c r="BR860" s="188"/>
      <c r="BS860" s="188"/>
    </row>
    <row r="861" spans="48:71" x14ac:dyDescent="0.3">
      <c r="AV861" s="123"/>
      <c r="AW861" s="123"/>
      <c r="AX861" s="188"/>
      <c r="AY861" s="188"/>
      <c r="AZ861" s="188"/>
      <c r="BA861" s="236"/>
      <c r="BB861" s="188"/>
      <c r="BC861" s="188"/>
      <c r="BD861" s="188"/>
      <c r="BE861" s="236"/>
      <c r="BG861" s="188"/>
      <c r="BH861" s="188"/>
      <c r="BI861" s="188"/>
      <c r="BJ861" s="188"/>
      <c r="BK861" s="188"/>
      <c r="BL861" s="188"/>
      <c r="BM861" s="188"/>
      <c r="BN861" s="188"/>
      <c r="BO861" s="188"/>
      <c r="BP861" s="188"/>
      <c r="BQ861" s="188"/>
      <c r="BR861" s="188"/>
      <c r="BS861" s="188"/>
    </row>
    <row r="862" spans="48:71" x14ac:dyDescent="0.3">
      <c r="AV862" s="123"/>
      <c r="AW862" s="123"/>
      <c r="AX862" s="188"/>
      <c r="AY862" s="188"/>
      <c r="AZ862" s="188"/>
      <c r="BA862" s="236"/>
      <c r="BB862" s="188"/>
      <c r="BC862" s="188"/>
      <c r="BD862" s="188"/>
      <c r="BE862" s="236"/>
      <c r="BG862" s="188"/>
      <c r="BH862" s="188"/>
      <c r="BI862" s="188"/>
      <c r="BJ862" s="188"/>
      <c r="BK862" s="188"/>
      <c r="BL862" s="188"/>
      <c r="BM862" s="188"/>
      <c r="BN862" s="188"/>
      <c r="BO862" s="188"/>
      <c r="BP862" s="188"/>
      <c r="BQ862" s="188"/>
      <c r="BR862" s="188"/>
      <c r="BS862" s="188"/>
    </row>
    <row r="863" spans="48:71" x14ac:dyDescent="0.3">
      <c r="AV863" s="123"/>
      <c r="AW863" s="123"/>
      <c r="AX863" s="188"/>
      <c r="AY863" s="188"/>
      <c r="AZ863" s="188"/>
      <c r="BA863" s="236"/>
      <c r="BB863" s="188"/>
      <c r="BC863" s="188"/>
      <c r="BD863" s="188"/>
      <c r="BE863" s="236"/>
      <c r="BG863" s="188"/>
      <c r="BH863" s="188"/>
      <c r="BI863" s="188"/>
      <c r="BJ863" s="188"/>
      <c r="BK863" s="188"/>
      <c r="BL863" s="188"/>
      <c r="BM863" s="188"/>
      <c r="BN863" s="188"/>
      <c r="BO863" s="188"/>
      <c r="BP863" s="188"/>
      <c r="BQ863" s="188"/>
      <c r="BR863" s="188"/>
      <c r="BS863" s="188"/>
    </row>
    <row r="864" spans="48:71" x14ac:dyDescent="0.3">
      <c r="AZ864" s="188"/>
      <c r="BB864" s="188"/>
      <c r="BC864" s="188"/>
      <c r="BD864" s="188"/>
      <c r="BG864" s="188"/>
      <c r="BH864" s="188"/>
      <c r="BI864" s="188"/>
      <c r="BJ864" s="188"/>
      <c r="BK864" s="188"/>
      <c r="BL864" s="188"/>
      <c r="BM864" s="188"/>
      <c r="BN864" s="188"/>
      <c r="BO864" s="188"/>
      <c r="BP864" s="188"/>
      <c r="BQ864" s="188"/>
      <c r="BR864" s="188"/>
      <c r="BS864" s="188"/>
    </row>
    <row r="865" spans="46:57" x14ac:dyDescent="0.3">
      <c r="AT865" s="42"/>
      <c r="AV865" s="123"/>
      <c r="AW865" s="123"/>
      <c r="AX865" s="188"/>
      <c r="AY865" s="188"/>
      <c r="AZ865" s="188"/>
      <c r="BA865" s="236"/>
      <c r="BB865" s="188"/>
      <c r="BC865" s="188"/>
      <c r="BD865" s="188"/>
      <c r="BE865" s="236"/>
    </row>
    <row r="866" spans="46:57" x14ac:dyDescent="0.3">
      <c r="AV866" s="123"/>
      <c r="AW866" s="123"/>
      <c r="AX866" s="188"/>
      <c r="AY866" s="188"/>
      <c r="AZ866" s="188"/>
      <c r="BA866" s="236"/>
      <c r="BB866" s="188"/>
      <c r="BC866" s="188"/>
      <c r="BD866" s="188"/>
      <c r="BE866" s="236"/>
    </row>
    <row r="867" spans="46:57" x14ac:dyDescent="0.3">
      <c r="AV867" s="123"/>
      <c r="AW867" s="123"/>
      <c r="AX867" s="188"/>
      <c r="AY867" s="188"/>
      <c r="AZ867" s="188"/>
      <c r="BA867" s="236"/>
      <c r="BB867" s="188"/>
      <c r="BC867" s="188"/>
      <c r="BD867" s="188"/>
      <c r="BE867" s="236"/>
    </row>
    <row r="868" spans="46:57" x14ac:dyDescent="0.3">
      <c r="AV868" s="123"/>
      <c r="AW868" s="123"/>
      <c r="AX868" s="188"/>
      <c r="AY868" s="188"/>
      <c r="AZ868" s="188"/>
      <c r="BA868" s="236"/>
      <c r="BB868" s="188"/>
      <c r="BC868" s="188"/>
      <c r="BD868" s="188"/>
      <c r="BE868" s="236"/>
    </row>
    <row r="869" spans="46:57" x14ac:dyDescent="0.3">
      <c r="AV869" s="123"/>
      <c r="AW869" s="123"/>
      <c r="AX869" s="188"/>
      <c r="AY869" s="188"/>
      <c r="AZ869" s="188"/>
      <c r="BA869" s="236"/>
      <c r="BB869" s="188"/>
      <c r="BC869" s="188"/>
      <c r="BD869" s="188"/>
      <c r="BE869" s="236"/>
    </row>
    <row r="870" spans="46:57" x14ac:dyDescent="0.3">
      <c r="AV870" s="123"/>
      <c r="AW870" s="123"/>
      <c r="AX870" s="188"/>
      <c r="AY870" s="188"/>
      <c r="AZ870" s="188"/>
      <c r="BA870" s="236"/>
      <c r="BB870" s="188"/>
      <c r="BC870" s="188"/>
      <c r="BD870" s="188"/>
      <c r="BE870" s="236"/>
    </row>
    <row r="871" spans="46:57" x14ac:dyDescent="0.3">
      <c r="AV871" s="123"/>
      <c r="AW871" s="123"/>
      <c r="AX871" s="188"/>
      <c r="AY871" s="188"/>
      <c r="AZ871" s="188"/>
      <c r="BA871" s="236"/>
      <c r="BB871" s="188"/>
      <c r="BC871" s="188"/>
      <c r="BD871" s="188"/>
      <c r="BE871" s="236"/>
    </row>
    <row r="872" spans="46:57" x14ac:dyDescent="0.3">
      <c r="AV872" s="123"/>
      <c r="AW872" s="123"/>
      <c r="AX872" s="188"/>
      <c r="AY872" s="188"/>
      <c r="AZ872" s="188"/>
      <c r="BA872" s="236"/>
      <c r="BB872" s="188"/>
      <c r="BC872" s="188"/>
      <c r="BD872" s="188"/>
      <c r="BE872" s="236"/>
    </row>
    <row r="873" spans="46:57" x14ac:dyDescent="0.3">
      <c r="AV873" s="123"/>
      <c r="AW873" s="123"/>
      <c r="AX873" s="188"/>
      <c r="AY873" s="188"/>
      <c r="AZ873" s="188"/>
      <c r="BA873" s="236"/>
      <c r="BB873" s="188"/>
      <c r="BC873" s="188"/>
      <c r="BD873" s="188"/>
      <c r="BE873" s="236"/>
    </row>
    <row r="874" spans="46:57" x14ac:dyDescent="0.3">
      <c r="AV874" s="123"/>
      <c r="AW874" s="123"/>
      <c r="AX874" s="188"/>
      <c r="AY874" s="188"/>
      <c r="AZ874" s="188"/>
      <c r="BA874" s="236"/>
      <c r="BB874" s="188"/>
      <c r="BC874" s="188"/>
      <c r="BD874" s="188"/>
      <c r="BE874" s="236"/>
    </row>
    <row r="875" spans="46:57" x14ac:dyDescent="0.3">
      <c r="AV875" s="123"/>
      <c r="AW875" s="123"/>
      <c r="AX875" s="188"/>
      <c r="AY875" s="188"/>
      <c r="AZ875" s="188"/>
      <c r="BA875" s="236"/>
      <c r="BB875" s="188"/>
      <c r="BC875" s="188"/>
      <c r="BD875" s="188"/>
      <c r="BE875" s="236"/>
    </row>
    <row r="876" spans="46:57" x14ac:dyDescent="0.3">
      <c r="AV876" s="123"/>
      <c r="AW876" s="123"/>
      <c r="AX876" s="188"/>
      <c r="AY876" s="188"/>
      <c r="AZ876" s="188"/>
      <c r="BA876" s="236"/>
      <c r="BB876" s="188"/>
      <c r="BC876" s="188"/>
      <c r="BD876" s="188"/>
      <c r="BE876" s="236"/>
    </row>
    <row r="877" spans="46:57" x14ac:dyDescent="0.3">
      <c r="AV877" s="123"/>
      <c r="AW877" s="123"/>
      <c r="AX877" s="188"/>
      <c r="AY877" s="188"/>
      <c r="AZ877" s="188"/>
      <c r="BA877" s="236"/>
      <c r="BB877" s="188"/>
      <c r="BC877" s="188"/>
      <c r="BD877" s="188"/>
      <c r="BE877" s="236"/>
    </row>
    <row r="878" spans="46:57" x14ac:dyDescent="0.3">
      <c r="AV878" s="123"/>
      <c r="AW878" s="123"/>
      <c r="AX878" s="188"/>
      <c r="AY878" s="188"/>
      <c r="AZ878" s="188"/>
      <c r="BA878" s="236"/>
      <c r="BB878" s="188"/>
      <c r="BC878" s="188"/>
      <c r="BD878" s="188"/>
      <c r="BE878" s="236"/>
    </row>
    <row r="879" spans="46:57" x14ac:dyDescent="0.3">
      <c r="AV879" s="123"/>
      <c r="AW879" s="123"/>
      <c r="AX879" s="188"/>
      <c r="AY879" s="188"/>
      <c r="AZ879" s="188"/>
      <c r="BA879" s="236"/>
      <c r="BB879" s="188"/>
      <c r="BC879" s="188"/>
      <c r="BD879" s="188"/>
      <c r="BE879" s="236"/>
    </row>
    <row r="880" spans="46:57" x14ac:dyDescent="0.3">
      <c r="AV880" s="123"/>
      <c r="AW880" s="123"/>
      <c r="AX880" s="188"/>
      <c r="AY880" s="188"/>
      <c r="AZ880" s="188"/>
      <c r="BA880" s="236"/>
      <c r="BB880" s="188"/>
      <c r="BC880" s="188"/>
      <c r="BD880" s="188"/>
      <c r="BE880" s="236"/>
    </row>
    <row r="881" spans="45:57" x14ac:dyDescent="0.3">
      <c r="AV881" s="123"/>
      <c r="AW881" s="123"/>
      <c r="AX881" s="188"/>
      <c r="AY881" s="188"/>
      <c r="AZ881" s="188"/>
      <c r="BA881" s="236"/>
      <c r="BB881" s="188"/>
      <c r="BC881" s="188"/>
      <c r="BD881" s="188"/>
      <c r="BE881" s="236"/>
    </row>
    <row r="882" spans="45:57" x14ac:dyDescent="0.3">
      <c r="AV882" s="123"/>
      <c r="AW882" s="123"/>
      <c r="AX882" s="188"/>
      <c r="AY882" s="188"/>
      <c r="AZ882" s="188"/>
      <c r="BA882" s="236"/>
      <c r="BB882" s="188"/>
      <c r="BC882" s="188"/>
      <c r="BD882" s="188"/>
      <c r="BE882" s="236"/>
    </row>
    <row r="883" spans="45:57" x14ac:dyDescent="0.3">
      <c r="BB883" s="188"/>
    </row>
    <row r="884" spans="45:57" x14ac:dyDescent="0.3">
      <c r="AU884" s="42"/>
      <c r="BB884" s="188"/>
    </row>
    <row r="885" spans="45:57" x14ac:dyDescent="0.3">
      <c r="AU885" s="42"/>
    </row>
    <row r="886" spans="45:57" x14ac:dyDescent="0.3">
      <c r="AU886" s="42"/>
      <c r="BB886" s="188"/>
    </row>
    <row r="887" spans="45:57" x14ac:dyDescent="0.3">
      <c r="AS887" s="42"/>
      <c r="AZ887" s="188"/>
      <c r="BB887" s="188"/>
    </row>
    <row r="888" spans="45:57" x14ac:dyDescent="0.3">
      <c r="AZ888" s="188"/>
      <c r="BB888" s="188"/>
    </row>
    <row r="889" spans="45:57" x14ac:dyDescent="0.3">
      <c r="AY889" s="188"/>
      <c r="AZ889" s="188"/>
      <c r="BB889" s="188"/>
    </row>
    <row r="890" spans="45:57" x14ac:dyDescent="0.3">
      <c r="AY890" s="42"/>
      <c r="AZ890" s="188"/>
      <c r="BB890" s="188"/>
    </row>
    <row r="891" spans="45:57" x14ac:dyDescent="0.3">
      <c r="AY891" s="42"/>
      <c r="AZ891" s="188"/>
      <c r="BB891" s="188"/>
    </row>
    <row r="892" spans="45:57" x14ac:dyDescent="0.3">
      <c r="AZ892" s="188"/>
      <c r="BB892" s="188"/>
      <c r="BD892" s="42"/>
    </row>
    <row r="893" spans="45:57" x14ac:dyDescent="0.3">
      <c r="AZ893" s="188"/>
      <c r="BB893" s="188"/>
      <c r="BD893" s="42"/>
    </row>
    <row r="894" spans="45:57" x14ac:dyDescent="0.3">
      <c r="AS894" s="42"/>
      <c r="AZ894" s="188"/>
      <c r="BB894" s="188"/>
      <c r="BD894" s="42"/>
    </row>
    <row r="895" spans="45:57" x14ac:dyDescent="0.3">
      <c r="AZ895" s="188"/>
      <c r="BB895" s="188"/>
    </row>
    <row r="896" spans="45:57" x14ac:dyDescent="0.3">
      <c r="AS896" s="135"/>
      <c r="AT896" s="135"/>
      <c r="AU896" s="135"/>
      <c r="AV896" s="135"/>
      <c r="AW896" s="135"/>
      <c r="AX896" s="135"/>
      <c r="AY896" s="135"/>
      <c r="AZ896" s="244"/>
      <c r="BA896" s="135"/>
      <c r="BB896" s="244"/>
      <c r="BC896" s="135"/>
      <c r="BD896" s="135"/>
      <c r="BE896" s="135"/>
    </row>
    <row r="897" spans="45:57" x14ac:dyDescent="0.3">
      <c r="AX897" s="42"/>
      <c r="AZ897" s="188"/>
      <c r="BB897" s="188"/>
    </row>
    <row r="898" spans="45:57" x14ac:dyDescent="0.3">
      <c r="AX898" s="135"/>
      <c r="AY898" s="135"/>
      <c r="AZ898" s="244"/>
      <c r="BA898" s="135"/>
      <c r="BB898" s="188"/>
      <c r="BC898" s="44"/>
      <c r="BD898" s="44"/>
    </row>
    <row r="899" spans="45:57" x14ac:dyDescent="0.3">
      <c r="AV899" s="44"/>
      <c r="AW899" s="44"/>
      <c r="AZ899" s="245"/>
      <c r="BA899" s="44"/>
      <c r="BB899" s="188"/>
      <c r="BC899" s="44"/>
      <c r="BD899" s="44"/>
      <c r="BE899" s="44"/>
    </row>
    <row r="900" spans="45:57" x14ac:dyDescent="0.3">
      <c r="AV900" s="44"/>
      <c r="AW900" s="44"/>
      <c r="AX900" s="44"/>
      <c r="AY900" s="44"/>
      <c r="AZ900" s="245"/>
      <c r="BA900" s="44"/>
      <c r="BB900" s="245"/>
      <c r="BC900" s="44"/>
      <c r="BD900" s="44"/>
      <c r="BE900" s="44"/>
    </row>
    <row r="901" spans="45:57" x14ac:dyDescent="0.3">
      <c r="AS901" s="44"/>
      <c r="AU901" s="42"/>
      <c r="AV901" s="44"/>
      <c r="AW901" s="44"/>
      <c r="AX901" s="44"/>
      <c r="AY901" s="44"/>
      <c r="AZ901" s="245"/>
      <c r="BA901" s="44"/>
      <c r="BB901" s="245"/>
      <c r="BC901" s="44"/>
      <c r="BD901" s="44"/>
      <c r="BE901" s="44"/>
    </row>
    <row r="902" spans="45:57" x14ac:dyDescent="0.3">
      <c r="AS902" s="44"/>
      <c r="AU902" s="42"/>
      <c r="AV902" s="44"/>
      <c r="AW902" s="44"/>
      <c r="AX902" s="44"/>
      <c r="AY902" s="44"/>
      <c r="AZ902" s="245"/>
      <c r="BA902" s="44"/>
      <c r="BB902" s="245"/>
      <c r="BC902" s="44"/>
      <c r="BD902" s="44"/>
      <c r="BE902" s="44"/>
    </row>
    <row r="903" spans="45:57" x14ac:dyDescent="0.3">
      <c r="AS903" s="135"/>
      <c r="AT903" s="135"/>
      <c r="AU903" s="135"/>
      <c r="AV903" s="135"/>
      <c r="AW903" s="135"/>
      <c r="AX903" s="135"/>
      <c r="AY903" s="135"/>
      <c r="AZ903" s="244"/>
      <c r="BA903" s="135"/>
      <c r="BB903" s="244"/>
      <c r="BC903" s="135"/>
      <c r="BD903" s="135"/>
      <c r="BE903" s="135"/>
    </row>
    <row r="904" spans="45:57" x14ac:dyDescent="0.3">
      <c r="AV904" s="44"/>
      <c r="AW904" s="44"/>
      <c r="AX904" s="44"/>
      <c r="AY904" s="44"/>
      <c r="AZ904" s="245"/>
      <c r="BA904" s="44"/>
      <c r="BB904" s="245"/>
      <c r="BC904" s="44"/>
      <c r="BD904" s="44"/>
      <c r="BE904" s="44"/>
    </row>
    <row r="905" spans="45:57" x14ac:dyDescent="0.3">
      <c r="AT905" s="42"/>
      <c r="AV905" s="123"/>
      <c r="AW905" s="123"/>
      <c r="AX905" s="188"/>
      <c r="AY905" s="188"/>
      <c r="AZ905" s="188"/>
      <c r="BA905" s="236"/>
      <c r="BB905" s="188"/>
      <c r="BC905" s="188"/>
      <c r="BD905" s="188"/>
      <c r="BE905" s="236"/>
    </row>
    <row r="906" spans="45:57" x14ac:dyDescent="0.3">
      <c r="AV906" s="123"/>
      <c r="AW906" s="123"/>
      <c r="AX906" s="188"/>
      <c r="AY906" s="188"/>
      <c r="AZ906" s="188"/>
      <c r="BA906" s="236"/>
      <c r="BB906" s="188"/>
      <c r="BC906" s="188"/>
      <c r="BD906" s="188"/>
      <c r="BE906" s="236"/>
    </row>
    <row r="907" spans="45:57" x14ac:dyDescent="0.3">
      <c r="AV907" s="123"/>
      <c r="AW907" s="123"/>
      <c r="AX907" s="188"/>
      <c r="AY907" s="188"/>
      <c r="AZ907" s="188"/>
      <c r="BA907" s="236"/>
      <c r="BB907" s="188"/>
      <c r="BC907" s="188"/>
      <c r="BD907" s="188"/>
      <c r="BE907" s="236"/>
    </row>
    <row r="908" spans="45:57" x14ac:dyDescent="0.3">
      <c r="AV908" s="123"/>
      <c r="AW908" s="123"/>
      <c r="AX908" s="188"/>
      <c r="AY908" s="188"/>
      <c r="AZ908" s="188"/>
      <c r="BA908" s="236"/>
      <c r="BB908" s="188"/>
      <c r="BC908" s="188"/>
      <c r="BD908" s="188"/>
      <c r="BE908" s="236"/>
    </row>
    <row r="909" spans="45:57" x14ac:dyDescent="0.3">
      <c r="AV909" s="123"/>
      <c r="AW909" s="123"/>
      <c r="AX909" s="188"/>
      <c r="AY909" s="188"/>
      <c r="AZ909" s="188"/>
      <c r="BA909" s="236"/>
      <c r="BB909" s="188"/>
      <c r="BC909" s="188"/>
      <c r="BD909" s="188"/>
      <c r="BE909" s="236"/>
    </row>
    <row r="910" spans="45:57" x14ac:dyDescent="0.3">
      <c r="AV910" s="123"/>
      <c r="AW910" s="123"/>
      <c r="AX910" s="188"/>
      <c r="AY910" s="188"/>
      <c r="AZ910" s="188"/>
      <c r="BA910" s="236"/>
      <c r="BB910" s="188"/>
      <c r="BC910" s="188"/>
      <c r="BD910" s="188"/>
      <c r="BE910" s="236"/>
    </row>
    <row r="911" spans="45:57" x14ac:dyDescent="0.3">
      <c r="AV911" s="123"/>
      <c r="AW911" s="123"/>
      <c r="AX911" s="188"/>
      <c r="AY911" s="188"/>
      <c r="AZ911" s="188"/>
      <c r="BA911" s="236"/>
      <c r="BB911" s="188"/>
      <c r="BC911" s="188"/>
      <c r="BD911" s="188"/>
      <c r="BE911" s="236"/>
    </row>
    <row r="912" spans="45:57" x14ac:dyDescent="0.3">
      <c r="AV912" s="123"/>
      <c r="AW912" s="123"/>
      <c r="AX912" s="188"/>
      <c r="AY912" s="188"/>
      <c r="AZ912" s="188"/>
      <c r="BA912" s="236"/>
      <c r="BB912" s="188"/>
      <c r="BC912" s="188"/>
      <c r="BD912" s="188"/>
      <c r="BE912" s="236"/>
    </row>
    <row r="913" spans="46:57" x14ac:dyDescent="0.3">
      <c r="AV913" s="123"/>
      <c r="AW913" s="123"/>
      <c r="AX913" s="188"/>
      <c r="AY913" s="188"/>
      <c r="AZ913" s="188"/>
      <c r="BA913" s="236"/>
      <c r="BB913" s="188"/>
      <c r="BC913" s="188"/>
      <c r="BD913" s="188"/>
      <c r="BE913" s="236"/>
    </row>
    <row r="914" spans="46:57" x14ac:dyDescent="0.3">
      <c r="AV914" s="123"/>
      <c r="AW914" s="123"/>
      <c r="AX914" s="188"/>
      <c r="AY914" s="188"/>
      <c r="AZ914" s="188"/>
      <c r="BA914" s="236"/>
      <c r="BB914" s="188"/>
      <c r="BC914" s="188"/>
      <c r="BD914" s="188"/>
      <c r="BE914" s="236"/>
    </row>
    <row r="915" spans="46:57" x14ac:dyDescent="0.3">
      <c r="AV915" s="123"/>
      <c r="AW915" s="123"/>
      <c r="BB915" s="188"/>
    </row>
    <row r="916" spans="46:57" x14ac:dyDescent="0.3">
      <c r="AT916" s="42"/>
      <c r="AV916" s="123"/>
      <c r="AW916" s="123"/>
      <c r="AX916" s="188"/>
      <c r="AY916" s="188"/>
      <c r="AZ916" s="188"/>
      <c r="BA916" s="236"/>
      <c r="BB916" s="188"/>
      <c r="BC916" s="188"/>
      <c r="BD916" s="188"/>
      <c r="BE916" s="236"/>
    </row>
    <row r="917" spans="46:57" x14ac:dyDescent="0.3">
      <c r="AV917" s="123"/>
      <c r="AW917" s="123"/>
      <c r="AX917" s="188"/>
      <c r="AY917" s="188"/>
      <c r="AZ917" s="188"/>
      <c r="BA917" s="236"/>
      <c r="BB917" s="188"/>
      <c r="BC917" s="188"/>
      <c r="BD917" s="188"/>
      <c r="BE917" s="236"/>
    </row>
    <row r="918" spans="46:57" x14ac:dyDescent="0.3">
      <c r="AV918" s="123"/>
      <c r="AW918" s="123"/>
      <c r="AX918" s="188"/>
      <c r="AY918" s="188"/>
      <c r="AZ918" s="188"/>
      <c r="BA918" s="236"/>
      <c r="BB918" s="188"/>
      <c r="BC918" s="188"/>
      <c r="BD918" s="188"/>
      <c r="BE918" s="236"/>
    </row>
    <row r="919" spans="46:57" x14ac:dyDescent="0.3">
      <c r="AV919" s="123"/>
      <c r="AW919" s="123"/>
      <c r="AX919" s="188"/>
      <c r="AY919" s="188"/>
      <c r="AZ919" s="188"/>
      <c r="BA919" s="236"/>
      <c r="BB919" s="188"/>
      <c r="BC919" s="188"/>
      <c r="BD919" s="188"/>
      <c r="BE919" s="236"/>
    </row>
    <row r="920" spans="46:57" x14ac:dyDescent="0.3">
      <c r="AV920" s="123"/>
      <c r="AW920" s="123"/>
      <c r="AX920" s="188"/>
      <c r="AY920" s="188"/>
      <c r="AZ920" s="188"/>
      <c r="BA920" s="236"/>
      <c r="BB920" s="188"/>
      <c r="BC920" s="188"/>
      <c r="BD920" s="188"/>
      <c r="BE920" s="236"/>
    </row>
    <row r="921" spans="46:57" x14ac:dyDescent="0.3">
      <c r="AV921" s="123"/>
      <c r="AW921" s="123"/>
      <c r="AX921" s="188"/>
      <c r="AY921" s="188"/>
      <c r="AZ921" s="188"/>
      <c r="BA921" s="236"/>
      <c r="BB921" s="188"/>
      <c r="BC921" s="188"/>
      <c r="BD921" s="188"/>
      <c r="BE921" s="236"/>
    </row>
    <row r="922" spans="46:57" x14ac:dyDescent="0.3">
      <c r="AV922" s="123"/>
      <c r="AW922" s="123"/>
      <c r="AX922" s="188"/>
      <c r="AY922" s="188"/>
      <c r="AZ922" s="188"/>
      <c r="BA922" s="236"/>
      <c r="BB922" s="188"/>
      <c r="BC922" s="188"/>
      <c r="BD922" s="188"/>
      <c r="BE922" s="236"/>
    </row>
    <row r="923" spans="46:57" x14ac:dyDescent="0.3">
      <c r="AV923" s="123"/>
      <c r="AW923" s="123"/>
      <c r="AX923" s="188"/>
      <c r="AY923" s="188"/>
      <c r="AZ923" s="188"/>
      <c r="BA923" s="236"/>
      <c r="BB923" s="188"/>
      <c r="BC923" s="188"/>
      <c r="BD923" s="188"/>
      <c r="BE923" s="236"/>
    </row>
    <row r="924" spans="46:57" x14ac:dyDescent="0.3">
      <c r="AV924" s="123"/>
      <c r="AW924" s="123"/>
      <c r="AX924" s="188"/>
      <c r="AY924" s="188"/>
      <c r="AZ924" s="188"/>
      <c r="BA924" s="236"/>
      <c r="BB924" s="188"/>
      <c r="BC924" s="188"/>
      <c r="BD924" s="188"/>
      <c r="BE924" s="236"/>
    </row>
    <row r="925" spans="46:57" x14ac:dyDescent="0.3">
      <c r="AV925" s="123"/>
      <c r="AW925" s="123"/>
      <c r="AX925" s="188"/>
      <c r="AY925" s="188"/>
      <c r="AZ925" s="188"/>
      <c r="BA925" s="236"/>
      <c r="BB925" s="188"/>
      <c r="BC925" s="188"/>
      <c r="BD925" s="188"/>
      <c r="BE925" s="236"/>
    </row>
    <row r="927" spans="46:57" x14ac:dyDescent="0.3">
      <c r="AU927" s="42"/>
    </row>
    <row r="928" spans="46:57" x14ac:dyDescent="0.3">
      <c r="AU928" s="42"/>
    </row>
    <row r="929" spans="45:47" x14ac:dyDescent="0.3">
      <c r="AU929" s="42"/>
    </row>
    <row r="930" spans="45:47" x14ac:dyDescent="0.3">
      <c r="AS930" s="42"/>
    </row>
    <row r="951" spans="52:71" x14ac:dyDescent="0.3">
      <c r="AZ951" s="188"/>
      <c r="BB951" s="188"/>
      <c r="BC951" s="188"/>
      <c r="BD951" s="188"/>
      <c r="BG951" s="188"/>
      <c r="BH951" s="188"/>
      <c r="BI951" s="188"/>
      <c r="BJ951" s="188"/>
      <c r="BK951" s="188"/>
      <c r="BL951" s="188"/>
      <c r="BM951" s="188"/>
      <c r="BN951" s="188"/>
      <c r="BO951" s="188"/>
      <c r="BP951" s="188"/>
      <c r="BQ951" s="188"/>
      <c r="BR951" s="188"/>
      <c r="BS951" s="188"/>
    </row>
    <row r="952" spans="52:71" x14ac:dyDescent="0.3">
      <c r="AZ952" s="188"/>
      <c r="BB952" s="188"/>
      <c r="BC952" s="188"/>
      <c r="BD952" s="188"/>
      <c r="BG952" s="188"/>
      <c r="BH952" s="188"/>
      <c r="BI952" s="188"/>
      <c r="BJ952" s="188"/>
      <c r="BK952" s="188"/>
      <c r="BL952" s="188"/>
      <c r="BM952" s="188"/>
      <c r="BN952" s="188"/>
      <c r="BO952" s="188"/>
      <c r="BP952" s="188"/>
      <c r="BQ952" s="188"/>
      <c r="BR952" s="188"/>
      <c r="BS952" s="188"/>
    </row>
    <row r="953" spans="52:71" x14ac:dyDescent="0.3">
      <c r="AZ953" s="188"/>
      <c r="BB953" s="188"/>
      <c r="BC953" s="188"/>
      <c r="BD953" s="188"/>
      <c r="BG953" s="188"/>
      <c r="BH953" s="188"/>
      <c r="BI953" s="188"/>
      <c r="BJ953" s="188"/>
      <c r="BK953" s="188"/>
      <c r="BL953" s="188"/>
      <c r="BM953" s="188"/>
      <c r="BN953" s="188"/>
      <c r="BO953" s="188"/>
      <c r="BP953" s="188"/>
      <c r="BQ953" s="188"/>
      <c r="BR953" s="188"/>
      <c r="BS953" s="188"/>
    </row>
    <row r="954" spans="52:71" x14ac:dyDescent="0.3">
      <c r="AZ954" s="188"/>
      <c r="BB954" s="188"/>
      <c r="BC954" s="188"/>
      <c r="BD954" s="188"/>
      <c r="BG954" s="188"/>
      <c r="BH954" s="188"/>
      <c r="BI954" s="188"/>
      <c r="BJ954" s="188"/>
      <c r="BK954" s="188"/>
      <c r="BL954" s="188"/>
      <c r="BM954" s="188"/>
      <c r="BN954" s="188"/>
      <c r="BO954" s="188"/>
      <c r="BP954" s="188"/>
      <c r="BQ954" s="188"/>
      <c r="BR954" s="188"/>
      <c r="BS954" s="188"/>
    </row>
    <row r="955" spans="52:71" x14ac:dyDescent="0.3">
      <c r="AZ955" s="188"/>
      <c r="BB955" s="188"/>
      <c r="BC955" s="188"/>
      <c r="BD955" s="188"/>
      <c r="BG955" s="188"/>
      <c r="BH955" s="188"/>
      <c r="BI955" s="188"/>
      <c r="BJ955" s="188"/>
      <c r="BK955" s="188"/>
      <c r="BL955" s="188"/>
      <c r="BM955" s="188"/>
      <c r="BN955" s="188"/>
      <c r="BO955" s="188"/>
      <c r="BP955" s="188"/>
      <c r="BQ955" s="188"/>
      <c r="BR955" s="188"/>
      <c r="BS955" s="188"/>
    </row>
    <row r="956" spans="52:71" x14ac:dyDescent="0.3">
      <c r="AZ956" s="188"/>
      <c r="BB956" s="188"/>
      <c r="BC956" s="188"/>
      <c r="BD956" s="188"/>
      <c r="BG956" s="188"/>
      <c r="BH956" s="188"/>
      <c r="BI956" s="188"/>
      <c r="BJ956" s="188"/>
      <c r="BK956" s="188"/>
      <c r="BL956" s="188"/>
      <c r="BM956" s="188"/>
      <c r="BN956" s="188"/>
      <c r="BO956" s="188"/>
      <c r="BP956" s="188"/>
      <c r="BQ956" s="188"/>
      <c r="BR956" s="188"/>
      <c r="BS956" s="188"/>
    </row>
    <row r="957" spans="52:71" x14ac:dyDescent="0.3">
      <c r="AZ957" s="188"/>
      <c r="BB957" s="188"/>
      <c r="BC957" s="188"/>
      <c r="BD957" s="188"/>
      <c r="BG957" s="188"/>
      <c r="BH957" s="188"/>
      <c r="BI957" s="188"/>
      <c r="BJ957" s="188"/>
      <c r="BK957" s="188"/>
      <c r="BL957" s="188"/>
      <c r="BM957" s="188"/>
      <c r="BN957" s="188"/>
      <c r="BO957" s="188"/>
      <c r="BP957" s="188"/>
      <c r="BQ957" s="188"/>
      <c r="BR957" s="188"/>
      <c r="BS957" s="188"/>
    </row>
    <row r="958" spans="52:71" x14ac:dyDescent="0.3">
      <c r="AZ958" s="188"/>
      <c r="BB958" s="188"/>
      <c r="BC958" s="188"/>
      <c r="BD958" s="188"/>
      <c r="BG958" s="188"/>
      <c r="BH958" s="188"/>
      <c r="BI958" s="188"/>
      <c r="BJ958" s="188"/>
      <c r="BK958" s="188"/>
      <c r="BL958" s="188"/>
      <c r="BM958" s="188"/>
      <c r="BN958" s="188"/>
      <c r="BO958" s="188"/>
      <c r="BP958" s="188"/>
      <c r="BQ958" s="188"/>
      <c r="BR958" s="188"/>
      <c r="BS958" s="188"/>
    </row>
    <row r="959" spans="52:71" x14ac:dyDescent="0.3">
      <c r="AZ959" s="188"/>
      <c r="BB959" s="188"/>
      <c r="BC959" s="188"/>
      <c r="BD959" s="188"/>
      <c r="BG959" s="188"/>
      <c r="BH959" s="188"/>
      <c r="BI959" s="188"/>
      <c r="BJ959" s="188"/>
      <c r="BK959" s="188"/>
      <c r="BL959" s="188"/>
      <c r="BM959" s="188"/>
      <c r="BN959" s="188"/>
      <c r="BO959" s="188"/>
      <c r="BP959" s="188"/>
      <c r="BQ959" s="188"/>
      <c r="BR959" s="188"/>
      <c r="BS959" s="188"/>
    </row>
    <row r="960" spans="52:71" x14ac:dyDescent="0.3">
      <c r="AZ960" s="188"/>
      <c r="BB960" s="188"/>
      <c r="BC960" s="188"/>
      <c r="BD960" s="188"/>
      <c r="BG960" s="188"/>
      <c r="BH960" s="188"/>
      <c r="BI960" s="188"/>
      <c r="BJ960" s="188"/>
      <c r="BK960" s="188"/>
      <c r="BL960" s="188"/>
      <c r="BM960" s="188"/>
      <c r="BN960" s="188"/>
      <c r="BO960" s="188"/>
      <c r="BP960" s="188"/>
      <c r="BQ960" s="188"/>
      <c r="BR960" s="188"/>
      <c r="BS960" s="188"/>
    </row>
    <row r="961" spans="52:71" x14ac:dyDescent="0.3">
      <c r="AZ961" s="188"/>
      <c r="BB961" s="188"/>
      <c r="BC961" s="188"/>
      <c r="BD961" s="188"/>
      <c r="BG961" s="188"/>
      <c r="BH961" s="188"/>
      <c r="BI961" s="188"/>
      <c r="BJ961" s="188"/>
      <c r="BK961" s="188"/>
      <c r="BL961" s="188"/>
      <c r="BM961" s="188"/>
      <c r="BN961" s="188"/>
      <c r="BO961" s="188"/>
      <c r="BP961" s="188"/>
      <c r="BQ961" s="188"/>
      <c r="BR961" s="188"/>
      <c r="BS961" s="188"/>
    </row>
    <row r="962" spans="52:71" x14ac:dyDescent="0.3">
      <c r="AZ962" s="188"/>
      <c r="BB962" s="188"/>
      <c r="BC962" s="188"/>
      <c r="BD962" s="188"/>
      <c r="BG962" s="188"/>
      <c r="BH962" s="188"/>
      <c r="BI962" s="188"/>
      <c r="BJ962" s="188"/>
      <c r="BK962" s="188"/>
      <c r="BL962" s="188"/>
      <c r="BM962" s="188"/>
      <c r="BN962" s="188"/>
      <c r="BO962" s="188"/>
      <c r="BP962" s="188"/>
      <c r="BQ962" s="188"/>
      <c r="BR962" s="188"/>
      <c r="BS962" s="188"/>
    </row>
    <row r="963" spans="52:71" x14ac:dyDescent="0.3">
      <c r="AZ963" s="188"/>
      <c r="BG963" s="188"/>
      <c r="BH963" s="188"/>
      <c r="BI963" s="188"/>
      <c r="BJ963" s="188"/>
      <c r="BK963" s="188"/>
      <c r="BL963" s="188"/>
      <c r="BM963" s="188"/>
      <c r="BN963" s="188"/>
      <c r="BO963" s="188"/>
      <c r="BP963" s="188"/>
      <c r="BQ963" s="188"/>
      <c r="BR963" s="188"/>
      <c r="BS963" s="188"/>
    </row>
    <row r="964" spans="52:71" x14ac:dyDescent="0.3">
      <c r="AZ964" s="188"/>
      <c r="BG964" s="188"/>
      <c r="BH964" s="188"/>
      <c r="BI964" s="188"/>
      <c r="BJ964" s="188"/>
      <c r="BK964" s="188"/>
      <c r="BL964" s="188"/>
      <c r="BM964" s="188"/>
      <c r="BN964" s="188"/>
      <c r="BO964" s="188"/>
      <c r="BP964" s="188"/>
      <c r="BQ964" s="188"/>
      <c r="BR964" s="188"/>
      <c r="BS964" s="188"/>
    </row>
    <row r="965" spans="52:71" x14ac:dyDescent="0.3">
      <c r="AZ965" s="188"/>
      <c r="BG965" s="188"/>
      <c r="BH965" s="188"/>
      <c r="BI965" s="188"/>
      <c r="BJ965" s="188"/>
      <c r="BK965" s="188"/>
      <c r="BL965" s="188"/>
      <c r="BM965" s="188"/>
      <c r="BN965" s="188"/>
      <c r="BO965" s="188"/>
      <c r="BP965" s="188"/>
      <c r="BQ965" s="188"/>
      <c r="BR965" s="188"/>
      <c r="BS965" s="188"/>
    </row>
    <row r="966" spans="52:71" x14ac:dyDescent="0.3">
      <c r="AZ966" s="188"/>
      <c r="BG966" s="188"/>
      <c r="BH966" s="188"/>
      <c r="BI966" s="188"/>
      <c r="BJ966" s="188"/>
      <c r="BK966" s="188"/>
      <c r="BL966" s="188"/>
      <c r="BM966" s="188"/>
      <c r="BN966" s="188"/>
      <c r="BO966" s="188"/>
      <c r="BP966" s="188"/>
      <c r="BQ966" s="188"/>
      <c r="BR966" s="188"/>
      <c r="BS966" s="188"/>
    </row>
    <row r="967" spans="52:71" x14ac:dyDescent="0.3">
      <c r="AZ967" s="188"/>
      <c r="BG967" s="188"/>
      <c r="BH967" s="188"/>
      <c r="BI967" s="188"/>
      <c r="BJ967" s="188"/>
      <c r="BK967" s="188"/>
      <c r="BL967" s="188"/>
      <c r="BM967" s="188"/>
      <c r="BN967" s="188"/>
      <c r="BO967" s="188"/>
      <c r="BP967" s="188"/>
      <c r="BQ967" s="188"/>
      <c r="BR967" s="188"/>
      <c r="BS967" s="188"/>
    </row>
    <row r="968" spans="52:71" x14ac:dyDescent="0.3">
      <c r="AZ968" s="188"/>
      <c r="BG968" s="188"/>
      <c r="BH968" s="188"/>
      <c r="BI968" s="188"/>
      <c r="BJ968" s="188"/>
      <c r="BK968" s="188"/>
      <c r="BL968" s="188"/>
      <c r="BM968" s="188"/>
      <c r="BN968" s="188"/>
      <c r="BO968" s="188"/>
      <c r="BP968" s="188"/>
      <c r="BQ968" s="188"/>
      <c r="BR968" s="188"/>
      <c r="BS968" s="188"/>
    </row>
    <row r="969" spans="52:71" x14ac:dyDescent="0.3">
      <c r="AZ969" s="188"/>
      <c r="BG969" s="188"/>
      <c r="BH969" s="188"/>
      <c r="BI969" s="188"/>
      <c r="BJ969" s="188"/>
      <c r="BK969" s="188"/>
      <c r="BL969" s="188"/>
      <c r="BM969" s="188"/>
      <c r="BN969" s="188"/>
      <c r="BO969" s="188"/>
      <c r="BP969" s="188"/>
      <c r="BQ969" s="188"/>
      <c r="BR969" s="188"/>
      <c r="BS969" s="188"/>
    </row>
    <row r="970" spans="52:71" x14ac:dyDescent="0.3">
      <c r="AZ970" s="188"/>
    </row>
    <row r="971" spans="52:71" x14ac:dyDescent="0.3">
      <c r="AZ971" s="188"/>
    </row>
    <row r="985" spans="1:28" x14ac:dyDescent="0.3">
      <c r="A985" s="42"/>
    </row>
    <row r="988" spans="1:28" x14ac:dyDescent="0.3">
      <c r="Y988" s="42"/>
    </row>
    <row r="989" spans="1:28" x14ac:dyDescent="0.3">
      <c r="A989" s="42"/>
      <c r="H989" s="42"/>
      <c r="I989" s="42"/>
    </row>
    <row r="990" spans="1:28" x14ac:dyDescent="0.3">
      <c r="A990" s="42"/>
      <c r="V990" s="44"/>
      <c r="AA990" s="44"/>
      <c r="AB990" s="44"/>
    </row>
    <row r="991" spans="1:28" x14ac:dyDescent="0.3">
      <c r="A991" s="42"/>
      <c r="V991" s="135"/>
      <c r="AA991" s="135"/>
      <c r="AB991" s="135"/>
    </row>
    <row r="992" spans="1:28" x14ac:dyDescent="0.3">
      <c r="A992" s="42"/>
      <c r="U992" s="42"/>
      <c r="AA992" s="44"/>
      <c r="AB992" s="44"/>
    </row>
    <row r="993" spans="1:28" x14ac:dyDescent="0.3">
      <c r="A993" s="42"/>
    </row>
    <row r="994" spans="1:28" x14ac:dyDescent="0.3">
      <c r="A994" s="42"/>
      <c r="U994" s="42"/>
      <c r="AA994" s="44"/>
      <c r="AB994" s="44"/>
    </row>
    <row r="995" spans="1:28" x14ac:dyDescent="0.3">
      <c r="A995" s="42"/>
    </row>
    <row r="996" spans="1:28" x14ac:dyDescent="0.3">
      <c r="A996" s="42"/>
      <c r="U996" s="42"/>
      <c r="V996" s="247"/>
      <c r="AA996" s="44"/>
      <c r="AB996" s="44"/>
    </row>
    <row r="997" spans="1:28" x14ac:dyDescent="0.3">
      <c r="A997" s="42"/>
    </row>
    <row r="998" spans="1:28" x14ac:dyDescent="0.3">
      <c r="A998" s="42"/>
      <c r="U998" s="42"/>
      <c r="AA998" s="44"/>
      <c r="AB998" s="44"/>
    </row>
    <row r="999" spans="1:28" x14ac:dyDescent="0.3">
      <c r="A999" s="42"/>
    </row>
    <row r="1000" spans="1:28" x14ac:dyDescent="0.3">
      <c r="A1000" s="42"/>
      <c r="U1000" s="42"/>
      <c r="AA1000" s="44"/>
      <c r="AB1000" s="44"/>
    </row>
    <row r="1001" spans="1:28" x14ac:dyDescent="0.3">
      <c r="A1001" s="42"/>
    </row>
    <row r="1002" spans="1:28" x14ac:dyDescent="0.3">
      <c r="A1002" s="42"/>
    </row>
    <row r="1003" spans="1:28" x14ac:dyDescent="0.3">
      <c r="A1003" s="42"/>
    </row>
    <row r="1004" spans="1:28" x14ac:dyDescent="0.3">
      <c r="A1004" s="42"/>
    </row>
    <row r="1005" spans="1:28" x14ac:dyDescent="0.3">
      <c r="A1005" s="42"/>
    </row>
    <row r="1006" spans="1:28" x14ac:dyDescent="0.3">
      <c r="A1006" s="42"/>
    </row>
    <row r="1007" spans="1:28" x14ac:dyDescent="0.3">
      <c r="A1007" s="42"/>
    </row>
    <row r="1008" spans="1:28" x14ac:dyDescent="0.3">
      <c r="A1008" s="42"/>
    </row>
    <row r="1009" spans="1:9" x14ac:dyDescent="0.3">
      <c r="A1009" s="42"/>
    </row>
    <row r="1010" spans="1:9" x14ac:dyDescent="0.3">
      <c r="A1010" s="42"/>
    </row>
    <row r="1011" spans="1:9" x14ac:dyDescent="0.3">
      <c r="A1011" s="42"/>
      <c r="H1011" s="42"/>
      <c r="I1011" s="42"/>
    </row>
    <row r="1014" spans="1:9" x14ac:dyDescent="0.3">
      <c r="A1014" s="42"/>
    </row>
    <row r="1017" spans="1:9" x14ac:dyDescent="0.3">
      <c r="A1017" s="42"/>
    </row>
    <row r="1020" spans="1:9" x14ac:dyDescent="0.3">
      <c r="A1020" s="42"/>
    </row>
    <row r="1021" spans="1:9" x14ac:dyDescent="0.3">
      <c r="A1021" s="42"/>
    </row>
    <row r="1022" spans="1:9" x14ac:dyDescent="0.3">
      <c r="A1022" s="42"/>
    </row>
    <row r="1023" spans="1:9" x14ac:dyDescent="0.3">
      <c r="A1023" s="42"/>
    </row>
    <row r="1024" spans="1:9" x14ac:dyDescent="0.3">
      <c r="A1024" s="42"/>
    </row>
    <row r="1025" spans="1:1" x14ac:dyDescent="0.3">
      <c r="A1025" s="42"/>
    </row>
    <row r="1026" spans="1:1" x14ac:dyDescent="0.3">
      <c r="A1026" s="42"/>
    </row>
    <row r="1027" spans="1:1" x14ac:dyDescent="0.3">
      <c r="A1027" s="42"/>
    </row>
    <row r="1028" spans="1:1" x14ac:dyDescent="0.3">
      <c r="A1028" s="42"/>
    </row>
    <row r="1029" spans="1:1" x14ac:dyDescent="0.3">
      <c r="A1029" s="42"/>
    </row>
    <row r="1030" spans="1:1" x14ac:dyDescent="0.3">
      <c r="A1030" s="42"/>
    </row>
    <row r="1031" spans="1:1" x14ac:dyDescent="0.3">
      <c r="A1031" s="42"/>
    </row>
    <row r="1032" spans="1:1" x14ac:dyDescent="0.3">
      <c r="A1032" s="42"/>
    </row>
    <row r="1033" spans="1:1" x14ac:dyDescent="0.3">
      <c r="A1033" s="42"/>
    </row>
    <row r="1034" spans="1:1" x14ac:dyDescent="0.3">
      <c r="A1034" s="42"/>
    </row>
    <row r="1035" spans="1:1" x14ac:dyDescent="0.3">
      <c r="A1035" s="42"/>
    </row>
    <row r="1036" spans="1:1" x14ac:dyDescent="0.3">
      <c r="A1036" s="42"/>
    </row>
    <row r="1037" spans="1:1" x14ac:dyDescent="0.3">
      <c r="A1037" s="42"/>
    </row>
    <row r="1038" spans="1:1" x14ac:dyDescent="0.3">
      <c r="A1038" s="42"/>
    </row>
    <row r="1039" spans="1:1" x14ac:dyDescent="0.3">
      <c r="A1039" s="42"/>
    </row>
    <row r="1040" spans="1:1" x14ac:dyDescent="0.3">
      <c r="A1040" s="42"/>
    </row>
    <row r="1041" spans="1:1" x14ac:dyDescent="0.3">
      <c r="A1041" s="42"/>
    </row>
    <row r="1042" spans="1:1" x14ac:dyDescent="0.3">
      <c r="A1042" s="42"/>
    </row>
    <row r="1043" spans="1:1" x14ac:dyDescent="0.3">
      <c r="A1043" s="42"/>
    </row>
    <row r="1044" spans="1:1" x14ac:dyDescent="0.3">
      <c r="A1044" s="42"/>
    </row>
    <row r="1045" spans="1:1" x14ac:dyDescent="0.3">
      <c r="A1045" s="42"/>
    </row>
    <row r="1046" spans="1:1" x14ac:dyDescent="0.3">
      <c r="A1046" s="42"/>
    </row>
    <row r="1047" spans="1:1" x14ac:dyDescent="0.3">
      <c r="A1047" s="42"/>
    </row>
    <row r="1048" spans="1:1" x14ac:dyDescent="0.3">
      <c r="A1048" s="42"/>
    </row>
    <row r="1049" spans="1:1" x14ac:dyDescent="0.3">
      <c r="A1049" s="42"/>
    </row>
    <row r="1050" spans="1:1" x14ac:dyDescent="0.3">
      <c r="A1050" s="42"/>
    </row>
    <row r="1051" spans="1:1" x14ac:dyDescent="0.3">
      <c r="A1051" s="42"/>
    </row>
    <row r="1052" spans="1:1" x14ac:dyDescent="0.3">
      <c r="A1052" s="42"/>
    </row>
    <row r="1053" spans="1:1" x14ac:dyDescent="0.3">
      <c r="A1053" s="42"/>
    </row>
    <row r="1054" spans="1:1" x14ac:dyDescent="0.3">
      <c r="A1054" s="42"/>
    </row>
    <row r="1059" spans="1:1" x14ac:dyDescent="0.3">
      <c r="A1059" s="42"/>
    </row>
    <row r="1060" spans="1:1" x14ac:dyDescent="0.3">
      <c r="A1060" s="42"/>
    </row>
    <row r="1063" spans="1:1" x14ac:dyDescent="0.3">
      <c r="A1063" s="42"/>
    </row>
    <row r="1065" spans="1:1" x14ac:dyDescent="0.3">
      <c r="A1065" s="42"/>
    </row>
    <row r="1067" spans="1:1" x14ac:dyDescent="0.3">
      <c r="A1067" s="42"/>
    </row>
    <row r="1069" spans="1:1" x14ac:dyDescent="0.3">
      <c r="A1069" s="42"/>
    </row>
    <row r="1072" spans="1:1" x14ac:dyDescent="0.3">
      <c r="A1072" s="42"/>
    </row>
    <row r="1073" spans="1:1" x14ac:dyDescent="0.3">
      <c r="A1073" s="42"/>
    </row>
    <row r="1074" spans="1:1" x14ac:dyDescent="0.3">
      <c r="A1074" s="42"/>
    </row>
    <row r="1075" spans="1:1" x14ac:dyDescent="0.3">
      <c r="A1075" s="42"/>
    </row>
    <row r="1076" spans="1:1" x14ac:dyDescent="0.3">
      <c r="A1076" s="42"/>
    </row>
    <row r="1077" spans="1:1" x14ac:dyDescent="0.3">
      <c r="A1077" s="42"/>
    </row>
    <row r="1078" spans="1:1" x14ac:dyDescent="0.3">
      <c r="A1078" s="42"/>
    </row>
    <row r="1079" spans="1:1" x14ac:dyDescent="0.3">
      <c r="A1079" s="42"/>
    </row>
  </sheetData>
  <customSheetViews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0C49E549-011E-46F4-A82E-2CC8951A9C1E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4BC93440-BA85-4935-A8C9-66DC6AE5DE5E}" scale="75" fitToPage="1" showRuler="0" topLeftCell="P64">
      <selection activeCell="AC95" sqref="AC9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3"/>
      <headerFooter alignWithMargins="0"/>
    </customSheetView>
    <customSheetView guid="{2431C9E5-7CC2-4B8D-99C3-962247B1DBF5}" scale="75" fitToPage="1" showRuler="0" topLeftCell="P64">
      <selection activeCell="AC95" sqref="AC9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4"/>
      <headerFooter alignWithMargins="0"/>
    </customSheetView>
    <customSheetView guid="{2EA35095-1ADC-4CC7-8C3C-B487D65FA247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5"/>
      <headerFooter alignWithMargins="0"/>
    </customSheetView>
    <customSheetView guid="{8FC77C99-DBF7-40B8-99B8-01B75826CDCB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8"/>
      <headerFooter alignWithMargins="0"/>
    </customSheetView>
    <customSheetView guid="{0BC1F393-8A13-47D5-BC6C-0C99615B5AB9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9"/>
      <headerFooter alignWithMargins="0"/>
    </customSheetView>
    <customSheetView guid="{18BDED73-BFA0-442E-87EC-CED86EE4CF94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0"/>
      <headerFooter alignWithMargins="0"/>
    </customSheetView>
    <customSheetView guid="{35F19056-2E6F-4935-B863-78836FE990BF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F562D92E-120C-4AE9-9663-89E64D41DC53}" scale="75" fitToPage="1" topLeftCell="A20">
      <selection activeCell="P46" sqref="P4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1" type="noConversion"/>
  <pageMargins left="0.5" right="0.5" top="1" bottom="0" header="0" footer="0"/>
  <pageSetup scale="56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syncVertical="1" syncRef="A1" transitionEvaluation="1" transitionEntry="1" codeName="Sheet16">
    <pageSetUpPr fitToPage="1"/>
  </sheetPr>
  <dimension ref="A1:BY1538"/>
  <sheetViews>
    <sheetView zoomScale="75" zoomScaleNormal="75" workbookViewId="0"/>
  </sheetViews>
  <sheetFormatPr defaultColWidth="8.9140625" defaultRowHeight="15.6" x14ac:dyDescent="0.3"/>
  <cols>
    <col min="1" max="1" width="5.25" style="41" customWidth="1"/>
    <col min="2" max="2" width="0.4140625" style="41" customWidth="1"/>
    <col min="3" max="3" width="9.4140625" style="41" customWidth="1"/>
    <col min="4" max="4" width="57.58203125" style="41" customWidth="1"/>
    <col min="5" max="5" width="0.582031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1" width="11.25" style="41" customWidth="1"/>
    <col min="12" max="12" width="14.6640625" style="41" customWidth="1"/>
    <col min="13" max="13" width="0.33203125" style="41" customWidth="1"/>
    <col min="14" max="14" width="15" style="41" customWidth="1"/>
    <col min="15" max="15" width="0.58203125" style="41" customWidth="1"/>
    <col min="16" max="16" width="15.6640625" style="41" customWidth="1"/>
    <col min="17" max="17" width="0.58203125" style="41" customWidth="1"/>
    <col min="18" max="18" width="16.4140625" style="41" customWidth="1"/>
    <col min="19" max="19" width="6.75" style="41" customWidth="1"/>
    <col min="20" max="20" width="6.25" style="41" customWidth="1"/>
    <col min="21" max="21" width="0.58203125" style="41" customWidth="1"/>
    <col min="22" max="22" width="7.08203125" style="41" customWidth="1"/>
    <col min="23" max="23" width="60.25" style="41" customWidth="1"/>
    <col min="24" max="24" width="0.58203125" style="41" customWidth="1"/>
    <col min="25" max="25" width="13.25" style="41" customWidth="1"/>
    <col min="26" max="26" width="1" style="41" customWidth="1"/>
    <col min="27" max="27" width="14.58203125" style="41" customWidth="1"/>
    <col min="28" max="28" width="0.6640625" style="41" customWidth="1"/>
    <col min="29" max="29" width="13.33203125" style="41" customWidth="1"/>
    <col min="30" max="30" width="11.25" style="41" customWidth="1"/>
    <col min="31" max="31" width="14.33203125" style="41" customWidth="1"/>
    <col min="32" max="32" width="0.9140625" style="41" customWidth="1"/>
    <col min="33" max="33" width="12.9140625" style="165" customWidth="1"/>
    <col min="34" max="34" width="0.75" style="41" customWidth="1"/>
    <col min="35" max="35" width="14.75" style="41" customWidth="1"/>
    <col min="36" max="36" width="0.6640625" style="41" customWidth="1"/>
    <col min="37" max="37" width="14.33203125" style="165" customWidth="1"/>
    <col min="38" max="38" width="0.75" style="41" customWidth="1"/>
    <col min="39" max="39" width="12.4140625" style="41" customWidth="1"/>
    <col min="40" max="40" width="0.58203125" style="41" customWidth="1"/>
    <col min="41" max="41" width="12.08203125" style="41" customWidth="1"/>
    <col min="42" max="42" width="0.58203125" style="41" customWidth="1"/>
    <col min="43" max="43" width="13.25" style="214" customWidth="1"/>
    <col min="44" max="44" width="0.6640625" style="41" customWidth="1"/>
    <col min="45" max="45" width="11.25" style="41" customWidth="1"/>
    <col min="46" max="46" width="14.75" style="41" customWidth="1"/>
    <col min="47" max="47" width="4.75" style="41" customWidth="1"/>
    <col min="48" max="48" width="5.75" style="41" customWidth="1"/>
    <col min="49" max="49" width="10.75" style="41" customWidth="1"/>
    <col min="50" max="50" width="11.75" style="41" customWidth="1"/>
    <col min="51" max="51" width="12.75" style="41" customWidth="1"/>
    <col min="52" max="54" width="15.75" style="41" customWidth="1"/>
    <col min="55" max="55" width="12.75" style="41" customWidth="1"/>
    <col min="56" max="58" width="15.75" style="41" customWidth="1"/>
    <col min="59" max="59" width="12.75" style="41" customWidth="1"/>
    <col min="60" max="61" width="8.9140625" style="41"/>
    <col min="62" max="64" width="12.75" style="41" customWidth="1"/>
    <col min="65" max="65" width="14.75" style="41" customWidth="1"/>
    <col min="66" max="67" width="8.9140625" style="41"/>
    <col min="68" max="70" width="12.75" style="41" customWidth="1"/>
    <col min="71" max="71" width="14.75" style="41" customWidth="1"/>
    <col min="72" max="78" width="8.9140625" style="41"/>
    <col min="79" max="79" width="1.75" style="41" customWidth="1"/>
    <col min="80" max="81" width="8.9140625" style="41"/>
    <col min="82" max="82" width="10.75" style="41" customWidth="1"/>
    <col min="83" max="84" width="8.9140625" style="41"/>
    <col min="85" max="85" width="7.75" style="41" customWidth="1"/>
    <col min="86" max="16384" width="8.9140625" style="41"/>
  </cols>
  <sheetData>
    <row r="1" spans="1:42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AA1" s="41" t="s">
        <v>644</v>
      </c>
      <c r="AG1" s="317">
        <f>'Proposed Rates - Not Used'!AT11</f>
        <v>0.14260999999999999</v>
      </c>
    </row>
    <row r="2" spans="1:42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AC2" s="279"/>
      <c r="AE2" s="42"/>
    </row>
    <row r="3" spans="1:42" x14ac:dyDescent="0.3">
      <c r="A3" s="40" t="str">
        <f>TITLE</f>
        <v>ANNUALIZED TEST YEAR REVENUES AT REHEARING ORDER CALCULATED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AC3" s="280"/>
      <c r="AE3" s="42"/>
    </row>
    <row r="4" spans="1:42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AC4" s="280"/>
      <c r="AE4" s="42"/>
    </row>
    <row r="5" spans="1:42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C5" s="280"/>
      <c r="AE5" s="42"/>
      <c r="AM5" s="42"/>
      <c r="AN5" s="42"/>
    </row>
    <row r="6" spans="1:42" x14ac:dyDescent="0.3">
      <c r="A6" s="41" t="str">
        <f>DATA_PERIOD</f>
        <v>DATA: ____ BASE PERIOD   __X__FORECASTED PERIOD</v>
      </c>
      <c r="R6" s="42" t="s">
        <v>157</v>
      </c>
      <c r="AC6" s="280"/>
      <c r="AE6" s="42"/>
      <c r="AM6" s="42"/>
      <c r="AN6" s="42"/>
    </row>
    <row r="7" spans="1:42" x14ac:dyDescent="0.3">
      <c r="A7" s="41" t="str">
        <f>TYPE</f>
        <v>TYPE OF FILING: _X_ ORIGINAL   ___UPDATED  ___ REVISED</v>
      </c>
      <c r="R7" s="45" t="str">
        <f>"PAGE 20 OF "&amp;TEXT(Page_Num_2.3,"00")</f>
        <v>PAGE 20 OF 24</v>
      </c>
      <c r="AC7" s="280"/>
      <c r="AE7" s="42"/>
      <c r="AM7" s="42"/>
      <c r="AN7" s="42"/>
    </row>
    <row r="8" spans="1:42" x14ac:dyDescent="0.3">
      <c r="A8" s="42" t="s">
        <v>171</v>
      </c>
      <c r="R8" s="42" t="s">
        <v>3</v>
      </c>
      <c r="AC8" s="280"/>
      <c r="AE8" s="42"/>
      <c r="AM8" s="42"/>
      <c r="AN8" s="42"/>
    </row>
    <row r="9" spans="1:42" x14ac:dyDescent="0.3">
      <c r="A9" s="153" t="str">
        <f>TIME</f>
        <v>12 Months Projected with Riders</v>
      </c>
      <c r="M9" s="42"/>
      <c r="R9" s="41" t="str">
        <f>WIT</f>
        <v>B. L. Sailers</v>
      </c>
      <c r="AC9" s="280"/>
      <c r="AE9" s="42"/>
    </row>
    <row r="10" spans="1:42" ht="15" customHeight="1" x14ac:dyDescent="0.3">
      <c r="A10" s="40" t="s">
        <v>130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AC10" s="280"/>
      <c r="AE10" s="42"/>
    </row>
    <row r="11" spans="1:42" x14ac:dyDescent="0.3">
      <c r="A11" s="135"/>
      <c r="B11" s="135"/>
      <c r="C11" s="135"/>
      <c r="D11" s="135"/>
      <c r="E11" s="135"/>
      <c r="G11" s="135"/>
      <c r="H11" s="135"/>
      <c r="I11" s="135"/>
      <c r="J11" s="135"/>
      <c r="K11" s="135"/>
      <c r="L11" s="43"/>
      <c r="M11" s="43"/>
      <c r="N11" s="43"/>
      <c r="O11" s="43"/>
      <c r="P11" s="43"/>
      <c r="Q11" s="43"/>
      <c r="R11" s="43"/>
      <c r="T11" s="135"/>
      <c r="U11" s="135"/>
      <c r="V11" s="135"/>
      <c r="W11" s="135"/>
      <c r="X11" s="135"/>
      <c r="Y11" s="135"/>
      <c r="Z11" s="135"/>
      <c r="AC11" s="280"/>
      <c r="AE11" s="42"/>
      <c r="AJ11" s="135"/>
      <c r="AK11" s="207"/>
      <c r="AL11" s="135"/>
      <c r="AM11" s="135"/>
      <c r="AN11" s="135"/>
      <c r="AO11" s="135"/>
      <c r="AP11" s="135"/>
    </row>
    <row r="12" spans="1:42" ht="18" customHeight="1" x14ac:dyDescent="0.3">
      <c r="A12" s="191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44" t="s">
        <v>6</v>
      </c>
      <c r="M12" s="44"/>
      <c r="N12" s="44" t="s">
        <v>7</v>
      </c>
      <c r="O12" s="44"/>
      <c r="R12" s="44" t="s">
        <v>6</v>
      </c>
      <c r="AC12" s="280"/>
      <c r="AE12" s="42"/>
      <c r="AJ12" s="44"/>
      <c r="AM12" s="44"/>
      <c r="AN12" s="44"/>
      <c r="AO12" s="44"/>
      <c r="AP12" s="44"/>
    </row>
    <row r="13" spans="1:42" x14ac:dyDescent="0.3">
      <c r="L13" s="44" t="s">
        <v>12</v>
      </c>
      <c r="M13" s="44"/>
      <c r="N13" s="44" t="s">
        <v>13</v>
      </c>
      <c r="O13" s="44"/>
      <c r="R13" s="44" t="s">
        <v>11</v>
      </c>
      <c r="AC13" s="280"/>
      <c r="AE13" s="42"/>
      <c r="AJ13" s="44"/>
      <c r="AM13" s="44"/>
      <c r="AN13" s="44"/>
      <c r="AO13" s="44"/>
      <c r="AP13" s="44"/>
    </row>
    <row r="14" spans="1:42" x14ac:dyDescent="0.3">
      <c r="A14" s="44" t="s">
        <v>17</v>
      </c>
      <c r="C14" s="44" t="s">
        <v>18</v>
      </c>
      <c r="D14" s="44" t="s">
        <v>19</v>
      </c>
      <c r="E14" s="44"/>
      <c r="F14" s="44" t="s">
        <v>20</v>
      </c>
      <c r="J14" s="40" t="s">
        <v>6</v>
      </c>
      <c r="K14" s="40"/>
      <c r="L14" s="44" t="s">
        <v>842</v>
      </c>
      <c r="M14" s="44"/>
      <c r="N14" s="44" t="s">
        <v>842</v>
      </c>
      <c r="O14" s="44"/>
      <c r="P14" s="44" t="s">
        <v>842</v>
      </c>
      <c r="Q14" s="44"/>
      <c r="R14" s="44" t="s">
        <v>9</v>
      </c>
      <c r="T14" s="44"/>
      <c r="U14" s="44"/>
      <c r="V14" s="44"/>
      <c r="AC14" s="280"/>
      <c r="AE14" s="42"/>
      <c r="AJ14" s="44"/>
      <c r="AK14" s="168"/>
      <c r="AL14" s="44"/>
      <c r="AM14" s="44"/>
      <c r="AN14" s="44"/>
      <c r="AO14" s="44"/>
      <c r="AP14" s="44"/>
    </row>
    <row r="15" spans="1:42" x14ac:dyDescent="0.3">
      <c r="A15" s="44" t="s">
        <v>22</v>
      </c>
      <c r="C15" s="44" t="s">
        <v>23</v>
      </c>
      <c r="D15" s="44" t="s">
        <v>24</v>
      </c>
      <c r="E15" s="44"/>
      <c r="F15" s="44" t="s">
        <v>25</v>
      </c>
      <c r="H15" s="44" t="s">
        <v>26</v>
      </c>
      <c r="I15" s="44"/>
      <c r="J15" s="46" t="s">
        <v>808</v>
      </c>
      <c r="K15" s="46" t="s">
        <v>809</v>
      </c>
      <c r="L15" s="44" t="s">
        <v>9</v>
      </c>
      <c r="M15" s="44"/>
      <c r="N15" s="44" t="s">
        <v>9</v>
      </c>
      <c r="O15" s="44"/>
      <c r="P15" s="44" t="s">
        <v>324</v>
      </c>
      <c r="Q15" s="44"/>
      <c r="R15" s="141" t="s">
        <v>28</v>
      </c>
      <c r="T15" s="44"/>
      <c r="U15" s="44"/>
      <c r="V15" s="44"/>
      <c r="AC15" s="280"/>
      <c r="AE15" s="42"/>
      <c r="AJ15" s="44"/>
      <c r="AK15" s="168"/>
      <c r="AL15" s="44"/>
      <c r="AM15" s="44"/>
      <c r="AN15" s="44"/>
      <c r="AO15" s="44"/>
      <c r="AP15" s="44"/>
    </row>
    <row r="16" spans="1:42" x14ac:dyDescent="0.3">
      <c r="C16" s="141" t="s">
        <v>33</v>
      </c>
      <c r="D16" s="141" t="s">
        <v>34</v>
      </c>
      <c r="E16" s="141"/>
      <c r="F16" s="141" t="s">
        <v>35</v>
      </c>
      <c r="G16" s="153"/>
      <c r="H16" s="141" t="s">
        <v>36</v>
      </c>
      <c r="I16" s="141"/>
      <c r="J16" s="156" t="s">
        <v>810</v>
      </c>
      <c r="K16" s="156" t="s">
        <v>811</v>
      </c>
      <c r="L16" s="156" t="s">
        <v>38</v>
      </c>
      <c r="M16" s="141"/>
      <c r="N16" s="156" t="s">
        <v>39</v>
      </c>
      <c r="O16" s="141"/>
      <c r="P16" s="156" t="s">
        <v>40</v>
      </c>
      <c r="Q16" s="141"/>
      <c r="R16" s="156" t="s">
        <v>41</v>
      </c>
      <c r="T16" s="135"/>
      <c r="U16" s="135"/>
      <c r="V16" s="135"/>
      <c r="W16" s="135"/>
      <c r="X16" s="135"/>
      <c r="Y16" s="135"/>
      <c r="Z16" s="135"/>
      <c r="AC16" s="280"/>
      <c r="AE16" s="42"/>
      <c r="AJ16" s="135"/>
      <c r="AK16" s="207"/>
      <c r="AL16" s="135"/>
      <c r="AM16" s="135"/>
      <c r="AN16" s="135"/>
      <c r="AO16" s="135"/>
      <c r="AP16" s="135"/>
    </row>
    <row r="17" spans="1:45" ht="17.100000000000001" customHeight="1" x14ac:dyDescent="0.3">
      <c r="A17" s="191"/>
      <c r="B17" s="191"/>
      <c r="C17" s="191"/>
      <c r="D17" s="191"/>
      <c r="E17" s="191"/>
      <c r="F17" s="191"/>
      <c r="G17" s="191"/>
      <c r="H17" s="271" t="s">
        <v>49</v>
      </c>
      <c r="I17" s="271"/>
      <c r="J17" s="270" t="s">
        <v>69</v>
      </c>
      <c r="K17" s="271"/>
      <c r="L17" s="271" t="s">
        <v>50</v>
      </c>
      <c r="M17" s="271"/>
      <c r="N17" s="271" t="s">
        <v>51</v>
      </c>
      <c r="O17" s="271"/>
      <c r="P17" s="271" t="s">
        <v>50</v>
      </c>
      <c r="Q17" s="271"/>
      <c r="R17" s="271" t="s">
        <v>50</v>
      </c>
      <c r="Y17" s="44"/>
      <c r="AC17" s="280"/>
      <c r="AE17" s="42"/>
      <c r="AJ17" s="44"/>
      <c r="AK17" s="168"/>
      <c r="AL17" s="44"/>
      <c r="AM17" s="44"/>
      <c r="AN17" s="44"/>
      <c r="AO17" s="44"/>
      <c r="AP17" s="44"/>
    </row>
    <row r="18" spans="1:45" x14ac:dyDescent="0.3">
      <c r="A18" s="283">
        <v>1</v>
      </c>
      <c r="C18" s="132" t="s">
        <v>796</v>
      </c>
      <c r="D18" s="178" t="s">
        <v>797</v>
      </c>
      <c r="E18" s="42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T18" s="42"/>
      <c r="U18" s="42"/>
      <c r="Y18" s="44"/>
      <c r="AC18" s="280"/>
      <c r="AE18" s="42"/>
    </row>
    <row r="19" spans="1:45" x14ac:dyDescent="0.3">
      <c r="A19" s="283">
        <v>2</v>
      </c>
      <c r="C19" s="132" t="s">
        <v>817</v>
      </c>
      <c r="D19" s="153"/>
      <c r="F19" s="159"/>
      <c r="G19" s="1"/>
      <c r="H19" s="159"/>
      <c r="I19" s="159"/>
      <c r="J19" s="183"/>
      <c r="K19" s="183"/>
      <c r="L19" s="3"/>
      <c r="M19" s="3"/>
      <c r="N19" s="4"/>
      <c r="O19" s="4"/>
      <c r="P19" s="3"/>
      <c r="Q19" s="3"/>
      <c r="R19" s="3"/>
      <c r="S19" s="123"/>
      <c r="V19" s="210"/>
      <c r="Y19" s="44"/>
      <c r="AA19" s="41" t="s">
        <v>805</v>
      </c>
      <c r="AC19" s="41" t="s">
        <v>524</v>
      </c>
      <c r="AH19" s="123"/>
      <c r="AL19" s="123"/>
      <c r="AM19" s="123"/>
      <c r="AN19" s="123"/>
    </row>
    <row r="20" spans="1:45" x14ac:dyDescent="0.3">
      <c r="A20" s="283">
        <v>3</v>
      </c>
      <c r="C20" s="45" t="s">
        <v>803</v>
      </c>
      <c r="F20" s="184">
        <v>0</v>
      </c>
      <c r="G20" s="1"/>
      <c r="H20" s="184">
        <f>ROUND(F20*AC19/12,0)</f>
        <v>0</v>
      </c>
      <c r="I20" s="159"/>
      <c r="J20" s="238">
        <v>4.7418319999999996</v>
      </c>
      <c r="K20" s="238">
        <v>3.3135690000000002</v>
      </c>
      <c r="L20" s="3">
        <f>ROUND((F20*(J20+K20)),0)</f>
        <v>0</v>
      </c>
      <c r="M20" s="3"/>
      <c r="N20" s="4">
        <f t="shared" ref="N20:N61" si="0">ROUND((L20/L$340)*100,1)</f>
        <v>0</v>
      </c>
      <c r="O20" s="4"/>
      <c r="P20" s="3">
        <f t="shared" ref="P20:P61" si="1">ROUND(($P$108/$H$108)*D20,0)</f>
        <v>0</v>
      </c>
      <c r="Q20" s="3"/>
      <c r="R20" s="3">
        <f>L20+P20</f>
        <v>0</v>
      </c>
      <c r="S20" s="123"/>
      <c r="V20" s="210"/>
      <c r="AA20" s="44">
        <v>17</v>
      </c>
      <c r="AC20" s="210">
        <f>AA20*12</f>
        <v>204</v>
      </c>
      <c r="AF20" s="184"/>
      <c r="AG20" s="206"/>
      <c r="AH20" s="210"/>
      <c r="AK20" s="214"/>
      <c r="AL20" s="210"/>
      <c r="AM20" s="210"/>
      <c r="AN20" s="210"/>
      <c r="AO20" s="160"/>
      <c r="AP20" s="160"/>
    </row>
    <row r="21" spans="1:45" x14ac:dyDescent="0.3">
      <c r="A21" s="283">
        <v>4</v>
      </c>
      <c r="C21" s="45" t="s">
        <v>804</v>
      </c>
      <c r="F21" s="184">
        <v>0</v>
      </c>
      <c r="G21" s="1"/>
      <c r="H21" s="184">
        <f t="shared" ref="H21:H46" si="2">ROUND(F21*AC20/12,0)</f>
        <v>0</v>
      </c>
      <c r="I21" s="159"/>
      <c r="J21" s="238">
        <v>4.7989620000000004</v>
      </c>
      <c r="K21" s="238">
        <v>3.3135690000000002</v>
      </c>
      <c r="L21" s="3">
        <f t="shared" ref="L21:L46" si="3">ROUND((F21*(J21+K21)),0)</f>
        <v>0</v>
      </c>
      <c r="M21" s="3"/>
      <c r="N21" s="4">
        <f t="shared" si="0"/>
        <v>0</v>
      </c>
      <c r="O21" s="4"/>
      <c r="P21" s="3">
        <f t="shared" si="1"/>
        <v>0</v>
      </c>
      <c r="Q21" s="3"/>
      <c r="R21" s="3">
        <f>L21+P21</f>
        <v>0</v>
      </c>
      <c r="S21" s="123"/>
      <c r="V21" s="238"/>
      <c r="Y21" s="318"/>
      <c r="AA21" s="44">
        <v>17</v>
      </c>
      <c r="AB21" s="213"/>
      <c r="AC21" s="210">
        <f t="shared" ref="AC21:AC41" si="4">AA21*12</f>
        <v>204</v>
      </c>
      <c r="AD21" s="210"/>
      <c r="AE21" s="210"/>
      <c r="AF21" s="210"/>
      <c r="AG21" s="214"/>
      <c r="AH21" s="210"/>
      <c r="AK21" s="214"/>
      <c r="AL21" s="210"/>
      <c r="AM21" s="210"/>
      <c r="AN21" s="210"/>
      <c r="AO21" s="284"/>
      <c r="AP21" s="160"/>
    </row>
    <row r="22" spans="1:45" x14ac:dyDescent="0.3">
      <c r="A22" s="283">
        <v>5</v>
      </c>
      <c r="C22" s="45" t="s">
        <v>878</v>
      </c>
      <c r="F22" s="184">
        <v>259</v>
      </c>
      <c r="G22" s="1"/>
      <c r="H22" s="184">
        <f t="shared" si="2"/>
        <v>4403</v>
      </c>
      <c r="I22" s="159"/>
      <c r="J22" s="238">
        <v>4.3876220000000004</v>
      </c>
      <c r="K22" s="238">
        <v>3.3135690000000002</v>
      </c>
      <c r="L22" s="3">
        <f t="shared" si="3"/>
        <v>1995</v>
      </c>
      <c r="M22" s="3"/>
      <c r="N22" s="4">
        <f t="shared" si="0"/>
        <v>8.8000000000000007</v>
      </c>
      <c r="O22" s="4"/>
      <c r="P22" s="3">
        <f t="shared" si="1"/>
        <v>0</v>
      </c>
      <c r="Q22" s="3"/>
      <c r="R22" s="3">
        <f t="shared" ref="R22:R31" si="5">L22+P22</f>
        <v>1995</v>
      </c>
      <c r="S22" s="123"/>
      <c r="V22" s="238"/>
      <c r="Y22" s="318"/>
      <c r="AA22" s="44">
        <v>17</v>
      </c>
      <c r="AB22" s="213"/>
      <c r="AC22" s="210">
        <f t="shared" si="4"/>
        <v>204</v>
      </c>
      <c r="AD22" s="123"/>
      <c r="AE22" s="160"/>
      <c r="AF22" s="160"/>
      <c r="AH22" s="123"/>
      <c r="AL22" s="123"/>
      <c r="AM22" s="123"/>
      <c r="AN22" s="123"/>
      <c r="AO22" s="284"/>
      <c r="AP22" s="160"/>
    </row>
    <row r="23" spans="1:45" x14ac:dyDescent="0.3">
      <c r="A23" s="283">
        <v>6</v>
      </c>
      <c r="C23" s="45" t="s">
        <v>877</v>
      </c>
      <c r="F23" s="184">
        <v>672</v>
      </c>
      <c r="G23" s="1"/>
      <c r="H23" s="184">
        <f t="shared" si="2"/>
        <v>11424</v>
      </c>
      <c r="I23" s="159"/>
      <c r="J23" s="238">
        <v>4.8218139999999998</v>
      </c>
      <c r="K23" s="238">
        <v>3.3135690000000002</v>
      </c>
      <c r="L23" s="3">
        <f t="shared" si="3"/>
        <v>5467</v>
      </c>
      <c r="M23" s="3"/>
      <c r="N23" s="4">
        <f t="shared" si="0"/>
        <v>24</v>
      </c>
      <c r="O23" s="4"/>
      <c r="P23" s="3">
        <f t="shared" si="1"/>
        <v>0</v>
      </c>
      <c r="Q23" s="3"/>
      <c r="R23" s="3">
        <f>L23+P23</f>
        <v>5467</v>
      </c>
      <c r="S23" s="123"/>
      <c r="V23" s="238"/>
      <c r="Y23" s="318"/>
      <c r="AA23" s="44">
        <v>24</v>
      </c>
      <c r="AB23" s="213"/>
      <c r="AC23" s="210">
        <f t="shared" si="4"/>
        <v>288</v>
      </c>
      <c r="AD23" s="123"/>
      <c r="AE23" s="160"/>
      <c r="AF23" s="160"/>
      <c r="AH23" s="123"/>
      <c r="AL23" s="123"/>
      <c r="AM23" s="123"/>
      <c r="AN23" s="123"/>
      <c r="AO23" s="284"/>
      <c r="AP23" s="160"/>
    </row>
    <row r="24" spans="1:45" x14ac:dyDescent="0.3">
      <c r="A24" s="283">
        <v>7</v>
      </c>
      <c r="C24" s="45" t="s">
        <v>876</v>
      </c>
      <c r="F24" s="184">
        <v>22</v>
      </c>
      <c r="G24" s="1"/>
      <c r="H24" s="184">
        <f t="shared" si="2"/>
        <v>528</v>
      </c>
      <c r="I24" s="159"/>
      <c r="J24" s="238">
        <v>5.4502499999999996</v>
      </c>
      <c r="K24" s="238">
        <v>3.3135690000000002</v>
      </c>
      <c r="L24" s="3">
        <f t="shared" si="3"/>
        <v>193</v>
      </c>
      <c r="M24" s="3"/>
      <c r="N24" s="4">
        <f t="shared" si="0"/>
        <v>0.8</v>
      </c>
      <c r="O24" s="4"/>
      <c r="P24" s="3">
        <f t="shared" si="1"/>
        <v>0</v>
      </c>
      <c r="Q24" s="3"/>
      <c r="R24" s="3">
        <f t="shared" si="5"/>
        <v>193</v>
      </c>
      <c r="S24" s="123"/>
      <c r="U24" s="40"/>
      <c r="V24" s="238"/>
      <c r="W24" s="40"/>
      <c r="X24" s="40"/>
      <c r="Y24" s="318"/>
      <c r="Z24" s="40"/>
      <c r="AA24" s="44">
        <v>38</v>
      </c>
      <c r="AB24" s="40"/>
      <c r="AC24" s="210">
        <f t="shared" si="4"/>
        <v>456</v>
      </c>
      <c r="AD24" s="40"/>
      <c r="AE24" s="40"/>
      <c r="AF24" s="40"/>
      <c r="AG24" s="166"/>
      <c r="AH24" s="40"/>
      <c r="AI24" s="40"/>
      <c r="AJ24" s="40"/>
      <c r="AK24" s="166"/>
      <c r="AL24" s="40"/>
      <c r="AM24" s="40"/>
      <c r="AN24" s="40"/>
      <c r="AO24" s="284"/>
      <c r="AP24" s="40"/>
      <c r="AR24" s="40"/>
      <c r="AS24" s="40"/>
    </row>
    <row r="25" spans="1:45" x14ac:dyDescent="0.3">
      <c r="A25" s="283">
        <v>8</v>
      </c>
      <c r="C25" s="45" t="s">
        <v>875</v>
      </c>
      <c r="F25" s="184">
        <v>10</v>
      </c>
      <c r="G25" s="1"/>
      <c r="H25" s="184">
        <f t="shared" si="2"/>
        <v>380</v>
      </c>
      <c r="I25" s="159"/>
      <c r="J25" s="238">
        <v>5.5188059999999997</v>
      </c>
      <c r="K25" s="238">
        <v>3.3135690000000002</v>
      </c>
      <c r="L25" s="3">
        <f t="shared" si="3"/>
        <v>88</v>
      </c>
      <c r="M25" s="3"/>
      <c r="N25" s="4">
        <f t="shared" si="0"/>
        <v>0.4</v>
      </c>
      <c r="O25" s="4"/>
      <c r="P25" s="3">
        <f t="shared" si="1"/>
        <v>0</v>
      </c>
      <c r="Q25" s="3"/>
      <c r="R25" s="3">
        <f>L25+P25</f>
        <v>88</v>
      </c>
      <c r="S25" s="123"/>
      <c r="U25" s="40"/>
      <c r="V25" s="238"/>
      <c r="W25" s="42"/>
      <c r="X25" s="40"/>
      <c r="Y25" s="318"/>
      <c r="Z25" s="40"/>
      <c r="AA25" s="44">
        <v>52</v>
      </c>
      <c r="AB25" s="40"/>
      <c r="AC25" s="210">
        <f t="shared" si="4"/>
        <v>624</v>
      </c>
      <c r="AD25" s="40"/>
      <c r="AE25" s="40"/>
      <c r="AF25" s="40"/>
      <c r="AG25" s="166"/>
      <c r="AH25" s="40"/>
      <c r="AI25" s="40"/>
      <c r="AJ25" s="40"/>
      <c r="AK25" s="166"/>
      <c r="AL25" s="40"/>
      <c r="AM25" s="40"/>
      <c r="AN25" s="40"/>
      <c r="AO25" s="284"/>
      <c r="AP25" s="40"/>
      <c r="AR25" s="40"/>
      <c r="AS25" s="40"/>
    </row>
    <row r="26" spans="1:45" x14ac:dyDescent="0.3">
      <c r="A26" s="283">
        <v>9</v>
      </c>
      <c r="C26" s="45" t="s">
        <v>874</v>
      </c>
      <c r="F26" s="184">
        <v>19</v>
      </c>
      <c r="G26" s="1"/>
      <c r="H26" s="184">
        <f t="shared" si="2"/>
        <v>988</v>
      </c>
      <c r="I26" s="159"/>
      <c r="J26" s="238">
        <v>7.2098690000000003</v>
      </c>
      <c r="K26" s="238">
        <v>4.0448389999999996</v>
      </c>
      <c r="L26" s="3">
        <f t="shared" si="3"/>
        <v>214</v>
      </c>
      <c r="M26" s="3"/>
      <c r="N26" s="4">
        <f t="shared" si="0"/>
        <v>0.9</v>
      </c>
      <c r="O26" s="4"/>
      <c r="P26" s="3">
        <f t="shared" si="1"/>
        <v>0</v>
      </c>
      <c r="Q26" s="3"/>
      <c r="R26" s="3">
        <f>L26+P26</f>
        <v>214</v>
      </c>
      <c r="S26" s="123"/>
      <c r="U26" s="40"/>
      <c r="V26" s="238"/>
      <c r="W26" s="40"/>
      <c r="X26" s="40"/>
      <c r="Y26" s="318"/>
      <c r="Z26" s="40"/>
      <c r="AA26" s="44">
        <v>76</v>
      </c>
      <c r="AB26" s="40"/>
      <c r="AC26" s="210">
        <f t="shared" si="4"/>
        <v>912</v>
      </c>
      <c r="AD26" s="40"/>
      <c r="AE26" s="40"/>
      <c r="AF26" s="40"/>
      <c r="AG26" s="166"/>
      <c r="AH26" s="40"/>
      <c r="AI26" s="40"/>
      <c r="AJ26" s="40"/>
      <c r="AK26" s="166"/>
      <c r="AL26" s="40"/>
      <c r="AM26" s="40"/>
      <c r="AN26" s="40"/>
      <c r="AO26" s="284"/>
      <c r="AP26" s="40"/>
      <c r="AR26" s="40"/>
      <c r="AS26" s="40"/>
    </row>
    <row r="27" spans="1:45" x14ac:dyDescent="0.3">
      <c r="A27" s="283">
        <v>10</v>
      </c>
      <c r="C27" s="45" t="s">
        <v>873</v>
      </c>
      <c r="F27" s="184">
        <v>4</v>
      </c>
      <c r="G27" s="1"/>
      <c r="H27" s="184">
        <f t="shared" si="2"/>
        <v>304</v>
      </c>
      <c r="I27" s="159"/>
      <c r="J27" s="238">
        <v>7.2670000000000003</v>
      </c>
      <c r="K27" s="238">
        <v>4.0448389999999996</v>
      </c>
      <c r="L27" s="3">
        <f t="shared" si="3"/>
        <v>45</v>
      </c>
      <c r="M27" s="3"/>
      <c r="N27" s="4">
        <f t="shared" si="0"/>
        <v>0.2</v>
      </c>
      <c r="O27" s="4"/>
      <c r="P27" s="3">
        <f t="shared" si="1"/>
        <v>0</v>
      </c>
      <c r="Q27" s="3"/>
      <c r="R27" s="3">
        <f>L27+P27</f>
        <v>45</v>
      </c>
      <c r="S27" s="123"/>
      <c r="U27" s="40"/>
      <c r="V27" s="238"/>
      <c r="W27" s="42"/>
      <c r="X27" s="40"/>
      <c r="Y27" s="318"/>
      <c r="Z27" s="40"/>
      <c r="AA27" s="44">
        <v>97</v>
      </c>
      <c r="AB27" s="40"/>
      <c r="AC27" s="210">
        <f t="shared" si="4"/>
        <v>1164</v>
      </c>
      <c r="AD27" s="40"/>
      <c r="AE27" s="40"/>
      <c r="AF27" s="40"/>
      <c r="AG27" s="166"/>
      <c r="AH27" s="40"/>
      <c r="AI27" s="40"/>
      <c r="AJ27" s="40"/>
      <c r="AK27" s="166"/>
      <c r="AL27" s="40"/>
      <c r="AM27" s="40"/>
      <c r="AN27" s="40"/>
      <c r="AO27" s="284"/>
      <c r="AP27" s="40"/>
      <c r="AR27" s="40"/>
      <c r="AS27" s="40"/>
    </row>
    <row r="28" spans="1:45" x14ac:dyDescent="0.3">
      <c r="A28" s="283">
        <v>11</v>
      </c>
      <c r="C28" s="45" t="s">
        <v>872</v>
      </c>
      <c r="F28" s="184">
        <v>0</v>
      </c>
      <c r="G28" s="1"/>
      <c r="H28" s="184">
        <f t="shared" si="2"/>
        <v>0</v>
      </c>
      <c r="I28" s="159"/>
      <c r="J28" s="238">
        <v>13.379963</v>
      </c>
      <c r="K28" s="238">
        <v>3.3135690000000002</v>
      </c>
      <c r="L28" s="3">
        <f t="shared" si="3"/>
        <v>0</v>
      </c>
      <c r="M28" s="3"/>
      <c r="N28" s="4">
        <f t="shared" si="0"/>
        <v>0</v>
      </c>
      <c r="O28" s="4"/>
      <c r="P28" s="3">
        <f t="shared" si="1"/>
        <v>0</v>
      </c>
      <c r="Q28" s="3"/>
      <c r="R28" s="3">
        <f t="shared" si="5"/>
        <v>0</v>
      </c>
      <c r="S28" s="123"/>
      <c r="V28" s="238"/>
      <c r="Y28" s="318"/>
      <c r="AA28" s="44">
        <v>17</v>
      </c>
      <c r="AC28" s="210">
        <f t="shared" si="4"/>
        <v>204</v>
      </c>
      <c r="AD28" s="123"/>
      <c r="AE28" s="123"/>
      <c r="AF28" s="123"/>
      <c r="AL28" s="123"/>
      <c r="AM28" s="123"/>
      <c r="AN28" s="123"/>
      <c r="AO28" s="284"/>
    </row>
    <row r="29" spans="1:45" x14ac:dyDescent="0.3">
      <c r="A29" s="283">
        <v>12</v>
      </c>
      <c r="C29" s="45" t="s">
        <v>871</v>
      </c>
      <c r="F29" s="184">
        <v>0</v>
      </c>
      <c r="G29" s="1"/>
      <c r="H29" s="184">
        <f t="shared" si="2"/>
        <v>0</v>
      </c>
      <c r="I29" s="159"/>
      <c r="J29" s="238">
        <v>14.911061</v>
      </c>
      <c r="K29" s="238">
        <v>3.3135690000000002</v>
      </c>
      <c r="L29" s="3">
        <f t="shared" si="3"/>
        <v>0</v>
      </c>
      <c r="M29" s="3"/>
      <c r="N29" s="4">
        <f t="shared" si="0"/>
        <v>0</v>
      </c>
      <c r="O29" s="4"/>
      <c r="P29" s="3">
        <f t="shared" si="1"/>
        <v>0</v>
      </c>
      <c r="Q29" s="3"/>
      <c r="R29" s="3">
        <f>L29+P29</f>
        <v>0</v>
      </c>
      <c r="S29" s="123"/>
      <c r="V29" s="238"/>
      <c r="Y29" s="318"/>
      <c r="AA29" s="44">
        <v>17</v>
      </c>
      <c r="AC29" s="210">
        <f t="shared" si="4"/>
        <v>204</v>
      </c>
      <c r="AD29" s="123"/>
      <c r="AE29" s="123"/>
      <c r="AF29" s="123"/>
      <c r="AL29" s="123"/>
      <c r="AM29" s="123"/>
      <c r="AN29" s="123"/>
      <c r="AO29" s="284"/>
    </row>
    <row r="30" spans="1:45" ht="15" customHeight="1" x14ac:dyDescent="0.3">
      <c r="A30" s="283">
        <v>13</v>
      </c>
      <c r="C30" s="45" t="s">
        <v>798</v>
      </c>
      <c r="F30" s="184">
        <v>0</v>
      </c>
      <c r="G30" s="1"/>
      <c r="H30" s="184">
        <f t="shared" si="2"/>
        <v>0</v>
      </c>
      <c r="I30" s="159"/>
      <c r="J30" s="238">
        <v>15.356678</v>
      </c>
      <c r="K30" s="238">
        <v>3.3135690000000002</v>
      </c>
      <c r="L30" s="3">
        <f t="shared" si="3"/>
        <v>0</v>
      </c>
      <c r="M30" s="3"/>
      <c r="N30" s="4">
        <f t="shared" si="0"/>
        <v>0</v>
      </c>
      <c r="O30" s="4"/>
      <c r="P30" s="3">
        <f t="shared" si="1"/>
        <v>0</v>
      </c>
      <c r="Q30" s="3"/>
      <c r="R30" s="3">
        <f t="shared" si="5"/>
        <v>0</v>
      </c>
      <c r="S30" s="123"/>
      <c r="V30" s="238"/>
      <c r="Y30" s="318"/>
      <c r="AA30" s="44">
        <v>24</v>
      </c>
      <c r="AC30" s="210">
        <f t="shared" si="4"/>
        <v>288</v>
      </c>
      <c r="AO30" s="284"/>
    </row>
    <row r="31" spans="1:45" ht="15.75" customHeight="1" x14ac:dyDescent="0.3">
      <c r="A31" s="283">
        <v>14</v>
      </c>
      <c r="C31" s="45" t="s">
        <v>870</v>
      </c>
      <c r="F31" s="184">
        <v>858</v>
      </c>
      <c r="G31" s="1"/>
      <c r="H31" s="184">
        <f t="shared" si="2"/>
        <v>20592</v>
      </c>
      <c r="I31" s="159"/>
      <c r="J31" s="238">
        <v>7.2098690000000003</v>
      </c>
      <c r="K31" s="238">
        <v>3.3135690000000002</v>
      </c>
      <c r="L31" s="3">
        <f t="shared" si="3"/>
        <v>9029</v>
      </c>
      <c r="M31" s="3"/>
      <c r="N31" s="4">
        <f t="shared" si="0"/>
        <v>39.700000000000003</v>
      </c>
      <c r="O31" s="4"/>
      <c r="P31" s="3">
        <f t="shared" si="1"/>
        <v>0</v>
      </c>
      <c r="Q31" s="3"/>
      <c r="R31" s="3">
        <f t="shared" si="5"/>
        <v>9029</v>
      </c>
      <c r="S31" s="123"/>
      <c r="U31" s="40"/>
      <c r="V31" s="238"/>
      <c r="W31" s="40"/>
      <c r="X31" s="40"/>
      <c r="Y31" s="318"/>
      <c r="Z31" s="40"/>
      <c r="AA31" s="44">
        <v>17</v>
      </c>
      <c r="AB31" s="40"/>
      <c r="AC31" s="210">
        <f t="shared" si="4"/>
        <v>204</v>
      </c>
      <c r="AD31" s="40"/>
      <c r="AE31" s="40"/>
      <c r="AF31" s="40"/>
      <c r="AG31" s="166"/>
      <c r="AH31" s="40"/>
      <c r="AI31" s="40"/>
      <c r="AJ31" s="40"/>
      <c r="AK31" s="166"/>
      <c r="AL31" s="40"/>
      <c r="AM31" s="40"/>
      <c r="AN31" s="40"/>
      <c r="AO31" s="284"/>
      <c r="AP31" s="40"/>
      <c r="AR31" s="40"/>
      <c r="AS31" s="40"/>
    </row>
    <row r="32" spans="1:45" ht="15.75" customHeight="1" x14ac:dyDescent="0.3">
      <c r="A32" s="283">
        <v>15</v>
      </c>
      <c r="C32" s="45" t="s">
        <v>869</v>
      </c>
      <c r="F32" s="184">
        <v>0</v>
      </c>
      <c r="G32" s="1"/>
      <c r="H32" s="184">
        <f t="shared" si="2"/>
        <v>0</v>
      </c>
      <c r="I32" s="159"/>
      <c r="J32" s="238">
        <v>7.4955220000000002</v>
      </c>
      <c r="K32" s="238">
        <v>3.3135690000000002</v>
      </c>
      <c r="L32" s="3">
        <f t="shared" si="3"/>
        <v>0</v>
      </c>
      <c r="M32" s="3"/>
      <c r="N32" s="4">
        <f t="shared" si="0"/>
        <v>0</v>
      </c>
      <c r="O32" s="4"/>
      <c r="P32" s="3">
        <f t="shared" si="1"/>
        <v>0</v>
      </c>
      <c r="Q32" s="3"/>
      <c r="R32" s="3">
        <f t="shared" ref="R32:R39" si="6">L32+P32</f>
        <v>0</v>
      </c>
      <c r="S32" s="123"/>
      <c r="U32" s="40"/>
      <c r="V32" s="238"/>
      <c r="W32" s="40"/>
      <c r="X32" s="40"/>
      <c r="Y32" s="318"/>
      <c r="Z32" s="40"/>
      <c r="AA32" s="44">
        <v>17</v>
      </c>
      <c r="AB32" s="40"/>
      <c r="AC32" s="210">
        <f t="shared" si="4"/>
        <v>204</v>
      </c>
      <c r="AD32" s="40"/>
      <c r="AE32" s="40"/>
      <c r="AF32" s="40"/>
      <c r="AG32" s="166"/>
      <c r="AH32" s="40"/>
      <c r="AI32" s="40"/>
      <c r="AJ32" s="40"/>
      <c r="AK32" s="166"/>
      <c r="AL32" s="40"/>
      <c r="AM32" s="40"/>
      <c r="AN32" s="40"/>
      <c r="AO32" s="284"/>
      <c r="AP32" s="40"/>
      <c r="AR32" s="40"/>
      <c r="AS32" s="40"/>
    </row>
    <row r="33" spans="1:45" ht="15.75" customHeight="1" x14ac:dyDescent="0.3">
      <c r="A33" s="283">
        <v>16</v>
      </c>
      <c r="C33" s="45" t="s">
        <v>868</v>
      </c>
      <c r="F33" s="184">
        <v>0</v>
      </c>
      <c r="G33" s="1"/>
      <c r="H33" s="184">
        <f t="shared" si="2"/>
        <v>0</v>
      </c>
      <c r="I33" s="159"/>
      <c r="J33" s="238">
        <v>13.722746000000001</v>
      </c>
      <c r="K33" s="238">
        <v>3.3135690000000002</v>
      </c>
      <c r="L33" s="3">
        <f t="shared" si="3"/>
        <v>0</v>
      </c>
      <c r="M33" s="3"/>
      <c r="N33" s="4">
        <f t="shared" si="0"/>
        <v>0</v>
      </c>
      <c r="O33" s="4"/>
      <c r="P33" s="3">
        <f t="shared" si="1"/>
        <v>0</v>
      </c>
      <c r="Q33" s="3"/>
      <c r="R33" s="3">
        <f t="shared" si="6"/>
        <v>0</v>
      </c>
      <c r="S33" s="123"/>
      <c r="U33" s="40"/>
      <c r="V33" s="238"/>
      <c r="W33" s="40"/>
      <c r="X33" s="40"/>
      <c r="Y33" s="318"/>
      <c r="Z33" s="40"/>
      <c r="AA33" s="44">
        <v>17</v>
      </c>
      <c r="AB33" s="40"/>
      <c r="AC33" s="210">
        <f t="shared" si="4"/>
        <v>204</v>
      </c>
      <c r="AD33" s="40"/>
      <c r="AE33" s="40"/>
      <c r="AF33" s="40"/>
      <c r="AG33" s="166"/>
      <c r="AH33" s="40"/>
      <c r="AI33" s="40"/>
      <c r="AJ33" s="40"/>
      <c r="AK33" s="166"/>
      <c r="AL33" s="40"/>
      <c r="AM33" s="40"/>
      <c r="AN33" s="40"/>
      <c r="AO33" s="284"/>
      <c r="AP33" s="40"/>
      <c r="AR33" s="40"/>
      <c r="AS33" s="40"/>
    </row>
    <row r="34" spans="1:45" ht="15.75" customHeight="1" x14ac:dyDescent="0.3">
      <c r="A34" s="283">
        <v>17</v>
      </c>
      <c r="B34" s="287"/>
      <c r="C34" s="45" t="s">
        <v>867</v>
      </c>
      <c r="D34" s="287"/>
      <c r="F34" s="184">
        <v>0</v>
      </c>
      <c r="G34" s="1"/>
      <c r="H34" s="184">
        <f t="shared" si="2"/>
        <v>0</v>
      </c>
      <c r="I34" s="159"/>
      <c r="J34" s="238">
        <v>13.174293</v>
      </c>
      <c r="K34" s="238">
        <v>3.3135690000000002</v>
      </c>
      <c r="L34" s="3">
        <f t="shared" si="3"/>
        <v>0</v>
      </c>
      <c r="M34" s="3"/>
      <c r="N34" s="4">
        <f t="shared" si="0"/>
        <v>0</v>
      </c>
      <c r="O34" s="4"/>
      <c r="P34" s="3">
        <f t="shared" si="1"/>
        <v>0</v>
      </c>
      <c r="Q34" s="3"/>
      <c r="R34" s="3">
        <f t="shared" si="6"/>
        <v>0</v>
      </c>
      <c r="S34" s="123"/>
      <c r="U34" s="40"/>
      <c r="V34" s="238"/>
      <c r="W34" s="40"/>
      <c r="X34" s="40"/>
      <c r="Y34" s="318"/>
      <c r="Z34" s="40"/>
      <c r="AA34" s="44">
        <v>17</v>
      </c>
      <c r="AB34" s="40"/>
      <c r="AC34" s="210">
        <f t="shared" si="4"/>
        <v>204</v>
      </c>
      <c r="AD34" s="40"/>
      <c r="AE34" s="40"/>
      <c r="AF34" s="40"/>
      <c r="AG34" s="166"/>
      <c r="AH34" s="40"/>
      <c r="AI34" s="40"/>
      <c r="AJ34" s="40"/>
      <c r="AK34" s="166"/>
      <c r="AL34" s="40"/>
      <c r="AM34" s="40"/>
      <c r="AN34" s="40"/>
      <c r="AO34" s="284"/>
      <c r="AP34" s="40"/>
      <c r="AR34" s="40"/>
      <c r="AS34" s="40"/>
    </row>
    <row r="35" spans="1:45" ht="15.75" customHeight="1" x14ac:dyDescent="0.3">
      <c r="A35" s="283">
        <v>18</v>
      </c>
      <c r="B35" s="287"/>
      <c r="C35" s="45" t="s">
        <v>866</v>
      </c>
      <c r="D35" s="287"/>
      <c r="F35" s="184">
        <v>0</v>
      </c>
      <c r="G35" s="1"/>
      <c r="H35" s="184">
        <f t="shared" si="2"/>
        <v>0</v>
      </c>
      <c r="I35" s="159"/>
      <c r="J35" s="238">
        <v>16.750662999999999</v>
      </c>
      <c r="K35" s="238">
        <v>3.3135690000000002</v>
      </c>
      <c r="L35" s="3">
        <f t="shared" si="3"/>
        <v>0</v>
      </c>
      <c r="M35" s="3"/>
      <c r="N35" s="4">
        <f t="shared" si="0"/>
        <v>0</v>
      </c>
      <c r="O35" s="4"/>
      <c r="P35" s="3">
        <f t="shared" si="1"/>
        <v>0</v>
      </c>
      <c r="Q35" s="3"/>
      <c r="R35" s="3">
        <f t="shared" si="6"/>
        <v>0</v>
      </c>
      <c r="S35" s="123"/>
      <c r="U35" s="40"/>
      <c r="V35" s="238"/>
      <c r="W35" s="40"/>
      <c r="X35" s="40"/>
      <c r="Y35" s="318"/>
      <c r="Z35" s="40"/>
      <c r="AA35" s="44">
        <v>24</v>
      </c>
      <c r="AB35" s="40"/>
      <c r="AC35" s="210">
        <f t="shared" si="4"/>
        <v>288</v>
      </c>
      <c r="AD35" s="40"/>
      <c r="AE35" s="40"/>
      <c r="AF35" s="40"/>
      <c r="AG35" s="166"/>
      <c r="AH35" s="40"/>
      <c r="AI35" s="40"/>
      <c r="AJ35" s="40"/>
      <c r="AK35" s="166"/>
      <c r="AL35" s="40"/>
      <c r="AM35" s="40"/>
      <c r="AN35" s="40"/>
      <c r="AO35" s="284"/>
      <c r="AP35" s="40"/>
      <c r="AR35" s="40"/>
      <c r="AS35" s="40"/>
    </row>
    <row r="36" spans="1:45" ht="15.75" customHeight="1" x14ac:dyDescent="0.3">
      <c r="A36" s="283">
        <v>19</v>
      </c>
      <c r="B36" s="287"/>
      <c r="C36" s="45" t="s">
        <v>865</v>
      </c>
      <c r="D36" s="287"/>
      <c r="F36" s="184">
        <v>0</v>
      </c>
      <c r="G36" s="1"/>
      <c r="H36" s="184">
        <f t="shared" si="2"/>
        <v>0</v>
      </c>
      <c r="I36" s="159"/>
      <c r="J36" s="238">
        <v>17.459081000000001</v>
      </c>
      <c r="K36" s="238">
        <v>3.3135690000000002</v>
      </c>
      <c r="L36" s="3">
        <f t="shared" si="3"/>
        <v>0</v>
      </c>
      <c r="M36" s="3"/>
      <c r="N36" s="4">
        <f t="shared" si="0"/>
        <v>0</v>
      </c>
      <c r="O36" s="4"/>
      <c r="P36" s="3">
        <f t="shared" si="1"/>
        <v>0</v>
      </c>
      <c r="Q36" s="3"/>
      <c r="R36" s="3">
        <f t="shared" si="6"/>
        <v>0</v>
      </c>
      <c r="S36" s="123"/>
      <c r="U36" s="40"/>
      <c r="V36" s="238"/>
      <c r="W36" s="40"/>
      <c r="X36" s="40"/>
      <c r="Y36" s="318"/>
      <c r="Z36" s="40"/>
      <c r="AA36" s="44">
        <v>52</v>
      </c>
      <c r="AB36" s="40"/>
      <c r="AC36" s="210">
        <f t="shared" si="4"/>
        <v>624</v>
      </c>
      <c r="AD36" s="40"/>
      <c r="AE36" s="40"/>
      <c r="AF36" s="40"/>
      <c r="AG36" s="166"/>
      <c r="AH36" s="40"/>
      <c r="AI36" s="40"/>
      <c r="AJ36" s="40"/>
      <c r="AK36" s="166"/>
      <c r="AL36" s="40"/>
      <c r="AM36" s="40"/>
      <c r="AN36" s="40"/>
      <c r="AO36" s="284"/>
      <c r="AP36" s="40"/>
      <c r="AR36" s="40"/>
      <c r="AS36" s="40"/>
    </row>
    <row r="37" spans="1:45" ht="15.75" customHeight="1" x14ac:dyDescent="0.3">
      <c r="A37" s="283">
        <v>20</v>
      </c>
      <c r="C37" s="45" t="s">
        <v>799</v>
      </c>
      <c r="F37" s="184">
        <v>0</v>
      </c>
      <c r="G37" s="1"/>
      <c r="H37" s="184">
        <f t="shared" si="2"/>
        <v>0</v>
      </c>
      <c r="I37" s="159"/>
      <c r="J37" s="238">
        <v>20.97832</v>
      </c>
      <c r="K37" s="238">
        <v>3.3135690000000002</v>
      </c>
      <c r="L37" s="3">
        <f t="shared" si="3"/>
        <v>0</v>
      </c>
      <c r="M37" s="3"/>
      <c r="N37" s="4">
        <f t="shared" si="0"/>
        <v>0</v>
      </c>
      <c r="O37" s="4"/>
      <c r="P37" s="3">
        <f t="shared" si="1"/>
        <v>0</v>
      </c>
      <c r="Q37" s="3"/>
      <c r="R37" s="3">
        <f t="shared" si="6"/>
        <v>0</v>
      </c>
      <c r="S37" s="123"/>
      <c r="U37" s="40"/>
      <c r="V37" s="238"/>
      <c r="W37" s="40"/>
      <c r="X37" s="40"/>
      <c r="Y37" s="318"/>
      <c r="Z37" s="40"/>
      <c r="AA37" s="44">
        <v>52</v>
      </c>
      <c r="AB37" s="40"/>
      <c r="AC37" s="210">
        <f t="shared" si="4"/>
        <v>624</v>
      </c>
      <c r="AD37" s="40"/>
      <c r="AE37" s="40"/>
      <c r="AF37" s="40"/>
      <c r="AG37" s="166"/>
      <c r="AH37" s="40"/>
      <c r="AI37" s="40"/>
      <c r="AJ37" s="40"/>
      <c r="AK37" s="166"/>
      <c r="AL37" s="40"/>
      <c r="AM37" s="40"/>
      <c r="AN37" s="40"/>
      <c r="AO37" s="284"/>
      <c r="AP37" s="40"/>
      <c r="AR37" s="40"/>
      <c r="AS37" s="40"/>
    </row>
    <row r="38" spans="1:45" ht="15.75" customHeight="1" x14ac:dyDescent="0.3">
      <c r="A38" s="283">
        <v>21</v>
      </c>
      <c r="B38" s="288"/>
      <c r="C38" s="45" t="s">
        <v>800</v>
      </c>
      <c r="F38" s="184">
        <v>0</v>
      </c>
      <c r="G38" s="1"/>
      <c r="H38" s="184">
        <f t="shared" si="2"/>
        <v>0</v>
      </c>
      <c r="I38" s="159"/>
      <c r="J38" s="238">
        <v>17.150576000000001</v>
      </c>
      <c r="K38" s="238">
        <v>3.3135690000000002</v>
      </c>
      <c r="L38" s="3">
        <f t="shared" si="3"/>
        <v>0</v>
      </c>
      <c r="M38" s="3"/>
      <c r="N38" s="4">
        <f t="shared" si="0"/>
        <v>0</v>
      </c>
      <c r="O38" s="4"/>
      <c r="P38" s="3">
        <f t="shared" si="1"/>
        <v>0</v>
      </c>
      <c r="Q38" s="3"/>
      <c r="R38" s="3">
        <f t="shared" si="6"/>
        <v>0</v>
      </c>
      <c r="S38" s="123"/>
      <c r="U38" s="40"/>
      <c r="V38" s="238"/>
      <c r="W38" s="40"/>
      <c r="X38" s="40"/>
      <c r="Y38" s="318"/>
      <c r="Z38" s="40"/>
      <c r="AA38" s="44">
        <v>17</v>
      </c>
      <c r="AB38" s="40"/>
      <c r="AC38" s="210">
        <f t="shared" si="4"/>
        <v>204</v>
      </c>
      <c r="AD38" s="40"/>
      <c r="AE38" s="40"/>
      <c r="AF38" s="40"/>
      <c r="AG38" s="166"/>
      <c r="AH38" s="40"/>
      <c r="AI38" s="40"/>
      <c r="AJ38" s="40"/>
      <c r="AK38" s="166"/>
      <c r="AL38" s="40"/>
      <c r="AM38" s="40"/>
      <c r="AN38" s="40"/>
      <c r="AO38" s="284"/>
      <c r="AP38" s="40"/>
      <c r="AR38" s="40"/>
      <c r="AS38" s="40"/>
    </row>
    <row r="39" spans="1:45" ht="15.75" customHeight="1" x14ac:dyDescent="0.3">
      <c r="A39" s="283">
        <v>22</v>
      </c>
      <c r="C39" s="45" t="s">
        <v>801</v>
      </c>
      <c r="F39" s="184">
        <v>0</v>
      </c>
      <c r="G39" s="1"/>
      <c r="H39" s="184">
        <f t="shared" si="2"/>
        <v>0</v>
      </c>
      <c r="I39" s="159"/>
      <c r="J39" s="238">
        <v>13.014328000000001</v>
      </c>
      <c r="K39" s="238">
        <v>4.0448389999999996</v>
      </c>
      <c r="L39" s="3">
        <f t="shared" si="3"/>
        <v>0</v>
      </c>
      <c r="M39" s="3"/>
      <c r="N39" s="4">
        <f t="shared" si="0"/>
        <v>0</v>
      </c>
      <c r="O39" s="4"/>
      <c r="P39" s="3">
        <f t="shared" si="1"/>
        <v>0</v>
      </c>
      <c r="Q39" s="3"/>
      <c r="R39" s="3">
        <f t="shared" si="6"/>
        <v>0</v>
      </c>
      <c r="S39" s="123"/>
      <c r="U39" s="40"/>
      <c r="V39" s="238"/>
      <c r="W39" s="40"/>
      <c r="X39" s="40"/>
      <c r="Y39" s="318"/>
      <c r="Z39" s="40"/>
      <c r="AA39" s="44">
        <v>76</v>
      </c>
      <c r="AB39" s="40"/>
      <c r="AC39" s="210">
        <f t="shared" si="4"/>
        <v>912</v>
      </c>
      <c r="AD39" s="40"/>
      <c r="AE39" s="40"/>
      <c r="AF39" s="40"/>
      <c r="AG39" s="166"/>
      <c r="AH39" s="40"/>
      <c r="AI39" s="40"/>
      <c r="AJ39" s="40"/>
      <c r="AK39" s="166"/>
      <c r="AL39" s="40"/>
      <c r="AM39" s="40"/>
      <c r="AN39" s="40"/>
      <c r="AO39" s="284"/>
      <c r="AP39" s="40"/>
      <c r="AR39" s="40"/>
      <c r="AS39" s="40"/>
    </row>
    <row r="40" spans="1:45" x14ac:dyDescent="0.3">
      <c r="A40" s="283">
        <v>23</v>
      </c>
      <c r="C40" s="45" t="s">
        <v>802</v>
      </c>
      <c r="F40" s="184">
        <v>0</v>
      </c>
      <c r="G40" s="1"/>
      <c r="H40" s="184">
        <f t="shared" si="2"/>
        <v>0</v>
      </c>
      <c r="I40" s="1"/>
      <c r="J40" s="238">
        <v>19.332961000000001</v>
      </c>
      <c r="K40" s="238">
        <v>4.0448389999999996</v>
      </c>
      <c r="L40" s="3">
        <f t="shared" si="3"/>
        <v>0</v>
      </c>
      <c r="M40" s="1"/>
      <c r="N40" s="4">
        <f t="shared" si="0"/>
        <v>0</v>
      </c>
      <c r="O40" s="1"/>
      <c r="P40" s="3">
        <f t="shared" si="1"/>
        <v>0</v>
      </c>
      <c r="Q40" s="1"/>
      <c r="R40" s="3">
        <f t="shared" ref="R40:R46" si="7">L40+P40</f>
        <v>0</v>
      </c>
      <c r="S40" s="123"/>
      <c r="V40" s="238"/>
      <c r="Y40" s="318"/>
      <c r="AA40" s="44">
        <v>146</v>
      </c>
      <c r="AC40" s="210">
        <f t="shared" si="4"/>
        <v>1752</v>
      </c>
      <c r="AO40" s="284"/>
    </row>
    <row r="41" spans="1:45" x14ac:dyDescent="0.3">
      <c r="A41" s="283">
        <v>24</v>
      </c>
      <c r="C41" s="45" t="s">
        <v>879</v>
      </c>
      <c r="F41" s="184">
        <v>0</v>
      </c>
      <c r="G41" s="1"/>
      <c r="H41" s="184">
        <f t="shared" si="2"/>
        <v>0</v>
      </c>
      <c r="I41" s="159"/>
      <c r="J41" s="238">
        <v>22.269469000000001</v>
      </c>
      <c r="K41" s="238">
        <v>4.0448389999999996</v>
      </c>
      <c r="L41" s="3">
        <f t="shared" si="3"/>
        <v>0</v>
      </c>
      <c r="M41" s="3"/>
      <c r="N41" s="4">
        <f t="shared" si="0"/>
        <v>0</v>
      </c>
      <c r="O41" s="4"/>
      <c r="P41" s="3">
        <f t="shared" si="1"/>
        <v>0</v>
      </c>
      <c r="Q41" s="3"/>
      <c r="R41" s="3">
        <f t="shared" si="7"/>
        <v>0</v>
      </c>
      <c r="S41" s="123"/>
      <c r="V41" s="238"/>
      <c r="Y41" s="318"/>
      <c r="AA41" s="44">
        <v>184</v>
      </c>
      <c r="AC41" s="210">
        <f t="shared" si="4"/>
        <v>2208</v>
      </c>
      <c r="AO41" s="284"/>
    </row>
    <row r="42" spans="1:45" x14ac:dyDescent="0.3">
      <c r="A42" s="283">
        <v>25</v>
      </c>
      <c r="C42" s="45" t="s">
        <v>864</v>
      </c>
      <c r="F42" s="184">
        <v>0</v>
      </c>
      <c r="G42" s="1"/>
      <c r="H42" s="184">
        <f t="shared" si="2"/>
        <v>0</v>
      </c>
      <c r="I42" s="159"/>
      <c r="J42" s="238">
        <v>22.897904</v>
      </c>
      <c r="K42" s="238">
        <v>3.3135690000000002</v>
      </c>
      <c r="L42" s="3">
        <f t="shared" si="3"/>
        <v>0</v>
      </c>
      <c r="M42" s="3"/>
      <c r="N42" s="4">
        <f t="shared" si="0"/>
        <v>0</v>
      </c>
      <c r="O42" s="4"/>
      <c r="P42" s="3">
        <f t="shared" si="1"/>
        <v>0</v>
      </c>
      <c r="Q42" s="3"/>
      <c r="R42" s="3">
        <f>L42+P42</f>
        <v>0</v>
      </c>
      <c r="S42" s="123"/>
      <c r="V42" s="238"/>
      <c r="Y42" s="318"/>
      <c r="AA42" s="44">
        <v>52</v>
      </c>
      <c r="AC42" s="210">
        <f t="shared" ref="AC42:AC50" si="8">AA42*12</f>
        <v>624</v>
      </c>
      <c r="AO42" s="284"/>
    </row>
    <row r="43" spans="1:45" x14ac:dyDescent="0.3">
      <c r="A43" s="283">
        <v>26</v>
      </c>
      <c r="C43" s="45" t="s">
        <v>863</v>
      </c>
      <c r="F43" s="184">
        <v>14</v>
      </c>
      <c r="G43" s="1"/>
      <c r="H43" s="184">
        <f t="shared" si="2"/>
        <v>728</v>
      </c>
      <c r="I43" s="159"/>
      <c r="J43" s="238">
        <v>8.2267919999999997</v>
      </c>
      <c r="K43" s="238">
        <v>3.3135690000000002</v>
      </c>
      <c r="L43" s="3">
        <f t="shared" si="3"/>
        <v>162</v>
      </c>
      <c r="M43" s="3"/>
      <c r="N43" s="4">
        <f t="shared" si="0"/>
        <v>0.7</v>
      </c>
      <c r="O43" s="4"/>
      <c r="P43" s="3">
        <f t="shared" si="1"/>
        <v>0</v>
      </c>
      <c r="Q43" s="3"/>
      <c r="R43" s="3">
        <f t="shared" si="7"/>
        <v>162</v>
      </c>
      <c r="S43" s="123"/>
      <c r="V43" s="238"/>
      <c r="Y43" s="318"/>
      <c r="AA43" s="44">
        <v>45</v>
      </c>
      <c r="AC43" s="210">
        <f t="shared" si="8"/>
        <v>540</v>
      </c>
      <c r="AO43" s="284"/>
      <c r="AR43" s="42"/>
    </row>
    <row r="44" spans="1:45" x14ac:dyDescent="0.3">
      <c r="A44" s="283">
        <v>27</v>
      </c>
      <c r="C44" s="45" t="s">
        <v>862</v>
      </c>
      <c r="F44" s="184">
        <v>58</v>
      </c>
      <c r="G44" s="1"/>
      <c r="H44" s="184">
        <f t="shared" si="2"/>
        <v>2610</v>
      </c>
      <c r="I44" s="159"/>
      <c r="J44" s="238">
        <v>12.842936</v>
      </c>
      <c r="K44" s="238">
        <v>4.0448389999999996</v>
      </c>
      <c r="L44" s="3">
        <f t="shared" si="3"/>
        <v>979</v>
      </c>
      <c r="M44" s="3"/>
      <c r="N44" s="4">
        <f t="shared" si="0"/>
        <v>4.3</v>
      </c>
      <c r="O44" s="4"/>
      <c r="P44" s="3">
        <f t="shared" si="1"/>
        <v>0</v>
      </c>
      <c r="Q44" s="3"/>
      <c r="R44" s="3">
        <f>L44+P44</f>
        <v>979</v>
      </c>
      <c r="S44" s="123"/>
      <c r="V44" s="238"/>
      <c r="Y44" s="318"/>
      <c r="AA44" s="44">
        <v>90</v>
      </c>
      <c r="AC44" s="210">
        <f t="shared" si="8"/>
        <v>1080</v>
      </c>
      <c r="AO44" s="284"/>
      <c r="AR44" s="42"/>
    </row>
    <row r="45" spans="1:45" x14ac:dyDescent="0.3">
      <c r="A45" s="283">
        <v>28</v>
      </c>
      <c r="C45" s="45" t="s">
        <v>861</v>
      </c>
      <c r="F45" s="184">
        <v>0</v>
      </c>
      <c r="G45" s="1"/>
      <c r="H45" s="184">
        <f t="shared" si="2"/>
        <v>0</v>
      </c>
      <c r="I45" s="159"/>
      <c r="J45" s="238">
        <v>15.413809000000001</v>
      </c>
      <c r="K45" s="238">
        <v>3.3135690000000002</v>
      </c>
      <c r="L45" s="3">
        <f t="shared" si="3"/>
        <v>0</v>
      </c>
      <c r="M45" s="3"/>
      <c r="N45" s="4">
        <f t="shared" si="0"/>
        <v>0</v>
      </c>
      <c r="O45" s="4"/>
      <c r="P45" s="3">
        <f t="shared" si="1"/>
        <v>0</v>
      </c>
      <c r="Q45" s="3"/>
      <c r="R45" s="3">
        <f>L45+P45</f>
        <v>0</v>
      </c>
      <c r="S45" s="123"/>
      <c r="V45" s="238"/>
      <c r="Y45" s="318"/>
      <c r="AA45" s="44">
        <v>17</v>
      </c>
      <c r="AC45" s="210">
        <f t="shared" si="8"/>
        <v>204</v>
      </c>
      <c r="AO45" s="284"/>
      <c r="AR45" s="42"/>
    </row>
    <row r="46" spans="1:45" x14ac:dyDescent="0.3">
      <c r="A46" s="283">
        <v>29</v>
      </c>
      <c r="C46" s="45" t="s">
        <v>880</v>
      </c>
      <c r="F46" s="184">
        <v>0</v>
      </c>
      <c r="G46" s="1"/>
      <c r="H46" s="184">
        <f t="shared" si="2"/>
        <v>0</v>
      </c>
      <c r="I46" s="159"/>
      <c r="J46" s="238">
        <v>14.682539</v>
      </c>
      <c r="K46" s="238">
        <v>3.3135690000000002</v>
      </c>
      <c r="L46" s="3">
        <f t="shared" si="3"/>
        <v>0</v>
      </c>
      <c r="M46" s="3"/>
      <c r="N46" s="4">
        <f t="shared" si="0"/>
        <v>0</v>
      </c>
      <c r="O46" s="4"/>
      <c r="P46" s="3">
        <f t="shared" si="1"/>
        <v>0</v>
      </c>
      <c r="Q46" s="3"/>
      <c r="R46" s="3">
        <f t="shared" si="7"/>
        <v>0</v>
      </c>
      <c r="S46" s="123"/>
      <c r="V46" s="238"/>
      <c r="Y46" s="318"/>
      <c r="AA46" s="44">
        <v>17</v>
      </c>
      <c r="AC46" s="210">
        <f t="shared" si="8"/>
        <v>204</v>
      </c>
      <c r="AO46" s="284"/>
    </row>
    <row r="47" spans="1:45" x14ac:dyDescent="0.3">
      <c r="A47" s="283">
        <v>30</v>
      </c>
      <c r="C47" s="45" t="s">
        <v>860</v>
      </c>
      <c r="F47" s="184">
        <v>0</v>
      </c>
      <c r="G47" s="1"/>
      <c r="H47" s="184">
        <f t="shared" ref="H47:H107" si="9">ROUND(F47*AC46/12,0)</f>
        <v>0</v>
      </c>
      <c r="I47" s="159"/>
      <c r="J47" s="238">
        <v>16.042244</v>
      </c>
      <c r="K47" s="238">
        <v>3.3135690000000002</v>
      </c>
      <c r="L47" s="3">
        <f t="shared" ref="L47:L87" si="10">ROUND((F47*(J47+K47)),0)</f>
        <v>0</v>
      </c>
      <c r="M47" s="3"/>
      <c r="N47" s="4">
        <f t="shared" si="0"/>
        <v>0</v>
      </c>
      <c r="O47" s="4"/>
      <c r="P47" s="3">
        <f t="shared" si="1"/>
        <v>0</v>
      </c>
      <c r="Q47" s="3"/>
      <c r="R47" s="3">
        <f>L47+P47</f>
        <v>0</v>
      </c>
      <c r="S47" s="123"/>
      <c r="V47" s="238"/>
      <c r="Y47" s="318"/>
      <c r="AA47" s="44">
        <v>17</v>
      </c>
      <c r="AC47" s="210">
        <f t="shared" si="8"/>
        <v>204</v>
      </c>
      <c r="AO47" s="284"/>
    </row>
    <row r="48" spans="1:45" x14ac:dyDescent="0.3">
      <c r="A48" s="283">
        <v>31</v>
      </c>
      <c r="B48" s="289"/>
      <c r="C48" s="45" t="s">
        <v>859</v>
      </c>
      <c r="F48" s="184">
        <v>0</v>
      </c>
      <c r="G48" s="1"/>
      <c r="H48" s="184">
        <f t="shared" si="9"/>
        <v>0</v>
      </c>
      <c r="I48" s="159"/>
      <c r="J48" s="238">
        <v>14.682539</v>
      </c>
      <c r="K48" s="238">
        <v>3.3135690000000002</v>
      </c>
      <c r="L48" s="3">
        <f t="shared" si="10"/>
        <v>0</v>
      </c>
      <c r="M48" s="3"/>
      <c r="N48" s="4">
        <f t="shared" si="0"/>
        <v>0</v>
      </c>
      <c r="O48" s="4"/>
      <c r="P48" s="3">
        <f t="shared" si="1"/>
        <v>0</v>
      </c>
      <c r="Q48" s="3"/>
      <c r="R48" s="3">
        <f>L48+P48</f>
        <v>0</v>
      </c>
      <c r="S48" s="123"/>
      <c r="V48" s="238"/>
      <c r="Y48" s="318"/>
      <c r="AA48" s="44">
        <v>17</v>
      </c>
      <c r="AC48" s="210">
        <f t="shared" si="8"/>
        <v>204</v>
      </c>
      <c r="AO48" s="284"/>
    </row>
    <row r="49" spans="1:41" x14ac:dyDescent="0.3">
      <c r="A49" s="283">
        <v>32</v>
      </c>
      <c r="C49" s="45" t="s">
        <v>858</v>
      </c>
      <c r="D49" s="289"/>
      <c r="F49" s="184">
        <v>0</v>
      </c>
      <c r="G49" s="1"/>
      <c r="H49" s="184">
        <f t="shared" si="9"/>
        <v>0</v>
      </c>
      <c r="I49" s="159"/>
      <c r="J49" s="238">
        <v>16.042244</v>
      </c>
      <c r="K49" s="238">
        <v>3.3135690000000002</v>
      </c>
      <c r="L49" s="3">
        <f t="shared" si="10"/>
        <v>0</v>
      </c>
      <c r="M49" s="3"/>
      <c r="N49" s="4">
        <f t="shared" si="0"/>
        <v>0</v>
      </c>
      <c r="O49" s="4"/>
      <c r="P49" s="3">
        <f t="shared" si="1"/>
        <v>0</v>
      </c>
      <c r="Q49" s="3"/>
      <c r="R49" s="3">
        <f>L49+P49</f>
        <v>0</v>
      </c>
      <c r="S49" s="123"/>
      <c r="V49" s="238"/>
      <c r="Y49" s="318"/>
      <c r="AA49" s="44">
        <v>17</v>
      </c>
      <c r="AC49" s="210">
        <f t="shared" si="8"/>
        <v>204</v>
      </c>
      <c r="AO49" s="284"/>
    </row>
    <row r="50" spans="1:41" x14ac:dyDescent="0.3">
      <c r="A50" s="283">
        <v>33</v>
      </c>
      <c r="C50" s="45" t="s">
        <v>857</v>
      </c>
      <c r="F50" s="184">
        <v>0</v>
      </c>
      <c r="G50" s="1"/>
      <c r="H50" s="184">
        <f t="shared" si="9"/>
        <v>0</v>
      </c>
      <c r="I50" s="159"/>
      <c r="J50" s="238">
        <v>15.356678</v>
      </c>
      <c r="K50" s="238">
        <v>3.3135690000000002</v>
      </c>
      <c r="L50" s="3">
        <f t="shared" si="10"/>
        <v>0</v>
      </c>
      <c r="M50" s="3"/>
      <c r="N50" s="4">
        <f t="shared" si="0"/>
        <v>0</v>
      </c>
      <c r="O50" s="4"/>
      <c r="P50" s="3">
        <f t="shared" si="1"/>
        <v>0</v>
      </c>
      <c r="Q50" s="3"/>
      <c r="R50" s="3">
        <f>L50+P50</f>
        <v>0</v>
      </c>
      <c r="S50" s="123"/>
      <c r="V50" s="238"/>
      <c r="Y50" s="318"/>
      <c r="AA50" s="44">
        <v>17</v>
      </c>
      <c r="AC50" s="210">
        <f t="shared" si="8"/>
        <v>204</v>
      </c>
      <c r="AO50" s="284"/>
    </row>
    <row r="51" spans="1:41" x14ac:dyDescent="0.3">
      <c r="A51" s="283">
        <v>34</v>
      </c>
      <c r="C51" s="45" t="s">
        <v>981</v>
      </c>
      <c r="F51" s="184">
        <v>0</v>
      </c>
      <c r="G51" s="1"/>
      <c r="H51" s="184">
        <f t="shared" si="9"/>
        <v>0</v>
      </c>
      <c r="I51" s="159"/>
      <c r="J51" s="238">
        <v>11.974553</v>
      </c>
      <c r="K51" s="238">
        <v>3.3135690000000002</v>
      </c>
      <c r="L51" s="3">
        <f t="shared" si="10"/>
        <v>0</v>
      </c>
      <c r="M51" s="3"/>
      <c r="N51" s="4">
        <f t="shared" si="0"/>
        <v>0</v>
      </c>
      <c r="O51" s="4"/>
      <c r="P51" s="3">
        <f t="shared" si="1"/>
        <v>0</v>
      </c>
      <c r="Q51" s="3"/>
      <c r="R51" s="3">
        <f t="shared" ref="R51:R87" si="11">L51+P51</f>
        <v>0</v>
      </c>
      <c r="S51" s="123"/>
      <c r="V51" s="238"/>
      <c r="Y51" s="318"/>
      <c r="AA51" s="44">
        <v>52</v>
      </c>
      <c r="AC51" s="210">
        <f t="shared" ref="AC51:AC107" si="12">AA51*12</f>
        <v>624</v>
      </c>
      <c r="AO51" s="284"/>
    </row>
    <row r="52" spans="1:41" x14ac:dyDescent="0.3">
      <c r="A52" s="283">
        <v>35</v>
      </c>
      <c r="C52" s="45" t="s">
        <v>982</v>
      </c>
      <c r="F52" s="184">
        <v>0</v>
      </c>
      <c r="G52" s="1"/>
      <c r="H52" s="184">
        <f t="shared" si="9"/>
        <v>0</v>
      </c>
      <c r="I52" s="159"/>
      <c r="J52" s="238">
        <v>15.882279</v>
      </c>
      <c r="K52" s="238">
        <v>3.3135690000000002</v>
      </c>
      <c r="L52" s="3">
        <f t="shared" si="10"/>
        <v>0</v>
      </c>
      <c r="M52" s="3"/>
      <c r="N52" s="4">
        <f t="shared" si="0"/>
        <v>0</v>
      </c>
      <c r="O52" s="4"/>
      <c r="P52" s="3">
        <f t="shared" si="1"/>
        <v>0</v>
      </c>
      <c r="Q52" s="3"/>
      <c r="R52" s="3">
        <f t="shared" si="11"/>
        <v>0</v>
      </c>
      <c r="S52" s="123"/>
      <c r="V52" s="238"/>
      <c r="Y52" s="318"/>
      <c r="AA52" s="44">
        <v>17</v>
      </c>
      <c r="AC52" s="210">
        <f t="shared" si="12"/>
        <v>204</v>
      </c>
      <c r="AO52" s="284"/>
    </row>
    <row r="53" spans="1:41" x14ac:dyDescent="0.3">
      <c r="A53" s="283">
        <v>36</v>
      </c>
      <c r="C53" s="45" t="s">
        <v>983</v>
      </c>
      <c r="F53" s="184">
        <v>0</v>
      </c>
      <c r="G53" s="1"/>
      <c r="H53" s="184">
        <f t="shared" si="9"/>
        <v>0</v>
      </c>
      <c r="I53" s="159"/>
      <c r="J53" s="238">
        <v>12.797231999999999</v>
      </c>
      <c r="K53" s="238">
        <v>3.3135690000000002</v>
      </c>
      <c r="L53" s="3">
        <f t="shared" si="10"/>
        <v>0</v>
      </c>
      <c r="M53" s="3"/>
      <c r="N53" s="4">
        <f t="shared" si="0"/>
        <v>0</v>
      </c>
      <c r="O53" s="4"/>
      <c r="P53" s="3">
        <f t="shared" si="1"/>
        <v>0</v>
      </c>
      <c r="Q53" s="3"/>
      <c r="R53" s="3">
        <f t="shared" si="11"/>
        <v>0</v>
      </c>
      <c r="S53" s="123"/>
      <c r="V53" s="238"/>
      <c r="Y53" s="318"/>
      <c r="AA53" s="44">
        <v>14</v>
      </c>
      <c r="AC53" s="210">
        <f t="shared" si="12"/>
        <v>168</v>
      </c>
      <c r="AO53" s="284"/>
    </row>
    <row r="54" spans="1:41" x14ac:dyDescent="0.3">
      <c r="A54" s="283">
        <v>37</v>
      </c>
      <c r="C54" s="45" t="s">
        <v>984</v>
      </c>
      <c r="F54" s="184">
        <v>0</v>
      </c>
      <c r="G54" s="1"/>
      <c r="H54" s="184">
        <f t="shared" si="9"/>
        <v>0</v>
      </c>
      <c r="I54" s="159"/>
      <c r="J54" s="238">
        <v>7.6669130000000001</v>
      </c>
      <c r="K54" s="238">
        <v>3.3135690000000002</v>
      </c>
      <c r="L54" s="3">
        <f t="shared" si="10"/>
        <v>0</v>
      </c>
      <c r="M54" s="3"/>
      <c r="N54" s="4">
        <f t="shared" si="0"/>
        <v>0</v>
      </c>
      <c r="O54" s="4"/>
      <c r="P54" s="3">
        <f t="shared" si="1"/>
        <v>0</v>
      </c>
      <c r="Q54" s="3"/>
      <c r="R54" s="3">
        <f t="shared" si="11"/>
        <v>0</v>
      </c>
      <c r="S54" s="123"/>
      <c r="V54" s="238"/>
      <c r="Y54" s="318"/>
      <c r="AA54" s="44">
        <v>17</v>
      </c>
      <c r="AC54" s="210">
        <f t="shared" si="12"/>
        <v>204</v>
      </c>
      <c r="AO54" s="284"/>
    </row>
    <row r="55" spans="1:41" x14ac:dyDescent="0.3">
      <c r="A55" s="283">
        <v>38</v>
      </c>
      <c r="C55" s="45" t="s">
        <v>985</v>
      </c>
      <c r="F55" s="184">
        <v>0</v>
      </c>
      <c r="G55" s="1"/>
      <c r="H55" s="184">
        <f t="shared" si="9"/>
        <v>0</v>
      </c>
      <c r="I55" s="159"/>
      <c r="J55" s="238">
        <v>14.648260000000001</v>
      </c>
      <c r="K55" s="238">
        <v>3.3135690000000002</v>
      </c>
      <c r="L55" s="3">
        <f t="shared" si="10"/>
        <v>0</v>
      </c>
      <c r="M55" s="3"/>
      <c r="N55" s="4">
        <f t="shared" si="0"/>
        <v>0</v>
      </c>
      <c r="O55" s="4"/>
      <c r="P55" s="3">
        <f t="shared" si="1"/>
        <v>0</v>
      </c>
      <c r="Q55" s="3"/>
      <c r="R55" s="3">
        <f t="shared" si="11"/>
        <v>0</v>
      </c>
      <c r="S55" s="123"/>
      <c r="V55" s="238"/>
      <c r="Y55" s="318"/>
      <c r="AA55" s="44">
        <v>17</v>
      </c>
      <c r="AC55" s="210">
        <f t="shared" si="12"/>
        <v>204</v>
      </c>
      <c r="AO55" s="284"/>
    </row>
    <row r="56" spans="1:41" x14ac:dyDescent="0.3">
      <c r="A56" s="283">
        <v>39</v>
      </c>
      <c r="C56" s="45" t="s">
        <v>986</v>
      </c>
      <c r="F56" s="184">
        <v>0</v>
      </c>
      <c r="G56" s="1"/>
      <c r="H56" s="184">
        <f t="shared" si="9"/>
        <v>0</v>
      </c>
      <c r="I56" s="159"/>
      <c r="J56" s="238">
        <v>6.1129639999999998</v>
      </c>
      <c r="K56" s="238">
        <v>3.3135690000000002</v>
      </c>
      <c r="L56" s="3">
        <f t="shared" si="10"/>
        <v>0</v>
      </c>
      <c r="M56" s="3"/>
      <c r="N56" s="4">
        <f t="shared" si="0"/>
        <v>0</v>
      </c>
      <c r="O56" s="4"/>
      <c r="P56" s="3">
        <f t="shared" si="1"/>
        <v>0</v>
      </c>
      <c r="Q56" s="3"/>
      <c r="R56" s="3">
        <f t="shared" si="11"/>
        <v>0</v>
      </c>
      <c r="S56" s="123"/>
      <c r="V56" s="238"/>
      <c r="Y56" s="318"/>
      <c r="AA56" s="44">
        <v>10</v>
      </c>
      <c r="AC56" s="210">
        <f t="shared" si="12"/>
        <v>120</v>
      </c>
      <c r="AO56" s="284"/>
    </row>
    <row r="57" spans="1:41" x14ac:dyDescent="0.3">
      <c r="A57" s="283">
        <v>40</v>
      </c>
      <c r="C57" s="45" t="s">
        <v>987</v>
      </c>
      <c r="F57" s="184">
        <v>0</v>
      </c>
      <c r="G57" s="1"/>
      <c r="H57" s="184">
        <f t="shared" si="9"/>
        <v>0</v>
      </c>
      <c r="I57" s="159"/>
      <c r="J57" s="238">
        <v>5.8158849999999997</v>
      </c>
      <c r="K57" s="238">
        <v>3.3135690000000002</v>
      </c>
      <c r="L57" s="3">
        <f t="shared" si="10"/>
        <v>0</v>
      </c>
      <c r="M57" s="3"/>
      <c r="N57" s="4">
        <f t="shared" si="0"/>
        <v>0</v>
      </c>
      <c r="O57" s="4"/>
      <c r="P57" s="3">
        <f t="shared" si="1"/>
        <v>0</v>
      </c>
      <c r="Q57" s="3"/>
      <c r="R57" s="3">
        <f t="shared" si="11"/>
        <v>0</v>
      </c>
      <c r="S57" s="123"/>
      <c r="V57" s="238"/>
      <c r="Y57" s="318"/>
      <c r="AA57" s="44">
        <v>10</v>
      </c>
      <c r="AC57" s="210">
        <f t="shared" si="12"/>
        <v>120</v>
      </c>
      <c r="AO57" s="284"/>
    </row>
    <row r="58" spans="1:41" x14ac:dyDescent="0.3">
      <c r="A58" s="283">
        <v>41</v>
      </c>
      <c r="C58" s="45" t="s">
        <v>988</v>
      </c>
      <c r="F58" s="184">
        <v>0</v>
      </c>
      <c r="G58" s="1"/>
      <c r="H58" s="184">
        <f t="shared" si="9"/>
        <v>0</v>
      </c>
      <c r="I58" s="159"/>
      <c r="J58" s="238">
        <v>13.082884999999999</v>
      </c>
      <c r="K58" s="238">
        <v>3.3135690000000002</v>
      </c>
      <c r="L58" s="3">
        <f t="shared" si="10"/>
        <v>0</v>
      </c>
      <c r="M58" s="3"/>
      <c r="N58" s="4">
        <f t="shared" si="0"/>
        <v>0</v>
      </c>
      <c r="O58" s="4"/>
      <c r="P58" s="3">
        <f t="shared" si="1"/>
        <v>0</v>
      </c>
      <c r="Q58" s="3"/>
      <c r="R58" s="3">
        <f t="shared" si="11"/>
        <v>0</v>
      </c>
      <c r="S58" s="123"/>
      <c r="V58" s="238"/>
      <c r="Y58" s="318"/>
      <c r="AA58" s="44">
        <v>52</v>
      </c>
      <c r="AC58" s="210">
        <f t="shared" si="12"/>
        <v>624</v>
      </c>
      <c r="AO58" s="284"/>
    </row>
    <row r="59" spans="1:41" x14ac:dyDescent="0.3">
      <c r="A59" s="283">
        <v>42</v>
      </c>
      <c r="C59" s="45" t="s">
        <v>989</v>
      </c>
      <c r="F59" s="184">
        <v>0</v>
      </c>
      <c r="G59" s="1"/>
      <c r="H59" s="184">
        <f t="shared" si="9"/>
        <v>0</v>
      </c>
      <c r="I59" s="159"/>
      <c r="J59" s="238">
        <v>13.459946</v>
      </c>
      <c r="K59" s="238">
        <v>4.0448389999999996</v>
      </c>
      <c r="L59" s="3">
        <f t="shared" si="10"/>
        <v>0</v>
      </c>
      <c r="M59" s="3"/>
      <c r="N59" s="4">
        <f t="shared" si="0"/>
        <v>0</v>
      </c>
      <c r="O59" s="4"/>
      <c r="P59" s="3">
        <f t="shared" si="1"/>
        <v>0</v>
      </c>
      <c r="Q59" s="3"/>
      <c r="R59" s="3">
        <f t="shared" si="11"/>
        <v>0</v>
      </c>
      <c r="S59" s="123"/>
      <c r="V59" s="238"/>
      <c r="Y59" s="318"/>
      <c r="AA59" s="44">
        <v>76</v>
      </c>
      <c r="AC59" s="210">
        <f t="shared" si="12"/>
        <v>912</v>
      </c>
      <c r="AO59" s="284"/>
    </row>
    <row r="60" spans="1:41" x14ac:dyDescent="0.3">
      <c r="A60" s="283">
        <v>43</v>
      </c>
      <c r="C60" s="45" t="s">
        <v>990</v>
      </c>
      <c r="F60" s="184">
        <v>0</v>
      </c>
      <c r="G60" s="1"/>
      <c r="H60" s="184">
        <f t="shared" si="9"/>
        <v>0</v>
      </c>
      <c r="I60" s="159"/>
      <c r="J60" s="238">
        <v>21.343955000000001</v>
      </c>
      <c r="K60" s="238">
        <v>3.3135690000000002</v>
      </c>
      <c r="L60" s="3">
        <f t="shared" si="10"/>
        <v>0</v>
      </c>
      <c r="M60" s="3"/>
      <c r="N60" s="4">
        <f t="shared" si="0"/>
        <v>0</v>
      </c>
      <c r="O60" s="4"/>
      <c r="P60" s="3">
        <f t="shared" si="1"/>
        <v>0</v>
      </c>
      <c r="Q60" s="3"/>
      <c r="R60" s="3">
        <f t="shared" si="11"/>
        <v>0</v>
      </c>
      <c r="S60" s="123"/>
      <c r="V60" s="238"/>
      <c r="Y60" s="318"/>
      <c r="AA60" s="44">
        <v>17</v>
      </c>
      <c r="AC60" s="210">
        <f t="shared" si="12"/>
        <v>204</v>
      </c>
      <c r="AO60" s="284"/>
    </row>
    <row r="61" spans="1:41" x14ac:dyDescent="0.3">
      <c r="A61" s="283">
        <v>44</v>
      </c>
      <c r="C61" s="45" t="s">
        <v>991</v>
      </c>
      <c r="F61" s="184">
        <v>0</v>
      </c>
      <c r="G61" s="1"/>
      <c r="H61" s="184">
        <f t="shared" si="9"/>
        <v>0</v>
      </c>
      <c r="I61" s="159"/>
      <c r="J61" s="238">
        <v>24.337592999999998</v>
      </c>
      <c r="K61" s="238">
        <v>3.3135690000000002</v>
      </c>
      <c r="L61" s="3">
        <f t="shared" si="10"/>
        <v>0</v>
      </c>
      <c r="M61" s="3"/>
      <c r="N61" s="4">
        <f t="shared" si="0"/>
        <v>0</v>
      </c>
      <c r="O61" s="4"/>
      <c r="P61" s="3">
        <f t="shared" si="1"/>
        <v>0</v>
      </c>
      <c r="Q61" s="3"/>
      <c r="R61" s="3">
        <f t="shared" si="11"/>
        <v>0</v>
      </c>
      <c r="S61" s="123"/>
      <c r="V61" s="238"/>
      <c r="Y61" s="318"/>
      <c r="AA61" s="44">
        <v>10</v>
      </c>
      <c r="AC61" s="210">
        <f t="shared" si="12"/>
        <v>120</v>
      </c>
      <c r="AO61" s="284"/>
    </row>
    <row r="62" spans="1:41" x14ac:dyDescent="0.3">
      <c r="A62" s="283"/>
      <c r="C62" s="45"/>
      <c r="F62" s="184"/>
      <c r="G62" s="1"/>
      <c r="H62" s="184"/>
      <c r="I62" s="159"/>
      <c r="J62" s="238"/>
      <c r="K62" s="238"/>
      <c r="L62" s="3"/>
      <c r="M62" s="3"/>
      <c r="N62" s="4"/>
      <c r="O62" s="4"/>
      <c r="P62" s="3"/>
      <c r="Q62" s="3"/>
      <c r="R62" s="3"/>
      <c r="S62" s="123"/>
      <c r="V62" s="238"/>
      <c r="Y62" s="318"/>
      <c r="AA62" s="44"/>
      <c r="AC62" s="210"/>
      <c r="AO62" s="284"/>
    </row>
    <row r="63" spans="1:41" x14ac:dyDescent="0.3">
      <c r="A63" s="202" t="s">
        <v>76</v>
      </c>
      <c r="C63" s="45"/>
      <c r="F63" s="184"/>
      <c r="G63" s="1"/>
      <c r="H63" s="184"/>
      <c r="I63" s="159"/>
      <c r="J63" s="238"/>
      <c r="K63" s="238"/>
      <c r="L63" s="3"/>
      <c r="M63" s="3"/>
      <c r="N63" s="4"/>
      <c r="O63" s="4"/>
      <c r="P63" s="3"/>
      <c r="Q63" s="3"/>
      <c r="R63" s="3"/>
      <c r="S63" s="123"/>
      <c r="V63" s="238"/>
      <c r="Y63" s="318"/>
      <c r="AA63" s="44"/>
      <c r="AC63" s="210"/>
      <c r="AO63" s="284"/>
    </row>
    <row r="64" spans="1:41" x14ac:dyDescent="0.3">
      <c r="A64" s="202" t="str">
        <f>"(1A) REFLECTS FUEL COST RECOVERY INCLUDED IN BASE RATES OF "&amp;TEXT(CUR_BASE_FUEL,"$0.000000;($0.000000)")&amp;"  PER KWH."</f>
        <v>(1A) REFLECTS FUEL COST RECOVERY INCLUDED IN BASE RATES OF $0.033780  PER KWH.</v>
      </c>
      <c r="C64" s="45"/>
      <c r="F64" s="184"/>
      <c r="G64" s="1"/>
      <c r="H64" s="184"/>
      <c r="I64" s="159"/>
      <c r="J64" s="238"/>
      <c r="K64" s="238"/>
      <c r="L64" s="3"/>
      <c r="M64" s="3"/>
      <c r="N64" s="4"/>
      <c r="O64" s="4"/>
      <c r="P64" s="3"/>
      <c r="Q64" s="3"/>
      <c r="R64" s="3"/>
      <c r="S64" s="123"/>
      <c r="V64" s="238"/>
      <c r="Y64" s="318"/>
      <c r="AA64" s="44"/>
      <c r="AC64" s="210"/>
      <c r="AO64" s="284"/>
    </row>
    <row r="65" spans="1:41" x14ac:dyDescent="0.3">
      <c r="A65" s="202" t="str">
        <f>"(2) REFLECTS FUEL COMPONENT OF "&amp;TEXT(CUR_FAC,"$0.000000;($0.000000)")&amp;"  PER KWH."</f>
        <v>(2) REFLECTS FUEL COMPONENT OF $0.003487  PER KWH.</v>
      </c>
      <c r="C65" s="45"/>
      <c r="F65" s="184"/>
      <c r="G65" s="1"/>
      <c r="H65" s="184"/>
      <c r="I65" s="159"/>
      <c r="J65" s="238"/>
      <c r="K65" s="238"/>
      <c r="L65" s="3"/>
      <c r="M65" s="3"/>
      <c r="N65" s="4"/>
      <c r="O65" s="4"/>
      <c r="P65" s="3"/>
      <c r="Q65" s="3"/>
      <c r="R65" s="3"/>
      <c r="S65" s="123"/>
      <c r="V65" s="238"/>
      <c r="Y65" s="318"/>
      <c r="AA65" s="44"/>
      <c r="AC65" s="210"/>
      <c r="AO65" s="284"/>
    </row>
    <row r="66" spans="1:41" x14ac:dyDescent="0.3">
      <c r="A66" s="202"/>
      <c r="C66" s="45"/>
      <c r="F66" s="184"/>
      <c r="G66" s="1"/>
      <c r="H66" s="184"/>
      <c r="I66" s="159"/>
      <c r="J66" s="238"/>
      <c r="K66" s="238"/>
      <c r="L66" s="3"/>
      <c r="M66" s="3"/>
      <c r="N66" s="4"/>
      <c r="O66" s="4"/>
      <c r="P66" s="3"/>
      <c r="Q66" s="3"/>
      <c r="R66" s="3"/>
      <c r="S66" s="123"/>
      <c r="V66" s="238"/>
      <c r="Y66" s="318"/>
      <c r="AA66" s="44"/>
      <c r="AC66" s="210"/>
      <c r="AO66" s="284"/>
    </row>
    <row r="67" spans="1:41" x14ac:dyDescent="0.3">
      <c r="A67" s="40" t="str">
        <f>NAME</f>
        <v>DUKE ENERGY KENTUCKY, INC.</v>
      </c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123"/>
      <c r="V67" s="238"/>
      <c r="Y67" s="318"/>
      <c r="AA67" s="44"/>
      <c r="AC67" s="210"/>
      <c r="AO67" s="284"/>
    </row>
    <row r="68" spans="1:41" x14ac:dyDescent="0.3">
      <c r="A68" s="40" t="str">
        <f>CASE_NO</f>
        <v>CASE NO.   2024-00354</v>
      </c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123"/>
      <c r="V68" s="238"/>
      <c r="Y68" s="318"/>
      <c r="AA68" s="44"/>
      <c r="AC68" s="210"/>
      <c r="AO68" s="284"/>
    </row>
    <row r="69" spans="1:41" x14ac:dyDescent="0.3">
      <c r="A69" s="40" t="str">
        <f>TITLE</f>
        <v>ANNUALIZED TEST YEAR REVENUES AT REHEARING ORDER CALCULATED VS. MOST CURRENT RATES</v>
      </c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123"/>
      <c r="V69" s="238"/>
      <c r="Y69" s="318"/>
      <c r="AA69" s="44"/>
      <c r="AC69" s="210"/>
      <c r="AO69" s="284"/>
    </row>
    <row r="70" spans="1:41" x14ac:dyDescent="0.3">
      <c r="A70" s="40" t="str">
        <f>DATE</f>
        <v>FOR THE TWELVE MONTHS ENDED June 30, 2026</v>
      </c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123"/>
      <c r="V70" s="238"/>
      <c r="Y70" s="318"/>
      <c r="AA70" s="44"/>
      <c r="AC70" s="210"/>
      <c r="AO70" s="284"/>
    </row>
    <row r="71" spans="1:41" x14ac:dyDescent="0.3">
      <c r="A71" s="40" t="str">
        <f>SERVICE</f>
        <v>(ELECTRIC SERVICE)</v>
      </c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123"/>
      <c r="V71" s="238"/>
      <c r="Y71" s="318"/>
      <c r="AA71" s="44"/>
      <c r="AC71" s="210"/>
      <c r="AO71" s="284"/>
    </row>
    <row r="72" spans="1:41" x14ac:dyDescent="0.3">
      <c r="A72" s="41" t="str">
        <f>DATA_PERIOD</f>
        <v>DATA: ____ BASE PERIOD   __X__FORECASTED PERIOD</v>
      </c>
      <c r="R72" s="42" t="s">
        <v>157</v>
      </c>
      <c r="S72" s="123"/>
      <c r="V72" s="238"/>
      <c r="Y72" s="318"/>
      <c r="AA72" s="44"/>
      <c r="AC72" s="210"/>
      <c r="AO72" s="284"/>
    </row>
    <row r="73" spans="1:41" x14ac:dyDescent="0.3">
      <c r="A73" s="41" t="str">
        <f>TYPE</f>
        <v>TYPE OF FILING: _X_ ORIGINAL   ___UPDATED  ___ REVISED</v>
      </c>
      <c r="R73" s="45" t="str">
        <f>"PAGE 21 OF "&amp;TEXT(Page_Num_2.3,"00")</f>
        <v>PAGE 21 OF 24</v>
      </c>
      <c r="S73" s="123"/>
      <c r="V73" s="238"/>
      <c r="Y73" s="318"/>
      <c r="AA73" s="44"/>
      <c r="AC73" s="210"/>
      <c r="AO73" s="284"/>
    </row>
    <row r="74" spans="1:41" x14ac:dyDescent="0.3">
      <c r="A74" s="42" t="s">
        <v>171</v>
      </c>
      <c r="R74" s="42" t="s">
        <v>3</v>
      </c>
      <c r="S74" s="123"/>
      <c r="V74" s="238"/>
      <c r="Y74" s="318"/>
      <c r="AA74" s="44"/>
      <c r="AC74" s="210"/>
      <c r="AO74" s="284"/>
    </row>
    <row r="75" spans="1:41" x14ac:dyDescent="0.3">
      <c r="A75" s="153" t="str">
        <f>TIME</f>
        <v>12 Months Projected with Riders</v>
      </c>
      <c r="M75" s="42"/>
      <c r="R75" s="41" t="str">
        <f>WIT</f>
        <v>B. L. Sailers</v>
      </c>
      <c r="S75" s="123"/>
      <c r="V75" s="238"/>
      <c r="Y75" s="318"/>
      <c r="AA75" s="44"/>
      <c r="AC75" s="210"/>
      <c r="AO75" s="284"/>
    </row>
    <row r="76" spans="1:41" x14ac:dyDescent="0.3">
      <c r="A76" s="40" t="s">
        <v>130</v>
      </c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123"/>
      <c r="V76" s="238"/>
      <c r="Y76" s="318"/>
      <c r="AA76" s="44"/>
      <c r="AC76" s="210"/>
      <c r="AO76" s="284"/>
    </row>
    <row r="77" spans="1:41" x14ac:dyDescent="0.3">
      <c r="A77" s="135"/>
      <c r="B77" s="135"/>
      <c r="C77" s="135"/>
      <c r="D77" s="135"/>
      <c r="E77" s="135"/>
      <c r="G77" s="135"/>
      <c r="H77" s="135"/>
      <c r="I77" s="135"/>
      <c r="J77" s="135"/>
      <c r="K77" s="135"/>
      <c r="L77" s="43"/>
      <c r="M77" s="43"/>
      <c r="N77" s="43"/>
      <c r="O77" s="43"/>
      <c r="P77" s="43"/>
      <c r="Q77" s="43"/>
      <c r="R77" s="43"/>
      <c r="S77" s="123"/>
      <c r="V77" s="238"/>
      <c r="Y77" s="318"/>
      <c r="AA77" s="44"/>
      <c r="AC77" s="210"/>
      <c r="AO77" s="284"/>
    </row>
    <row r="78" spans="1:41" x14ac:dyDescent="0.3">
      <c r="A78" s="191"/>
      <c r="B78" s="191"/>
      <c r="C78" s="191"/>
      <c r="D78" s="191"/>
      <c r="E78" s="191"/>
      <c r="F78" s="191"/>
      <c r="G78" s="191"/>
      <c r="H78" s="191"/>
      <c r="I78" s="191"/>
      <c r="J78" s="191"/>
      <c r="K78" s="191"/>
      <c r="L78" s="44" t="s">
        <v>6</v>
      </c>
      <c r="M78" s="44"/>
      <c r="N78" s="44" t="s">
        <v>7</v>
      </c>
      <c r="O78" s="44"/>
      <c r="R78" s="44" t="s">
        <v>6</v>
      </c>
      <c r="S78" s="123"/>
      <c r="V78" s="238"/>
      <c r="Y78" s="318"/>
      <c r="AA78" s="44"/>
      <c r="AC78" s="210"/>
      <c r="AO78" s="284"/>
    </row>
    <row r="79" spans="1:41" x14ac:dyDescent="0.3">
      <c r="L79" s="44" t="s">
        <v>12</v>
      </c>
      <c r="M79" s="44"/>
      <c r="N79" s="44" t="s">
        <v>13</v>
      </c>
      <c r="O79" s="44"/>
      <c r="R79" s="44" t="s">
        <v>11</v>
      </c>
      <c r="S79" s="123"/>
      <c r="V79" s="238"/>
      <c r="Y79" s="318"/>
      <c r="AA79" s="44"/>
      <c r="AC79" s="210"/>
      <c r="AO79" s="284"/>
    </row>
    <row r="80" spans="1:41" x14ac:dyDescent="0.3">
      <c r="A80" s="44" t="s">
        <v>17</v>
      </c>
      <c r="C80" s="44" t="s">
        <v>18</v>
      </c>
      <c r="D80" s="44" t="s">
        <v>19</v>
      </c>
      <c r="E80" s="44"/>
      <c r="F80" s="44" t="s">
        <v>20</v>
      </c>
      <c r="J80" s="40" t="s">
        <v>6</v>
      </c>
      <c r="K80" s="40"/>
      <c r="L80" s="44" t="s">
        <v>842</v>
      </c>
      <c r="M80" s="44"/>
      <c r="N80" s="44" t="s">
        <v>842</v>
      </c>
      <c r="O80" s="44"/>
      <c r="P80" s="44" t="s">
        <v>842</v>
      </c>
      <c r="Q80" s="44"/>
      <c r="R80" s="44" t="s">
        <v>9</v>
      </c>
      <c r="S80" s="123"/>
      <c r="V80" s="238"/>
      <c r="Y80" s="318"/>
      <c r="AA80" s="44"/>
      <c r="AC80" s="210"/>
      <c r="AO80" s="284"/>
    </row>
    <row r="81" spans="1:41" x14ac:dyDescent="0.3">
      <c r="A81" s="44" t="s">
        <v>22</v>
      </c>
      <c r="C81" s="44" t="s">
        <v>23</v>
      </c>
      <c r="D81" s="44" t="s">
        <v>24</v>
      </c>
      <c r="E81" s="44"/>
      <c r="F81" s="44" t="s">
        <v>25</v>
      </c>
      <c r="H81" s="44" t="s">
        <v>26</v>
      </c>
      <c r="I81" s="44"/>
      <c r="J81" s="46" t="s">
        <v>808</v>
      </c>
      <c r="K81" s="46" t="s">
        <v>809</v>
      </c>
      <c r="L81" s="44" t="s">
        <v>9</v>
      </c>
      <c r="M81" s="44"/>
      <c r="N81" s="44" t="s">
        <v>9</v>
      </c>
      <c r="O81" s="44"/>
      <c r="P81" s="44" t="s">
        <v>324</v>
      </c>
      <c r="Q81" s="44"/>
      <c r="R81" s="141" t="s">
        <v>28</v>
      </c>
      <c r="S81" s="123"/>
      <c r="V81" s="238"/>
      <c r="Y81" s="318"/>
      <c r="AA81" s="44"/>
      <c r="AC81" s="210"/>
      <c r="AO81" s="284"/>
    </row>
    <row r="82" spans="1:41" x14ac:dyDescent="0.3">
      <c r="C82" s="141" t="s">
        <v>33</v>
      </c>
      <c r="D82" s="141" t="s">
        <v>34</v>
      </c>
      <c r="E82" s="141"/>
      <c r="F82" s="141" t="s">
        <v>35</v>
      </c>
      <c r="G82" s="153"/>
      <c r="H82" s="141" t="s">
        <v>36</v>
      </c>
      <c r="I82" s="141"/>
      <c r="J82" s="156" t="s">
        <v>810</v>
      </c>
      <c r="K82" s="156" t="s">
        <v>811</v>
      </c>
      <c r="L82" s="156" t="s">
        <v>38</v>
      </c>
      <c r="M82" s="141"/>
      <c r="N82" s="156" t="s">
        <v>39</v>
      </c>
      <c r="O82" s="141"/>
      <c r="P82" s="156" t="s">
        <v>40</v>
      </c>
      <c r="Q82" s="141"/>
      <c r="R82" s="156" t="s">
        <v>41</v>
      </c>
      <c r="S82" s="123"/>
      <c r="V82" s="238"/>
      <c r="Y82" s="318"/>
      <c r="AA82" s="44"/>
      <c r="AC82" s="210"/>
      <c r="AO82" s="284"/>
    </row>
    <row r="83" spans="1:41" x14ac:dyDescent="0.3">
      <c r="A83" s="191"/>
      <c r="B83" s="191"/>
      <c r="C83" s="191"/>
      <c r="D83" s="191"/>
      <c r="E83" s="191"/>
      <c r="F83" s="191"/>
      <c r="G83" s="191"/>
      <c r="H83" s="271" t="s">
        <v>49</v>
      </c>
      <c r="I83" s="271"/>
      <c r="J83" s="270" t="s">
        <v>69</v>
      </c>
      <c r="K83" s="271"/>
      <c r="L83" s="271" t="s">
        <v>50</v>
      </c>
      <c r="M83" s="271"/>
      <c r="N83" s="271" t="s">
        <v>51</v>
      </c>
      <c r="O83" s="271"/>
      <c r="P83" s="271" t="s">
        <v>50</v>
      </c>
      <c r="Q83" s="271"/>
      <c r="R83" s="271" t="s">
        <v>50</v>
      </c>
      <c r="S83" s="123"/>
      <c r="V83" s="238"/>
      <c r="Y83" s="318"/>
      <c r="AA83" s="44"/>
      <c r="AC83" s="210"/>
      <c r="AO83" s="284"/>
    </row>
    <row r="84" spans="1:41" x14ac:dyDescent="0.3">
      <c r="A84" s="283">
        <v>45</v>
      </c>
      <c r="C84" s="132" t="s">
        <v>796</v>
      </c>
      <c r="D84" s="178" t="s">
        <v>815</v>
      </c>
      <c r="F84" s="184"/>
      <c r="G84" s="1"/>
      <c r="H84" s="184"/>
      <c r="I84" s="159"/>
      <c r="J84" s="238"/>
      <c r="K84" s="238"/>
      <c r="L84" s="3"/>
      <c r="M84" s="3"/>
      <c r="N84" s="4"/>
      <c r="O84" s="4"/>
      <c r="P84" s="3"/>
      <c r="Q84" s="3"/>
      <c r="R84" s="3"/>
      <c r="S84" s="123"/>
      <c r="V84" s="238"/>
      <c r="Y84" s="318"/>
      <c r="AA84" s="44"/>
      <c r="AC84" s="210"/>
      <c r="AO84" s="284"/>
    </row>
    <row r="85" spans="1:41" x14ac:dyDescent="0.3">
      <c r="A85" s="283">
        <v>46</v>
      </c>
      <c r="C85" s="178" t="s">
        <v>1114</v>
      </c>
      <c r="F85" s="184"/>
      <c r="G85" s="1"/>
      <c r="H85" s="184"/>
      <c r="I85" s="159"/>
      <c r="J85" s="238"/>
      <c r="K85" s="238"/>
      <c r="L85" s="3"/>
      <c r="M85" s="3"/>
      <c r="N85" s="4"/>
      <c r="O85" s="4"/>
      <c r="P85" s="3"/>
      <c r="Q85" s="3"/>
      <c r="R85" s="3"/>
      <c r="S85" s="123"/>
      <c r="V85" s="238"/>
      <c r="Y85" s="318"/>
      <c r="AA85" s="44"/>
      <c r="AC85" s="210"/>
      <c r="AO85" s="284"/>
    </row>
    <row r="86" spans="1:41" x14ac:dyDescent="0.3">
      <c r="A86" s="283">
        <v>47</v>
      </c>
      <c r="C86" s="45" t="s">
        <v>992</v>
      </c>
      <c r="F86" s="184">
        <v>0</v>
      </c>
      <c r="G86" s="1"/>
      <c r="H86" s="184">
        <f>ROUND(F86*AC61/12,0)</f>
        <v>0</v>
      </c>
      <c r="I86" s="159"/>
      <c r="J86" s="238">
        <v>4.7646839999999999</v>
      </c>
      <c r="K86" s="238">
        <v>3.3135690000000002</v>
      </c>
      <c r="L86" s="3">
        <f t="shared" si="10"/>
        <v>0</v>
      </c>
      <c r="M86" s="3"/>
      <c r="N86" s="4">
        <f t="shared" ref="N86:N108" si="13">ROUND((L86/L$340)*100,1)</f>
        <v>0</v>
      </c>
      <c r="O86" s="4"/>
      <c r="P86" s="3">
        <f t="shared" ref="P86:P107" si="14">ROUND(($P$108/$H$108)*D86,0)</f>
        <v>0</v>
      </c>
      <c r="Q86" s="3"/>
      <c r="R86" s="3">
        <f t="shared" si="11"/>
        <v>0</v>
      </c>
      <c r="S86" s="123"/>
      <c r="V86" s="238"/>
      <c r="Y86" s="318"/>
      <c r="AA86" s="44">
        <v>17</v>
      </c>
      <c r="AC86" s="210">
        <f t="shared" si="12"/>
        <v>204</v>
      </c>
      <c r="AO86" s="284"/>
    </row>
    <row r="87" spans="1:41" x14ac:dyDescent="0.3">
      <c r="A87" s="283">
        <v>48</v>
      </c>
      <c r="C87" s="45" t="s">
        <v>993</v>
      </c>
      <c r="F87" s="184">
        <v>12</v>
      </c>
      <c r="G87" s="1"/>
      <c r="H87" s="184">
        <f t="shared" si="9"/>
        <v>204</v>
      </c>
      <c r="I87" s="159"/>
      <c r="J87" s="238">
        <v>4.9475009999999999</v>
      </c>
      <c r="K87" s="238">
        <v>3.3135690000000002</v>
      </c>
      <c r="L87" s="3">
        <f t="shared" si="10"/>
        <v>99</v>
      </c>
      <c r="M87" s="3"/>
      <c r="N87" s="4">
        <f t="shared" si="13"/>
        <v>0.4</v>
      </c>
      <c r="O87" s="4"/>
      <c r="P87" s="3">
        <f t="shared" si="14"/>
        <v>0</v>
      </c>
      <c r="Q87" s="3"/>
      <c r="R87" s="3">
        <f t="shared" si="11"/>
        <v>99</v>
      </c>
      <c r="S87" s="123"/>
      <c r="V87" s="238"/>
      <c r="Y87" s="318"/>
      <c r="AA87" s="44">
        <v>24</v>
      </c>
      <c r="AC87" s="210">
        <f t="shared" si="12"/>
        <v>288</v>
      </c>
      <c r="AO87" s="284"/>
    </row>
    <row r="88" spans="1:41" x14ac:dyDescent="0.3">
      <c r="A88" s="283">
        <v>49</v>
      </c>
      <c r="C88" s="45" t="s">
        <v>1079</v>
      </c>
      <c r="F88" s="184">
        <v>0</v>
      </c>
      <c r="G88" s="1"/>
      <c r="H88" s="184">
        <f t="shared" si="9"/>
        <v>0</v>
      </c>
      <c r="I88" s="159"/>
      <c r="J88" s="238">
        <v>11.75</v>
      </c>
      <c r="K88" s="238">
        <v>3.3135690000000002</v>
      </c>
      <c r="L88" s="3">
        <f t="shared" ref="L88:L105" si="15">ROUND((F88*(J88+K88)),0)</f>
        <v>0</v>
      </c>
      <c r="M88" s="3"/>
      <c r="N88" s="4">
        <f t="shared" si="13"/>
        <v>0</v>
      </c>
      <c r="O88" s="4"/>
      <c r="P88" s="3">
        <f t="shared" si="14"/>
        <v>0</v>
      </c>
      <c r="Q88" s="3"/>
      <c r="R88" s="3">
        <f t="shared" ref="R88:R105" si="16">L88+P88</f>
        <v>0</v>
      </c>
      <c r="S88" s="123"/>
      <c r="V88" s="340"/>
      <c r="Y88" s="318"/>
      <c r="AA88" s="341">
        <v>10.4</v>
      </c>
      <c r="AC88" s="210">
        <f t="shared" si="12"/>
        <v>124.80000000000001</v>
      </c>
      <c r="AO88" s="284"/>
    </row>
    <row r="89" spans="1:41" x14ac:dyDescent="0.3">
      <c r="A89" s="283">
        <v>50</v>
      </c>
      <c r="C89" s="45" t="s">
        <v>1080</v>
      </c>
      <c r="F89" s="184">
        <v>0</v>
      </c>
      <c r="G89" s="1"/>
      <c r="H89" s="184">
        <f t="shared" si="9"/>
        <v>0</v>
      </c>
      <c r="I89" s="159"/>
      <c r="J89" s="238">
        <v>15.31</v>
      </c>
      <c r="K89" s="238">
        <v>3.3135690000000002</v>
      </c>
      <c r="L89" s="3">
        <f t="shared" si="15"/>
        <v>0</v>
      </c>
      <c r="M89" s="3"/>
      <c r="N89" s="4">
        <f t="shared" si="13"/>
        <v>0</v>
      </c>
      <c r="O89" s="4"/>
      <c r="P89" s="3">
        <f t="shared" si="14"/>
        <v>0</v>
      </c>
      <c r="Q89" s="3"/>
      <c r="R89" s="3">
        <f t="shared" si="16"/>
        <v>0</v>
      </c>
      <c r="S89" s="123"/>
      <c r="V89" s="340"/>
      <c r="Y89" s="318"/>
      <c r="AA89" s="341">
        <v>10.4</v>
      </c>
      <c r="AC89" s="210">
        <f t="shared" si="12"/>
        <v>124.80000000000001</v>
      </c>
      <c r="AO89" s="284"/>
    </row>
    <row r="90" spans="1:41" x14ac:dyDescent="0.3">
      <c r="A90" s="283">
        <v>51</v>
      </c>
      <c r="C90" s="45" t="s">
        <v>1081</v>
      </c>
      <c r="F90" s="184">
        <v>0</v>
      </c>
      <c r="G90" s="1"/>
      <c r="H90" s="184">
        <f t="shared" si="9"/>
        <v>0</v>
      </c>
      <c r="I90" s="159"/>
      <c r="J90" s="238">
        <v>15.31</v>
      </c>
      <c r="K90" s="238">
        <v>3.3135690000000002</v>
      </c>
      <c r="L90" s="3">
        <f t="shared" si="15"/>
        <v>0</v>
      </c>
      <c r="M90" s="3"/>
      <c r="N90" s="4">
        <f t="shared" si="13"/>
        <v>0</v>
      </c>
      <c r="O90" s="4"/>
      <c r="P90" s="3">
        <f t="shared" si="14"/>
        <v>0</v>
      </c>
      <c r="Q90" s="3"/>
      <c r="R90" s="3">
        <f t="shared" si="16"/>
        <v>0</v>
      </c>
      <c r="S90" s="123"/>
      <c r="V90" s="340"/>
      <c r="Y90" s="318"/>
      <c r="AA90" s="341">
        <v>10.4</v>
      </c>
      <c r="AC90" s="210">
        <f t="shared" si="12"/>
        <v>124.80000000000001</v>
      </c>
      <c r="AO90" s="284"/>
    </row>
    <row r="91" spans="1:41" x14ac:dyDescent="0.3">
      <c r="A91" s="283">
        <v>52</v>
      </c>
      <c r="C91" s="45" t="s">
        <v>1082</v>
      </c>
      <c r="F91" s="184">
        <v>0</v>
      </c>
      <c r="G91" s="1"/>
      <c r="H91" s="184">
        <f t="shared" si="9"/>
        <v>0</v>
      </c>
      <c r="I91" s="159"/>
      <c r="J91" s="238">
        <v>15.31</v>
      </c>
      <c r="K91" s="238">
        <v>3.3135690000000002</v>
      </c>
      <c r="L91" s="3">
        <f t="shared" si="15"/>
        <v>0</v>
      </c>
      <c r="M91" s="3"/>
      <c r="N91" s="4">
        <f t="shared" si="13"/>
        <v>0</v>
      </c>
      <c r="O91" s="4"/>
      <c r="P91" s="3">
        <f t="shared" si="14"/>
        <v>0</v>
      </c>
      <c r="Q91" s="3"/>
      <c r="R91" s="3">
        <f t="shared" si="16"/>
        <v>0</v>
      </c>
      <c r="S91" s="123"/>
      <c r="V91" s="340"/>
      <c r="Y91" s="318"/>
      <c r="AA91" s="341">
        <v>10.4</v>
      </c>
      <c r="AC91" s="210">
        <f t="shared" si="12"/>
        <v>124.80000000000001</v>
      </c>
      <c r="AO91" s="284"/>
    </row>
    <row r="92" spans="1:41" x14ac:dyDescent="0.3">
      <c r="A92" s="283">
        <v>53</v>
      </c>
      <c r="C92" s="45" t="s">
        <v>1083</v>
      </c>
      <c r="F92" s="184">
        <v>0</v>
      </c>
      <c r="G92" s="1"/>
      <c r="H92" s="184">
        <f t="shared" si="9"/>
        <v>0</v>
      </c>
      <c r="I92" s="159"/>
      <c r="J92" s="238">
        <v>15.31</v>
      </c>
      <c r="K92" s="238">
        <v>3.3135690000000002</v>
      </c>
      <c r="L92" s="3">
        <f t="shared" si="15"/>
        <v>0</v>
      </c>
      <c r="M92" s="3"/>
      <c r="N92" s="4">
        <f t="shared" si="13"/>
        <v>0</v>
      </c>
      <c r="O92" s="4"/>
      <c r="P92" s="3">
        <f t="shared" si="14"/>
        <v>0</v>
      </c>
      <c r="Q92" s="3"/>
      <c r="R92" s="3">
        <f t="shared" si="16"/>
        <v>0</v>
      </c>
      <c r="S92" s="123"/>
      <c r="V92" s="340"/>
      <c r="Y92" s="318"/>
      <c r="AA92" s="341">
        <v>10.4</v>
      </c>
      <c r="AC92" s="210">
        <f t="shared" si="12"/>
        <v>124.80000000000001</v>
      </c>
      <c r="AO92" s="284"/>
    </row>
    <row r="93" spans="1:41" x14ac:dyDescent="0.3">
      <c r="A93" s="283">
        <v>54</v>
      </c>
      <c r="C93" s="45" t="s">
        <v>1084</v>
      </c>
      <c r="F93" s="184">
        <v>0</v>
      </c>
      <c r="G93" s="1"/>
      <c r="H93" s="184">
        <f t="shared" si="9"/>
        <v>0</v>
      </c>
      <c r="I93" s="159"/>
      <c r="J93" s="238">
        <v>19.48</v>
      </c>
      <c r="K93" s="238">
        <v>3.3135690000000002</v>
      </c>
      <c r="L93" s="3">
        <f t="shared" si="15"/>
        <v>0</v>
      </c>
      <c r="M93" s="3"/>
      <c r="N93" s="4">
        <f t="shared" si="13"/>
        <v>0</v>
      </c>
      <c r="O93" s="4"/>
      <c r="P93" s="3">
        <f t="shared" si="14"/>
        <v>0</v>
      </c>
      <c r="Q93" s="3"/>
      <c r="R93" s="3">
        <f t="shared" si="16"/>
        <v>0</v>
      </c>
      <c r="S93" s="123"/>
      <c r="V93" s="340"/>
      <c r="Y93" s="318"/>
      <c r="AA93" s="342">
        <v>13.9</v>
      </c>
      <c r="AC93" s="210">
        <f t="shared" si="12"/>
        <v>166.8</v>
      </c>
      <c r="AO93" s="284"/>
    </row>
    <row r="94" spans="1:41" x14ac:dyDescent="0.3">
      <c r="A94" s="283">
        <v>55</v>
      </c>
      <c r="C94" s="45" t="s">
        <v>1085</v>
      </c>
      <c r="F94" s="184">
        <v>0</v>
      </c>
      <c r="G94" s="1"/>
      <c r="H94" s="184">
        <f t="shared" si="9"/>
        <v>0</v>
      </c>
      <c r="I94" s="159"/>
      <c r="J94" s="238">
        <v>19.48</v>
      </c>
      <c r="K94" s="238">
        <v>3.3135690000000002</v>
      </c>
      <c r="L94" s="3">
        <f t="shared" si="15"/>
        <v>0</v>
      </c>
      <c r="M94" s="3"/>
      <c r="N94" s="4">
        <f t="shared" si="13"/>
        <v>0</v>
      </c>
      <c r="O94" s="4"/>
      <c r="P94" s="3">
        <f t="shared" si="14"/>
        <v>0</v>
      </c>
      <c r="Q94" s="3"/>
      <c r="R94" s="3">
        <f t="shared" si="16"/>
        <v>0</v>
      </c>
      <c r="S94" s="123"/>
      <c r="V94" s="340"/>
      <c r="Y94" s="318"/>
      <c r="AA94" s="342">
        <v>13.9</v>
      </c>
      <c r="AC94" s="210">
        <f t="shared" si="12"/>
        <v>166.8</v>
      </c>
      <c r="AO94" s="284"/>
    </row>
    <row r="95" spans="1:41" x14ac:dyDescent="0.3">
      <c r="A95" s="283">
        <v>56</v>
      </c>
      <c r="C95" s="45" t="s">
        <v>1086</v>
      </c>
      <c r="F95" s="184">
        <v>0</v>
      </c>
      <c r="G95" s="1"/>
      <c r="H95" s="184">
        <f t="shared" si="9"/>
        <v>0</v>
      </c>
      <c r="I95" s="159"/>
      <c r="J95" s="238">
        <v>4.21</v>
      </c>
      <c r="K95" s="238">
        <v>3.3135690000000002</v>
      </c>
      <c r="L95" s="3">
        <f t="shared" si="15"/>
        <v>0</v>
      </c>
      <c r="M95" s="3"/>
      <c r="N95" s="4">
        <f t="shared" si="13"/>
        <v>0</v>
      </c>
      <c r="O95" s="4"/>
      <c r="P95" s="3">
        <f t="shared" si="14"/>
        <v>0</v>
      </c>
      <c r="Q95" s="3"/>
      <c r="R95" s="3">
        <f t="shared" si="16"/>
        <v>0</v>
      </c>
      <c r="S95" s="123"/>
      <c r="V95" s="340"/>
      <c r="Y95" s="318"/>
      <c r="AA95" s="343">
        <v>9</v>
      </c>
      <c r="AC95" s="210">
        <f t="shared" si="12"/>
        <v>108</v>
      </c>
      <c r="AO95" s="284"/>
    </row>
    <row r="96" spans="1:41" x14ac:dyDescent="0.3">
      <c r="A96" s="283">
        <v>57</v>
      </c>
      <c r="C96" s="45" t="s">
        <v>1087</v>
      </c>
      <c r="F96" s="184">
        <v>0</v>
      </c>
      <c r="G96" s="1"/>
      <c r="H96" s="184">
        <f t="shared" si="9"/>
        <v>0</v>
      </c>
      <c r="I96" s="159"/>
      <c r="J96" s="238">
        <v>4.96</v>
      </c>
      <c r="K96" s="238">
        <v>3.3135690000000002</v>
      </c>
      <c r="L96" s="3">
        <f t="shared" si="15"/>
        <v>0</v>
      </c>
      <c r="M96" s="3"/>
      <c r="N96" s="4">
        <f t="shared" si="13"/>
        <v>0</v>
      </c>
      <c r="O96" s="4"/>
      <c r="P96" s="3">
        <f t="shared" si="14"/>
        <v>0</v>
      </c>
      <c r="Q96" s="3"/>
      <c r="R96" s="3">
        <f t="shared" si="16"/>
        <v>0</v>
      </c>
      <c r="S96" s="123"/>
      <c r="V96" s="340"/>
      <c r="Y96" s="318"/>
      <c r="AA96" s="343">
        <v>9</v>
      </c>
      <c r="AC96" s="210">
        <f t="shared" si="12"/>
        <v>108</v>
      </c>
      <c r="AO96" s="284"/>
    </row>
    <row r="97" spans="1:45" x14ac:dyDescent="0.3">
      <c r="A97" s="283">
        <v>58</v>
      </c>
      <c r="C97" s="45" t="s">
        <v>1088</v>
      </c>
      <c r="F97" s="184">
        <v>0</v>
      </c>
      <c r="G97" s="1"/>
      <c r="H97" s="184">
        <f t="shared" si="9"/>
        <v>0</v>
      </c>
      <c r="I97" s="159"/>
      <c r="J97" s="238">
        <v>5.85</v>
      </c>
      <c r="K97" s="238">
        <v>3.3135690000000002</v>
      </c>
      <c r="L97" s="3">
        <f t="shared" si="15"/>
        <v>0</v>
      </c>
      <c r="M97" s="3"/>
      <c r="N97" s="4">
        <f t="shared" si="13"/>
        <v>0</v>
      </c>
      <c r="O97" s="4"/>
      <c r="P97" s="3">
        <f t="shared" si="14"/>
        <v>0</v>
      </c>
      <c r="Q97" s="3"/>
      <c r="R97" s="3">
        <f t="shared" si="16"/>
        <v>0</v>
      </c>
      <c r="S97" s="123"/>
      <c r="V97" s="340"/>
      <c r="Y97" s="318"/>
      <c r="AA97" s="343">
        <v>9</v>
      </c>
      <c r="AC97" s="210">
        <f t="shared" si="12"/>
        <v>108</v>
      </c>
      <c r="AO97" s="284"/>
    </row>
    <row r="98" spans="1:45" x14ac:dyDescent="0.3">
      <c r="A98" s="283">
        <v>59</v>
      </c>
      <c r="C98" s="45" t="s">
        <v>1089</v>
      </c>
      <c r="F98" s="184">
        <v>0</v>
      </c>
      <c r="G98" s="1"/>
      <c r="H98" s="184">
        <f t="shared" si="9"/>
        <v>0</v>
      </c>
      <c r="I98" s="159"/>
      <c r="J98" s="238">
        <v>5.32</v>
      </c>
      <c r="K98" s="238">
        <v>3.3135690000000002</v>
      </c>
      <c r="L98" s="3">
        <f t="shared" si="15"/>
        <v>0</v>
      </c>
      <c r="M98" s="3"/>
      <c r="N98" s="4">
        <f t="shared" si="13"/>
        <v>0</v>
      </c>
      <c r="O98" s="4"/>
      <c r="P98" s="3">
        <f t="shared" si="14"/>
        <v>0</v>
      </c>
      <c r="Q98" s="3"/>
      <c r="R98" s="3">
        <f t="shared" si="16"/>
        <v>0</v>
      </c>
      <c r="S98" s="123"/>
      <c r="V98" s="340"/>
      <c r="Y98" s="318"/>
      <c r="AA98" s="343">
        <v>9</v>
      </c>
      <c r="AC98" s="210">
        <f t="shared" si="12"/>
        <v>108</v>
      </c>
      <c r="AO98" s="284"/>
    </row>
    <row r="99" spans="1:45" x14ac:dyDescent="0.3">
      <c r="A99" s="283">
        <v>60</v>
      </c>
      <c r="C99" s="45" t="s">
        <v>1090</v>
      </c>
      <c r="F99" s="184">
        <v>0</v>
      </c>
      <c r="G99" s="1"/>
      <c r="H99" s="184">
        <f t="shared" si="9"/>
        <v>0</v>
      </c>
      <c r="I99" s="159"/>
      <c r="J99" s="238">
        <v>5.91</v>
      </c>
      <c r="K99" s="238">
        <v>3.3135690000000002</v>
      </c>
      <c r="L99" s="3">
        <f t="shared" si="15"/>
        <v>0</v>
      </c>
      <c r="M99" s="3"/>
      <c r="N99" s="4">
        <f t="shared" si="13"/>
        <v>0</v>
      </c>
      <c r="O99" s="4"/>
      <c r="P99" s="3">
        <f t="shared" si="14"/>
        <v>0</v>
      </c>
      <c r="Q99" s="3"/>
      <c r="R99" s="3">
        <f t="shared" si="16"/>
        <v>0</v>
      </c>
      <c r="S99" s="123"/>
      <c r="V99" s="340"/>
      <c r="Y99" s="318"/>
      <c r="AA99" s="343">
        <v>9</v>
      </c>
      <c r="AC99" s="210">
        <f t="shared" si="12"/>
        <v>108</v>
      </c>
      <c r="AO99" s="284"/>
    </row>
    <row r="100" spans="1:45" x14ac:dyDescent="0.3">
      <c r="A100" s="283">
        <v>61</v>
      </c>
      <c r="C100" s="45" t="s">
        <v>1091</v>
      </c>
      <c r="F100" s="184">
        <v>0</v>
      </c>
      <c r="G100" s="1"/>
      <c r="H100" s="184">
        <f t="shared" si="9"/>
        <v>0</v>
      </c>
      <c r="I100" s="159"/>
      <c r="J100" s="238">
        <v>6.94</v>
      </c>
      <c r="K100" s="238">
        <v>3.3135690000000002</v>
      </c>
      <c r="L100" s="3">
        <f t="shared" si="15"/>
        <v>0</v>
      </c>
      <c r="M100" s="3"/>
      <c r="N100" s="4">
        <f t="shared" si="13"/>
        <v>0</v>
      </c>
      <c r="O100" s="4"/>
      <c r="P100" s="3">
        <f t="shared" si="14"/>
        <v>0</v>
      </c>
      <c r="Q100" s="3"/>
      <c r="R100" s="3">
        <f t="shared" si="16"/>
        <v>0</v>
      </c>
      <c r="S100" s="123"/>
      <c r="V100" s="340"/>
      <c r="Y100" s="318"/>
      <c r="AA100" s="343">
        <v>9</v>
      </c>
      <c r="AC100" s="210">
        <f t="shared" si="12"/>
        <v>108</v>
      </c>
      <c r="AO100" s="284"/>
    </row>
    <row r="101" spans="1:45" x14ac:dyDescent="0.3">
      <c r="A101" s="283">
        <v>62</v>
      </c>
      <c r="C101" s="45" t="s">
        <v>1092</v>
      </c>
      <c r="F101" s="184">
        <v>0</v>
      </c>
      <c r="G101" s="1"/>
      <c r="H101" s="184">
        <f t="shared" si="9"/>
        <v>0</v>
      </c>
      <c r="I101" s="159"/>
      <c r="J101" s="238">
        <v>7.53</v>
      </c>
      <c r="K101" s="238">
        <v>3.3135690000000002</v>
      </c>
      <c r="L101" s="3">
        <f t="shared" si="15"/>
        <v>0</v>
      </c>
      <c r="M101" s="3"/>
      <c r="N101" s="4">
        <f t="shared" si="13"/>
        <v>0</v>
      </c>
      <c r="O101" s="4"/>
      <c r="P101" s="3">
        <f t="shared" si="14"/>
        <v>0</v>
      </c>
      <c r="Q101" s="3"/>
      <c r="R101" s="3">
        <f t="shared" si="16"/>
        <v>0</v>
      </c>
      <c r="S101" s="123"/>
      <c r="V101" s="340"/>
      <c r="Y101" s="318"/>
      <c r="AA101" s="343">
        <v>9</v>
      </c>
      <c r="AC101" s="210">
        <f t="shared" si="12"/>
        <v>108</v>
      </c>
      <c r="AO101" s="284"/>
    </row>
    <row r="102" spans="1:45" x14ac:dyDescent="0.3">
      <c r="A102" s="283">
        <v>63</v>
      </c>
      <c r="C102" s="45" t="s">
        <v>1093</v>
      </c>
      <c r="F102" s="184">
        <v>0</v>
      </c>
      <c r="G102" s="1"/>
      <c r="H102" s="184">
        <f t="shared" si="9"/>
        <v>0</v>
      </c>
      <c r="I102" s="159"/>
      <c r="J102" s="238">
        <v>6.94</v>
      </c>
      <c r="K102" s="238">
        <v>3.3135690000000002</v>
      </c>
      <c r="L102" s="3">
        <f t="shared" si="15"/>
        <v>0</v>
      </c>
      <c r="M102" s="3"/>
      <c r="N102" s="4">
        <f t="shared" si="13"/>
        <v>0</v>
      </c>
      <c r="O102" s="4"/>
      <c r="P102" s="3">
        <f t="shared" si="14"/>
        <v>0</v>
      </c>
      <c r="Q102" s="3"/>
      <c r="R102" s="3">
        <f t="shared" si="16"/>
        <v>0</v>
      </c>
      <c r="S102" s="123"/>
      <c r="V102" s="340"/>
      <c r="Y102" s="318"/>
      <c r="AA102" s="343">
        <v>9</v>
      </c>
      <c r="AC102" s="210">
        <f t="shared" si="12"/>
        <v>108</v>
      </c>
      <c r="AO102" s="284"/>
    </row>
    <row r="103" spans="1:45" x14ac:dyDescent="0.3">
      <c r="A103" s="283">
        <v>64</v>
      </c>
      <c r="C103" s="45" t="s">
        <v>1094</v>
      </c>
      <c r="F103" s="184">
        <v>0</v>
      </c>
      <c r="G103" s="1"/>
      <c r="H103" s="184">
        <f t="shared" si="9"/>
        <v>0</v>
      </c>
      <c r="I103" s="159"/>
      <c r="J103" s="238">
        <v>15.68</v>
      </c>
      <c r="K103" s="238">
        <v>3.3135690000000002</v>
      </c>
      <c r="L103" s="3">
        <f t="shared" si="15"/>
        <v>0</v>
      </c>
      <c r="M103" s="3"/>
      <c r="N103" s="4">
        <f t="shared" si="13"/>
        <v>0</v>
      </c>
      <c r="O103" s="4"/>
      <c r="P103" s="3">
        <f t="shared" si="14"/>
        <v>0</v>
      </c>
      <c r="Q103" s="3"/>
      <c r="R103" s="3">
        <f t="shared" si="16"/>
        <v>0</v>
      </c>
      <c r="S103" s="123"/>
      <c r="V103" s="340"/>
      <c r="Y103" s="318"/>
      <c r="AA103" s="344">
        <v>17.3</v>
      </c>
      <c r="AC103" s="210">
        <f t="shared" si="12"/>
        <v>207.60000000000002</v>
      </c>
      <c r="AO103" s="284"/>
    </row>
    <row r="104" spans="1:45" x14ac:dyDescent="0.3">
      <c r="A104" s="283">
        <v>65</v>
      </c>
      <c r="C104" s="45" t="s">
        <v>1095</v>
      </c>
      <c r="F104" s="184">
        <v>0</v>
      </c>
      <c r="G104" s="1"/>
      <c r="H104" s="184">
        <f t="shared" si="9"/>
        <v>0</v>
      </c>
      <c r="I104" s="159"/>
      <c r="J104" s="238">
        <v>17.64</v>
      </c>
      <c r="K104" s="238">
        <v>3.3135690000000002</v>
      </c>
      <c r="L104" s="3">
        <f t="shared" si="15"/>
        <v>0</v>
      </c>
      <c r="M104" s="3"/>
      <c r="N104" s="4">
        <f t="shared" si="13"/>
        <v>0</v>
      </c>
      <c r="O104" s="4"/>
      <c r="P104" s="3">
        <f t="shared" si="14"/>
        <v>0</v>
      </c>
      <c r="Q104" s="3"/>
      <c r="R104" s="3">
        <f t="shared" si="16"/>
        <v>0</v>
      </c>
      <c r="S104" s="123"/>
      <c r="V104" s="340"/>
      <c r="Y104" s="318"/>
      <c r="AA104" s="344">
        <v>17.3</v>
      </c>
      <c r="AC104" s="210">
        <f t="shared" si="12"/>
        <v>207.60000000000002</v>
      </c>
      <c r="AO104" s="284"/>
    </row>
    <row r="105" spans="1:45" x14ac:dyDescent="0.3">
      <c r="A105" s="283">
        <v>66</v>
      </c>
      <c r="C105" s="45" t="s">
        <v>1096</v>
      </c>
      <c r="F105" s="184">
        <v>0</v>
      </c>
      <c r="G105" s="1"/>
      <c r="H105" s="184">
        <f t="shared" si="9"/>
        <v>0</v>
      </c>
      <c r="I105" s="159"/>
      <c r="J105" s="238">
        <v>3.17</v>
      </c>
      <c r="K105" s="238">
        <v>3.3135690000000002</v>
      </c>
      <c r="L105" s="3">
        <f t="shared" si="15"/>
        <v>0</v>
      </c>
      <c r="M105" s="3"/>
      <c r="N105" s="4">
        <f t="shared" si="13"/>
        <v>0</v>
      </c>
      <c r="O105" s="4"/>
      <c r="P105" s="3">
        <f t="shared" si="14"/>
        <v>0</v>
      </c>
      <c r="Q105" s="3"/>
      <c r="R105" s="3">
        <f t="shared" si="16"/>
        <v>0</v>
      </c>
      <c r="S105" s="123"/>
      <c r="V105" s="340"/>
      <c r="Y105" s="318"/>
      <c r="AA105" s="344">
        <v>10.4</v>
      </c>
      <c r="AC105" s="210">
        <f t="shared" si="12"/>
        <v>124.80000000000001</v>
      </c>
      <c r="AO105" s="284"/>
    </row>
    <row r="106" spans="1:45" x14ac:dyDescent="0.3">
      <c r="A106" s="283">
        <v>67</v>
      </c>
      <c r="C106" s="45" t="s">
        <v>1097</v>
      </c>
      <c r="F106" s="184">
        <v>0</v>
      </c>
      <c r="G106" s="1"/>
      <c r="H106" s="184">
        <f t="shared" si="9"/>
        <v>0</v>
      </c>
      <c r="I106" s="159"/>
      <c r="J106" s="238">
        <v>3.18</v>
      </c>
      <c r="K106" s="238">
        <v>3.3135690000000002</v>
      </c>
      <c r="L106" s="3">
        <f>ROUND((F106*(J106+K106)),0)</f>
        <v>0</v>
      </c>
      <c r="M106" s="3"/>
      <c r="N106" s="4">
        <f t="shared" si="13"/>
        <v>0</v>
      </c>
      <c r="O106" s="4"/>
      <c r="P106" s="3">
        <f t="shared" si="14"/>
        <v>0</v>
      </c>
      <c r="Q106" s="3"/>
      <c r="R106" s="3">
        <f>L106+P106</f>
        <v>0</v>
      </c>
      <c r="S106" s="123"/>
      <c r="V106" s="340"/>
      <c r="Y106" s="318"/>
      <c r="AA106" s="344">
        <v>13.9</v>
      </c>
      <c r="AC106" s="210">
        <f t="shared" si="12"/>
        <v>166.8</v>
      </c>
      <c r="AO106" s="284"/>
    </row>
    <row r="107" spans="1:45" x14ac:dyDescent="0.3">
      <c r="A107" s="283">
        <v>68</v>
      </c>
      <c r="C107" s="45" t="s">
        <v>1113</v>
      </c>
      <c r="F107" s="184">
        <v>0</v>
      </c>
      <c r="G107" s="1"/>
      <c r="H107" s="184">
        <f t="shared" si="9"/>
        <v>0</v>
      </c>
      <c r="I107" s="159"/>
      <c r="J107" s="238">
        <v>3.06</v>
      </c>
      <c r="K107" s="238">
        <v>3.3135690000000002</v>
      </c>
      <c r="L107" s="3">
        <f>ROUND((F107*(J107+K107)),0)</f>
        <v>0</v>
      </c>
      <c r="M107" s="3"/>
      <c r="N107" s="4">
        <f t="shared" si="13"/>
        <v>0</v>
      </c>
      <c r="O107" s="4"/>
      <c r="P107" s="3">
        <f t="shared" si="14"/>
        <v>0</v>
      </c>
      <c r="Q107" s="3"/>
      <c r="R107" s="3">
        <f>L107+P107</f>
        <v>0</v>
      </c>
      <c r="S107" s="123"/>
      <c r="V107" s="340"/>
      <c r="Y107" s="318"/>
      <c r="AA107" s="344">
        <v>10.4</v>
      </c>
      <c r="AC107" s="210">
        <f t="shared" si="12"/>
        <v>124.80000000000001</v>
      </c>
      <c r="AO107" s="284"/>
    </row>
    <row r="108" spans="1:45" x14ac:dyDescent="0.3">
      <c r="A108" s="283">
        <v>69</v>
      </c>
      <c r="C108" s="178" t="s">
        <v>806</v>
      </c>
      <c r="F108" s="145">
        <f>SUM(F20:F107)</f>
        <v>1928</v>
      </c>
      <c r="G108" s="1"/>
      <c r="H108" s="145">
        <f>SUM(H20:H107)</f>
        <v>42161</v>
      </c>
      <c r="I108" s="3"/>
      <c r="J108" s="5"/>
      <c r="K108" s="5"/>
      <c r="L108" s="145">
        <f>SUM(L20:L107)</f>
        <v>18271</v>
      </c>
      <c r="M108" s="3"/>
      <c r="N108" s="211">
        <f t="shared" si="13"/>
        <v>80.400000000000006</v>
      </c>
      <c r="O108" s="6"/>
      <c r="P108" s="145">
        <f>ROUND(H108*PRO_FAC,0)</f>
        <v>147</v>
      </c>
      <c r="Q108" s="3"/>
      <c r="R108" s="145">
        <f>SUM(R20:R107)</f>
        <v>18271</v>
      </c>
    </row>
    <row r="109" spans="1:45" x14ac:dyDescent="0.3">
      <c r="B109" s="294"/>
      <c r="C109" s="294"/>
      <c r="D109" s="294"/>
      <c r="E109" s="294"/>
      <c r="F109" s="294"/>
      <c r="G109" s="294"/>
      <c r="H109" s="294"/>
      <c r="I109" s="294"/>
      <c r="J109" s="264"/>
      <c r="K109" s="294"/>
      <c r="L109" s="295"/>
      <c r="M109" s="294"/>
      <c r="N109" s="294"/>
      <c r="O109" s="294"/>
      <c r="P109" s="264"/>
      <c r="Q109" s="153"/>
      <c r="R109" s="153"/>
      <c r="V109" s="42"/>
      <c r="AA109" s="123"/>
      <c r="AC109" s="123"/>
      <c r="AD109" s="123"/>
      <c r="AE109" s="219"/>
      <c r="AF109" s="219"/>
      <c r="AH109" s="123"/>
      <c r="AI109" s="160"/>
      <c r="AJ109" s="160"/>
      <c r="AL109" s="123"/>
      <c r="AM109" s="236"/>
      <c r="AN109" s="236"/>
      <c r="AO109" s="123"/>
      <c r="AP109" s="123"/>
      <c r="AR109" s="123"/>
      <c r="AS109" s="160"/>
    </row>
    <row r="110" spans="1:45" x14ac:dyDescent="0.3">
      <c r="A110" s="41">
        <v>70</v>
      </c>
      <c r="B110" s="294"/>
      <c r="C110" s="178" t="s">
        <v>807</v>
      </c>
      <c r="D110" s="294"/>
      <c r="E110" s="294"/>
      <c r="F110" s="296"/>
      <c r="G110" s="294"/>
      <c r="H110" s="49">
        <f>H108</f>
        <v>42161</v>
      </c>
      <c r="I110" s="294"/>
      <c r="J110" s="198">
        <v>7.9088000000000006E-2</v>
      </c>
      <c r="K110" s="294"/>
      <c r="L110" s="49">
        <f>H110*J110</f>
        <v>3334.4291680000001</v>
      </c>
      <c r="M110" s="294"/>
      <c r="N110" s="253">
        <f>ROUND((L110/L$340)*100,1)</f>
        <v>14.7</v>
      </c>
      <c r="O110" s="294"/>
      <c r="P110" s="264"/>
      <c r="Q110" s="153"/>
      <c r="R110" s="49">
        <f>L110+P110</f>
        <v>3334.4291680000001</v>
      </c>
      <c r="V110" s="42"/>
      <c r="AA110" s="123"/>
      <c r="AC110" s="123"/>
      <c r="AD110" s="123"/>
      <c r="AE110" s="219"/>
      <c r="AF110" s="219"/>
      <c r="AH110" s="123"/>
      <c r="AI110" s="160"/>
      <c r="AJ110" s="160"/>
      <c r="AL110" s="123"/>
      <c r="AM110" s="236"/>
      <c r="AN110" s="236"/>
      <c r="AO110" s="123"/>
      <c r="AP110" s="123"/>
      <c r="AR110" s="123"/>
      <c r="AS110" s="160"/>
    </row>
    <row r="111" spans="1:45" x14ac:dyDescent="0.3">
      <c r="B111" s="294"/>
      <c r="C111" s="178"/>
      <c r="D111" s="294"/>
      <c r="E111" s="294"/>
      <c r="F111" s="296"/>
      <c r="G111" s="294"/>
      <c r="H111" s="3"/>
      <c r="I111" s="294"/>
      <c r="J111" s="198"/>
      <c r="K111" s="294"/>
      <c r="L111" s="3"/>
      <c r="M111" s="294"/>
      <c r="N111" s="294"/>
      <c r="O111" s="294"/>
      <c r="P111" s="264"/>
      <c r="Q111" s="153"/>
      <c r="R111" s="3"/>
      <c r="V111" s="42"/>
      <c r="AA111" s="123"/>
      <c r="AC111" s="123"/>
      <c r="AD111" s="123"/>
      <c r="AE111" s="219"/>
      <c r="AF111" s="219"/>
      <c r="AH111" s="123"/>
      <c r="AI111" s="160"/>
      <c r="AJ111" s="160"/>
      <c r="AL111" s="123"/>
      <c r="AM111" s="236"/>
      <c r="AN111" s="236"/>
      <c r="AO111" s="123"/>
      <c r="AP111" s="123"/>
      <c r="AR111" s="123"/>
      <c r="AS111" s="160"/>
    </row>
    <row r="112" spans="1:45" x14ac:dyDescent="0.3">
      <c r="A112" s="297">
        <v>71</v>
      </c>
      <c r="C112" s="178" t="s">
        <v>816</v>
      </c>
      <c r="D112" s="45"/>
      <c r="E112" s="42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U112" s="42"/>
    </row>
    <row r="113" spans="1:49" x14ac:dyDescent="0.3">
      <c r="A113" s="297">
        <v>72</v>
      </c>
      <c r="C113" s="45" t="s">
        <v>881</v>
      </c>
      <c r="F113" s="184">
        <v>0</v>
      </c>
      <c r="G113" s="1"/>
      <c r="H113" s="184"/>
      <c r="I113" s="159"/>
      <c r="J113" s="238">
        <v>10.671977</v>
      </c>
      <c r="K113" s="258"/>
      <c r="L113" s="3">
        <f t="shared" ref="L113:L120" si="17">ROUND((F113*J113),0)</f>
        <v>0</v>
      </c>
      <c r="M113" s="3"/>
      <c r="N113" s="4">
        <v>0</v>
      </c>
      <c r="O113" s="4"/>
      <c r="P113" s="3"/>
      <c r="Q113" s="3"/>
      <c r="R113" s="3">
        <f t="shared" ref="R113:R120" si="18">L113+P113</f>
        <v>0</v>
      </c>
      <c r="U113" s="42"/>
    </row>
    <row r="114" spans="1:49" x14ac:dyDescent="0.3">
      <c r="A114" s="297">
        <v>73</v>
      </c>
      <c r="C114" s="45" t="s">
        <v>882</v>
      </c>
      <c r="F114" s="184">
        <v>0</v>
      </c>
      <c r="G114" s="1"/>
      <c r="H114" s="184"/>
      <c r="I114" s="159"/>
      <c r="J114" s="238">
        <v>9.9292809999999996</v>
      </c>
      <c r="K114" s="258"/>
      <c r="L114" s="3">
        <f t="shared" si="17"/>
        <v>0</v>
      </c>
      <c r="M114" s="3"/>
      <c r="N114" s="4">
        <v>0</v>
      </c>
      <c r="O114" s="4"/>
      <c r="P114" s="3"/>
      <c r="Q114" s="3"/>
      <c r="R114" s="3">
        <f t="shared" si="18"/>
        <v>0</v>
      </c>
      <c r="U114" s="42"/>
    </row>
    <row r="115" spans="1:49" x14ac:dyDescent="0.3">
      <c r="A115" s="297">
        <v>74</v>
      </c>
      <c r="C115" s="45" t="s">
        <v>883</v>
      </c>
      <c r="F115" s="184">
        <v>0</v>
      </c>
      <c r="G115" s="1"/>
      <c r="H115" s="184"/>
      <c r="I115" s="159"/>
      <c r="J115" s="238">
        <v>12.374466</v>
      </c>
      <c r="K115" s="258"/>
      <c r="L115" s="3">
        <f t="shared" si="17"/>
        <v>0</v>
      </c>
      <c r="M115" s="3"/>
      <c r="N115" s="4">
        <v>0</v>
      </c>
      <c r="O115" s="4"/>
      <c r="P115" s="3"/>
      <c r="Q115" s="3"/>
      <c r="R115" s="3">
        <f t="shared" si="18"/>
        <v>0</v>
      </c>
      <c r="U115" s="42"/>
    </row>
    <row r="116" spans="1:49" x14ac:dyDescent="0.3">
      <c r="A116" s="297">
        <v>75</v>
      </c>
      <c r="C116" s="45" t="s">
        <v>884</v>
      </c>
      <c r="F116" s="184">
        <v>0</v>
      </c>
      <c r="G116" s="1"/>
      <c r="H116" s="184"/>
      <c r="I116" s="159"/>
      <c r="J116" s="238">
        <v>10.169229</v>
      </c>
      <c r="K116" s="258"/>
      <c r="L116" s="3">
        <f t="shared" si="17"/>
        <v>0</v>
      </c>
      <c r="M116" s="3"/>
      <c r="N116" s="4">
        <v>0</v>
      </c>
      <c r="O116" s="4"/>
      <c r="P116" s="3"/>
      <c r="Q116" s="3"/>
      <c r="R116" s="3">
        <f t="shared" si="18"/>
        <v>0</v>
      </c>
      <c r="U116" s="42"/>
    </row>
    <row r="117" spans="1:49" x14ac:dyDescent="0.3">
      <c r="A117" s="297">
        <v>76</v>
      </c>
      <c r="C117" s="45" t="s">
        <v>885</v>
      </c>
      <c r="F117" s="184">
        <v>0</v>
      </c>
      <c r="G117" s="1"/>
      <c r="H117" s="184"/>
      <c r="I117" s="159"/>
      <c r="J117" s="238">
        <v>13.197146</v>
      </c>
      <c r="K117" s="258"/>
      <c r="L117" s="3">
        <f t="shared" si="17"/>
        <v>0</v>
      </c>
      <c r="M117" s="3"/>
      <c r="N117" s="4">
        <v>0</v>
      </c>
      <c r="O117" s="4"/>
      <c r="P117" s="3"/>
      <c r="Q117" s="3"/>
      <c r="R117" s="3">
        <f t="shared" si="18"/>
        <v>0</v>
      </c>
      <c r="U117" s="42"/>
    </row>
    <row r="118" spans="1:49" x14ac:dyDescent="0.3">
      <c r="A118" s="297">
        <v>77</v>
      </c>
      <c r="C118" s="45" t="s">
        <v>886</v>
      </c>
      <c r="F118" s="184">
        <v>0</v>
      </c>
      <c r="G118" s="1"/>
      <c r="H118" s="184"/>
      <c r="I118" s="159"/>
      <c r="J118" s="238">
        <v>13.425668</v>
      </c>
      <c r="K118" s="258"/>
      <c r="L118" s="3">
        <f t="shared" si="17"/>
        <v>0</v>
      </c>
      <c r="M118" s="3"/>
      <c r="N118" s="4">
        <v>0</v>
      </c>
      <c r="O118" s="4"/>
      <c r="P118" s="3"/>
      <c r="Q118" s="3"/>
      <c r="R118" s="3">
        <f t="shared" si="18"/>
        <v>0</v>
      </c>
      <c r="U118" s="42"/>
    </row>
    <row r="119" spans="1:49" x14ac:dyDescent="0.3">
      <c r="A119" s="297">
        <v>78</v>
      </c>
      <c r="C119" s="45" t="s">
        <v>887</v>
      </c>
      <c r="F119" s="184">
        <v>0</v>
      </c>
      <c r="G119" s="1"/>
      <c r="H119" s="184"/>
      <c r="I119" s="159"/>
      <c r="J119" s="238">
        <v>16.647828000000001</v>
      </c>
      <c r="K119" s="258"/>
      <c r="L119" s="3">
        <f t="shared" si="17"/>
        <v>0</v>
      </c>
      <c r="M119" s="3"/>
      <c r="N119" s="4">
        <v>0</v>
      </c>
      <c r="O119" s="4"/>
      <c r="P119" s="3"/>
      <c r="Q119" s="3"/>
      <c r="R119" s="3">
        <f t="shared" si="18"/>
        <v>0</v>
      </c>
      <c r="U119" s="42"/>
    </row>
    <row r="120" spans="1:49" x14ac:dyDescent="0.3">
      <c r="A120" s="297">
        <v>79</v>
      </c>
      <c r="C120" s="45" t="s">
        <v>888</v>
      </c>
      <c r="F120" s="184">
        <v>0</v>
      </c>
      <c r="G120" s="1"/>
      <c r="H120" s="184"/>
      <c r="I120" s="159"/>
      <c r="J120" s="238">
        <v>15.253844000000001</v>
      </c>
      <c r="K120" s="258"/>
      <c r="L120" s="3">
        <f t="shared" si="17"/>
        <v>0</v>
      </c>
      <c r="M120" s="3"/>
      <c r="N120" s="4">
        <v>0</v>
      </c>
      <c r="O120" s="4"/>
      <c r="P120" s="3"/>
      <c r="Q120" s="3"/>
      <c r="R120" s="3">
        <f t="shared" si="18"/>
        <v>0</v>
      </c>
      <c r="U120" s="42"/>
    </row>
    <row r="121" spans="1:49" ht="20.100000000000001" customHeight="1" x14ac:dyDescent="0.3">
      <c r="A121" s="297">
        <v>80</v>
      </c>
      <c r="C121" s="45" t="s">
        <v>889</v>
      </c>
      <c r="F121" s="184">
        <v>0</v>
      </c>
      <c r="G121" s="1"/>
      <c r="H121" s="184"/>
      <c r="I121" s="3"/>
      <c r="J121" s="238">
        <v>22.258043000000001</v>
      </c>
      <c r="K121" s="5"/>
      <c r="L121" s="3">
        <f t="shared" ref="L121:L227" si="19">ROUND((F121*J121),0)</f>
        <v>0</v>
      </c>
      <c r="M121" s="3"/>
      <c r="N121" s="4">
        <v>0</v>
      </c>
      <c r="O121" s="6"/>
      <c r="P121" s="3"/>
      <c r="Q121" s="3"/>
      <c r="R121" s="3">
        <f t="shared" ref="R121:R227" si="20">L121+P121</f>
        <v>0</v>
      </c>
      <c r="AE121" s="44"/>
      <c r="AF121" s="44"/>
      <c r="AG121" s="168"/>
      <c r="AH121" s="44"/>
      <c r="AI121" s="44"/>
      <c r="AJ121" s="44"/>
      <c r="AK121" s="168"/>
      <c r="AL121" s="44"/>
      <c r="AM121" s="44"/>
      <c r="AN121" s="44"/>
      <c r="AR121" s="44"/>
      <c r="AS121" s="44"/>
    </row>
    <row r="122" spans="1:49" x14ac:dyDescent="0.3">
      <c r="A122" s="297">
        <v>81</v>
      </c>
      <c r="C122" s="45" t="s">
        <v>890</v>
      </c>
      <c r="D122" s="45"/>
      <c r="E122" s="42"/>
      <c r="F122" s="184">
        <v>0</v>
      </c>
      <c r="G122" s="1"/>
      <c r="H122" s="184"/>
      <c r="I122" s="1"/>
      <c r="J122" s="238">
        <v>17.699028999999999</v>
      </c>
      <c r="K122" s="1"/>
      <c r="L122" s="3">
        <f t="shared" si="19"/>
        <v>0</v>
      </c>
      <c r="M122" s="1"/>
      <c r="N122" s="4">
        <v>0</v>
      </c>
      <c r="O122" s="1"/>
      <c r="P122" s="3"/>
      <c r="Q122" s="1"/>
      <c r="R122" s="3">
        <f t="shared" si="20"/>
        <v>0</v>
      </c>
      <c r="U122" s="42"/>
    </row>
    <row r="123" spans="1:49" x14ac:dyDescent="0.3">
      <c r="A123" s="297">
        <v>82</v>
      </c>
      <c r="C123" s="45" t="s">
        <v>891</v>
      </c>
      <c r="F123" s="184">
        <v>0</v>
      </c>
      <c r="G123" s="1"/>
      <c r="H123" s="184"/>
      <c r="I123" s="1"/>
      <c r="J123" s="238">
        <v>22.840774</v>
      </c>
      <c r="K123" s="5"/>
      <c r="L123" s="3">
        <f t="shared" si="19"/>
        <v>0</v>
      </c>
      <c r="M123" s="1"/>
      <c r="N123" s="4">
        <v>0</v>
      </c>
      <c r="O123" s="1"/>
      <c r="P123" s="3"/>
      <c r="Q123" s="1"/>
      <c r="R123" s="3">
        <f t="shared" si="20"/>
        <v>0</v>
      </c>
      <c r="V123" s="44"/>
      <c r="X123" s="44"/>
      <c r="Y123" s="44"/>
      <c r="Z123" s="44"/>
      <c r="AD123" s="44"/>
      <c r="AE123" s="44"/>
      <c r="AF123" s="44"/>
      <c r="AG123" s="168"/>
      <c r="AH123" s="44"/>
      <c r="AI123" s="44"/>
      <c r="AJ123" s="44"/>
      <c r="AK123" s="168"/>
      <c r="AL123" s="44"/>
      <c r="AM123" s="44"/>
      <c r="AN123" s="44"/>
      <c r="AO123" s="44"/>
      <c r="AP123" s="44"/>
      <c r="AR123" s="44"/>
      <c r="AS123" s="44"/>
      <c r="AU123" s="123"/>
      <c r="AV123" s="123"/>
      <c r="AW123" s="160"/>
    </row>
    <row r="124" spans="1:49" x14ac:dyDescent="0.3">
      <c r="A124" s="297">
        <v>83</v>
      </c>
      <c r="C124" s="45" t="s">
        <v>892</v>
      </c>
      <c r="F124" s="184">
        <v>0</v>
      </c>
      <c r="G124" s="1"/>
      <c r="H124" s="184"/>
      <c r="I124" s="1"/>
      <c r="J124" s="238">
        <v>21.686737999999998</v>
      </c>
      <c r="K124" s="5"/>
      <c r="L124" s="3">
        <f t="shared" si="19"/>
        <v>0</v>
      </c>
      <c r="M124" s="1"/>
      <c r="N124" s="4">
        <v>0</v>
      </c>
      <c r="O124" s="1"/>
      <c r="P124" s="3"/>
      <c r="Q124" s="1"/>
      <c r="R124" s="3">
        <f t="shared" si="20"/>
        <v>0</v>
      </c>
      <c r="AD124" s="44"/>
      <c r="AE124" s="44"/>
      <c r="AF124" s="44"/>
      <c r="AG124" s="168"/>
      <c r="AH124" s="44"/>
      <c r="AI124" s="44"/>
      <c r="AJ124" s="44"/>
      <c r="AK124" s="168"/>
      <c r="AL124" s="44"/>
      <c r="AM124" s="44"/>
      <c r="AN124" s="44"/>
      <c r="AO124" s="44"/>
      <c r="AP124" s="44"/>
      <c r="AR124" s="44"/>
      <c r="AS124" s="44"/>
      <c r="AU124" s="123"/>
      <c r="AV124" s="123"/>
      <c r="AW124" s="235"/>
    </row>
    <row r="125" spans="1:49" x14ac:dyDescent="0.3">
      <c r="A125" s="297">
        <v>84</v>
      </c>
      <c r="C125" s="45" t="s">
        <v>893</v>
      </c>
      <c r="F125" s="184">
        <v>0</v>
      </c>
      <c r="G125" s="1"/>
      <c r="H125" s="184"/>
      <c r="I125" s="159"/>
      <c r="J125" s="238">
        <v>12.123092</v>
      </c>
      <c r="K125" s="258"/>
      <c r="L125" s="3">
        <f t="shared" si="19"/>
        <v>0</v>
      </c>
      <c r="M125" s="3"/>
      <c r="N125" s="4">
        <v>0</v>
      </c>
      <c r="O125" s="4"/>
      <c r="P125" s="3"/>
      <c r="Q125" s="3"/>
      <c r="R125" s="3">
        <f t="shared" si="20"/>
        <v>0</v>
      </c>
      <c r="S125" s="1"/>
      <c r="V125" s="238"/>
      <c r="X125" s="42"/>
      <c r="Y125" s="318"/>
      <c r="Z125" s="42"/>
      <c r="AU125" s="123"/>
      <c r="AV125" s="123"/>
      <c r="AW125" s="160"/>
    </row>
    <row r="126" spans="1:49" x14ac:dyDescent="0.3">
      <c r="A126" s="297">
        <v>85</v>
      </c>
      <c r="C126" s="45" t="s">
        <v>894</v>
      </c>
      <c r="F126" s="184">
        <v>0</v>
      </c>
      <c r="G126" s="1"/>
      <c r="H126" s="184"/>
      <c r="I126" s="159"/>
      <c r="J126" s="238">
        <v>14.751094999999999</v>
      </c>
      <c r="K126" s="258"/>
      <c r="L126" s="3">
        <f t="shared" si="19"/>
        <v>0</v>
      </c>
      <c r="M126" s="3"/>
      <c r="N126" s="4">
        <v>0</v>
      </c>
      <c r="O126" s="4"/>
      <c r="P126" s="3"/>
      <c r="Q126" s="3"/>
      <c r="R126" s="3">
        <f t="shared" si="20"/>
        <v>0</v>
      </c>
      <c r="S126" s="1"/>
      <c r="V126" s="238"/>
      <c r="X126" s="42"/>
      <c r="Y126" s="318"/>
      <c r="Z126" s="42"/>
      <c r="AU126" s="123"/>
      <c r="AV126" s="123"/>
      <c r="AW126" s="160"/>
    </row>
    <row r="127" spans="1:49" x14ac:dyDescent="0.3">
      <c r="A127" s="297">
        <v>86</v>
      </c>
      <c r="C127" s="45" t="s">
        <v>895</v>
      </c>
      <c r="F127" s="184">
        <v>0</v>
      </c>
      <c r="G127" s="1"/>
      <c r="H127" s="184"/>
      <c r="I127" s="159"/>
      <c r="J127" s="238">
        <v>17.870419999999999</v>
      </c>
      <c r="K127" s="258"/>
      <c r="L127" s="3">
        <f t="shared" si="19"/>
        <v>0</v>
      </c>
      <c r="M127" s="3"/>
      <c r="N127" s="4">
        <v>0</v>
      </c>
      <c r="O127" s="4"/>
      <c r="P127" s="3"/>
      <c r="Q127" s="3"/>
      <c r="R127" s="3">
        <f t="shared" si="20"/>
        <v>0</v>
      </c>
      <c r="S127" s="1"/>
      <c r="V127" s="238"/>
      <c r="X127" s="42"/>
      <c r="Y127" s="318"/>
      <c r="Z127" s="42"/>
      <c r="AU127" s="123"/>
      <c r="AV127" s="123"/>
      <c r="AW127" s="160"/>
    </row>
    <row r="128" spans="1:49" x14ac:dyDescent="0.3">
      <c r="A128" s="297">
        <v>87</v>
      </c>
      <c r="C128" s="45" t="s">
        <v>896</v>
      </c>
      <c r="F128" s="184">
        <v>0</v>
      </c>
      <c r="G128" s="1"/>
      <c r="H128" s="184"/>
      <c r="I128" s="159"/>
      <c r="J128" s="238">
        <v>16.853497999999998</v>
      </c>
      <c r="K128" s="258"/>
      <c r="L128" s="3">
        <f t="shared" si="19"/>
        <v>0</v>
      </c>
      <c r="M128" s="3"/>
      <c r="N128" s="4">
        <v>0</v>
      </c>
      <c r="O128" s="4"/>
      <c r="P128" s="3"/>
      <c r="Q128" s="3"/>
      <c r="R128" s="3">
        <f t="shared" si="20"/>
        <v>0</v>
      </c>
      <c r="S128" s="1"/>
      <c r="V128" s="238"/>
      <c r="Y128" s="318"/>
      <c r="AE128" s="209"/>
      <c r="AF128" s="209"/>
      <c r="AH128" s="123"/>
      <c r="AR128" s="123"/>
      <c r="AU128" s="123"/>
      <c r="AV128" s="123"/>
      <c r="AW128" s="160"/>
    </row>
    <row r="129" spans="1:49" x14ac:dyDescent="0.3">
      <c r="A129" s="297">
        <v>88</v>
      </c>
      <c r="C129" s="45" t="s">
        <v>897</v>
      </c>
      <c r="F129" s="184">
        <v>0</v>
      </c>
      <c r="G129" s="1"/>
      <c r="H129" s="184"/>
      <c r="I129" s="159"/>
      <c r="J129" s="238">
        <v>37.660426000000001</v>
      </c>
      <c r="K129" s="258"/>
      <c r="L129" s="3">
        <f t="shared" si="19"/>
        <v>0</v>
      </c>
      <c r="M129" s="3"/>
      <c r="N129" s="4">
        <v>0</v>
      </c>
      <c r="O129" s="4"/>
      <c r="P129" s="3"/>
      <c r="Q129" s="3"/>
      <c r="R129" s="3">
        <f t="shared" si="20"/>
        <v>0</v>
      </c>
      <c r="S129" s="1"/>
      <c r="V129" s="238"/>
      <c r="Y129" s="318"/>
      <c r="AD129" s="123"/>
      <c r="AE129" s="193"/>
      <c r="AF129" s="193"/>
      <c r="AH129" s="123"/>
      <c r="AI129" s="160"/>
      <c r="AJ129" s="160"/>
      <c r="AL129" s="123"/>
      <c r="AM129" s="236"/>
      <c r="AN129" s="236"/>
      <c r="AO129" s="123"/>
      <c r="AP129" s="123"/>
      <c r="AR129" s="123"/>
      <c r="AS129" s="160"/>
      <c r="AT129" s="123"/>
      <c r="AU129" s="123"/>
      <c r="AV129" s="123"/>
      <c r="AW129" s="160"/>
    </row>
    <row r="130" spans="1:49" x14ac:dyDescent="0.3">
      <c r="A130" s="297">
        <v>89</v>
      </c>
      <c r="C130" s="45" t="s">
        <v>898</v>
      </c>
      <c r="F130" s="184">
        <v>0</v>
      </c>
      <c r="G130" s="1"/>
      <c r="H130" s="184"/>
      <c r="I130" s="159"/>
      <c r="J130" s="238">
        <v>43.727685000000001</v>
      </c>
      <c r="K130" s="258"/>
      <c r="L130" s="3">
        <f t="shared" si="19"/>
        <v>0</v>
      </c>
      <c r="M130" s="3"/>
      <c r="N130" s="4">
        <v>0</v>
      </c>
      <c r="O130" s="4"/>
      <c r="P130" s="3"/>
      <c r="Q130" s="3"/>
      <c r="R130" s="3">
        <f t="shared" si="20"/>
        <v>0</v>
      </c>
      <c r="S130" s="1"/>
      <c r="V130" s="238"/>
      <c r="X130" s="42"/>
      <c r="Y130" s="318"/>
      <c r="Z130" s="42"/>
      <c r="AU130" s="123"/>
      <c r="AV130" s="123"/>
      <c r="AW130" s="160"/>
    </row>
    <row r="131" spans="1:49" x14ac:dyDescent="0.3">
      <c r="A131" s="297">
        <v>90</v>
      </c>
      <c r="C131" s="45" t="s">
        <v>899</v>
      </c>
      <c r="F131" s="184">
        <v>0</v>
      </c>
      <c r="G131" s="1"/>
      <c r="H131" s="184"/>
      <c r="I131" s="159"/>
      <c r="J131" s="238">
        <v>14.076955</v>
      </c>
      <c r="K131" s="258"/>
      <c r="L131" s="3">
        <f t="shared" si="19"/>
        <v>0</v>
      </c>
      <c r="M131" s="3"/>
      <c r="N131" s="4">
        <v>0</v>
      </c>
      <c r="O131" s="4"/>
      <c r="P131" s="3"/>
      <c r="Q131" s="3"/>
      <c r="R131" s="3">
        <f t="shared" si="20"/>
        <v>0</v>
      </c>
      <c r="S131" s="1"/>
      <c r="V131" s="238"/>
      <c r="Y131" s="318"/>
      <c r="AR131" s="123"/>
      <c r="AU131" s="123"/>
      <c r="AV131" s="123"/>
      <c r="AW131" s="160"/>
    </row>
    <row r="132" spans="1:49" x14ac:dyDescent="0.3">
      <c r="A132" s="297"/>
      <c r="C132" s="45"/>
      <c r="F132" s="184"/>
      <c r="G132" s="1"/>
      <c r="H132" s="184"/>
      <c r="I132" s="159"/>
      <c r="J132" s="238"/>
      <c r="K132" s="258"/>
      <c r="L132" s="3"/>
      <c r="M132" s="3"/>
      <c r="N132" s="4"/>
      <c r="O132" s="4"/>
      <c r="P132" s="3"/>
      <c r="Q132" s="3"/>
      <c r="R132" s="3"/>
      <c r="S132" s="1"/>
      <c r="V132" s="238"/>
      <c r="Y132" s="318"/>
      <c r="AR132" s="123"/>
      <c r="AU132" s="123"/>
      <c r="AV132" s="123"/>
      <c r="AW132" s="160"/>
    </row>
    <row r="133" spans="1:49" x14ac:dyDescent="0.3">
      <c r="A133" s="202" t="s">
        <v>76</v>
      </c>
      <c r="C133" s="45"/>
      <c r="F133" s="184"/>
      <c r="G133" s="1"/>
      <c r="H133" s="184"/>
      <c r="I133" s="159"/>
      <c r="J133" s="238"/>
      <c r="K133" s="258"/>
      <c r="L133" s="3"/>
      <c r="M133" s="3"/>
      <c r="N133" s="4"/>
      <c r="O133" s="4"/>
      <c r="P133" s="3"/>
      <c r="Q133" s="3"/>
      <c r="R133" s="3"/>
      <c r="S133" s="1"/>
      <c r="V133" s="238"/>
      <c r="Y133" s="318"/>
      <c r="AR133" s="123"/>
      <c r="AU133" s="123"/>
      <c r="AV133" s="123"/>
      <c r="AW133" s="160"/>
    </row>
    <row r="134" spans="1:49" x14ac:dyDescent="0.3">
      <c r="A134" s="202" t="str">
        <f>"(1A) REFLECTS FUEL COST RECOVERY INCLUDED IN BASE RATES OF "&amp;TEXT(CUR_BASE_FUEL,"$0.000000;($0.000000)")&amp;"  PER KWH."</f>
        <v>(1A) REFLECTS FUEL COST RECOVERY INCLUDED IN BASE RATES OF $0.033780  PER KWH.</v>
      </c>
      <c r="C134" s="45"/>
      <c r="F134" s="184"/>
      <c r="G134" s="1"/>
      <c r="H134" s="184"/>
      <c r="I134" s="159"/>
      <c r="J134" s="238"/>
      <c r="K134" s="258"/>
      <c r="L134" s="3"/>
      <c r="M134" s="3"/>
      <c r="N134" s="4"/>
      <c r="O134" s="4"/>
      <c r="P134" s="3"/>
      <c r="Q134" s="3"/>
      <c r="R134" s="3"/>
      <c r="S134" s="1"/>
      <c r="V134" s="238"/>
      <c r="Y134" s="318"/>
      <c r="AR134" s="123"/>
      <c r="AU134" s="123"/>
      <c r="AV134" s="123"/>
      <c r="AW134" s="160"/>
    </row>
    <row r="135" spans="1:49" x14ac:dyDescent="0.3">
      <c r="A135" s="202" t="str">
        <f>"(2) REFLECTS FUEL COMPONENT OF "&amp;TEXT(CUR_FAC,"$0.000000;($0.000000)")&amp;"  PER KWH."</f>
        <v>(2) REFLECTS FUEL COMPONENT OF $0.003487  PER KWH.</v>
      </c>
      <c r="C135" s="45"/>
      <c r="F135" s="184"/>
      <c r="G135" s="1"/>
      <c r="H135" s="184"/>
      <c r="I135" s="159"/>
      <c r="J135" s="238"/>
      <c r="K135" s="258"/>
      <c r="L135" s="3"/>
      <c r="M135" s="3"/>
      <c r="N135" s="4"/>
      <c r="O135" s="4"/>
      <c r="P135" s="3"/>
      <c r="Q135" s="3"/>
      <c r="R135" s="3"/>
      <c r="S135" s="1"/>
      <c r="V135" s="238"/>
      <c r="Y135" s="318"/>
      <c r="AR135" s="123"/>
      <c r="AU135" s="123"/>
      <c r="AV135" s="123"/>
      <c r="AW135" s="160"/>
    </row>
    <row r="136" spans="1:49" x14ac:dyDescent="0.3">
      <c r="A136" s="297"/>
      <c r="C136" s="45"/>
      <c r="F136" s="184"/>
      <c r="G136" s="1"/>
      <c r="H136" s="184"/>
      <c r="I136" s="159"/>
      <c r="J136" s="238"/>
      <c r="K136" s="258"/>
      <c r="L136" s="3"/>
      <c r="M136" s="3"/>
      <c r="N136" s="4"/>
      <c r="O136" s="4"/>
      <c r="P136" s="3"/>
      <c r="Q136" s="3"/>
      <c r="R136" s="3"/>
      <c r="S136" s="1"/>
      <c r="V136" s="238"/>
      <c r="Y136" s="318"/>
      <c r="AR136" s="123"/>
      <c r="AU136" s="123"/>
      <c r="AV136" s="123"/>
      <c r="AW136" s="160"/>
    </row>
    <row r="137" spans="1:49" x14ac:dyDescent="0.3">
      <c r="A137" s="40" t="str">
        <f>NAME</f>
        <v>DUKE ENERGY KENTUCKY, INC.</v>
      </c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1"/>
      <c r="V137" s="238"/>
      <c r="Y137" s="318"/>
      <c r="AR137" s="123"/>
      <c r="AU137" s="123"/>
      <c r="AV137" s="123"/>
      <c r="AW137" s="160"/>
    </row>
    <row r="138" spans="1:49" x14ac:dyDescent="0.3">
      <c r="A138" s="40" t="str">
        <f>CASE_NO</f>
        <v>CASE NO.   2024-00354</v>
      </c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1"/>
      <c r="V138" s="238"/>
      <c r="Y138" s="318"/>
      <c r="AR138" s="123"/>
      <c r="AU138" s="123"/>
      <c r="AV138" s="123"/>
      <c r="AW138" s="160"/>
    </row>
    <row r="139" spans="1:49" x14ac:dyDescent="0.3">
      <c r="A139" s="40" t="str">
        <f>TITLE</f>
        <v>ANNUALIZED TEST YEAR REVENUES AT REHEARING ORDER CALCULATED VS. MOST CURRENT RATES</v>
      </c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1"/>
      <c r="V139" s="238"/>
      <c r="Y139" s="318"/>
      <c r="AR139" s="123"/>
      <c r="AU139" s="123"/>
      <c r="AV139" s="123"/>
      <c r="AW139" s="160"/>
    </row>
    <row r="140" spans="1:49" x14ac:dyDescent="0.3">
      <c r="A140" s="40" t="str">
        <f>DATE</f>
        <v>FOR THE TWELVE MONTHS ENDED June 30, 2026</v>
      </c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1"/>
      <c r="V140" s="238"/>
      <c r="Y140" s="318"/>
      <c r="AR140" s="123"/>
      <c r="AU140" s="123"/>
      <c r="AV140" s="123"/>
      <c r="AW140" s="160"/>
    </row>
    <row r="141" spans="1:49" x14ac:dyDescent="0.3">
      <c r="A141" s="40" t="str">
        <f>SERVICE</f>
        <v>(ELECTRIC SERVICE)</v>
      </c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1"/>
      <c r="V141" s="238"/>
      <c r="Y141" s="318"/>
      <c r="AR141" s="123"/>
      <c r="AU141" s="123"/>
      <c r="AV141" s="123"/>
      <c r="AW141" s="160"/>
    </row>
    <row r="142" spans="1:49" x14ac:dyDescent="0.3">
      <c r="A142" s="41" t="str">
        <f>DATA_PERIOD</f>
        <v>DATA: ____ BASE PERIOD   __X__FORECASTED PERIOD</v>
      </c>
      <c r="R142" s="42" t="s">
        <v>157</v>
      </c>
      <c r="S142" s="1"/>
      <c r="V142" s="238"/>
      <c r="Y142" s="318"/>
      <c r="AR142" s="123"/>
      <c r="AU142" s="123"/>
      <c r="AV142" s="123"/>
      <c r="AW142" s="160"/>
    </row>
    <row r="143" spans="1:49" x14ac:dyDescent="0.3">
      <c r="A143" s="41" t="str">
        <f>TYPE</f>
        <v>TYPE OF FILING: _X_ ORIGINAL   ___UPDATED  ___ REVISED</v>
      </c>
      <c r="R143" s="45" t="str">
        <f>"PAGE 22 OF "&amp;TEXT(Page_Num_2.3,"00")</f>
        <v>PAGE 22 OF 24</v>
      </c>
      <c r="S143" s="1"/>
      <c r="V143" s="238"/>
      <c r="Y143" s="318"/>
      <c r="AR143" s="123"/>
      <c r="AU143" s="123"/>
      <c r="AV143" s="123"/>
      <c r="AW143" s="160"/>
    </row>
    <row r="144" spans="1:49" x14ac:dyDescent="0.3">
      <c r="A144" s="42" t="s">
        <v>171</v>
      </c>
      <c r="R144" s="42" t="s">
        <v>3</v>
      </c>
      <c r="S144" s="1"/>
      <c r="V144" s="238"/>
      <c r="Y144" s="318"/>
      <c r="AR144" s="123"/>
      <c r="AU144" s="123"/>
      <c r="AV144" s="123"/>
      <c r="AW144" s="160"/>
    </row>
    <row r="145" spans="1:49" x14ac:dyDescent="0.3">
      <c r="A145" s="153" t="str">
        <f>TIME</f>
        <v>12 Months Projected with Riders</v>
      </c>
      <c r="M145" s="42"/>
      <c r="R145" s="41" t="str">
        <f>WIT</f>
        <v>B. L. Sailers</v>
      </c>
      <c r="S145" s="1"/>
      <c r="V145" s="238"/>
      <c r="Y145" s="318"/>
      <c r="AR145" s="123"/>
      <c r="AU145" s="123"/>
      <c r="AV145" s="123"/>
      <c r="AW145" s="160"/>
    </row>
    <row r="146" spans="1:49" x14ac:dyDescent="0.3">
      <c r="A146" s="40" t="s">
        <v>130</v>
      </c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1"/>
      <c r="V146" s="238"/>
      <c r="Y146" s="318"/>
      <c r="AR146" s="123"/>
      <c r="AU146" s="123"/>
      <c r="AV146" s="123"/>
      <c r="AW146" s="160"/>
    </row>
    <row r="147" spans="1:49" x14ac:dyDescent="0.3">
      <c r="A147" s="135"/>
      <c r="B147" s="135"/>
      <c r="C147" s="135"/>
      <c r="D147" s="135"/>
      <c r="E147" s="135"/>
      <c r="G147" s="135"/>
      <c r="H147" s="135"/>
      <c r="I147" s="135"/>
      <c r="J147" s="135"/>
      <c r="K147" s="135"/>
      <c r="L147" s="43"/>
      <c r="M147" s="43"/>
      <c r="N147" s="43"/>
      <c r="O147" s="43"/>
      <c r="P147" s="43"/>
      <c r="Q147" s="43"/>
      <c r="R147" s="43"/>
      <c r="S147" s="1"/>
      <c r="V147" s="238"/>
      <c r="Y147" s="318"/>
      <c r="AR147" s="123"/>
      <c r="AU147" s="123"/>
      <c r="AV147" s="123"/>
      <c r="AW147" s="160"/>
    </row>
    <row r="148" spans="1:49" x14ac:dyDescent="0.3">
      <c r="A148" s="191"/>
      <c r="B148" s="191"/>
      <c r="C148" s="191"/>
      <c r="D148" s="191"/>
      <c r="E148" s="191"/>
      <c r="F148" s="191"/>
      <c r="G148" s="191"/>
      <c r="H148" s="191"/>
      <c r="I148" s="191"/>
      <c r="J148" s="191"/>
      <c r="K148" s="191"/>
      <c r="L148" s="44" t="s">
        <v>6</v>
      </c>
      <c r="M148" s="44"/>
      <c r="N148" s="44" t="s">
        <v>7</v>
      </c>
      <c r="O148" s="44"/>
      <c r="R148" s="44" t="s">
        <v>6</v>
      </c>
      <c r="S148" s="1"/>
      <c r="V148" s="238"/>
      <c r="Y148" s="318"/>
      <c r="AR148" s="123"/>
      <c r="AU148" s="123"/>
      <c r="AV148" s="123"/>
      <c r="AW148" s="160"/>
    </row>
    <row r="149" spans="1:49" x14ac:dyDescent="0.3">
      <c r="L149" s="44" t="s">
        <v>12</v>
      </c>
      <c r="M149" s="44"/>
      <c r="N149" s="44" t="s">
        <v>13</v>
      </c>
      <c r="O149" s="44"/>
      <c r="R149" s="44" t="s">
        <v>11</v>
      </c>
      <c r="S149" s="1"/>
      <c r="V149" s="238"/>
      <c r="Y149" s="318"/>
      <c r="AR149" s="123"/>
      <c r="AU149" s="123"/>
      <c r="AV149" s="123"/>
      <c r="AW149" s="160"/>
    </row>
    <row r="150" spans="1:49" x14ac:dyDescent="0.3">
      <c r="A150" s="44" t="s">
        <v>17</v>
      </c>
      <c r="C150" s="44" t="s">
        <v>18</v>
      </c>
      <c r="D150" s="44" t="s">
        <v>19</v>
      </c>
      <c r="E150" s="44"/>
      <c r="F150" s="44" t="s">
        <v>20</v>
      </c>
      <c r="J150" s="40" t="s">
        <v>6</v>
      </c>
      <c r="K150" s="40"/>
      <c r="L150" s="44" t="s">
        <v>842</v>
      </c>
      <c r="M150" s="44"/>
      <c r="N150" s="44" t="s">
        <v>842</v>
      </c>
      <c r="O150" s="44"/>
      <c r="P150" s="44" t="s">
        <v>842</v>
      </c>
      <c r="Q150" s="44"/>
      <c r="R150" s="44" t="s">
        <v>9</v>
      </c>
      <c r="S150" s="1"/>
      <c r="V150" s="238"/>
      <c r="Y150" s="318"/>
      <c r="AR150" s="123"/>
      <c r="AU150" s="123"/>
      <c r="AV150" s="123"/>
      <c r="AW150" s="160"/>
    </row>
    <row r="151" spans="1:49" x14ac:dyDescent="0.3">
      <c r="A151" s="44" t="s">
        <v>22</v>
      </c>
      <c r="C151" s="44" t="s">
        <v>23</v>
      </c>
      <c r="D151" s="44" t="s">
        <v>24</v>
      </c>
      <c r="E151" s="44"/>
      <c r="F151" s="44" t="s">
        <v>25</v>
      </c>
      <c r="H151" s="44" t="s">
        <v>26</v>
      </c>
      <c r="I151" s="44"/>
      <c r="J151" s="46" t="s">
        <v>808</v>
      </c>
      <c r="K151" s="46" t="s">
        <v>809</v>
      </c>
      <c r="L151" s="44" t="s">
        <v>9</v>
      </c>
      <c r="M151" s="44"/>
      <c r="N151" s="44" t="s">
        <v>9</v>
      </c>
      <c r="O151" s="44"/>
      <c r="P151" s="44" t="s">
        <v>324</v>
      </c>
      <c r="Q151" s="44"/>
      <c r="R151" s="141" t="s">
        <v>28</v>
      </c>
      <c r="S151" s="1"/>
      <c r="V151" s="238"/>
      <c r="Y151" s="318"/>
      <c r="AR151" s="123"/>
      <c r="AU151" s="123"/>
      <c r="AV151" s="123"/>
      <c r="AW151" s="160"/>
    </row>
    <row r="152" spans="1:49" x14ac:dyDescent="0.3">
      <c r="C152" s="141" t="s">
        <v>33</v>
      </c>
      <c r="D152" s="141" t="s">
        <v>34</v>
      </c>
      <c r="E152" s="141"/>
      <c r="F152" s="141" t="s">
        <v>35</v>
      </c>
      <c r="G152" s="153"/>
      <c r="H152" s="141" t="s">
        <v>36</v>
      </c>
      <c r="I152" s="141"/>
      <c r="J152" s="156" t="s">
        <v>810</v>
      </c>
      <c r="K152" s="156" t="s">
        <v>811</v>
      </c>
      <c r="L152" s="156" t="s">
        <v>38</v>
      </c>
      <c r="M152" s="141"/>
      <c r="N152" s="156" t="s">
        <v>39</v>
      </c>
      <c r="O152" s="141"/>
      <c r="P152" s="156" t="s">
        <v>40</v>
      </c>
      <c r="Q152" s="141"/>
      <c r="R152" s="156" t="s">
        <v>41</v>
      </c>
      <c r="S152" s="1"/>
      <c r="V152" s="238"/>
      <c r="Y152" s="318"/>
      <c r="AR152" s="123"/>
      <c r="AU152" s="123"/>
      <c r="AV152" s="123"/>
      <c r="AW152" s="160"/>
    </row>
    <row r="153" spans="1:49" x14ac:dyDescent="0.3">
      <c r="A153" s="191"/>
      <c r="B153" s="191"/>
      <c r="C153" s="191"/>
      <c r="D153" s="191"/>
      <c r="E153" s="191"/>
      <c r="F153" s="191"/>
      <c r="G153" s="191"/>
      <c r="H153" s="271" t="s">
        <v>49</v>
      </c>
      <c r="I153" s="271"/>
      <c r="J153" s="270" t="s">
        <v>69</v>
      </c>
      <c r="K153" s="271"/>
      <c r="L153" s="271" t="s">
        <v>50</v>
      </c>
      <c r="M153" s="271"/>
      <c r="N153" s="271" t="s">
        <v>51</v>
      </c>
      <c r="O153" s="271"/>
      <c r="P153" s="271" t="s">
        <v>50</v>
      </c>
      <c r="Q153" s="271"/>
      <c r="R153" s="271" t="s">
        <v>50</v>
      </c>
      <c r="S153" s="1"/>
      <c r="V153" s="238"/>
      <c r="Y153" s="318"/>
      <c r="AR153" s="123"/>
      <c r="AU153" s="123"/>
      <c r="AV153" s="123"/>
      <c r="AW153" s="160"/>
    </row>
    <row r="154" spans="1:49" x14ac:dyDescent="0.3">
      <c r="A154" s="283">
        <v>91</v>
      </c>
      <c r="C154" s="132" t="s">
        <v>796</v>
      </c>
      <c r="D154" s="178" t="s">
        <v>815</v>
      </c>
      <c r="F154" s="184"/>
      <c r="G154" s="1"/>
      <c r="H154" s="184"/>
      <c r="I154" s="159"/>
      <c r="J154" s="238"/>
      <c r="K154" s="238"/>
      <c r="L154" s="3"/>
      <c r="M154" s="3"/>
      <c r="N154" s="4"/>
      <c r="O154" s="4"/>
      <c r="P154" s="3"/>
      <c r="Q154" s="3"/>
      <c r="R154" s="3"/>
      <c r="S154" s="1"/>
      <c r="V154" s="238"/>
      <c r="Y154" s="318"/>
      <c r="AR154" s="123"/>
      <c r="AU154" s="123"/>
      <c r="AV154" s="123"/>
      <c r="AW154" s="160"/>
    </row>
    <row r="155" spans="1:49" x14ac:dyDescent="0.3">
      <c r="A155" s="283">
        <v>92</v>
      </c>
      <c r="C155" s="178" t="s">
        <v>1115</v>
      </c>
      <c r="F155" s="184"/>
      <c r="G155" s="1"/>
      <c r="H155" s="184"/>
      <c r="I155" s="159"/>
      <c r="J155" s="238"/>
      <c r="K155" s="238"/>
      <c r="L155" s="3"/>
      <c r="M155" s="3"/>
      <c r="N155" s="4"/>
      <c r="O155" s="4"/>
      <c r="P155" s="3"/>
      <c r="Q155" s="3"/>
      <c r="R155" s="3"/>
      <c r="S155" s="1"/>
      <c r="V155" s="238"/>
      <c r="Y155" s="318"/>
      <c r="AR155" s="123"/>
      <c r="AU155" s="123"/>
      <c r="AV155" s="123"/>
      <c r="AW155" s="160"/>
    </row>
    <row r="156" spans="1:49" x14ac:dyDescent="0.3">
      <c r="A156" s="283">
        <v>93</v>
      </c>
      <c r="C156" s="45" t="s">
        <v>900</v>
      </c>
      <c r="F156" s="184">
        <v>0</v>
      </c>
      <c r="G156" s="1"/>
      <c r="H156" s="184"/>
      <c r="I156" s="159"/>
      <c r="J156" s="238">
        <v>14.751094999999999</v>
      </c>
      <c r="K156" s="258"/>
      <c r="L156" s="3">
        <f t="shared" si="19"/>
        <v>0</v>
      </c>
      <c r="M156" s="3"/>
      <c r="N156" s="4">
        <v>0</v>
      </c>
      <c r="O156" s="4"/>
      <c r="P156" s="3"/>
      <c r="Q156" s="3"/>
      <c r="R156" s="3">
        <f t="shared" si="20"/>
        <v>0</v>
      </c>
      <c r="S156" s="1"/>
      <c r="U156" s="40"/>
      <c r="V156" s="238"/>
      <c r="X156" s="40"/>
      <c r="Y156" s="318"/>
      <c r="Z156" s="40"/>
      <c r="AD156" s="40"/>
      <c r="AE156" s="40"/>
      <c r="AF156" s="40"/>
      <c r="AG156" s="166"/>
      <c r="AH156" s="40"/>
      <c r="AI156" s="40"/>
      <c r="AJ156" s="40"/>
      <c r="AK156" s="166"/>
      <c r="AL156" s="40"/>
      <c r="AM156" s="40"/>
      <c r="AT156" s="123"/>
      <c r="AU156" s="123"/>
      <c r="AV156" s="123"/>
      <c r="AW156" s="160"/>
    </row>
    <row r="157" spans="1:49" x14ac:dyDescent="0.3">
      <c r="A157" s="283">
        <v>94</v>
      </c>
      <c r="C157" s="45" t="s">
        <v>901</v>
      </c>
      <c r="F157" s="184">
        <v>0</v>
      </c>
      <c r="G157" s="1"/>
      <c r="H157" s="184"/>
      <c r="I157" s="159"/>
      <c r="J157" s="238">
        <v>17.984680999999998</v>
      </c>
      <c r="K157" s="258"/>
      <c r="L157" s="3">
        <f t="shared" si="19"/>
        <v>0</v>
      </c>
      <c r="M157" s="3"/>
      <c r="N157" s="4">
        <v>0</v>
      </c>
      <c r="O157" s="4"/>
      <c r="P157" s="3"/>
      <c r="Q157" s="3"/>
      <c r="R157" s="3">
        <f t="shared" si="20"/>
        <v>0</v>
      </c>
      <c r="S157" s="1"/>
      <c r="V157" s="238"/>
      <c r="Y157" s="318"/>
      <c r="AU157" s="123"/>
      <c r="AV157" s="123"/>
      <c r="AW157" s="160"/>
    </row>
    <row r="158" spans="1:49" x14ac:dyDescent="0.3">
      <c r="A158" s="283">
        <v>95</v>
      </c>
      <c r="C158" s="45" t="s">
        <v>902</v>
      </c>
      <c r="F158" s="184">
        <v>0</v>
      </c>
      <c r="G158" s="1"/>
      <c r="H158" s="184"/>
      <c r="I158" s="159"/>
      <c r="J158" s="238">
        <v>23.903400999999999</v>
      </c>
      <c r="K158" s="258"/>
      <c r="L158" s="3">
        <f t="shared" si="19"/>
        <v>0</v>
      </c>
      <c r="M158" s="3"/>
      <c r="N158" s="4">
        <v>0</v>
      </c>
      <c r="O158" s="4"/>
      <c r="P158" s="3"/>
      <c r="Q158" s="3"/>
      <c r="R158" s="3">
        <f t="shared" si="20"/>
        <v>0</v>
      </c>
      <c r="S158" s="1"/>
      <c r="V158" s="238"/>
      <c r="Y158" s="318"/>
      <c r="AU158" s="123"/>
      <c r="AV158" s="123"/>
      <c r="AW158" s="160"/>
    </row>
    <row r="159" spans="1:49" x14ac:dyDescent="0.3">
      <c r="A159" s="283">
        <v>96</v>
      </c>
      <c r="C159" s="45" t="s">
        <v>903</v>
      </c>
      <c r="F159" s="184">
        <v>0</v>
      </c>
      <c r="G159" s="1"/>
      <c r="H159" s="184"/>
      <c r="I159" s="159"/>
      <c r="J159" s="238">
        <v>23.366375000000001</v>
      </c>
      <c r="K159" s="258"/>
      <c r="L159" s="3">
        <f t="shared" si="19"/>
        <v>0</v>
      </c>
      <c r="M159" s="3"/>
      <c r="N159" s="4">
        <v>0</v>
      </c>
      <c r="O159" s="4"/>
      <c r="P159" s="3"/>
      <c r="Q159" s="3"/>
      <c r="R159" s="3">
        <f t="shared" si="20"/>
        <v>0</v>
      </c>
      <c r="V159" s="301"/>
      <c r="Y159" s="318"/>
      <c r="AU159" s="123"/>
      <c r="AV159" s="123"/>
      <c r="AW159" s="160"/>
    </row>
    <row r="160" spans="1:49" x14ac:dyDescent="0.3">
      <c r="A160" s="283">
        <v>97</v>
      </c>
      <c r="C160" s="45" t="s">
        <v>904</v>
      </c>
      <c r="F160" s="184">
        <v>0</v>
      </c>
      <c r="G160" s="1"/>
      <c r="H160" s="184"/>
      <c r="I160" s="159"/>
      <c r="J160" s="238">
        <v>24.429002000000001</v>
      </c>
      <c r="K160" s="258"/>
      <c r="L160" s="3">
        <f t="shared" si="19"/>
        <v>0</v>
      </c>
      <c r="M160" s="3"/>
      <c r="N160" s="4">
        <v>0</v>
      </c>
      <c r="O160" s="4"/>
      <c r="P160" s="3"/>
      <c r="Q160" s="3"/>
      <c r="R160" s="3">
        <f t="shared" si="20"/>
        <v>0</v>
      </c>
      <c r="S160" s="1"/>
      <c r="V160" s="238"/>
      <c r="Y160" s="318"/>
      <c r="AU160" s="123"/>
      <c r="AV160" s="123"/>
      <c r="AW160" s="160"/>
    </row>
    <row r="161" spans="1:49" x14ac:dyDescent="0.3">
      <c r="A161" s="283">
        <v>98</v>
      </c>
      <c r="C161" s="45" t="s">
        <v>905</v>
      </c>
      <c r="F161" s="184">
        <v>0</v>
      </c>
      <c r="G161" s="1"/>
      <c r="H161" s="184"/>
      <c r="I161" s="159"/>
      <c r="J161" s="238">
        <v>26.977022000000002</v>
      </c>
      <c r="K161" s="258"/>
      <c r="L161" s="3">
        <f t="shared" si="19"/>
        <v>0</v>
      </c>
      <c r="M161" s="3"/>
      <c r="N161" s="4">
        <v>0</v>
      </c>
      <c r="O161" s="4"/>
      <c r="P161" s="3"/>
      <c r="Q161" s="3"/>
      <c r="R161" s="3">
        <f t="shared" si="20"/>
        <v>0</v>
      </c>
      <c r="S161" s="1"/>
      <c r="V161" s="238"/>
      <c r="Y161" s="318"/>
      <c r="AU161" s="123"/>
      <c r="AV161" s="123"/>
      <c r="AW161" s="160"/>
    </row>
    <row r="162" spans="1:49" x14ac:dyDescent="0.3">
      <c r="A162" s="283">
        <v>99</v>
      </c>
      <c r="C162" s="45" t="s">
        <v>818</v>
      </c>
      <c r="F162" s="184">
        <v>0</v>
      </c>
      <c r="G162" s="1"/>
      <c r="H162" s="184"/>
      <c r="I162" s="159"/>
      <c r="J162" s="238">
        <v>7.4041129999999997</v>
      </c>
      <c r="K162" s="258"/>
      <c r="L162" s="3">
        <f t="shared" si="19"/>
        <v>0</v>
      </c>
      <c r="M162" s="3"/>
      <c r="N162" s="4">
        <v>0</v>
      </c>
      <c r="O162" s="4"/>
      <c r="P162" s="3"/>
      <c r="Q162" s="3"/>
      <c r="R162" s="3">
        <f t="shared" si="20"/>
        <v>0</v>
      </c>
      <c r="S162" s="1"/>
      <c r="V162" s="238"/>
      <c r="Y162" s="318"/>
      <c r="AU162" s="123"/>
      <c r="AV162" s="123"/>
      <c r="AW162" s="160"/>
    </row>
    <row r="163" spans="1:49" x14ac:dyDescent="0.3">
      <c r="A163" s="283">
        <v>100</v>
      </c>
      <c r="C163" s="45" t="s">
        <v>819</v>
      </c>
      <c r="F163" s="184">
        <v>9</v>
      </c>
      <c r="G163" s="1"/>
      <c r="H163" s="184"/>
      <c r="I163" s="1"/>
      <c r="J163" s="238">
        <v>8.2724960000000003</v>
      </c>
      <c r="K163" s="5"/>
      <c r="L163" s="3">
        <f t="shared" si="19"/>
        <v>74</v>
      </c>
      <c r="M163" s="1"/>
      <c r="N163" s="4">
        <v>0</v>
      </c>
      <c r="O163" s="1"/>
      <c r="P163" s="3"/>
      <c r="Q163" s="1"/>
      <c r="R163" s="3">
        <f t="shared" si="20"/>
        <v>74</v>
      </c>
      <c r="V163" s="301"/>
      <c r="Y163" s="318"/>
    </row>
    <row r="164" spans="1:49" x14ac:dyDescent="0.3">
      <c r="A164" s="283">
        <v>101</v>
      </c>
      <c r="C164" s="45" t="s">
        <v>820</v>
      </c>
      <c r="F164" s="184">
        <v>0</v>
      </c>
      <c r="G164" s="1"/>
      <c r="H164" s="184"/>
      <c r="I164" s="159"/>
      <c r="J164" s="238">
        <v>9.3808279999999993</v>
      </c>
      <c r="K164" s="258"/>
      <c r="L164" s="3">
        <f t="shared" si="19"/>
        <v>0</v>
      </c>
      <c r="M164" s="3"/>
      <c r="N164" s="4">
        <v>0</v>
      </c>
      <c r="O164" s="4"/>
      <c r="P164" s="3"/>
      <c r="Q164" s="3"/>
      <c r="R164" s="3">
        <f t="shared" si="20"/>
        <v>0</v>
      </c>
      <c r="S164" s="1"/>
      <c r="V164" s="238"/>
      <c r="Y164" s="318"/>
    </row>
    <row r="165" spans="1:49" x14ac:dyDescent="0.3">
      <c r="A165" s="283">
        <v>102</v>
      </c>
      <c r="B165" s="291"/>
      <c r="C165" s="45" t="s">
        <v>821</v>
      </c>
      <c r="D165" s="291"/>
      <c r="F165" s="184">
        <v>0</v>
      </c>
      <c r="G165" s="1"/>
      <c r="H165" s="184"/>
      <c r="I165" s="159"/>
      <c r="J165" s="238">
        <v>9.7693159999999999</v>
      </c>
      <c r="K165" s="258"/>
      <c r="L165" s="3">
        <f t="shared" si="19"/>
        <v>0</v>
      </c>
      <c r="M165" s="3"/>
      <c r="N165" s="4">
        <v>0</v>
      </c>
      <c r="O165" s="4"/>
      <c r="P165" s="3"/>
      <c r="Q165" s="3"/>
      <c r="R165" s="3">
        <f t="shared" si="20"/>
        <v>0</v>
      </c>
      <c r="S165" s="1"/>
      <c r="V165" s="238"/>
      <c r="Y165" s="318"/>
    </row>
    <row r="166" spans="1:49" x14ac:dyDescent="0.3">
      <c r="A166" s="283">
        <v>103</v>
      </c>
      <c r="B166" s="291"/>
      <c r="C166" s="45" t="s">
        <v>906</v>
      </c>
      <c r="D166" s="291"/>
      <c r="F166" s="184">
        <v>0</v>
      </c>
      <c r="G166" s="1"/>
      <c r="H166" s="184"/>
      <c r="I166" s="159"/>
      <c r="J166" s="238">
        <v>11.483231</v>
      </c>
      <c r="K166" s="258"/>
      <c r="L166" s="3">
        <f t="shared" si="19"/>
        <v>0</v>
      </c>
      <c r="M166" s="3"/>
      <c r="N166" s="4">
        <v>0</v>
      </c>
      <c r="O166" s="4"/>
      <c r="P166" s="3"/>
      <c r="Q166" s="3"/>
      <c r="R166" s="3">
        <f t="shared" si="20"/>
        <v>0</v>
      </c>
      <c r="S166" s="1"/>
      <c r="V166" s="238"/>
      <c r="Y166" s="318"/>
    </row>
    <row r="167" spans="1:49" x14ac:dyDescent="0.3">
      <c r="A167" s="283">
        <v>104</v>
      </c>
      <c r="B167" s="291"/>
      <c r="C167" s="45" t="s">
        <v>907</v>
      </c>
      <c r="D167" s="291"/>
      <c r="F167" s="184">
        <v>0</v>
      </c>
      <c r="G167" s="1"/>
      <c r="H167" s="184"/>
      <c r="I167" s="159"/>
      <c r="J167" s="238">
        <v>12.043108999999999</v>
      </c>
      <c r="K167" s="258"/>
      <c r="L167" s="3">
        <f t="shared" si="19"/>
        <v>0</v>
      </c>
      <c r="M167" s="3"/>
      <c r="N167" s="4">
        <v>0</v>
      </c>
      <c r="O167" s="4"/>
      <c r="P167" s="3"/>
      <c r="Q167" s="3"/>
      <c r="R167" s="3">
        <f t="shared" si="20"/>
        <v>0</v>
      </c>
      <c r="S167" s="1"/>
      <c r="V167" s="238"/>
      <c r="Y167" s="318"/>
    </row>
    <row r="168" spans="1:49" x14ac:dyDescent="0.3">
      <c r="A168" s="283">
        <v>105</v>
      </c>
      <c r="B168" s="291"/>
      <c r="C168" s="45" t="s">
        <v>908</v>
      </c>
      <c r="D168" s="291"/>
      <c r="F168" s="184">
        <v>8</v>
      </c>
      <c r="G168" s="1"/>
      <c r="H168" s="184"/>
      <c r="I168" s="159"/>
      <c r="J168" s="238">
        <v>9.9292809999999996</v>
      </c>
      <c r="K168" s="258"/>
      <c r="L168" s="3">
        <f t="shared" si="19"/>
        <v>79</v>
      </c>
      <c r="M168" s="3"/>
      <c r="N168" s="4">
        <v>0</v>
      </c>
      <c r="O168" s="4"/>
      <c r="P168" s="3"/>
      <c r="Q168" s="3"/>
      <c r="R168" s="3">
        <f t="shared" si="20"/>
        <v>79</v>
      </c>
      <c r="S168" s="1"/>
      <c r="V168" s="238"/>
      <c r="Y168" s="318"/>
    </row>
    <row r="169" spans="1:49" x14ac:dyDescent="0.3">
      <c r="A169" s="283">
        <v>106</v>
      </c>
      <c r="B169" s="291"/>
      <c r="C169" s="45" t="s">
        <v>909</v>
      </c>
      <c r="D169" s="291"/>
      <c r="F169" s="184">
        <v>0</v>
      </c>
      <c r="G169" s="1"/>
      <c r="H169" s="184"/>
      <c r="I169" s="159"/>
      <c r="J169" s="238">
        <v>11.723179</v>
      </c>
      <c r="K169" s="258"/>
      <c r="L169" s="3">
        <f t="shared" si="19"/>
        <v>0</v>
      </c>
      <c r="M169" s="3"/>
      <c r="N169" s="4">
        <v>0</v>
      </c>
      <c r="O169" s="4"/>
      <c r="P169" s="3"/>
      <c r="Q169" s="3"/>
      <c r="R169" s="3">
        <f t="shared" si="20"/>
        <v>0</v>
      </c>
      <c r="S169" s="1"/>
      <c r="V169" s="238"/>
      <c r="Y169" s="318"/>
    </row>
    <row r="170" spans="1:49" x14ac:dyDescent="0.3">
      <c r="A170" s="283">
        <v>107</v>
      </c>
      <c r="B170" s="291"/>
      <c r="C170" s="45" t="s">
        <v>995</v>
      </c>
      <c r="D170" s="291"/>
      <c r="F170" s="184">
        <v>0</v>
      </c>
      <c r="G170" s="1"/>
      <c r="H170" s="184"/>
      <c r="I170" s="159"/>
      <c r="J170" s="238">
        <v>16.419305999999999</v>
      </c>
      <c r="K170" s="258"/>
      <c r="L170" s="3">
        <f t="shared" ref="L170:L186" si="21">ROUND((F170*J170),0)</f>
        <v>0</v>
      </c>
      <c r="M170" s="3"/>
      <c r="N170" s="4">
        <v>0</v>
      </c>
      <c r="O170" s="4"/>
      <c r="P170" s="3"/>
      <c r="Q170" s="3"/>
      <c r="R170" s="3">
        <f t="shared" ref="R170:R186" si="22">L170+P170</f>
        <v>0</v>
      </c>
      <c r="S170" s="1"/>
      <c r="V170" s="238"/>
      <c r="Y170" s="318"/>
    </row>
    <row r="171" spans="1:49" x14ac:dyDescent="0.3">
      <c r="A171" s="283">
        <v>108</v>
      </c>
      <c r="B171" s="291"/>
      <c r="C171" s="45" t="s">
        <v>996</v>
      </c>
      <c r="D171" s="291"/>
      <c r="F171" s="184">
        <v>0</v>
      </c>
      <c r="G171" s="1"/>
      <c r="H171" s="184"/>
      <c r="I171" s="159"/>
      <c r="J171" s="238">
        <v>24.886046</v>
      </c>
      <c r="K171" s="258"/>
      <c r="L171" s="3">
        <f t="shared" si="21"/>
        <v>0</v>
      </c>
      <c r="M171" s="3"/>
      <c r="N171" s="4">
        <v>0</v>
      </c>
      <c r="O171" s="4"/>
      <c r="P171" s="3"/>
      <c r="Q171" s="3"/>
      <c r="R171" s="3">
        <f t="shared" si="22"/>
        <v>0</v>
      </c>
      <c r="S171" s="1"/>
      <c r="V171" s="238"/>
      <c r="Y171" s="318"/>
    </row>
    <row r="172" spans="1:49" x14ac:dyDescent="0.3">
      <c r="A172" s="283">
        <v>109</v>
      </c>
      <c r="B172" s="291"/>
      <c r="C172" s="45" t="s">
        <v>997</v>
      </c>
      <c r="D172" s="291"/>
      <c r="F172" s="184">
        <v>0</v>
      </c>
      <c r="G172" s="1"/>
      <c r="H172" s="184"/>
      <c r="I172" s="159"/>
      <c r="J172" s="238">
        <v>28.028223000000001</v>
      </c>
      <c r="K172" s="258"/>
      <c r="L172" s="3">
        <f t="shared" si="21"/>
        <v>0</v>
      </c>
      <c r="M172" s="3"/>
      <c r="N172" s="4">
        <v>0</v>
      </c>
      <c r="O172" s="4"/>
      <c r="P172" s="3"/>
      <c r="Q172" s="3"/>
      <c r="R172" s="3">
        <f t="shared" si="22"/>
        <v>0</v>
      </c>
      <c r="S172" s="1"/>
      <c r="V172" s="238"/>
      <c r="Y172" s="318"/>
    </row>
    <row r="173" spans="1:49" x14ac:dyDescent="0.3">
      <c r="A173" s="283">
        <v>110</v>
      </c>
      <c r="B173" s="291"/>
      <c r="C173" s="45" t="s">
        <v>998</v>
      </c>
      <c r="D173" s="291"/>
      <c r="F173" s="184">
        <v>0</v>
      </c>
      <c r="G173" s="1"/>
      <c r="H173" s="184"/>
      <c r="I173" s="159"/>
      <c r="J173" s="238">
        <v>22.338025999999999</v>
      </c>
      <c r="K173" s="258"/>
      <c r="L173" s="3">
        <f t="shared" si="21"/>
        <v>0</v>
      </c>
      <c r="M173" s="3"/>
      <c r="N173" s="4">
        <v>0</v>
      </c>
      <c r="O173" s="4"/>
      <c r="P173" s="3"/>
      <c r="Q173" s="3"/>
      <c r="R173" s="3">
        <f t="shared" si="22"/>
        <v>0</v>
      </c>
      <c r="S173" s="1"/>
      <c r="V173" s="238"/>
      <c r="Y173" s="318"/>
    </row>
    <row r="174" spans="1:49" x14ac:dyDescent="0.3">
      <c r="A174" s="283">
        <v>111</v>
      </c>
      <c r="B174" s="291"/>
      <c r="C174" s="45" t="s">
        <v>999</v>
      </c>
      <c r="D174" s="291"/>
      <c r="F174" s="184">
        <v>0</v>
      </c>
      <c r="G174" s="1"/>
      <c r="H174" s="184"/>
      <c r="I174" s="159"/>
      <c r="J174" s="238">
        <v>23.640601</v>
      </c>
      <c r="K174" s="258"/>
      <c r="L174" s="3">
        <f t="shared" si="21"/>
        <v>0</v>
      </c>
      <c r="M174" s="3"/>
      <c r="N174" s="4">
        <v>0</v>
      </c>
      <c r="O174" s="4"/>
      <c r="P174" s="3"/>
      <c r="Q174" s="3"/>
      <c r="R174" s="3">
        <f t="shared" si="22"/>
        <v>0</v>
      </c>
      <c r="S174" s="1"/>
      <c r="V174" s="238"/>
      <c r="Y174" s="318"/>
    </row>
    <row r="175" spans="1:49" x14ac:dyDescent="0.3">
      <c r="A175" s="283">
        <v>112</v>
      </c>
      <c r="B175" s="291"/>
      <c r="C175" s="45" t="s">
        <v>1000</v>
      </c>
      <c r="D175" s="291"/>
      <c r="F175" s="184">
        <v>0</v>
      </c>
      <c r="G175" s="1"/>
      <c r="H175" s="184"/>
      <c r="I175" s="159"/>
      <c r="J175" s="238">
        <v>22.612252000000002</v>
      </c>
      <c r="K175" s="258"/>
      <c r="L175" s="3">
        <f t="shared" si="21"/>
        <v>0</v>
      </c>
      <c r="M175" s="3"/>
      <c r="N175" s="4">
        <v>0</v>
      </c>
      <c r="O175" s="4"/>
      <c r="P175" s="3"/>
      <c r="Q175" s="3"/>
      <c r="R175" s="3">
        <f t="shared" si="22"/>
        <v>0</v>
      </c>
      <c r="S175" s="1"/>
      <c r="V175" s="238"/>
      <c r="Y175" s="318"/>
    </row>
    <row r="176" spans="1:49" x14ac:dyDescent="0.3">
      <c r="A176" s="283">
        <v>113</v>
      </c>
      <c r="B176" s="291"/>
      <c r="C176" s="45" t="s">
        <v>1001</v>
      </c>
      <c r="D176" s="291"/>
      <c r="F176" s="184">
        <v>0</v>
      </c>
      <c r="G176" s="1"/>
      <c r="H176" s="184"/>
      <c r="I176" s="159"/>
      <c r="J176" s="238">
        <v>23.149279</v>
      </c>
      <c r="K176" s="258"/>
      <c r="L176" s="3">
        <f t="shared" si="21"/>
        <v>0</v>
      </c>
      <c r="M176" s="3"/>
      <c r="N176" s="4">
        <v>0</v>
      </c>
      <c r="O176" s="4"/>
      <c r="P176" s="3"/>
      <c r="Q176" s="3"/>
      <c r="R176" s="3">
        <f t="shared" si="22"/>
        <v>0</v>
      </c>
      <c r="S176" s="1"/>
      <c r="V176" s="238"/>
      <c r="Y176" s="318"/>
    </row>
    <row r="177" spans="1:25" x14ac:dyDescent="0.3">
      <c r="A177" s="283">
        <v>114</v>
      </c>
      <c r="B177" s="291"/>
      <c r="C177" s="45" t="s">
        <v>1002</v>
      </c>
      <c r="D177" s="291"/>
      <c r="F177" s="184">
        <v>0</v>
      </c>
      <c r="G177" s="1"/>
      <c r="H177" s="184"/>
      <c r="I177" s="159"/>
      <c r="J177" s="238">
        <v>24.634671999999998</v>
      </c>
      <c r="K177" s="258"/>
      <c r="L177" s="3">
        <f t="shared" si="21"/>
        <v>0</v>
      </c>
      <c r="M177" s="3"/>
      <c r="N177" s="4">
        <v>0</v>
      </c>
      <c r="O177" s="4"/>
      <c r="P177" s="3"/>
      <c r="Q177" s="3"/>
      <c r="R177" s="3">
        <f t="shared" si="22"/>
        <v>0</v>
      </c>
      <c r="S177" s="1"/>
      <c r="V177" s="238"/>
      <c r="Y177" s="318"/>
    </row>
    <row r="178" spans="1:25" x14ac:dyDescent="0.3">
      <c r="A178" s="283">
        <v>115</v>
      </c>
      <c r="B178" s="291"/>
      <c r="C178" s="45" t="s">
        <v>1003</v>
      </c>
      <c r="D178" s="291"/>
      <c r="F178" s="184">
        <v>0</v>
      </c>
      <c r="G178" s="1"/>
      <c r="H178" s="184"/>
      <c r="I178" s="159"/>
      <c r="J178" s="238">
        <v>25.468776999999999</v>
      </c>
      <c r="K178" s="258"/>
      <c r="L178" s="3">
        <f t="shared" si="21"/>
        <v>0</v>
      </c>
      <c r="M178" s="3"/>
      <c r="N178" s="4">
        <v>0</v>
      </c>
      <c r="O178" s="4"/>
      <c r="P178" s="3"/>
      <c r="Q178" s="3"/>
      <c r="R178" s="3">
        <f t="shared" si="22"/>
        <v>0</v>
      </c>
      <c r="S178" s="1"/>
      <c r="V178" s="238"/>
      <c r="Y178" s="318"/>
    </row>
    <row r="179" spans="1:25" x14ac:dyDescent="0.3">
      <c r="A179" s="283">
        <v>116</v>
      </c>
      <c r="B179" s="291"/>
      <c r="C179" s="45" t="s">
        <v>1004</v>
      </c>
      <c r="D179" s="291"/>
      <c r="F179" s="184">
        <v>0</v>
      </c>
      <c r="G179" s="1"/>
      <c r="H179" s="184"/>
      <c r="I179" s="159"/>
      <c r="J179" s="238">
        <v>17.184854000000001</v>
      </c>
      <c r="K179" s="258"/>
      <c r="L179" s="3">
        <f t="shared" si="21"/>
        <v>0</v>
      </c>
      <c r="M179" s="3"/>
      <c r="N179" s="4">
        <v>0</v>
      </c>
      <c r="O179" s="4"/>
      <c r="P179" s="3"/>
      <c r="Q179" s="3"/>
      <c r="R179" s="3">
        <f t="shared" si="22"/>
        <v>0</v>
      </c>
      <c r="S179" s="1"/>
      <c r="V179" s="238"/>
      <c r="Y179" s="318"/>
    </row>
    <row r="180" spans="1:25" x14ac:dyDescent="0.3">
      <c r="A180" s="283">
        <v>117</v>
      </c>
      <c r="B180" s="291"/>
      <c r="C180" s="45" t="s">
        <v>1005</v>
      </c>
      <c r="D180" s="291"/>
      <c r="F180" s="184">
        <v>0</v>
      </c>
      <c r="G180" s="1"/>
      <c r="H180" s="184"/>
      <c r="I180" s="159"/>
      <c r="J180" s="238">
        <v>18.533134</v>
      </c>
      <c r="K180" s="258"/>
      <c r="L180" s="3">
        <f t="shared" si="21"/>
        <v>0</v>
      </c>
      <c r="M180" s="3"/>
      <c r="N180" s="4">
        <v>0</v>
      </c>
      <c r="O180" s="4"/>
      <c r="P180" s="3"/>
      <c r="Q180" s="3"/>
      <c r="R180" s="3">
        <f t="shared" si="22"/>
        <v>0</v>
      </c>
      <c r="S180" s="1"/>
      <c r="V180" s="238"/>
      <c r="Y180" s="318"/>
    </row>
    <row r="181" spans="1:25" x14ac:dyDescent="0.3">
      <c r="A181" s="283">
        <v>118</v>
      </c>
      <c r="B181" s="291"/>
      <c r="C181" s="45" t="s">
        <v>1006</v>
      </c>
      <c r="D181" s="291"/>
      <c r="F181" s="184">
        <v>0</v>
      </c>
      <c r="G181" s="1"/>
      <c r="H181" s="184"/>
      <c r="I181" s="159"/>
      <c r="J181" s="238">
        <v>29.307946999999999</v>
      </c>
      <c r="K181" s="258"/>
      <c r="L181" s="3">
        <f t="shared" si="21"/>
        <v>0</v>
      </c>
      <c r="M181" s="3"/>
      <c r="N181" s="4">
        <v>0</v>
      </c>
      <c r="O181" s="4"/>
      <c r="P181" s="3"/>
      <c r="Q181" s="3"/>
      <c r="R181" s="3">
        <f t="shared" si="22"/>
        <v>0</v>
      </c>
      <c r="S181" s="1"/>
      <c r="V181" s="238"/>
      <c r="Y181" s="318"/>
    </row>
    <row r="182" spans="1:25" x14ac:dyDescent="0.3">
      <c r="A182" s="283">
        <v>119</v>
      </c>
      <c r="B182" s="291"/>
      <c r="C182" s="45" t="s">
        <v>1007</v>
      </c>
      <c r="D182" s="291"/>
      <c r="F182" s="184">
        <v>0</v>
      </c>
      <c r="G182" s="1"/>
      <c r="H182" s="184"/>
      <c r="I182" s="159"/>
      <c r="J182" s="238">
        <v>28.588101999999999</v>
      </c>
      <c r="K182" s="258"/>
      <c r="L182" s="3">
        <f t="shared" si="21"/>
        <v>0</v>
      </c>
      <c r="M182" s="3"/>
      <c r="N182" s="4">
        <v>0</v>
      </c>
      <c r="O182" s="4"/>
      <c r="P182" s="3"/>
      <c r="Q182" s="3"/>
      <c r="R182" s="3">
        <f t="shared" si="22"/>
        <v>0</v>
      </c>
      <c r="S182" s="1"/>
      <c r="V182" s="238"/>
      <c r="Y182" s="318"/>
    </row>
    <row r="183" spans="1:25" x14ac:dyDescent="0.3">
      <c r="A183" s="283">
        <v>120</v>
      </c>
      <c r="B183" s="291"/>
      <c r="C183" s="45" t="s">
        <v>1008</v>
      </c>
      <c r="D183" s="291"/>
      <c r="F183" s="184">
        <v>0</v>
      </c>
      <c r="G183" s="1"/>
      <c r="H183" s="184"/>
      <c r="I183" s="159"/>
      <c r="J183" s="238">
        <v>33.329934000000002</v>
      </c>
      <c r="K183" s="258"/>
      <c r="L183" s="3">
        <f t="shared" si="21"/>
        <v>0</v>
      </c>
      <c r="M183" s="3"/>
      <c r="N183" s="4">
        <v>0</v>
      </c>
      <c r="O183" s="4"/>
      <c r="P183" s="3"/>
      <c r="Q183" s="3"/>
      <c r="R183" s="3">
        <f t="shared" si="22"/>
        <v>0</v>
      </c>
      <c r="S183" s="1"/>
      <c r="V183" s="238"/>
      <c r="Y183" s="318"/>
    </row>
    <row r="184" spans="1:25" x14ac:dyDescent="0.3">
      <c r="A184" s="283">
        <v>121</v>
      </c>
      <c r="B184" s="291"/>
      <c r="C184" s="45" t="s">
        <v>1009</v>
      </c>
      <c r="D184" s="291"/>
      <c r="F184" s="184">
        <v>0</v>
      </c>
      <c r="G184" s="1"/>
      <c r="H184" s="184"/>
      <c r="I184" s="159"/>
      <c r="J184" s="238">
        <v>12.15737</v>
      </c>
      <c r="K184" s="258"/>
      <c r="L184" s="3">
        <f t="shared" si="21"/>
        <v>0</v>
      </c>
      <c r="M184" s="3"/>
      <c r="N184" s="4">
        <v>0</v>
      </c>
      <c r="O184" s="4"/>
      <c r="P184" s="3"/>
      <c r="Q184" s="3"/>
      <c r="R184" s="3">
        <f t="shared" si="22"/>
        <v>0</v>
      </c>
      <c r="S184" s="1"/>
      <c r="V184" s="238"/>
      <c r="Y184" s="318"/>
    </row>
    <row r="185" spans="1:25" x14ac:dyDescent="0.3">
      <c r="A185" s="283">
        <v>122</v>
      </c>
      <c r="B185" s="291"/>
      <c r="C185" s="45" t="s">
        <v>1010</v>
      </c>
      <c r="D185" s="291"/>
      <c r="F185" s="184">
        <v>0</v>
      </c>
      <c r="G185" s="1"/>
      <c r="H185" s="184"/>
      <c r="I185" s="159"/>
      <c r="J185" s="238">
        <v>12.808657999999999</v>
      </c>
      <c r="K185" s="258"/>
      <c r="L185" s="3">
        <f t="shared" si="21"/>
        <v>0</v>
      </c>
      <c r="M185" s="3"/>
      <c r="N185" s="4">
        <v>0</v>
      </c>
      <c r="O185" s="4"/>
      <c r="P185" s="3"/>
      <c r="Q185" s="3"/>
      <c r="R185" s="3">
        <f t="shared" si="22"/>
        <v>0</v>
      </c>
      <c r="S185" s="1"/>
      <c r="V185" s="238"/>
      <c r="Y185" s="318"/>
    </row>
    <row r="186" spans="1:25" x14ac:dyDescent="0.3">
      <c r="A186" s="283">
        <v>123</v>
      </c>
      <c r="B186" s="291"/>
      <c r="C186" s="45" t="s">
        <v>1011</v>
      </c>
      <c r="D186" s="291"/>
      <c r="F186" s="184">
        <v>0</v>
      </c>
      <c r="G186" s="1"/>
      <c r="H186" s="184"/>
      <c r="I186" s="159"/>
      <c r="J186" s="238">
        <v>25.34309</v>
      </c>
      <c r="K186" s="258"/>
      <c r="L186" s="3">
        <f t="shared" si="21"/>
        <v>0</v>
      </c>
      <c r="M186" s="3"/>
      <c r="N186" s="4">
        <v>0</v>
      </c>
      <c r="O186" s="4"/>
      <c r="P186" s="3"/>
      <c r="Q186" s="3"/>
      <c r="R186" s="3">
        <f t="shared" si="22"/>
        <v>0</v>
      </c>
      <c r="S186" s="1"/>
      <c r="V186" s="238"/>
      <c r="Y186" s="318"/>
    </row>
    <row r="187" spans="1:25" x14ac:dyDescent="0.3">
      <c r="A187" s="283">
        <v>124</v>
      </c>
      <c r="B187" s="291"/>
      <c r="C187" s="45" t="s">
        <v>1102</v>
      </c>
      <c r="D187" s="291"/>
      <c r="F187" s="184">
        <v>0</v>
      </c>
      <c r="G187" s="1"/>
      <c r="H187" s="184"/>
      <c r="I187" s="159"/>
      <c r="J187" s="238">
        <v>7.1413130000000002</v>
      </c>
      <c r="K187" s="258"/>
      <c r="L187" s="3">
        <f t="shared" ref="L187:L197" si="23">ROUND((F187*J187),0)</f>
        <v>0</v>
      </c>
      <c r="M187" s="3"/>
      <c r="N187" s="4">
        <v>0</v>
      </c>
      <c r="O187" s="4"/>
      <c r="P187" s="3"/>
      <c r="Q187" s="3"/>
      <c r="R187" s="3">
        <f t="shared" ref="R187:R197" si="24">L187+P187</f>
        <v>0</v>
      </c>
      <c r="S187" s="1"/>
      <c r="V187" s="238"/>
      <c r="Y187" s="318"/>
    </row>
    <row r="188" spans="1:25" x14ac:dyDescent="0.3">
      <c r="A188" s="283">
        <v>125</v>
      </c>
      <c r="B188" s="291"/>
      <c r="C188" s="45" t="s">
        <v>1103</v>
      </c>
      <c r="D188" s="291"/>
      <c r="F188" s="184">
        <v>0</v>
      </c>
      <c r="G188" s="1"/>
      <c r="H188" s="184"/>
      <c r="I188" s="159"/>
      <c r="J188" s="238">
        <v>19.401517999999999</v>
      </c>
      <c r="K188" s="258"/>
      <c r="L188" s="3">
        <f t="shared" si="23"/>
        <v>0</v>
      </c>
      <c r="M188" s="3"/>
      <c r="N188" s="4">
        <v>0</v>
      </c>
      <c r="O188" s="4"/>
      <c r="P188" s="3"/>
      <c r="Q188" s="3"/>
      <c r="R188" s="3">
        <f t="shared" si="24"/>
        <v>0</v>
      </c>
      <c r="S188" s="1"/>
      <c r="V188" s="238"/>
      <c r="Y188" s="318"/>
    </row>
    <row r="189" spans="1:25" x14ac:dyDescent="0.3">
      <c r="A189" s="283">
        <v>126</v>
      </c>
      <c r="B189" s="291"/>
      <c r="C189" s="45" t="s">
        <v>1104</v>
      </c>
      <c r="D189" s="291"/>
      <c r="F189" s="184">
        <v>0</v>
      </c>
      <c r="G189" s="1"/>
      <c r="H189" s="184"/>
      <c r="I189" s="159"/>
      <c r="J189" s="238">
        <v>11.243282000000001</v>
      </c>
      <c r="K189" s="258"/>
      <c r="L189" s="3">
        <f t="shared" si="23"/>
        <v>0</v>
      </c>
      <c r="M189" s="3"/>
      <c r="N189" s="4">
        <v>0</v>
      </c>
      <c r="O189" s="4"/>
      <c r="P189" s="3"/>
      <c r="Q189" s="3"/>
      <c r="R189" s="3">
        <f t="shared" si="24"/>
        <v>0</v>
      </c>
      <c r="S189" s="1"/>
      <c r="V189" s="238"/>
      <c r="Y189" s="318"/>
    </row>
    <row r="190" spans="1:25" x14ac:dyDescent="0.3">
      <c r="A190" s="283">
        <v>127</v>
      </c>
      <c r="B190" s="291"/>
      <c r="C190" s="45" t="s">
        <v>1105</v>
      </c>
      <c r="D190" s="291"/>
      <c r="F190" s="184">
        <v>0</v>
      </c>
      <c r="G190" s="1"/>
      <c r="H190" s="184"/>
      <c r="I190" s="159"/>
      <c r="J190" s="238">
        <v>11.368969999999999</v>
      </c>
      <c r="K190" s="258"/>
      <c r="L190" s="3">
        <f t="shared" si="23"/>
        <v>0</v>
      </c>
      <c r="M190" s="3"/>
      <c r="N190" s="4">
        <v>0</v>
      </c>
      <c r="O190" s="4"/>
      <c r="P190" s="3"/>
      <c r="Q190" s="3"/>
      <c r="R190" s="3">
        <f t="shared" si="24"/>
        <v>0</v>
      </c>
      <c r="S190" s="1"/>
      <c r="V190" s="238"/>
      <c r="Y190" s="318"/>
    </row>
    <row r="191" spans="1:25" x14ac:dyDescent="0.3">
      <c r="A191" s="283">
        <v>128</v>
      </c>
      <c r="B191" s="291"/>
      <c r="C191" s="45" t="s">
        <v>1106</v>
      </c>
      <c r="D191" s="291"/>
      <c r="F191" s="184">
        <v>0</v>
      </c>
      <c r="G191" s="1"/>
      <c r="H191" s="184"/>
      <c r="I191" s="159"/>
      <c r="J191" s="238">
        <v>22.463712999999998</v>
      </c>
      <c r="K191" s="258"/>
      <c r="L191" s="3">
        <f t="shared" si="23"/>
        <v>0</v>
      </c>
      <c r="M191" s="3"/>
      <c r="N191" s="4">
        <v>0</v>
      </c>
      <c r="O191" s="4"/>
      <c r="P191" s="3"/>
      <c r="Q191" s="3"/>
      <c r="R191" s="3">
        <f t="shared" si="24"/>
        <v>0</v>
      </c>
      <c r="S191" s="1"/>
      <c r="V191" s="238"/>
      <c r="Y191" s="318"/>
    </row>
    <row r="192" spans="1:25" x14ac:dyDescent="0.3">
      <c r="A192" s="283">
        <v>129</v>
      </c>
      <c r="B192" s="291"/>
      <c r="C192" s="45" t="s">
        <v>1107</v>
      </c>
      <c r="D192" s="291"/>
      <c r="F192" s="184">
        <v>0</v>
      </c>
      <c r="G192" s="1"/>
      <c r="H192" s="184"/>
      <c r="I192" s="159"/>
      <c r="J192" s="238">
        <v>7.1413130000000002</v>
      </c>
      <c r="K192" s="258"/>
      <c r="L192" s="3">
        <f t="shared" si="23"/>
        <v>0</v>
      </c>
      <c r="M192" s="3"/>
      <c r="N192" s="4">
        <v>0</v>
      </c>
      <c r="O192" s="4"/>
      <c r="P192" s="3"/>
      <c r="Q192" s="3"/>
      <c r="R192" s="3">
        <f t="shared" si="24"/>
        <v>0</v>
      </c>
      <c r="S192" s="1"/>
      <c r="V192" s="238"/>
      <c r="Y192" s="318"/>
    </row>
    <row r="193" spans="1:25" x14ac:dyDescent="0.3">
      <c r="A193" s="283">
        <v>130</v>
      </c>
      <c r="B193" s="291"/>
      <c r="C193" s="45" t="s">
        <v>1108</v>
      </c>
      <c r="D193" s="291"/>
      <c r="F193" s="184">
        <v>0</v>
      </c>
      <c r="G193" s="1"/>
      <c r="H193" s="184"/>
      <c r="I193" s="159"/>
      <c r="J193" s="238">
        <v>20.864059000000001</v>
      </c>
      <c r="K193" s="258"/>
      <c r="L193" s="3">
        <f t="shared" si="23"/>
        <v>0</v>
      </c>
      <c r="M193" s="3"/>
      <c r="N193" s="4">
        <v>0</v>
      </c>
      <c r="O193" s="4"/>
      <c r="P193" s="3"/>
      <c r="Q193" s="3"/>
      <c r="R193" s="3">
        <f t="shared" si="24"/>
        <v>0</v>
      </c>
      <c r="S193" s="1"/>
      <c r="V193" s="238"/>
      <c r="Y193" s="318"/>
    </row>
    <row r="194" spans="1:25" x14ac:dyDescent="0.3">
      <c r="A194" s="283">
        <v>131</v>
      </c>
      <c r="B194" s="291"/>
      <c r="C194" s="45" t="s">
        <v>1109</v>
      </c>
      <c r="D194" s="291"/>
      <c r="F194" s="184">
        <v>0</v>
      </c>
      <c r="G194" s="1"/>
      <c r="H194" s="184"/>
      <c r="I194" s="159"/>
      <c r="J194" s="238">
        <v>13.574206999999999</v>
      </c>
      <c r="K194" s="258"/>
      <c r="L194" s="3">
        <f t="shared" si="23"/>
        <v>0</v>
      </c>
      <c r="M194" s="3"/>
      <c r="N194" s="4">
        <v>0</v>
      </c>
      <c r="O194" s="4"/>
      <c r="P194" s="3"/>
      <c r="Q194" s="3"/>
      <c r="R194" s="3">
        <f t="shared" si="24"/>
        <v>0</v>
      </c>
      <c r="S194" s="1"/>
      <c r="V194" s="238"/>
      <c r="Y194" s="318"/>
    </row>
    <row r="195" spans="1:25" x14ac:dyDescent="0.3">
      <c r="A195" s="283">
        <v>132</v>
      </c>
      <c r="B195" s="291"/>
      <c r="C195" s="45" t="s">
        <v>1110</v>
      </c>
      <c r="D195" s="291"/>
      <c r="F195" s="184">
        <v>0</v>
      </c>
      <c r="G195" s="1"/>
      <c r="H195" s="184"/>
      <c r="I195" s="159"/>
      <c r="J195" s="238">
        <v>13.951268000000001</v>
      </c>
      <c r="K195" s="258"/>
      <c r="L195" s="3">
        <f t="shared" si="23"/>
        <v>0</v>
      </c>
      <c r="M195" s="3"/>
      <c r="N195" s="4">
        <v>0</v>
      </c>
      <c r="O195" s="4"/>
      <c r="P195" s="3"/>
      <c r="Q195" s="3"/>
      <c r="R195" s="3">
        <f t="shared" si="24"/>
        <v>0</v>
      </c>
      <c r="S195" s="1"/>
      <c r="V195" s="238"/>
      <c r="Y195" s="318"/>
    </row>
    <row r="196" spans="1:25" x14ac:dyDescent="0.3">
      <c r="A196" s="283">
        <v>133</v>
      </c>
      <c r="B196" s="291"/>
      <c r="C196" s="45" t="s">
        <v>1111</v>
      </c>
      <c r="D196" s="291"/>
      <c r="F196" s="184">
        <v>0</v>
      </c>
      <c r="G196" s="1"/>
      <c r="H196" s="184"/>
      <c r="I196" s="159"/>
      <c r="J196" s="238">
        <v>18.338891</v>
      </c>
      <c r="K196" s="258"/>
      <c r="L196" s="3">
        <f t="shared" si="23"/>
        <v>0</v>
      </c>
      <c r="M196" s="3"/>
      <c r="N196" s="4">
        <v>0</v>
      </c>
      <c r="O196" s="4"/>
      <c r="P196" s="3"/>
      <c r="Q196" s="3"/>
      <c r="R196" s="3">
        <f t="shared" si="24"/>
        <v>0</v>
      </c>
      <c r="S196" s="1"/>
      <c r="V196" s="238"/>
      <c r="Y196" s="318"/>
    </row>
    <row r="197" spans="1:25" x14ac:dyDescent="0.3">
      <c r="A197" s="283">
        <v>134</v>
      </c>
      <c r="B197" s="291"/>
      <c r="C197" s="45" t="s">
        <v>1112</v>
      </c>
      <c r="D197" s="291"/>
      <c r="F197" s="184">
        <v>0</v>
      </c>
      <c r="G197" s="1"/>
      <c r="H197" s="184"/>
      <c r="I197" s="159"/>
      <c r="J197" s="238">
        <v>27.068431</v>
      </c>
      <c r="K197" s="258"/>
      <c r="L197" s="3">
        <f t="shared" si="23"/>
        <v>0</v>
      </c>
      <c r="M197" s="3"/>
      <c r="N197" s="4">
        <v>0</v>
      </c>
      <c r="O197" s="4"/>
      <c r="P197" s="3"/>
      <c r="Q197" s="3"/>
      <c r="R197" s="3">
        <f t="shared" si="24"/>
        <v>0</v>
      </c>
      <c r="S197" s="1"/>
      <c r="V197" s="238"/>
      <c r="Y197" s="318"/>
    </row>
    <row r="198" spans="1:25" x14ac:dyDescent="0.3">
      <c r="A198" s="283"/>
      <c r="B198" s="291"/>
      <c r="C198" s="45"/>
      <c r="D198" s="291"/>
      <c r="F198" s="184"/>
      <c r="G198" s="1"/>
      <c r="H198" s="184"/>
      <c r="I198" s="159"/>
      <c r="J198" s="238"/>
      <c r="K198" s="258"/>
      <c r="L198" s="3"/>
      <c r="M198" s="3"/>
      <c r="N198" s="4"/>
      <c r="O198" s="4"/>
      <c r="P198" s="3"/>
      <c r="Q198" s="3"/>
      <c r="R198" s="3"/>
      <c r="S198" s="1"/>
      <c r="V198" s="238"/>
      <c r="Y198" s="318"/>
    </row>
    <row r="199" spans="1:25" x14ac:dyDescent="0.3">
      <c r="A199" s="202" t="s">
        <v>76</v>
      </c>
      <c r="C199" s="45"/>
      <c r="F199" s="184"/>
      <c r="G199" s="1"/>
      <c r="H199" s="184"/>
      <c r="I199" s="159"/>
      <c r="J199" s="238"/>
      <c r="K199" s="258"/>
      <c r="L199" s="3"/>
      <c r="M199" s="3"/>
      <c r="N199" s="4"/>
      <c r="O199" s="4"/>
      <c r="P199" s="3"/>
      <c r="Q199" s="3"/>
      <c r="R199" s="3"/>
      <c r="S199" s="1"/>
      <c r="V199" s="238"/>
      <c r="Y199" s="318"/>
    </row>
    <row r="200" spans="1:25" x14ac:dyDescent="0.3">
      <c r="A200" s="202" t="str">
        <f>"(1A) REFLECTS FUEL COST RECOVERY INCLUDED IN BASE RATES OF "&amp;TEXT(CUR_BASE_FUEL,"$0.000000;($0.000000)")&amp;"  PER KWH."</f>
        <v>(1A) REFLECTS FUEL COST RECOVERY INCLUDED IN BASE RATES OF $0.033780  PER KWH.</v>
      </c>
      <c r="C200" s="45"/>
      <c r="F200" s="184"/>
      <c r="G200" s="1"/>
      <c r="H200" s="184"/>
      <c r="I200" s="159"/>
      <c r="J200" s="238"/>
      <c r="K200" s="258"/>
      <c r="L200" s="3"/>
      <c r="M200" s="3"/>
      <c r="N200" s="4"/>
      <c r="O200" s="4"/>
      <c r="P200" s="3"/>
      <c r="Q200" s="3"/>
      <c r="R200" s="3"/>
      <c r="S200" s="1"/>
      <c r="V200" s="238"/>
      <c r="Y200" s="318"/>
    </row>
    <row r="201" spans="1:25" x14ac:dyDescent="0.3">
      <c r="A201" s="202" t="str">
        <f>"(2) REFLECTS FUEL COMPONENT OF "&amp;TEXT(CUR_FAC,"$0.000000;($0.000000)")&amp;"  PER KWH."</f>
        <v>(2) REFLECTS FUEL COMPONENT OF $0.003487  PER KWH.</v>
      </c>
      <c r="C201" s="45"/>
      <c r="F201" s="184"/>
      <c r="G201" s="1"/>
      <c r="H201" s="184"/>
      <c r="I201" s="159"/>
      <c r="J201" s="238"/>
      <c r="K201" s="258"/>
      <c r="L201" s="3"/>
      <c r="M201" s="3"/>
      <c r="N201" s="4"/>
      <c r="O201" s="4"/>
      <c r="P201" s="3"/>
      <c r="Q201" s="3"/>
      <c r="R201" s="3"/>
      <c r="S201" s="1"/>
      <c r="V201" s="238"/>
      <c r="Y201" s="318"/>
    </row>
    <row r="202" spans="1:25" x14ac:dyDescent="0.3">
      <c r="A202" s="297"/>
      <c r="C202" s="45"/>
      <c r="F202" s="184"/>
      <c r="G202" s="1"/>
      <c r="H202" s="184"/>
      <c r="I202" s="159"/>
      <c r="J202" s="238"/>
      <c r="K202" s="258"/>
      <c r="L202" s="3"/>
      <c r="M202" s="3"/>
      <c r="N202" s="4"/>
      <c r="O202" s="4"/>
      <c r="P202" s="3"/>
      <c r="Q202" s="3"/>
      <c r="R202" s="3"/>
      <c r="S202" s="1"/>
      <c r="V202" s="238"/>
      <c r="Y202" s="318"/>
    </row>
    <row r="203" spans="1:25" x14ac:dyDescent="0.3">
      <c r="A203" s="40" t="str">
        <f>NAME</f>
        <v>DUKE ENERGY KENTUCKY, INC.</v>
      </c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1"/>
      <c r="V203" s="238"/>
      <c r="Y203" s="318"/>
    </row>
    <row r="204" spans="1:25" x14ac:dyDescent="0.3">
      <c r="A204" s="40" t="str">
        <f>CASE_NO</f>
        <v>CASE NO.   2024-00354</v>
      </c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1"/>
      <c r="V204" s="238"/>
      <c r="Y204" s="318"/>
    </row>
    <row r="205" spans="1:25" x14ac:dyDescent="0.3">
      <c r="A205" s="40" t="str">
        <f>TITLE</f>
        <v>ANNUALIZED TEST YEAR REVENUES AT REHEARING ORDER CALCULATED VS. MOST CURRENT RATES</v>
      </c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1"/>
      <c r="V205" s="238"/>
      <c r="Y205" s="318"/>
    </row>
    <row r="206" spans="1:25" x14ac:dyDescent="0.3">
      <c r="A206" s="40" t="str">
        <f>DATE</f>
        <v>FOR THE TWELVE MONTHS ENDED June 30, 2026</v>
      </c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1"/>
      <c r="V206" s="238"/>
      <c r="Y206" s="318"/>
    </row>
    <row r="207" spans="1:25" x14ac:dyDescent="0.3">
      <c r="A207" s="40" t="str">
        <f>SERVICE</f>
        <v>(ELECTRIC SERVICE)</v>
      </c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1"/>
      <c r="V207" s="238"/>
      <c r="Y207" s="318"/>
    </row>
    <row r="208" spans="1:25" x14ac:dyDescent="0.3">
      <c r="A208" s="41" t="str">
        <f>DATA_PERIOD</f>
        <v>DATA: ____ BASE PERIOD   __X__FORECASTED PERIOD</v>
      </c>
      <c r="R208" s="42" t="s">
        <v>157</v>
      </c>
      <c r="S208" s="1"/>
      <c r="V208" s="238"/>
      <c r="Y208" s="318"/>
    </row>
    <row r="209" spans="1:25" x14ac:dyDescent="0.3">
      <c r="A209" s="41" t="str">
        <f>TYPE</f>
        <v>TYPE OF FILING: _X_ ORIGINAL   ___UPDATED  ___ REVISED</v>
      </c>
      <c r="R209" s="45" t="str">
        <f>"PAGE 23 OF "&amp;TEXT(Page_Num_2.3,"00")</f>
        <v>PAGE 23 OF 24</v>
      </c>
      <c r="S209" s="1"/>
      <c r="V209" s="238"/>
      <c r="Y209" s="318"/>
    </row>
    <row r="210" spans="1:25" x14ac:dyDescent="0.3">
      <c r="A210" s="42" t="s">
        <v>171</v>
      </c>
      <c r="R210" s="42" t="s">
        <v>3</v>
      </c>
      <c r="S210" s="1"/>
      <c r="V210" s="238"/>
      <c r="Y210" s="318"/>
    </row>
    <row r="211" spans="1:25" x14ac:dyDescent="0.3">
      <c r="A211" s="153" t="str">
        <f>TIME</f>
        <v>12 Months Projected with Riders</v>
      </c>
      <c r="M211" s="42"/>
      <c r="R211" s="41" t="str">
        <f>WIT</f>
        <v>B. L. Sailers</v>
      </c>
      <c r="S211" s="1"/>
      <c r="V211" s="238"/>
      <c r="Y211" s="318"/>
    </row>
    <row r="212" spans="1:25" x14ac:dyDescent="0.3">
      <c r="A212" s="40" t="s">
        <v>130</v>
      </c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1"/>
      <c r="V212" s="238"/>
      <c r="Y212" s="318"/>
    </row>
    <row r="213" spans="1:25" x14ac:dyDescent="0.3">
      <c r="A213" s="135"/>
      <c r="B213" s="135"/>
      <c r="C213" s="135"/>
      <c r="D213" s="135"/>
      <c r="E213" s="135"/>
      <c r="G213" s="135"/>
      <c r="H213" s="135"/>
      <c r="I213" s="135"/>
      <c r="J213" s="135"/>
      <c r="K213" s="135"/>
      <c r="L213" s="43"/>
      <c r="M213" s="43"/>
      <c r="N213" s="43"/>
      <c r="O213" s="43"/>
      <c r="P213" s="43"/>
      <c r="Q213" s="43"/>
      <c r="R213" s="43"/>
      <c r="S213" s="1"/>
      <c r="V213" s="238"/>
      <c r="Y213" s="318"/>
    </row>
    <row r="214" spans="1:25" x14ac:dyDescent="0.3">
      <c r="A214" s="191"/>
      <c r="B214" s="191"/>
      <c r="C214" s="191"/>
      <c r="D214" s="191"/>
      <c r="E214" s="191"/>
      <c r="F214" s="191"/>
      <c r="G214" s="191"/>
      <c r="H214" s="191"/>
      <c r="I214" s="191"/>
      <c r="J214" s="191"/>
      <c r="K214" s="191"/>
      <c r="L214" s="44" t="s">
        <v>6</v>
      </c>
      <c r="M214" s="44"/>
      <c r="N214" s="44" t="s">
        <v>7</v>
      </c>
      <c r="O214" s="44"/>
      <c r="R214" s="44" t="s">
        <v>6</v>
      </c>
      <c r="S214" s="1"/>
      <c r="V214" s="238"/>
      <c r="Y214" s="318"/>
    </row>
    <row r="215" spans="1:25" x14ac:dyDescent="0.3">
      <c r="L215" s="44" t="s">
        <v>12</v>
      </c>
      <c r="M215" s="44"/>
      <c r="N215" s="44" t="s">
        <v>13</v>
      </c>
      <c r="O215" s="44"/>
      <c r="R215" s="44" t="s">
        <v>11</v>
      </c>
      <c r="S215" s="1"/>
      <c r="V215" s="238"/>
      <c r="Y215" s="318"/>
    </row>
    <row r="216" spans="1:25" x14ac:dyDescent="0.3">
      <c r="A216" s="44" t="s">
        <v>17</v>
      </c>
      <c r="C216" s="44" t="s">
        <v>18</v>
      </c>
      <c r="D216" s="44" t="s">
        <v>19</v>
      </c>
      <c r="E216" s="44"/>
      <c r="F216" s="44" t="s">
        <v>20</v>
      </c>
      <c r="J216" s="40" t="s">
        <v>6</v>
      </c>
      <c r="K216" s="40"/>
      <c r="L216" s="44" t="s">
        <v>842</v>
      </c>
      <c r="M216" s="44"/>
      <c r="N216" s="44" t="s">
        <v>842</v>
      </c>
      <c r="O216" s="44"/>
      <c r="P216" s="44" t="s">
        <v>842</v>
      </c>
      <c r="Q216" s="44"/>
      <c r="R216" s="44" t="s">
        <v>9</v>
      </c>
      <c r="S216" s="1"/>
      <c r="V216" s="238"/>
      <c r="Y216" s="318"/>
    </row>
    <row r="217" spans="1:25" x14ac:dyDescent="0.3">
      <c r="A217" s="44" t="s">
        <v>22</v>
      </c>
      <c r="C217" s="44" t="s">
        <v>23</v>
      </c>
      <c r="D217" s="44" t="s">
        <v>24</v>
      </c>
      <c r="E217" s="44"/>
      <c r="F217" s="44" t="s">
        <v>25</v>
      </c>
      <c r="H217" s="44" t="s">
        <v>26</v>
      </c>
      <c r="I217" s="44"/>
      <c r="J217" s="46" t="s">
        <v>808</v>
      </c>
      <c r="K217" s="46" t="s">
        <v>809</v>
      </c>
      <c r="L217" s="44" t="s">
        <v>9</v>
      </c>
      <c r="M217" s="44"/>
      <c r="N217" s="44" t="s">
        <v>9</v>
      </c>
      <c r="O217" s="44"/>
      <c r="P217" s="44" t="s">
        <v>324</v>
      </c>
      <c r="Q217" s="44"/>
      <c r="R217" s="141" t="s">
        <v>28</v>
      </c>
      <c r="S217" s="1"/>
      <c r="V217" s="238"/>
      <c r="Y217" s="318"/>
    </row>
    <row r="218" spans="1:25" x14ac:dyDescent="0.3">
      <c r="C218" s="141" t="s">
        <v>33</v>
      </c>
      <c r="D218" s="141" t="s">
        <v>34</v>
      </c>
      <c r="E218" s="141"/>
      <c r="F218" s="141" t="s">
        <v>35</v>
      </c>
      <c r="G218" s="153"/>
      <c r="H218" s="141" t="s">
        <v>36</v>
      </c>
      <c r="I218" s="141"/>
      <c r="J218" s="156" t="s">
        <v>810</v>
      </c>
      <c r="K218" s="156" t="s">
        <v>811</v>
      </c>
      <c r="L218" s="156" t="s">
        <v>38</v>
      </c>
      <c r="M218" s="141"/>
      <c r="N218" s="156" t="s">
        <v>39</v>
      </c>
      <c r="O218" s="141"/>
      <c r="P218" s="156" t="s">
        <v>40</v>
      </c>
      <c r="Q218" s="141"/>
      <c r="R218" s="156" t="s">
        <v>41</v>
      </c>
      <c r="S218" s="1"/>
      <c r="V218" s="238"/>
      <c r="Y218" s="318"/>
    </row>
    <row r="219" spans="1:25" x14ac:dyDescent="0.3">
      <c r="A219" s="191"/>
      <c r="B219" s="191"/>
      <c r="C219" s="191"/>
      <c r="D219" s="191"/>
      <c r="E219" s="191"/>
      <c r="F219" s="191"/>
      <c r="G219" s="191"/>
      <c r="H219" s="271" t="s">
        <v>49</v>
      </c>
      <c r="I219" s="271"/>
      <c r="J219" s="270" t="s">
        <v>69</v>
      </c>
      <c r="K219" s="271"/>
      <c r="L219" s="271" t="s">
        <v>50</v>
      </c>
      <c r="M219" s="271"/>
      <c r="N219" s="271" t="s">
        <v>51</v>
      </c>
      <c r="O219" s="271"/>
      <c r="P219" s="271" t="s">
        <v>50</v>
      </c>
      <c r="Q219" s="271"/>
      <c r="R219" s="271" t="s">
        <v>50</v>
      </c>
      <c r="S219" s="1"/>
      <c r="V219" s="238"/>
      <c r="Y219" s="318"/>
    </row>
    <row r="220" spans="1:25" x14ac:dyDescent="0.3">
      <c r="A220" s="283">
        <v>135</v>
      </c>
      <c r="C220" s="132" t="s">
        <v>796</v>
      </c>
      <c r="D220" s="178" t="s">
        <v>815</v>
      </c>
      <c r="F220" s="184"/>
      <c r="G220" s="1"/>
      <c r="H220" s="184"/>
      <c r="I220" s="159"/>
      <c r="J220" s="238"/>
      <c r="K220" s="238"/>
      <c r="L220" s="3"/>
      <c r="M220" s="3"/>
      <c r="N220" s="4"/>
      <c r="O220" s="4"/>
      <c r="P220" s="3"/>
      <c r="Q220" s="3"/>
      <c r="R220" s="3"/>
      <c r="S220" s="1"/>
      <c r="V220" s="238"/>
      <c r="Y220" s="318"/>
    </row>
    <row r="221" spans="1:25" x14ac:dyDescent="0.3">
      <c r="A221" s="283">
        <v>136</v>
      </c>
      <c r="C221" s="178" t="s">
        <v>1115</v>
      </c>
      <c r="F221" s="184"/>
      <c r="G221" s="1"/>
      <c r="H221" s="184"/>
      <c r="I221" s="159"/>
      <c r="J221" s="238"/>
      <c r="K221" s="238"/>
      <c r="L221" s="3"/>
      <c r="M221" s="3"/>
      <c r="N221" s="4"/>
      <c r="O221" s="4"/>
      <c r="P221" s="3"/>
      <c r="Q221" s="3"/>
      <c r="R221" s="3"/>
      <c r="S221" s="1"/>
      <c r="V221" s="238"/>
      <c r="Y221" s="318"/>
    </row>
    <row r="222" spans="1:25" x14ac:dyDescent="0.3">
      <c r="A222" s="283">
        <v>137</v>
      </c>
      <c r="B222" s="291"/>
      <c r="C222" s="45"/>
      <c r="D222" s="291"/>
      <c r="F222" s="184"/>
      <c r="G222" s="1"/>
      <c r="H222" s="184"/>
      <c r="I222" s="159"/>
      <c r="J222" s="238"/>
      <c r="K222" s="258"/>
      <c r="L222" s="3"/>
      <c r="M222" s="3"/>
      <c r="N222" s="4"/>
      <c r="O222" s="4"/>
      <c r="P222" s="3"/>
      <c r="Q222" s="3"/>
      <c r="R222" s="3"/>
      <c r="S222" s="1"/>
      <c r="V222" s="238"/>
      <c r="Y222" s="318"/>
    </row>
    <row r="223" spans="1:25" x14ac:dyDescent="0.3">
      <c r="A223" s="283">
        <v>138</v>
      </c>
      <c r="B223" s="291"/>
      <c r="C223" s="45"/>
      <c r="D223" s="291"/>
      <c r="F223" s="184"/>
      <c r="G223" s="1"/>
      <c r="H223" s="184"/>
      <c r="I223" s="159"/>
      <c r="J223" s="238"/>
      <c r="K223" s="258"/>
      <c r="L223" s="3"/>
      <c r="M223" s="3"/>
      <c r="N223" s="4"/>
      <c r="O223" s="4"/>
      <c r="P223" s="3"/>
      <c r="Q223" s="3"/>
      <c r="R223" s="3"/>
      <c r="S223" s="1"/>
      <c r="V223" s="238"/>
      <c r="Y223" s="318"/>
    </row>
    <row r="224" spans="1:25" x14ac:dyDescent="0.3">
      <c r="A224" s="283">
        <v>139</v>
      </c>
      <c r="B224" s="291"/>
      <c r="C224" s="45" t="s">
        <v>910</v>
      </c>
      <c r="D224" s="291"/>
      <c r="F224" s="184">
        <v>0</v>
      </c>
      <c r="G224" s="1"/>
      <c r="H224" s="184"/>
      <c r="I224" s="159"/>
      <c r="J224" s="238">
        <v>3.096473</v>
      </c>
      <c r="K224" s="258"/>
      <c r="L224" s="3">
        <f t="shared" si="19"/>
        <v>0</v>
      </c>
      <c r="M224" s="3"/>
      <c r="N224" s="4">
        <v>0</v>
      </c>
      <c r="O224" s="4"/>
      <c r="P224" s="3"/>
      <c r="Q224" s="3"/>
      <c r="R224" s="3">
        <f t="shared" si="20"/>
        <v>0</v>
      </c>
      <c r="S224" s="1"/>
      <c r="V224" s="238"/>
      <c r="Y224" s="318"/>
    </row>
    <row r="225" spans="1:46" x14ac:dyDescent="0.3">
      <c r="A225" s="283">
        <v>140</v>
      </c>
      <c r="B225" s="291"/>
      <c r="C225" s="45" t="s">
        <v>911</v>
      </c>
      <c r="D225" s="291"/>
      <c r="F225" s="184">
        <v>0</v>
      </c>
      <c r="G225" s="1"/>
      <c r="H225" s="184"/>
      <c r="I225" s="159"/>
      <c r="J225" s="238">
        <v>7.3584079999999998</v>
      </c>
      <c r="K225" s="258"/>
      <c r="L225" s="3">
        <f t="shared" si="19"/>
        <v>0</v>
      </c>
      <c r="M225" s="3"/>
      <c r="N225" s="4">
        <v>0</v>
      </c>
      <c r="O225" s="4"/>
      <c r="P225" s="3"/>
      <c r="Q225" s="3"/>
      <c r="R225" s="3">
        <f t="shared" si="20"/>
        <v>0</v>
      </c>
      <c r="S225" s="1"/>
      <c r="V225" s="238"/>
      <c r="Y225" s="318"/>
    </row>
    <row r="226" spans="1:46" x14ac:dyDescent="0.3">
      <c r="A226" s="283">
        <v>141</v>
      </c>
      <c r="C226" s="45" t="s">
        <v>912</v>
      </c>
      <c r="F226" s="184">
        <v>0</v>
      </c>
      <c r="G226" s="1"/>
      <c r="H226" s="184"/>
      <c r="I226" s="159"/>
      <c r="J226" s="238">
        <v>9.1980109999999993</v>
      </c>
      <c r="K226" s="258"/>
      <c r="L226" s="3">
        <f t="shared" si="19"/>
        <v>0</v>
      </c>
      <c r="M226" s="3"/>
      <c r="N226" s="4">
        <v>0</v>
      </c>
      <c r="O226" s="4"/>
      <c r="P226" s="3"/>
      <c r="Q226" s="3"/>
      <c r="R226" s="3">
        <f t="shared" si="20"/>
        <v>0</v>
      </c>
      <c r="S226" s="1"/>
      <c r="V226" s="238"/>
      <c r="Y226" s="318"/>
    </row>
    <row r="227" spans="1:46" x14ac:dyDescent="0.3">
      <c r="A227" s="283">
        <v>142</v>
      </c>
      <c r="C227" s="45" t="s">
        <v>913</v>
      </c>
      <c r="F227" s="184">
        <v>0</v>
      </c>
      <c r="G227" s="1"/>
      <c r="H227" s="184"/>
      <c r="I227" s="159"/>
      <c r="J227" s="238">
        <v>11.346117</v>
      </c>
      <c r="K227" s="258"/>
      <c r="L227" s="3">
        <f t="shared" si="19"/>
        <v>0</v>
      </c>
      <c r="M227" s="3"/>
      <c r="N227" s="4">
        <v>0</v>
      </c>
      <c r="O227" s="4"/>
      <c r="P227" s="3"/>
      <c r="Q227" s="3"/>
      <c r="R227" s="3">
        <f t="shared" si="20"/>
        <v>0</v>
      </c>
      <c r="S227" s="1"/>
      <c r="V227" s="238"/>
      <c r="Y227" s="318"/>
    </row>
    <row r="228" spans="1:46" x14ac:dyDescent="0.3">
      <c r="A228" s="283">
        <v>143</v>
      </c>
      <c r="C228" s="45" t="s">
        <v>1024</v>
      </c>
      <c r="F228" s="184">
        <v>0</v>
      </c>
      <c r="G228" s="1"/>
      <c r="H228" s="184"/>
      <c r="I228" s="159"/>
      <c r="J228" s="238">
        <v>9.6207759999999993</v>
      </c>
      <c r="K228" s="258"/>
      <c r="L228" s="3">
        <f>ROUND((F228*J228),0)</f>
        <v>0</v>
      </c>
      <c r="M228" s="3"/>
      <c r="N228" s="4">
        <v>0</v>
      </c>
      <c r="O228" s="4"/>
      <c r="P228" s="3"/>
      <c r="Q228" s="3"/>
      <c r="R228" s="3">
        <f>L228+P228</f>
        <v>0</v>
      </c>
      <c r="S228" s="1"/>
      <c r="V228" s="238"/>
      <c r="Y228" s="318"/>
    </row>
    <row r="229" spans="1:46" x14ac:dyDescent="0.3">
      <c r="A229" s="283">
        <v>144</v>
      </c>
      <c r="C229" s="45" t="s">
        <v>1025</v>
      </c>
      <c r="F229" s="184">
        <v>0</v>
      </c>
      <c r="G229" s="1"/>
      <c r="H229" s="184"/>
      <c r="I229" s="159"/>
      <c r="J229" s="238">
        <v>11.300413000000001</v>
      </c>
      <c r="K229" s="258"/>
      <c r="L229" s="3">
        <f>ROUND((F229*J229),0)</f>
        <v>0</v>
      </c>
      <c r="M229" s="3"/>
      <c r="N229" s="4">
        <v>0</v>
      </c>
      <c r="O229" s="4"/>
      <c r="P229" s="3"/>
      <c r="Q229" s="3"/>
      <c r="R229" s="3">
        <f>L229+P229</f>
        <v>0</v>
      </c>
      <c r="S229" s="1"/>
      <c r="V229" s="238"/>
      <c r="Y229" s="318"/>
    </row>
    <row r="230" spans="1:46" x14ac:dyDescent="0.3">
      <c r="A230" s="283">
        <v>145</v>
      </c>
      <c r="C230" s="45" t="s">
        <v>1026</v>
      </c>
      <c r="F230" s="184">
        <v>0</v>
      </c>
      <c r="G230" s="1"/>
      <c r="H230" s="184"/>
      <c r="I230" s="159"/>
      <c r="J230" s="238">
        <v>13.779877000000001</v>
      </c>
      <c r="K230" s="258"/>
      <c r="L230" s="3">
        <f>ROUND((F230*J230),0)</f>
        <v>0</v>
      </c>
      <c r="M230" s="3"/>
      <c r="N230" s="4">
        <v>0</v>
      </c>
      <c r="O230" s="4"/>
      <c r="P230" s="3"/>
      <c r="Q230" s="3"/>
      <c r="R230" s="3">
        <f>L230+P230</f>
        <v>0</v>
      </c>
      <c r="S230" s="1"/>
      <c r="V230" s="238"/>
      <c r="Y230" s="318"/>
    </row>
    <row r="231" spans="1:46" x14ac:dyDescent="0.3">
      <c r="A231" s="283">
        <v>146</v>
      </c>
      <c r="C231" s="45" t="s">
        <v>1028</v>
      </c>
      <c r="F231" s="184">
        <v>0</v>
      </c>
      <c r="G231" s="1"/>
      <c r="H231" s="184"/>
      <c r="I231" s="159"/>
      <c r="J231" s="238">
        <v>5.3816930000000003</v>
      </c>
      <c r="K231" s="258"/>
      <c r="L231" s="3">
        <f>ROUND((F231*J231),0)</f>
        <v>0</v>
      </c>
      <c r="M231" s="3"/>
      <c r="N231" s="4">
        <v>0</v>
      </c>
      <c r="O231" s="4"/>
      <c r="P231" s="3"/>
      <c r="Q231" s="3"/>
      <c r="R231" s="3">
        <f>L231+P231</f>
        <v>0</v>
      </c>
      <c r="S231" s="1"/>
      <c r="V231" s="238"/>
      <c r="Y231" s="318"/>
    </row>
    <row r="232" spans="1:46" x14ac:dyDescent="0.3">
      <c r="A232" s="283">
        <v>147</v>
      </c>
      <c r="C232" s="45" t="s">
        <v>1027</v>
      </c>
      <c r="F232" s="184">
        <v>0</v>
      </c>
      <c r="G232" s="1"/>
      <c r="H232" s="184"/>
      <c r="I232" s="159"/>
      <c r="J232" s="238">
        <v>5.8501630000000002</v>
      </c>
      <c r="K232" s="258"/>
      <c r="L232" s="3">
        <f>ROUND((F232*J232),0)</f>
        <v>0</v>
      </c>
      <c r="M232" s="3"/>
      <c r="N232" s="4">
        <v>0</v>
      </c>
      <c r="O232" s="4"/>
      <c r="P232" s="3"/>
      <c r="Q232" s="3"/>
      <c r="R232" s="3">
        <f>L232+P232</f>
        <v>0</v>
      </c>
      <c r="S232" s="1"/>
      <c r="V232" s="238"/>
      <c r="Y232" s="318"/>
    </row>
    <row r="233" spans="1:46" x14ac:dyDescent="0.3">
      <c r="A233" s="283">
        <v>148</v>
      </c>
      <c r="C233" s="178" t="s">
        <v>822</v>
      </c>
      <c r="F233" s="145">
        <f>SUM(F113:F232)</f>
        <v>17</v>
      </c>
      <c r="G233" s="1"/>
      <c r="H233" s="184"/>
      <c r="I233" s="159"/>
      <c r="J233" s="238"/>
      <c r="K233" s="258"/>
      <c r="L233" s="145">
        <f>SUM(L113:L232)</f>
        <v>153</v>
      </c>
      <c r="M233" s="3"/>
      <c r="N233" s="211">
        <f>ROUND((L233/L$340)*100,1)</f>
        <v>0.7</v>
      </c>
      <c r="O233" s="4"/>
      <c r="P233" s="3"/>
      <c r="Q233" s="3"/>
      <c r="R233" s="145">
        <f>SUM(R113:R232)</f>
        <v>153</v>
      </c>
      <c r="S233" s="1"/>
      <c r="V233" s="238"/>
      <c r="Y233" s="318"/>
    </row>
    <row r="234" spans="1:46" x14ac:dyDescent="0.3">
      <c r="A234" s="297"/>
      <c r="B234" s="293"/>
      <c r="C234" s="45"/>
      <c r="D234" s="293"/>
      <c r="F234" s="184"/>
      <c r="G234" s="1"/>
      <c r="H234" s="184"/>
      <c r="I234" s="159"/>
      <c r="J234" s="238"/>
      <c r="K234" s="258"/>
      <c r="L234" s="3"/>
      <c r="M234" s="3"/>
      <c r="N234" s="4"/>
      <c r="O234" s="4"/>
      <c r="P234" s="3"/>
      <c r="Q234" s="3"/>
      <c r="R234" s="3"/>
      <c r="S234" s="1"/>
      <c r="V234" s="238"/>
      <c r="Y234" s="318"/>
    </row>
    <row r="235" spans="1:46" x14ac:dyDescent="0.3">
      <c r="A235" s="297">
        <f>A233+1</f>
        <v>149</v>
      </c>
      <c r="B235" s="293"/>
      <c r="C235" s="132" t="s">
        <v>914</v>
      </c>
      <c r="D235" s="293"/>
      <c r="F235" s="184"/>
      <c r="G235" s="1"/>
      <c r="H235" s="184"/>
      <c r="I235" s="159"/>
      <c r="J235" s="238"/>
      <c r="K235" s="258"/>
      <c r="L235" s="3"/>
      <c r="M235" s="3"/>
      <c r="N235" s="4"/>
      <c r="O235" s="4"/>
      <c r="P235" s="3"/>
      <c r="Q235" s="3"/>
      <c r="R235" s="3"/>
      <c r="S235" s="1"/>
      <c r="V235" s="238"/>
      <c r="Y235" s="318"/>
    </row>
    <row r="236" spans="1:46" x14ac:dyDescent="0.3">
      <c r="A236" s="297">
        <f>A235+1</f>
        <v>150</v>
      </c>
      <c r="C236" s="45" t="s">
        <v>916</v>
      </c>
      <c r="F236" s="184">
        <v>0</v>
      </c>
      <c r="G236" s="1"/>
      <c r="H236" s="184"/>
      <c r="I236" s="159"/>
      <c r="J236" s="238">
        <v>15.196713000000001</v>
      </c>
      <c r="K236" s="258"/>
      <c r="L236" s="3">
        <f>ROUND((F236*J236),0)</f>
        <v>0</v>
      </c>
      <c r="M236" s="3"/>
      <c r="N236" s="4">
        <v>0</v>
      </c>
      <c r="O236" s="4"/>
      <c r="P236" s="3"/>
      <c r="Q236" s="3"/>
      <c r="R236" s="3">
        <f t="shared" ref="R236:R248" si="25">L236+P236</f>
        <v>0</v>
      </c>
      <c r="S236" s="1"/>
      <c r="V236" s="238"/>
      <c r="Y236" s="318"/>
    </row>
    <row r="237" spans="1:46" x14ac:dyDescent="0.3">
      <c r="A237" s="297">
        <f t="shared" ref="A237:A249" si="26">A236+1</f>
        <v>151</v>
      </c>
      <c r="C237" s="45" t="s">
        <v>917</v>
      </c>
      <c r="F237" s="184">
        <v>0</v>
      </c>
      <c r="G237" s="1"/>
      <c r="H237" s="184"/>
      <c r="I237" s="159"/>
      <c r="J237" s="238">
        <v>14.031250999999999</v>
      </c>
      <c r="K237" s="258"/>
      <c r="L237" s="3">
        <f t="shared" ref="L237:L248" si="27">ROUND((F237*J237),0)</f>
        <v>0</v>
      </c>
      <c r="M237" s="3"/>
      <c r="N237" s="4">
        <v>0</v>
      </c>
      <c r="O237" s="4"/>
      <c r="P237" s="3"/>
      <c r="Q237" s="3"/>
      <c r="R237" s="3">
        <f t="shared" si="25"/>
        <v>0</v>
      </c>
      <c r="S237" s="1"/>
      <c r="V237" s="238"/>
      <c r="Y237" s="318"/>
    </row>
    <row r="238" spans="1:46" x14ac:dyDescent="0.3">
      <c r="A238" s="297">
        <f t="shared" si="26"/>
        <v>152</v>
      </c>
      <c r="C238" s="45" t="s">
        <v>918</v>
      </c>
      <c r="F238" s="184">
        <v>0</v>
      </c>
      <c r="G238" s="1"/>
      <c r="H238" s="184"/>
      <c r="I238" s="159"/>
      <c r="J238" s="238">
        <v>15.048173999999999</v>
      </c>
      <c r="K238" s="258"/>
      <c r="L238" s="3">
        <f t="shared" si="27"/>
        <v>0</v>
      </c>
      <c r="M238" s="3"/>
      <c r="N238" s="4">
        <v>0</v>
      </c>
      <c r="O238" s="4"/>
      <c r="P238" s="3"/>
      <c r="Q238" s="3"/>
      <c r="R238" s="3">
        <f t="shared" si="25"/>
        <v>0</v>
      </c>
      <c r="S238" s="1"/>
      <c r="V238" s="238"/>
      <c r="Y238" s="318"/>
    </row>
    <row r="239" spans="1:46" x14ac:dyDescent="0.3">
      <c r="A239" s="297">
        <f t="shared" si="26"/>
        <v>153</v>
      </c>
      <c r="C239" s="45" t="s">
        <v>919</v>
      </c>
      <c r="F239" s="184">
        <v>0</v>
      </c>
      <c r="G239" s="1"/>
      <c r="H239" s="184"/>
      <c r="I239" s="1"/>
      <c r="J239" s="238">
        <v>14.031250999999999</v>
      </c>
      <c r="K239" s="5"/>
      <c r="L239" s="3">
        <f t="shared" si="27"/>
        <v>0</v>
      </c>
      <c r="M239" s="1"/>
      <c r="N239" s="4">
        <v>0</v>
      </c>
      <c r="O239" s="1"/>
      <c r="P239" s="3"/>
      <c r="Q239" s="1"/>
      <c r="R239" s="3">
        <f t="shared" si="25"/>
        <v>0</v>
      </c>
      <c r="U239" s="40"/>
      <c r="V239" s="301"/>
      <c r="X239" s="40"/>
      <c r="Y239" s="318"/>
      <c r="Z239" s="40"/>
      <c r="AD239" s="40"/>
      <c r="AE239" s="40"/>
      <c r="AF239" s="40"/>
      <c r="AG239" s="166"/>
      <c r="AH239" s="40"/>
      <c r="AI239" s="40"/>
      <c r="AJ239" s="40"/>
      <c r="AK239" s="166"/>
      <c r="AL239" s="40"/>
      <c r="AM239" s="40"/>
      <c r="AT239" s="123"/>
    </row>
    <row r="240" spans="1:46" x14ac:dyDescent="0.3">
      <c r="A240" s="297">
        <f t="shared" si="26"/>
        <v>154</v>
      </c>
      <c r="C240" s="45" t="s">
        <v>920</v>
      </c>
      <c r="F240" s="184">
        <v>0</v>
      </c>
      <c r="G240" s="1"/>
      <c r="H240" s="184"/>
      <c r="I240" s="159"/>
      <c r="J240" s="238">
        <v>14.031250999999999</v>
      </c>
      <c r="K240" s="258"/>
      <c r="L240" s="3">
        <f t="shared" si="27"/>
        <v>0</v>
      </c>
      <c r="M240" s="3"/>
      <c r="N240" s="4">
        <v>0</v>
      </c>
      <c r="O240" s="4"/>
      <c r="P240" s="3"/>
      <c r="Q240" s="3"/>
      <c r="R240" s="3">
        <f t="shared" si="25"/>
        <v>0</v>
      </c>
      <c r="S240" s="1"/>
      <c r="U240" s="40"/>
      <c r="V240" s="238"/>
      <c r="X240" s="40"/>
      <c r="Y240" s="318"/>
      <c r="Z240" s="40"/>
      <c r="AD240" s="40"/>
      <c r="AE240" s="40"/>
      <c r="AF240" s="40"/>
      <c r="AG240" s="166"/>
      <c r="AH240" s="40"/>
      <c r="AI240" s="40"/>
      <c r="AJ240" s="40"/>
      <c r="AK240" s="166"/>
      <c r="AL240" s="40"/>
      <c r="AM240" s="40"/>
      <c r="AT240" s="184"/>
    </row>
    <row r="241" spans="1:46" x14ac:dyDescent="0.3">
      <c r="A241" s="297">
        <f t="shared" si="26"/>
        <v>155</v>
      </c>
      <c r="C241" s="45" t="s">
        <v>921</v>
      </c>
      <c r="F241" s="184">
        <v>0</v>
      </c>
      <c r="G241" s="1"/>
      <c r="H241" s="184"/>
      <c r="I241" s="159"/>
      <c r="J241" s="238">
        <v>14.031250999999999</v>
      </c>
      <c r="K241" s="258"/>
      <c r="L241" s="3">
        <f t="shared" si="27"/>
        <v>0</v>
      </c>
      <c r="M241" s="3"/>
      <c r="N241" s="4">
        <v>0</v>
      </c>
      <c r="O241" s="4"/>
      <c r="P241" s="3"/>
      <c r="Q241" s="3"/>
      <c r="R241" s="3">
        <f t="shared" si="25"/>
        <v>0</v>
      </c>
      <c r="S241" s="1"/>
      <c r="U241" s="40"/>
      <c r="V241" s="238"/>
      <c r="X241" s="40"/>
      <c r="Y241" s="318"/>
      <c r="Z241" s="40"/>
      <c r="AD241" s="40"/>
      <c r="AE241" s="40"/>
      <c r="AF241" s="40"/>
      <c r="AG241" s="166"/>
      <c r="AH241" s="40"/>
      <c r="AI241" s="40"/>
      <c r="AJ241" s="40"/>
      <c r="AK241" s="166"/>
      <c r="AL241" s="40"/>
      <c r="AM241" s="40"/>
      <c r="AT241" s="184"/>
    </row>
    <row r="242" spans="1:46" x14ac:dyDescent="0.3">
      <c r="A242" s="297">
        <f t="shared" si="26"/>
        <v>156</v>
      </c>
      <c r="C242" s="45" t="s">
        <v>922</v>
      </c>
      <c r="F242" s="184">
        <v>0</v>
      </c>
      <c r="G242" s="1"/>
      <c r="H242" s="184"/>
      <c r="I242" s="159"/>
      <c r="J242" s="238">
        <v>21.401084999999998</v>
      </c>
      <c r="K242" s="258"/>
      <c r="L242" s="3">
        <f t="shared" si="27"/>
        <v>0</v>
      </c>
      <c r="M242" s="3"/>
      <c r="N242" s="4">
        <v>0</v>
      </c>
      <c r="O242" s="4"/>
      <c r="P242" s="3"/>
      <c r="Q242" s="3"/>
      <c r="R242" s="3">
        <f t="shared" si="25"/>
        <v>0</v>
      </c>
      <c r="S242" s="1"/>
      <c r="U242" s="40"/>
      <c r="V242" s="238"/>
      <c r="W242" s="40"/>
      <c r="X242" s="40"/>
      <c r="Y242" s="318"/>
      <c r="Z242" s="40"/>
      <c r="AD242" s="40"/>
      <c r="AE242" s="40"/>
      <c r="AF242" s="40"/>
      <c r="AG242" s="166"/>
      <c r="AH242" s="40"/>
      <c r="AI242" s="40"/>
      <c r="AJ242" s="40"/>
      <c r="AK242" s="166"/>
      <c r="AL242" s="40"/>
      <c r="AM242" s="40"/>
      <c r="AT242" s="184"/>
    </row>
    <row r="243" spans="1:46" x14ac:dyDescent="0.3">
      <c r="A243" s="297">
        <f t="shared" si="26"/>
        <v>157</v>
      </c>
      <c r="C243" s="45" t="s">
        <v>923</v>
      </c>
      <c r="F243" s="184">
        <v>0</v>
      </c>
      <c r="G243" s="1"/>
      <c r="H243" s="184"/>
      <c r="I243" s="159"/>
      <c r="J243" s="238">
        <v>17.024889000000002</v>
      </c>
      <c r="K243" s="258"/>
      <c r="L243" s="3">
        <f t="shared" si="27"/>
        <v>0</v>
      </c>
      <c r="M243" s="3"/>
      <c r="N243" s="4">
        <v>0</v>
      </c>
      <c r="O243" s="4"/>
      <c r="P243" s="3"/>
      <c r="Q243" s="3"/>
      <c r="R243" s="3">
        <f t="shared" si="25"/>
        <v>0</v>
      </c>
      <c r="S243" s="1"/>
      <c r="U243" s="40"/>
      <c r="V243" s="238"/>
      <c r="W243" s="40"/>
      <c r="X243" s="40"/>
      <c r="Y243" s="318"/>
      <c r="Z243" s="40"/>
      <c r="AA243" s="184"/>
      <c r="AB243" s="40"/>
      <c r="AD243" s="40"/>
      <c r="AE243" s="40"/>
      <c r="AF243" s="40"/>
      <c r="AG243" s="166"/>
      <c r="AH243" s="40"/>
      <c r="AI243" s="40"/>
      <c r="AJ243" s="40"/>
      <c r="AK243" s="166"/>
      <c r="AL243" s="40"/>
      <c r="AM243" s="40"/>
      <c r="AT243" s="184"/>
    </row>
    <row r="244" spans="1:46" x14ac:dyDescent="0.3">
      <c r="A244" s="297">
        <f t="shared" si="26"/>
        <v>158</v>
      </c>
      <c r="C244" s="42" t="s">
        <v>924</v>
      </c>
      <c r="F244" s="184">
        <v>0</v>
      </c>
      <c r="G244" s="1"/>
      <c r="H244" s="3"/>
      <c r="I244" s="3"/>
      <c r="J244" s="238">
        <v>17.664750999999999</v>
      </c>
      <c r="K244" s="1"/>
      <c r="L244" s="3">
        <f t="shared" si="27"/>
        <v>0</v>
      </c>
      <c r="M244" s="3"/>
      <c r="N244" s="4">
        <v>0</v>
      </c>
      <c r="O244" s="6"/>
      <c r="P244" s="123"/>
      <c r="Q244" s="3"/>
      <c r="R244" s="3">
        <f t="shared" si="25"/>
        <v>0</v>
      </c>
      <c r="V244" s="44"/>
      <c r="W244" s="44"/>
      <c r="X244" s="44"/>
      <c r="Y244" s="44"/>
      <c r="Z244" s="44"/>
      <c r="AA244" s="3"/>
      <c r="AC244" s="44"/>
      <c r="AD244" s="44"/>
      <c r="AE244" s="44"/>
      <c r="AF244" s="44"/>
      <c r="AG244" s="168"/>
      <c r="AH244" s="44"/>
      <c r="AI244" s="44"/>
      <c r="AJ244" s="44"/>
      <c r="AK244" s="168"/>
      <c r="AL244" s="44"/>
      <c r="AM244" s="44"/>
      <c r="AN244" s="44"/>
      <c r="AO244" s="44"/>
      <c r="AP244" s="44"/>
      <c r="AR244" s="44"/>
      <c r="AS244" s="44"/>
    </row>
    <row r="245" spans="1:46" x14ac:dyDescent="0.3">
      <c r="A245" s="297">
        <f t="shared" si="26"/>
        <v>159</v>
      </c>
      <c r="C245" s="41" t="s">
        <v>925</v>
      </c>
      <c r="F245" s="184">
        <v>0</v>
      </c>
      <c r="G245" s="1"/>
      <c r="H245" s="3"/>
      <c r="I245" s="3"/>
      <c r="J245" s="238">
        <v>17.664750999999999</v>
      </c>
      <c r="K245" s="1"/>
      <c r="L245" s="3">
        <f t="shared" si="27"/>
        <v>0</v>
      </c>
      <c r="M245" s="3"/>
      <c r="N245" s="4">
        <v>0</v>
      </c>
      <c r="O245" s="6"/>
      <c r="P245" s="123"/>
      <c r="Q245" s="3"/>
      <c r="R245" s="3">
        <f t="shared" si="25"/>
        <v>0</v>
      </c>
      <c r="V245" s="44"/>
      <c r="W245" s="44"/>
      <c r="X245" s="44"/>
      <c r="Y245" s="44"/>
      <c r="Z245" s="44"/>
      <c r="AA245" s="3"/>
      <c r="AC245" s="44"/>
      <c r="AD245" s="44"/>
      <c r="AE245" s="44"/>
      <c r="AF245" s="44"/>
      <c r="AG245" s="168"/>
      <c r="AH245" s="44"/>
      <c r="AI245" s="44"/>
      <c r="AJ245" s="44"/>
      <c r="AK245" s="168"/>
      <c r="AL245" s="44"/>
      <c r="AM245" s="44"/>
      <c r="AN245" s="44"/>
      <c r="AO245" s="44"/>
      <c r="AP245" s="44"/>
      <c r="AR245" s="44"/>
      <c r="AS245" s="44"/>
    </row>
    <row r="246" spans="1:46" x14ac:dyDescent="0.3">
      <c r="A246" s="297">
        <f t="shared" si="26"/>
        <v>160</v>
      </c>
      <c r="C246" s="41" t="s">
        <v>926</v>
      </c>
      <c r="F246" s="184">
        <v>0</v>
      </c>
      <c r="G246" s="1"/>
      <c r="H246" s="3"/>
      <c r="I246" s="3"/>
      <c r="J246" s="238">
        <v>17.664750999999999</v>
      </c>
      <c r="K246" s="1"/>
      <c r="L246" s="3">
        <f t="shared" si="27"/>
        <v>0</v>
      </c>
      <c r="M246" s="3"/>
      <c r="N246" s="4">
        <v>0</v>
      </c>
      <c r="O246" s="6"/>
      <c r="P246" s="3"/>
      <c r="Q246" s="3"/>
      <c r="R246" s="3">
        <f t="shared" si="25"/>
        <v>0</v>
      </c>
      <c r="V246" s="44"/>
      <c r="W246" s="44"/>
      <c r="X246" s="44"/>
      <c r="Y246" s="44"/>
      <c r="Z246" s="44"/>
      <c r="AA246" s="3"/>
      <c r="AC246" s="44"/>
      <c r="AD246" s="44"/>
      <c r="AE246" s="44"/>
      <c r="AF246" s="44"/>
      <c r="AG246" s="168"/>
      <c r="AH246" s="44"/>
      <c r="AI246" s="44"/>
      <c r="AJ246" s="44"/>
      <c r="AK246" s="168"/>
      <c r="AL246" s="44"/>
      <c r="AM246" s="44"/>
      <c r="AN246" s="44"/>
      <c r="AO246" s="44"/>
      <c r="AP246" s="44"/>
      <c r="AR246" s="44"/>
      <c r="AS246" s="44"/>
    </row>
    <row r="247" spans="1:46" x14ac:dyDescent="0.3">
      <c r="A247" s="297">
        <f t="shared" si="26"/>
        <v>161</v>
      </c>
      <c r="C247" s="41" t="s">
        <v>927</v>
      </c>
      <c r="F247" s="184">
        <v>0</v>
      </c>
      <c r="G247" s="1"/>
      <c r="H247" s="3"/>
      <c r="I247" s="3"/>
      <c r="J247" s="238">
        <v>17.664750999999999</v>
      </c>
      <c r="K247" s="1"/>
      <c r="L247" s="3">
        <f t="shared" si="27"/>
        <v>0</v>
      </c>
      <c r="M247" s="3"/>
      <c r="N247" s="4">
        <v>0</v>
      </c>
      <c r="O247" s="6"/>
      <c r="P247" s="123"/>
      <c r="Q247" s="3"/>
      <c r="R247" s="3">
        <f t="shared" si="25"/>
        <v>0</v>
      </c>
      <c r="V247" s="44"/>
      <c r="W247" s="44"/>
      <c r="X247" s="44"/>
      <c r="Y247" s="44"/>
      <c r="Z247" s="44"/>
      <c r="AA247" s="3"/>
      <c r="AC247" s="44"/>
      <c r="AD247" s="44"/>
      <c r="AE247" s="44"/>
      <c r="AF247" s="44"/>
      <c r="AG247" s="168"/>
      <c r="AH247" s="44"/>
      <c r="AI247" s="44"/>
      <c r="AJ247" s="44"/>
      <c r="AK247" s="168"/>
      <c r="AL247" s="44"/>
      <c r="AM247" s="44"/>
      <c r="AN247" s="44"/>
      <c r="AO247" s="44"/>
      <c r="AP247" s="44"/>
      <c r="AR247" s="44"/>
      <c r="AS247" s="44"/>
    </row>
    <row r="248" spans="1:46" x14ac:dyDescent="0.3">
      <c r="A248" s="297">
        <f t="shared" si="26"/>
        <v>162</v>
      </c>
      <c r="C248" s="42" t="s">
        <v>928</v>
      </c>
      <c r="F248" s="184">
        <v>0</v>
      </c>
      <c r="G248" s="1"/>
      <c r="H248" s="3"/>
      <c r="I248" s="3"/>
      <c r="J248" s="238">
        <v>9.0951760000000004</v>
      </c>
      <c r="K248" s="1"/>
      <c r="L248" s="3">
        <f t="shared" si="27"/>
        <v>0</v>
      </c>
      <c r="M248" s="3"/>
      <c r="N248" s="4">
        <v>0</v>
      </c>
      <c r="O248" s="6"/>
      <c r="P248" s="123"/>
      <c r="Q248" s="3"/>
      <c r="R248" s="3">
        <f t="shared" si="25"/>
        <v>0</v>
      </c>
      <c r="V248" s="44"/>
      <c r="W248" s="44"/>
      <c r="X248" s="44"/>
      <c r="Y248" s="44"/>
      <c r="Z248" s="44"/>
      <c r="AA248" s="3"/>
      <c r="AC248" s="44"/>
      <c r="AD248" s="44"/>
      <c r="AE248" s="44"/>
      <c r="AF248" s="44"/>
      <c r="AG248" s="168"/>
      <c r="AH248" s="44"/>
      <c r="AI248" s="44"/>
      <c r="AJ248" s="44"/>
      <c r="AK248" s="168"/>
      <c r="AL248" s="44"/>
      <c r="AM248" s="44"/>
      <c r="AN248" s="44"/>
      <c r="AO248" s="44"/>
      <c r="AP248" s="44"/>
      <c r="AR248" s="44"/>
      <c r="AS248" s="44"/>
    </row>
    <row r="249" spans="1:46" ht="15.75" customHeight="1" x14ac:dyDescent="0.3">
      <c r="A249" s="297">
        <f t="shared" si="26"/>
        <v>163</v>
      </c>
      <c r="C249" s="178" t="s">
        <v>915</v>
      </c>
      <c r="F249" s="145">
        <f>SUM(F236:F248)</f>
        <v>0</v>
      </c>
      <c r="G249" s="1"/>
      <c r="H249" s="184"/>
      <c r="I249" s="159"/>
      <c r="J249" s="238"/>
      <c r="K249" s="258"/>
      <c r="L249" s="145">
        <f>SUM(L236:L248)</f>
        <v>0</v>
      </c>
      <c r="M249" s="3"/>
      <c r="N249" s="211">
        <f>ROUND((L249/L$340)*100,1)</f>
        <v>0</v>
      </c>
      <c r="O249" s="4"/>
      <c r="P249" s="3"/>
      <c r="Q249" s="3"/>
      <c r="R249" s="145">
        <f>SUM(R236:R248)</f>
        <v>0</v>
      </c>
      <c r="V249" s="42"/>
      <c r="Y249" s="280"/>
      <c r="AA249" s="3"/>
      <c r="AC249" s="123"/>
      <c r="AD249" s="123"/>
      <c r="AE249" s="193"/>
      <c r="AF249" s="193"/>
      <c r="AH249" s="123"/>
      <c r="AI249" s="160"/>
      <c r="AJ249" s="160"/>
      <c r="AL249" s="123"/>
      <c r="AM249" s="236"/>
      <c r="AN249" s="236"/>
      <c r="AO249" s="123"/>
      <c r="AP249" s="123"/>
      <c r="AR249" s="123"/>
      <c r="AS249" s="160"/>
    </row>
    <row r="250" spans="1:46" x14ac:dyDescent="0.3">
      <c r="C250" s="42"/>
      <c r="F250" s="3"/>
      <c r="G250" s="1"/>
      <c r="H250" s="3"/>
      <c r="I250" s="3"/>
      <c r="J250" s="1"/>
      <c r="K250" s="1"/>
      <c r="L250" s="3"/>
      <c r="M250" s="3"/>
      <c r="N250" s="4"/>
      <c r="O250" s="4"/>
      <c r="P250" s="3"/>
      <c r="Q250" s="3"/>
      <c r="R250" s="3"/>
      <c r="V250" s="42"/>
      <c r="AA250" s="3"/>
      <c r="AC250" s="123"/>
      <c r="AD250" s="123"/>
      <c r="AE250" s="193"/>
      <c r="AF250" s="193"/>
      <c r="AH250" s="123"/>
      <c r="AI250" s="160"/>
      <c r="AJ250" s="160"/>
      <c r="AL250" s="123"/>
      <c r="AM250" s="236"/>
      <c r="AN250" s="236"/>
      <c r="AO250" s="123"/>
      <c r="AP250" s="123"/>
      <c r="AR250" s="123"/>
      <c r="AS250" s="160"/>
    </row>
    <row r="251" spans="1:46" x14ac:dyDescent="0.3">
      <c r="A251" s="41">
        <v>164</v>
      </c>
      <c r="C251" s="132" t="s">
        <v>929</v>
      </c>
      <c r="AA251" s="3"/>
      <c r="AC251" s="123"/>
      <c r="AD251" s="123"/>
      <c r="AE251" s="219"/>
      <c r="AF251" s="219"/>
      <c r="AH251" s="123"/>
      <c r="AI251" s="160"/>
      <c r="AJ251" s="160"/>
      <c r="AL251" s="123"/>
      <c r="AM251" s="236"/>
      <c r="AN251" s="236"/>
      <c r="AO251" s="123"/>
      <c r="AP251" s="123"/>
      <c r="AR251" s="123"/>
      <c r="AS251" s="160"/>
    </row>
    <row r="252" spans="1:46" x14ac:dyDescent="0.3">
      <c r="A252" s="297">
        <v>165</v>
      </c>
      <c r="C252" s="45" t="s">
        <v>931</v>
      </c>
      <c r="F252" s="184">
        <v>0</v>
      </c>
      <c r="G252" s="1"/>
      <c r="H252" s="184"/>
      <c r="I252" s="159"/>
      <c r="J252" s="238">
        <v>2.2052369999999999</v>
      </c>
      <c r="K252" s="258"/>
      <c r="L252" s="3">
        <f>ROUND((F252*J252),0)</f>
        <v>0</v>
      </c>
      <c r="M252" s="3"/>
      <c r="N252" s="4">
        <v>0</v>
      </c>
      <c r="O252" s="4"/>
      <c r="P252" s="3"/>
      <c r="Q252" s="3"/>
      <c r="R252" s="3">
        <f>L252+P252</f>
        <v>0</v>
      </c>
      <c r="AA252" s="123"/>
      <c r="AC252" s="123"/>
      <c r="AD252" s="123"/>
      <c r="AE252" s="212"/>
      <c r="AF252" s="212"/>
      <c r="AH252" s="123"/>
      <c r="AI252" s="160"/>
      <c r="AJ252" s="160"/>
      <c r="AL252" s="123"/>
      <c r="AM252" s="236"/>
      <c r="AN252" s="236"/>
      <c r="AO252" s="123"/>
      <c r="AP252" s="123"/>
      <c r="AR252" s="123"/>
      <c r="AS252" s="160"/>
    </row>
    <row r="253" spans="1:46" x14ac:dyDescent="0.3">
      <c r="A253" s="297">
        <f t="shared" ref="A253:A264" si="28">A252+1</f>
        <v>166</v>
      </c>
      <c r="C253" s="45" t="s">
        <v>932</v>
      </c>
      <c r="F253" s="184">
        <v>8</v>
      </c>
      <c r="G253" s="1"/>
      <c r="H253" s="184"/>
      <c r="I253" s="159"/>
      <c r="J253" s="238">
        <v>2.468038</v>
      </c>
      <c r="K253" s="258"/>
      <c r="L253" s="3">
        <f t="shared" ref="L253:L313" si="29">ROUND((F253*J253),0)</f>
        <v>20</v>
      </c>
      <c r="M253" s="3"/>
      <c r="N253" s="4">
        <v>0</v>
      </c>
      <c r="O253" s="4"/>
      <c r="P253" s="3"/>
      <c r="Q253" s="3"/>
      <c r="R253" s="3">
        <f t="shared" ref="R253:R313" si="30">L253+P253</f>
        <v>20</v>
      </c>
      <c r="AA253" s="123"/>
      <c r="AC253" s="123"/>
      <c r="AD253" s="123"/>
      <c r="AE253" s="212"/>
      <c r="AF253" s="212"/>
      <c r="AH253" s="123"/>
      <c r="AI253" s="160"/>
      <c r="AJ253" s="160"/>
      <c r="AL253" s="123"/>
      <c r="AM253" s="236"/>
      <c r="AN253" s="236"/>
      <c r="AO253" s="123"/>
      <c r="AP253" s="123"/>
      <c r="AR253" s="123"/>
      <c r="AS253" s="160"/>
    </row>
    <row r="254" spans="1:46" x14ac:dyDescent="0.3">
      <c r="A254" s="297">
        <f t="shared" si="28"/>
        <v>167</v>
      </c>
      <c r="C254" s="45" t="s">
        <v>933</v>
      </c>
      <c r="F254" s="184">
        <v>0</v>
      </c>
      <c r="G254" s="1"/>
      <c r="H254" s="184"/>
      <c r="I254" s="159"/>
      <c r="J254" s="238">
        <v>2.4337589999999998</v>
      </c>
      <c r="K254" s="258"/>
      <c r="L254" s="3">
        <f t="shared" si="29"/>
        <v>0</v>
      </c>
      <c r="M254" s="3"/>
      <c r="N254" s="4">
        <v>0</v>
      </c>
      <c r="O254" s="4"/>
      <c r="P254" s="3"/>
      <c r="Q254" s="3"/>
      <c r="R254" s="3">
        <f t="shared" si="30"/>
        <v>0</v>
      </c>
      <c r="AA254" s="123"/>
      <c r="AC254" s="123"/>
      <c r="AD254" s="123"/>
      <c r="AE254" s="212"/>
      <c r="AF254" s="212"/>
      <c r="AH254" s="123"/>
      <c r="AI254" s="160"/>
      <c r="AJ254" s="160"/>
      <c r="AL254" s="123"/>
      <c r="AM254" s="236"/>
      <c r="AN254" s="236"/>
      <c r="AO254" s="123"/>
      <c r="AP254" s="123"/>
      <c r="AR254" s="123"/>
      <c r="AS254" s="160"/>
    </row>
    <row r="255" spans="1:46" x14ac:dyDescent="0.3">
      <c r="A255" s="297">
        <f t="shared" si="28"/>
        <v>168</v>
      </c>
      <c r="C255" s="45" t="s">
        <v>934</v>
      </c>
      <c r="F255" s="184">
        <v>5</v>
      </c>
      <c r="G255" s="1"/>
      <c r="H255" s="184"/>
      <c r="I255" s="159"/>
      <c r="J255" s="238">
        <v>3.3021430000000001</v>
      </c>
      <c r="K255" s="258"/>
      <c r="L255" s="3">
        <f t="shared" si="29"/>
        <v>17</v>
      </c>
      <c r="M255" s="3"/>
      <c r="N255" s="4">
        <v>0</v>
      </c>
      <c r="O255" s="4"/>
      <c r="P255" s="3"/>
      <c r="Q255" s="3"/>
      <c r="R255" s="3">
        <f t="shared" si="30"/>
        <v>17</v>
      </c>
      <c r="AA255" s="123"/>
      <c r="AC255" s="123"/>
      <c r="AD255" s="123"/>
      <c r="AE255" s="212"/>
      <c r="AF255" s="212"/>
      <c r="AH255" s="123"/>
      <c r="AI255" s="160"/>
      <c r="AJ255" s="160"/>
      <c r="AL255" s="123"/>
      <c r="AM255" s="236"/>
      <c r="AN255" s="236"/>
      <c r="AO255" s="123"/>
      <c r="AP255" s="123"/>
      <c r="AR255" s="123"/>
      <c r="AS255" s="160"/>
    </row>
    <row r="256" spans="1:46" x14ac:dyDescent="0.3">
      <c r="A256" s="297">
        <f t="shared" si="28"/>
        <v>169</v>
      </c>
      <c r="C256" s="45" t="s">
        <v>935</v>
      </c>
      <c r="F256" s="184">
        <v>0</v>
      </c>
      <c r="G256" s="1"/>
      <c r="H256" s="184"/>
      <c r="I256" s="159"/>
      <c r="J256" s="238">
        <v>5.4502499999999996</v>
      </c>
      <c r="K256" s="258"/>
      <c r="L256" s="3">
        <f t="shared" si="29"/>
        <v>0</v>
      </c>
      <c r="M256" s="3"/>
      <c r="N256" s="4">
        <v>0</v>
      </c>
      <c r="O256" s="4"/>
      <c r="P256" s="3"/>
      <c r="Q256" s="3"/>
      <c r="R256" s="3">
        <f t="shared" si="30"/>
        <v>0</v>
      </c>
      <c r="AA256" s="123"/>
      <c r="AC256" s="123"/>
      <c r="AD256" s="123"/>
      <c r="AE256" s="212"/>
      <c r="AF256" s="212"/>
      <c r="AH256" s="123"/>
      <c r="AI256" s="160"/>
      <c r="AJ256" s="160"/>
      <c r="AL256" s="123"/>
      <c r="AM256" s="236"/>
      <c r="AN256" s="236"/>
      <c r="AO256" s="123"/>
      <c r="AP256" s="123"/>
      <c r="AR256" s="123"/>
      <c r="AS256" s="160"/>
    </row>
    <row r="257" spans="1:45" x14ac:dyDescent="0.3">
      <c r="A257" s="297">
        <f t="shared" si="28"/>
        <v>170</v>
      </c>
      <c r="C257" s="45" t="s">
        <v>936</v>
      </c>
      <c r="F257" s="184">
        <v>0</v>
      </c>
      <c r="G257" s="1"/>
      <c r="H257" s="184"/>
      <c r="I257" s="159"/>
      <c r="J257" s="238">
        <v>4.9589270000000001</v>
      </c>
      <c r="K257" s="258"/>
      <c r="L257" s="3">
        <f t="shared" si="29"/>
        <v>0</v>
      </c>
      <c r="M257" s="3"/>
      <c r="N257" s="4">
        <v>0</v>
      </c>
      <c r="O257" s="4"/>
      <c r="P257" s="3"/>
      <c r="Q257" s="3"/>
      <c r="R257" s="3">
        <f t="shared" si="30"/>
        <v>0</v>
      </c>
      <c r="AA257" s="123"/>
      <c r="AC257" s="123"/>
      <c r="AD257" s="123"/>
      <c r="AE257" s="212"/>
      <c r="AF257" s="212"/>
      <c r="AH257" s="123"/>
      <c r="AI257" s="160"/>
      <c r="AJ257" s="160"/>
      <c r="AL257" s="123"/>
      <c r="AM257" s="236"/>
      <c r="AN257" s="236"/>
      <c r="AO257" s="123"/>
      <c r="AP257" s="123"/>
      <c r="AR257" s="123"/>
      <c r="AS257" s="160"/>
    </row>
    <row r="258" spans="1:45" x14ac:dyDescent="0.3">
      <c r="A258" s="297">
        <f t="shared" si="28"/>
        <v>171</v>
      </c>
      <c r="C258" s="45" t="s">
        <v>937</v>
      </c>
      <c r="F258" s="184">
        <v>5</v>
      </c>
      <c r="G258" s="1"/>
      <c r="H258" s="184"/>
      <c r="I258" s="159"/>
      <c r="J258" s="238">
        <v>5.7930330000000003</v>
      </c>
      <c r="K258" s="258"/>
      <c r="L258" s="3">
        <f t="shared" si="29"/>
        <v>29</v>
      </c>
      <c r="M258" s="3"/>
      <c r="N258" s="4">
        <v>0</v>
      </c>
      <c r="O258" s="4"/>
      <c r="P258" s="3"/>
      <c r="Q258" s="3"/>
      <c r="R258" s="3">
        <f t="shared" si="30"/>
        <v>29</v>
      </c>
      <c r="AA258" s="123"/>
      <c r="AC258" s="123"/>
      <c r="AD258" s="123"/>
      <c r="AE258" s="212"/>
      <c r="AF258" s="212"/>
      <c r="AH258" s="123"/>
      <c r="AI258" s="160"/>
      <c r="AJ258" s="160"/>
      <c r="AL258" s="123"/>
      <c r="AM258" s="236"/>
      <c r="AN258" s="236"/>
      <c r="AO258" s="123"/>
      <c r="AP258" s="123"/>
      <c r="AR258" s="123"/>
      <c r="AS258" s="160"/>
    </row>
    <row r="259" spans="1:45" x14ac:dyDescent="0.3">
      <c r="A259" s="297">
        <f t="shared" si="28"/>
        <v>172</v>
      </c>
      <c r="C259" s="45" t="s">
        <v>938</v>
      </c>
      <c r="F259" s="184">
        <v>0</v>
      </c>
      <c r="G259" s="1"/>
      <c r="H259" s="184"/>
      <c r="I259" s="159"/>
      <c r="J259" s="238">
        <v>5.8730149999999997</v>
      </c>
      <c r="K259" s="258"/>
      <c r="L259" s="3">
        <f t="shared" si="29"/>
        <v>0</v>
      </c>
      <c r="M259" s="3"/>
      <c r="N259" s="4">
        <v>0</v>
      </c>
      <c r="O259" s="4"/>
      <c r="P259" s="3"/>
      <c r="Q259" s="3"/>
      <c r="R259" s="3">
        <f t="shared" si="30"/>
        <v>0</v>
      </c>
      <c r="AA259" s="123"/>
      <c r="AC259" s="123"/>
      <c r="AD259" s="123"/>
      <c r="AE259" s="212"/>
      <c r="AF259" s="212"/>
      <c r="AH259" s="123"/>
      <c r="AI259" s="160"/>
      <c r="AJ259" s="160"/>
      <c r="AL259" s="123"/>
      <c r="AM259" s="236"/>
      <c r="AN259" s="236"/>
      <c r="AO259" s="123"/>
      <c r="AP259" s="123"/>
      <c r="AR259" s="123"/>
      <c r="AS259" s="160"/>
    </row>
    <row r="260" spans="1:45" x14ac:dyDescent="0.3">
      <c r="A260" s="297">
        <f t="shared" si="28"/>
        <v>173</v>
      </c>
      <c r="C260" s="45" t="s">
        <v>939</v>
      </c>
      <c r="F260" s="184">
        <v>0</v>
      </c>
      <c r="G260" s="1"/>
      <c r="H260" s="184"/>
      <c r="I260" s="3"/>
      <c r="J260" s="238">
        <v>5.952998</v>
      </c>
      <c r="K260" s="258"/>
      <c r="L260" s="3">
        <f t="shared" si="29"/>
        <v>0</v>
      </c>
      <c r="M260" s="3"/>
      <c r="N260" s="4">
        <v>0</v>
      </c>
      <c r="O260" s="4"/>
      <c r="P260" s="3"/>
      <c r="Q260" s="3"/>
      <c r="R260" s="3">
        <f t="shared" si="30"/>
        <v>0</v>
      </c>
      <c r="AA260" s="123"/>
      <c r="AC260" s="123"/>
      <c r="AD260" s="123"/>
      <c r="AE260" s="212"/>
      <c r="AF260" s="212"/>
      <c r="AH260" s="123"/>
      <c r="AI260" s="160"/>
      <c r="AJ260" s="160"/>
      <c r="AL260" s="123"/>
      <c r="AM260" s="236"/>
      <c r="AN260" s="236"/>
      <c r="AO260" s="123"/>
      <c r="AP260" s="123"/>
      <c r="AR260" s="123"/>
      <c r="AS260" s="160"/>
    </row>
    <row r="261" spans="1:45" x14ac:dyDescent="0.3">
      <c r="A261" s="297">
        <f t="shared" si="28"/>
        <v>174</v>
      </c>
      <c r="C261" s="45" t="s">
        <v>940</v>
      </c>
      <c r="D261" s="45"/>
      <c r="E261" s="42"/>
      <c r="F261" s="184">
        <v>0</v>
      </c>
      <c r="G261" s="1"/>
      <c r="H261" s="184"/>
      <c r="I261" s="1"/>
      <c r="J261" s="238">
        <v>7.3926869999999996</v>
      </c>
      <c r="K261" s="258"/>
      <c r="L261" s="3">
        <f t="shared" si="29"/>
        <v>0</v>
      </c>
      <c r="M261" s="3"/>
      <c r="N261" s="4">
        <v>0</v>
      </c>
      <c r="O261" s="4"/>
      <c r="P261" s="3"/>
      <c r="Q261" s="3"/>
      <c r="R261" s="3">
        <f t="shared" si="30"/>
        <v>0</v>
      </c>
      <c r="AA261" s="123"/>
      <c r="AC261" s="123"/>
      <c r="AD261" s="123"/>
      <c r="AE261" s="212"/>
      <c r="AF261" s="212"/>
      <c r="AH261" s="123"/>
      <c r="AI261" s="160"/>
      <c r="AJ261" s="160"/>
      <c r="AL261" s="123"/>
      <c r="AM261" s="236"/>
      <c r="AN261" s="236"/>
      <c r="AO261" s="123"/>
      <c r="AP261" s="123"/>
      <c r="AR261" s="123"/>
      <c r="AS261" s="160"/>
    </row>
    <row r="262" spans="1:45" x14ac:dyDescent="0.3">
      <c r="A262" s="297">
        <f t="shared" si="28"/>
        <v>175</v>
      </c>
      <c r="C262" s="45" t="s">
        <v>941</v>
      </c>
      <c r="F262" s="184">
        <v>0</v>
      </c>
      <c r="G262" s="1"/>
      <c r="H262" s="184"/>
      <c r="I262" s="1"/>
      <c r="J262" s="238">
        <v>7.7926000000000002</v>
      </c>
      <c r="K262" s="258"/>
      <c r="L262" s="3">
        <f t="shared" si="29"/>
        <v>0</v>
      </c>
      <c r="M262" s="3"/>
      <c r="N262" s="4">
        <v>0</v>
      </c>
      <c r="O262" s="4"/>
      <c r="P262" s="3"/>
      <c r="Q262" s="3"/>
      <c r="R262" s="3">
        <f t="shared" si="30"/>
        <v>0</v>
      </c>
      <c r="AA262" s="123"/>
      <c r="AC262" s="123"/>
      <c r="AD262" s="123"/>
      <c r="AE262" s="212"/>
      <c r="AF262" s="212"/>
      <c r="AH262" s="123"/>
      <c r="AI262" s="160"/>
      <c r="AJ262" s="160"/>
      <c r="AL262" s="123"/>
      <c r="AM262" s="236"/>
      <c r="AN262" s="236"/>
      <c r="AO262" s="123"/>
      <c r="AP262" s="123"/>
      <c r="AR262" s="123"/>
      <c r="AS262" s="160"/>
    </row>
    <row r="263" spans="1:45" x14ac:dyDescent="0.3">
      <c r="A263" s="297">
        <f t="shared" si="28"/>
        <v>176</v>
      </c>
      <c r="C263" s="45" t="s">
        <v>942</v>
      </c>
      <c r="F263" s="184">
        <v>0</v>
      </c>
      <c r="G263" s="1"/>
      <c r="H263" s="184"/>
      <c r="I263" s="1"/>
      <c r="J263" s="238">
        <v>7.1184599999999998</v>
      </c>
      <c r="K263" s="258"/>
      <c r="L263" s="3">
        <f t="shared" si="29"/>
        <v>0</v>
      </c>
      <c r="M263" s="3"/>
      <c r="N263" s="4">
        <v>0</v>
      </c>
      <c r="O263" s="4"/>
      <c r="P263" s="3"/>
      <c r="Q263" s="3"/>
      <c r="R263" s="3">
        <f t="shared" si="30"/>
        <v>0</v>
      </c>
      <c r="AA263" s="123"/>
      <c r="AC263" s="123"/>
      <c r="AD263" s="123"/>
      <c r="AE263" s="212"/>
      <c r="AF263" s="212"/>
      <c r="AH263" s="123"/>
      <c r="AI263" s="160"/>
      <c r="AJ263" s="160"/>
      <c r="AL263" s="123"/>
      <c r="AM263" s="236"/>
      <c r="AN263" s="236"/>
      <c r="AO263" s="123"/>
      <c r="AP263" s="123"/>
      <c r="AR263" s="123"/>
      <c r="AS263" s="160"/>
    </row>
    <row r="264" spans="1:45" x14ac:dyDescent="0.3">
      <c r="A264" s="297">
        <f t="shared" si="28"/>
        <v>177</v>
      </c>
      <c r="C264" s="45" t="s">
        <v>943</v>
      </c>
      <c r="F264" s="184">
        <v>0</v>
      </c>
      <c r="G264" s="1"/>
      <c r="H264" s="184"/>
      <c r="I264" s="159"/>
      <c r="J264" s="238">
        <v>8.5010180000000002</v>
      </c>
      <c r="K264" s="258"/>
      <c r="L264" s="3">
        <f t="shared" si="29"/>
        <v>0</v>
      </c>
      <c r="M264" s="3"/>
      <c r="N264" s="4">
        <v>0</v>
      </c>
      <c r="O264" s="4"/>
      <c r="P264" s="3"/>
      <c r="Q264" s="3"/>
      <c r="R264" s="3">
        <f t="shared" si="30"/>
        <v>0</v>
      </c>
      <c r="AA264" s="123"/>
      <c r="AC264" s="123"/>
      <c r="AD264" s="123"/>
      <c r="AE264" s="212"/>
      <c r="AF264" s="212"/>
      <c r="AH264" s="123"/>
      <c r="AI264" s="160"/>
      <c r="AJ264" s="160"/>
      <c r="AL264" s="123"/>
      <c r="AM264" s="236"/>
      <c r="AN264" s="236"/>
      <c r="AO264" s="123"/>
      <c r="AP264" s="123"/>
      <c r="AR264" s="123"/>
      <c r="AS264" s="160"/>
    </row>
    <row r="265" spans="1:45" x14ac:dyDescent="0.3">
      <c r="A265" s="297"/>
      <c r="C265" s="45"/>
      <c r="F265" s="184"/>
      <c r="G265" s="1"/>
      <c r="H265" s="184"/>
      <c r="I265" s="159"/>
      <c r="J265" s="238"/>
      <c r="K265" s="258"/>
      <c r="L265" s="3"/>
      <c r="M265" s="3"/>
      <c r="N265" s="4"/>
      <c r="O265" s="4"/>
      <c r="P265" s="3"/>
      <c r="Q265" s="3"/>
      <c r="R265" s="3"/>
      <c r="AA265" s="123"/>
      <c r="AC265" s="123"/>
      <c r="AD265" s="123"/>
      <c r="AE265" s="212"/>
      <c r="AF265" s="212"/>
      <c r="AH265" s="123"/>
      <c r="AI265" s="160"/>
      <c r="AJ265" s="160"/>
      <c r="AL265" s="123"/>
      <c r="AM265" s="236"/>
      <c r="AN265" s="236"/>
      <c r="AO265" s="123"/>
      <c r="AP265" s="123"/>
      <c r="AR265" s="123"/>
      <c r="AS265" s="160"/>
    </row>
    <row r="266" spans="1:45" x14ac:dyDescent="0.3">
      <c r="A266" s="202" t="s">
        <v>76</v>
      </c>
      <c r="B266" s="294"/>
      <c r="C266" s="294"/>
      <c r="D266" s="294"/>
      <c r="E266" s="294"/>
      <c r="F266" s="294"/>
      <c r="G266" s="294"/>
      <c r="H266" s="294"/>
      <c r="I266" s="294"/>
      <c r="J266" s="264"/>
      <c r="K266" s="294"/>
      <c r="L266" s="295"/>
      <c r="M266" s="294"/>
      <c r="N266" s="294"/>
      <c r="O266" s="294"/>
      <c r="P266" s="264"/>
      <c r="Q266" s="153"/>
      <c r="R266" s="153"/>
      <c r="AA266" s="123"/>
      <c r="AC266" s="123"/>
      <c r="AD266" s="123"/>
      <c r="AE266" s="212"/>
      <c r="AF266" s="212"/>
      <c r="AH266" s="123"/>
      <c r="AI266" s="160"/>
      <c r="AJ266" s="160"/>
      <c r="AL266" s="123"/>
      <c r="AM266" s="236"/>
      <c r="AN266" s="236"/>
      <c r="AO266" s="123"/>
      <c r="AP266" s="123"/>
      <c r="AR266" s="123"/>
      <c r="AS266" s="160"/>
    </row>
    <row r="267" spans="1:45" x14ac:dyDescent="0.3">
      <c r="A267" s="202" t="str">
        <f>"(1A) REFLECTS FUEL COST RECOVERY INCLUDED IN BASE RATES OF "&amp;TEXT(CUR_BASE_FUEL,"$0.000000;($0.000000)")&amp;"  PER KWH."</f>
        <v>(1A) REFLECTS FUEL COST RECOVERY INCLUDED IN BASE RATES OF $0.033780  PER KWH.</v>
      </c>
      <c r="B267" s="294"/>
      <c r="C267" s="294"/>
      <c r="D267" s="294"/>
      <c r="E267" s="294"/>
      <c r="F267" s="296"/>
      <c r="G267" s="294"/>
      <c r="H267" s="294"/>
      <c r="I267" s="294"/>
      <c r="J267" s="264"/>
      <c r="K267" s="294"/>
      <c r="L267" s="295"/>
      <c r="M267" s="294"/>
      <c r="N267" s="294"/>
      <c r="O267" s="294"/>
      <c r="P267" s="264"/>
      <c r="Q267" s="153"/>
      <c r="R267" s="153"/>
      <c r="AA267" s="123"/>
      <c r="AC267" s="123"/>
      <c r="AD267" s="123"/>
      <c r="AE267" s="212"/>
      <c r="AF267" s="212"/>
      <c r="AH267" s="123"/>
      <c r="AI267" s="160"/>
      <c r="AJ267" s="160"/>
      <c r="AL267" s="123"/>
      <c r="AM267" s="236"/>
      <c r="AN267" s="236"/>
      <c r="AO267" s="123"/>
      <c r="AP267" s="123"/>
      <c r="AR267" s="123"/>
      <c r="AS267" s="160"/>
    </row>
    <row r="268" spans="1:45" x14ac:dyDescent="0.3">
      <c r="A268" s="202" t="str">
        <f>"(2) REFLECTS FUEL COMPONENT OF "&amp;TEXT(CUR_FAC,"$0.000000;($0.000000)")&amp;"  PER KWH."</f>
        <v>(2) REFLECTS FUEL COMPONENT OF $0.003487  PER KWH.</v>
      </c>
      <c r="B268" s="294"/>
      <c r="C268" s="294"/>
      <c r="D268" s="294"/>
      <c r="E268" s="294"/>
      <c r="F268" s="296"/>
      <c r="G268" s="294"/>
      <c r="H268" s="294"/>
      <c r="I268" s="294"/>
      <c r="J268" s="264"/>
      <c r="K268" s="294"/>
      <c r="L268" s="295"/>
      <c r="M268" s="294"/>
      <c r="N268" s="294"/>
      <c r="O268" s="294"/>
      <c r="P268" s="264"/>
      <c r="Q268" s="153"/>
      <c r="R268" s="153"/>
      <c r="AA268" s="123"/>
      <c r="AC268" s="123"/>
      <c r="AD268" s="123"/>
      <c r="AE268" s="212"/>
      <c r="AF268" s="212"/>
      <c r="AH268" s="123"/>
      <c r="AI268" s="160"/>
      <c r="AJ268" s="160"/>
      <c r="AL268" s="123"/>
      <c r="AM268" s="236"/>
      <c r="AN268" s="236"/>
      <c r="AO268" s="123"/>
      <c r="AP268" s="123"/>
      <c r="AR268" s="123"/>
      <c r="AS268" s="160"/>
    </row>
    <row r="269" spans="1:45" x14ac:dyDescent="0.3">
      <c r="A269" s="264"/>
      <c r="B269" s="294"/>
      <c r="C269" s="294"/>
      <c r="D269" s="294"/>
      <c r="E269" s="294"/>
      <c r="F269" s="296"/>
      <c r="G269" s="294"/>
      <c r="H269" s="294"/>
      <c r="I269" s="294"/>
      <c r="J269" s="264"/>
      <c r="K269" s="294"/>
      <c r="L269" s="295"/>
      <c r="M269" s="294"/>
      <c r="N269" s="294"/>
      <c r="O269" s="294"/>
      <c r="P269" s="264"/>
      <c r="Q269" s="153"/>
      <c r="R269" s="153"/>
      <c r="AA269" s="123"/>
      <c r="AC269" s="123"/>
      <c r="AD269" s="123"/>
      <c r="AE269" s="212"/>
      <c r="AF269" s="212"/>
      <c r="AH269" s="123"/>
      <c r="AI269" s="160"/>
      <c r="AJ269" s="160"/>
      <c r="AL269" s="123"/>
      <c r="AM269" s="236"/>
      <c r="AN269" s="236"/>
      <c r="AO269" s="123"/>
      <c r="AP269" s="123"/>
      <c r="AR269" s="123"/>
      <c r="AS269" s="160"/>
    </row>
    <row r="270" spans="1:45" x14ac:dyDescent="0.3">
      <c r="A270" s="40" t="str">
        <f>NAME</f>
        <v>DUKE ENERGY KENTUCKY, INC.</v>
      </c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AA270" s="123"/>
      <c r="AC270" s="123"/>
      <c r="AD270" s="123"/>
      <c r="AE270" s="212"/>
      <c r="AF270" s="212"/>
      <c r="AH270" s="123"/>
      <c r="AI270" s="160"/>
      <c r="AJ270" s="160"/>
      <c r="AL270" s="123"/>
      <c r="AM270" s="236"/>
      <c r="AN270" s="236"/>
      <c r="AO270" s="123"/>
      <c r="AP270" s="123"/>
      <c r="AR270" s="123"/>
      <c r="AS270" s="160"/>
    </row>
    <row r="271" spans="1:45" x14ac:dyDescent="0.3">
      <c r="A271" s="40" t="str">
        <f>CASE_NO</f>
        <v>CASE NO.   2024-00354</v>
      </c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AA271" s="123"/>
      <c r="AC271" s="123"/>
      <c r="AD271" s="123"/>
      <c r="AE271" s="212"/>
      <c r="AF271" s="212"/>
      <c r="AH271" s="123"/>
      <c r="AI271" s="160"/>
      <c r="AJ271" s="160"/>
      <c r="AL271" s="123"/>
      <c r="AM271" s="236"/>
      <c r="AN271" s="236"/>
      <c r="AO271" s="123"/>
      <c r="AP271" s="123"/>
      <c r="AR271" s="123"/>
      <c r="AS271" s="160"/>
    </row>
    <row r="272" spans="1:45" x14ac:dyDescent="0.3">
      <c r="A272" s="40" t="str">
        <f>TITLE</f>
        <v>ANNUALIZED TEST YEAR REVENUES AT REHEARING ORDER CALCULATED VS. MOST CURRENT RATES</v>
      </c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AA272" s="123"/>
      <c r="AC272" s="123"/>
      <c r="AD272" s="123"/>
      <c r="AE272" s="212"/>
      <c r="AF272" s="212"/>
      <c r="AH272" s="123"/>
      <c r="AI272" s="160"/>
      <c r="AJ272" s="160"/>
      <c r="AL272" s="123"/>
      <c r="AM272" s="236"/>
      <c r="AN272" s="236"/>
      <c r="AO272" s="123"/>
      <c r="AP272" s="123"/>
      <c r="AR272" s="123"/>
      <c r="AS272" s="160"/>
    </row>
    <row r="273" spans="1:45" x14ac:dyDescent="0.3">
      <c r="A273" s="40" t="str">
        <f>DATE</f>
        <v>FOR THE TWELVE MONTHS ENDED June 30, 2026</v>
      </c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AA273" s="123"/>
      <c r="AC273" s="123"/>
      <c r="AD273" s="123"/>
      <c r="AE273" s="212"/>
      <c r="AF273" s="212"/>
      <c r="AH273" s="123"/>
      <c r="AI273" s="160"/>
      <c r="AJ273" s="160"/>
      <c r="AL273" s="123"/>
      <c r="AM273" s="236"/>
      <c r="AN273" s="236"/>
      <c r="AO273" s="123"/>
      <c r="AP273" s="123"/>
      <c r="AR273" s="123"/>
      <c r="AS273" s="160"/>
    </row>
    <row r="274" spans="1:45" x14ac:dyDescent="0.3">
      <c r="A274" s="40" t="str">
        <f>SERVICE</f>
        <v>(ELECTRIC SERVICE)</v>
      </c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AA274" s="123"/>
      <c r="AC274" s="123"/>
      <c r="AD274" s="123"/>
      <c r="AE274" s="212"/>
      <c r="AF274" s="212"/>
      <c r="AH274" s="123"/>
      <c r="AI274" s="160"/>
      <c r="AJ274" s="160"/>
      <c r="AL274" s="123"/>
      <c r="AM274" s="236"/>
      <c r="AN274" s="236"/>
      <c r="AO274" s="123"/>
      <c r="AP274" s="123"/>
      <c r="AR274" s="123"/>
      <c r="AS274" s="160"/>
    </row>
    <row r="275" spans="1:45" x14ac:dyDescent="0.3">
      <c r="A275" s="41" t="str">
        <f>DATA_PERIOD</f>
        <v>DATA: ____ BASE PERIOD   __X__FORECASTED PERIOD</v>
      </c>
      <c r="R275" s="42" t="s">
        <v>157</v>
      </c>
      <c r="AA275" s="123"/>
      <c r="AC275" s="123"/>
      <c r="AD275" s="123"/>
      <c r="AE275" s="212"/>
      <c r="AF275" s="212"/>
      <c r="AH275" s="123"/>
      <c r="AI275" s="160"/>
      <c r="AJ275" s="160"/>
      <c r="AL275" s="123"/>
      <c r="AM275" s="236"/>
      <c r="AN275" s="236"/>
      <c r="AO275" s="123"/>
      <c r="AP275" s="123"/>
      <c r="AR275" s="123"/>
      <c r="AS275" s="160"/>
    </row>
    <row r="276" spans="1:45" x14ac:dyDescent="0.3">
      <c r="A276" s="41" t="str">
        <f>TYPE</f>
        <v>TYPE OF FILING: _X_ ORIGINAL   ___UPDATED  ___ REVISED</v>
      </c>
      <c r="R276" s="45" t="str">
        <f>"PAGE 24 OF "&amp;TEXT(Page_Num_2.3,"00")</f>
        <v>PAGE 24 OF 24</v>
      </c>
      <c r="AA276" s="123"/>
      <c r="AC276" s="123"/>
      <c r="AD276" s="123"/>
      <c r="AE276" s="212"/>
      <c r="AF276" s="212"/>
      <c r="AH276" s="123"/>
      <c r="AI276" s="160"/>
      <c r="AJ276" s="160"/>
      <c r="AL276" s="123"/>
      <c r="AM276" s="236"/>
      <c r="AN276" s="236"/>
      <c r="AO276" s="123"/>
      <c r="AP276" s="123"/>
      <c r="AR276" s="123"/>
      <c r="AS276" s="160"/>
    </row>
    <row r="277" spans="1:45" x14ac:dyDescent="0.3">
      <c r="A277" s="42" t="s">
        <v>171</v>
      </c>
      <c r="R277" s="42" t="s">
        <v>3</v>
      </c>
      <c r="AA277" s="123"/>
      <c r="AC277" s="123"/>
      <c r="AD277" s="123"/>
      <c r="AE277" s="212"/>
      <c r="AF277" s="212"/>
      <c r="AH277" s="123"/>
      <c r="AI277" s="160"/>
      <c r="AJ277" s="160"/>
      <c r="AL277" s="123"/>
      <c r="AM277" s="236"/>
      <c r="AN277" s="236"/>
      <c r="AO277" s="123"/>
      <c r="AP277" s="123"/>
      <c r="AR277" s="123"/>
      <c r="AS277" s="160"/>
    </row>
    <row r="278" spans="1:45" x14ac:dyDescent="0.3">
      <c r="A278" s="153" t="str">
        <f>TIME</f>
        <v>12 Months Projected with Riders</v>
      </c>
      <c r="M278" s="42"/>
      <c r="R278" s="41" t="str">
        <f>WIT</f>
        <v>B. L. Sailers</v>
      </c>
      <c r="AA278" s="123"/>
      <c r="AC278" s="123"/>
      <c r="AD278" s="123"/>
      <c r="AE278" s="212"/>
      <c r="AF278" s="212"/>
      <c r="AH278" s="123"/>
      <c r="AI278" s="160"/>
      <c r="AJ278" s="160"/>
      <c r="AL278" s="123"/>
      <c r="AM278" s="236"/>
      <c r="AN278" s="236"/>
      <c r="AO278" s="123"/>
      <c r="AP278" s="123"/>
      <c r="AR278" s="123"/>
      <c r="AS278" s="160"/>
    </row>
    <row r="279" spans="1:45" x14ac:dyDescent="0.3">
      <c r="A279" s="40" t="s">
        <v>130</v>
      </c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AA279" s="123"/>
      <c r="AC279" s="123"/>
      <c r="AD279" s="123"/>
      <c r="AE279" s="212"/>
      <c r="AF279" s="212"/>
      <c r="AH279" s="123"/>
      <c r="AI279" s="160"/>
      <c r="AJ279" s="160"/>
      <c r="AL279" s="123"/>
      <c r="AM279" s="236"/>
      <c r="AN279" s="236"/>
      <c r="AO279" s="123"/>
      <c r="AP279" s="123"/>
      <c r="AR279" s="123"/>
      <c r="AS279" s="160"/>
    </row>
    <row r="280" spans="1:45" x14ac:dyDescent="0.3">
      <c r="A280" s="135"/>
      <c r="B280" s="135"/>
      <c r="C280" s="135"/>
      <c r="D280" s="135"/>
      <c r="E280" s="135"/>
      <c r="G280" s="135"/>
      <c r="H280" s="135"/>
      <c r="I280" s="135"/>
      <c r="J280" s="135"/>
      <c r="K280" s="135"/>
      <c r="L280" s="43"/>
      <c r="M280" s="43"/>
      <c r="N280" s="43"/>
      <c r="O280" s="43"/>
      <c r="P280" s="43"/>
      <c r="Q280" s="43"/>
      <c r="R280" s="43"/>
      <c r="AA280" s="123"/>
      <c r="AC280" s="123"/>
      <c r="AD280" s="123"/>
      <c r="AE280" s="212"/>
      <c r="AF280" s="212"/>
      <c r="AH280" s="123"/>
      <c r="AI280" s="160"/>
      <c r="AJ280" s="160"/>
      <c r="AL280" s="123"/>
      <c r="AM280" s="236"/>
      <c r="AN280" s="236"/>
      <c r="AO280" s="123"/>
      <c r="AP280" s="123"/>
      <c r="AR280" s="123"/>
      <c r="AS280" s="160"/>
    </row>
    <row r="281" spans="1:45" x14ac:dyDescent="0.3">
      <c r="A281" s="191"/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44" t="s">
        <v>6</v>
      </c>
      <c r="M281" s="44"/>
      <c r="N281" s="44" t="s">
        <v>7</v>
      </c>
      <c r="O281" s="44"/>
      <c r="R281" s="44" t="s">
        <v>6</v>
      </c>
      <c r="AA281" s="123"/>
      <c r="AC281" s="123"/>
      <c r="AD281" s="123"/>
      <c r="AE281" s="212"/>
      <c r="AF281" s="212"/>
      <c r="AH281" s="123"/>
      <c r="AI281" s="160"/>
      <c r="AJ281" s="160"/>
      <c r="AL281" s="123"/>
      <c r="AM281" s="236"/>
      <c r="AN281" s="236"/>
      <c r="AO281" s="123"/>
      <c r="AP281" s="123"/>
      <c r="AR281" s="123"/>
      <c r="AS281" s="160"/>
    </row>
    <row r="282" spans="1:45" x14ac:dyDescent="0.3">
      <c r="L282" s="44" t="s">
        <v>12</v>
      </c>
      <c r="M282" s="44"/>
      <c r="N282" s="44" t="s">
        <v>13</v>
      </c>
      <c r="O282" s="44"/>
      <c r="R282" s="44" t="s">
        <v>11</v>
      </c>
      <c r="AA282" s="123"/>
      <c r="AC282" s="123"/>
      <c r="AD282" s="123"/>
      <c r="AE282" s="212"/>
      <c r="AF282" s="212"/>
      <c r="AH282" s="123"/>
      <c r="AI282" s="160"/>
      <c r="AJ282" s="160"/>
      <c r="AL282" s="123"/>
      <c r="AM282" s="236"/>
      <c r="AN282" s="236"/>
      <c r="AO282" s="123"/>
      <c r="AP282" s="123"/>
      <c r="AR282" s="123"/>
      <c r="AS282" s="160"/>
    </row>
    <row r="283" spans="1:45" x14ac:dyDescent="0.3">
      <c r="A283" s="44" t="s">
        <v>17</v>
      </c>
      <c r="C283" s="44" t="s">
        <v>18</v>
      </c>
      <c r="D283" s="44" t="s">
        <v>19</v>
      </c>
      <c r="E283" s="44"/>
      <c r="F283" s="44" t="s">
        <v>20</v>
      </c>
      <c r="J283" s="44" t="s">
        <v>6</v>
      </c>
      <c r="K283" s="44"/>
      <c r="L283" s="44" t="s">
        <v>842</v>
      </c>
      <c r="M283" s="44"/>
      <c r="N283" s="44" t="s">
        <v>842</v>
      </c>
      <c r="O283" s="44"/>
      <c r="P283" s="44" t="s">
        <v>842</v>
      </c>
      <c r="Q283" s="44"/>
      <c r="R283" s="44" t="s">
        <v>9</v>
      </c>
      <c r="AA283" s="123"/>
      <c r="AC283" s="123"/>
      <c r="AD283" s="123"/>
      <c r="AE283" s="212"/>
      <c r="AF283" s="212"/>
      <c r="AH283" s="123"/>
      <c r="AI283" s="160"/>
      <c r="AJ283" s="160"/>
      <c r="AL283" s="123"/>
      <c r="AM283" s="236"/>
      <c r="AN283" s="236"/>
      <c r="AO283" s="123"/>
      <c r="AP283" s="123"/>
      <c r="AR283" s="123"/>
      <c r="AS283" s="160"/>
    </row>
    <row r="284" spans="1:45" x14ac:dyDescent="0.3">
      <c r="A284" s="44" t="s">
        <v>22</v>
      </c>
      <c r="C284" s="44" t="s">
        <v>23</v>
      </c>
      <c r="D284" s="44" t="s">
        <v>24</v>
      </c>
      <c r="E284" s="44"/>
      <c r="F284" s="44" t="s">
        <v>25</v>
      </c>
      <c r="H284" s="44" t="s">
        <v>26</v>
      </c>
      <c r="I284" s="44"/>
      <c r="J284" s="46" t="s">
        <v>326</v>
      </c>
      <c r="K284" s="44"/>
      <c r="L284" s="44" t="s">
        <v>9</v>
      </c>
      <c r="M284" s="44"/>
      <c r="N284" s="44" t="s">
        <v>9</v>
      </c>
      <c r="O284" s="44"/>
      <c r="P284" s="44" t="s">
        <v>324</v>
      </c>
      <c r="Q284" s="44"/>
      <c r="R284" s="141" t="s">
        <v>28</v>
      </c>
      <c r="AA284" s="123"/>
      <c r="AC284" s="123"/>
      <c r="AD284" s="123"/>
      <c r="AE284" s="212"/>
      <c r="AF284" s="212"/>
      <c r="AH284" s="123"/>
      <c r="AI284" s="160"/>
      <c r="AJ284" s="160"/>
      <c r="AL284" s="123"/>
      <c r="AM284" s="236"/>
      <c r="AN284" s="236"/>
      <c r="AO284" s="123"/>
      <c r="AP284" s="123"/>
      <c r="AR284" s="123"/>
      <c r="AS284" s="160"/>
    </row>
    <row r="285" spans="1:45" x14ac:dyDescent="0.3">
      <c r="C285" s="141" t="s">
        <v>33</v>
      </c>
      <c r="D285" s="141" t="s">
        <v>34</v>
      </c>
      <c r="E285" s="141"/>
      <c r="F285" s="141" t="s">
        <v>35</v>
      </c>
      <c r="G285" s="153"/>
      <c r="H285" s="141" t="s">
        <v>36</v>
      </c>
      <c r="I285" s="141"/>
      <c r="J285" s="141" t="s">
        <v>37</v>
      </c>
      <c r="K285" s="141"/>
      <c r="L285" s="141" t="s">
        <v>38</v>
      </c>
      <c r="M285" s="141"/>
      <c r="N285" s="141" t="s">
        <v>39</v>
      </c>
      <c r="O285" s="141"/>
      <c r="P285" s="141" t="s">
        <v>40</v>
      </c>
      <c r="Q285" s="141"/>
      <c r="R285" s="141" t="s">
        <v>41</v>
      </c>
      <c r="AA285" s="123"/>
      <c r="AC285" s="123"/>
      <c r="AD285" s="123"/>
      <c r="AE285" s="212"/>
      <c r="AF285" s="212"/>
      <c r="AH285" s="123"/>
      <c r="AI285" s="160"/>
      <c r="AJ285" s="160"/>
      <c r="AL285" s="123"/>
      <c r="AM285" s="236"/>
      <c r="AN285" s="236"/>
      <c r="AO285" s="123"/>
      <c r="AP285" s="123"/>
      <c r="AR285" s="123"/>
      <c r="AS285" s="160"/>
    </row>
    <row r="286" spans="1:45" x14ac:dyDescent="0.3">
      <c r="A286" s="191"/>
      <c r="B286" s="191"/>
      <c r="C286" s="191"/>
      <c r="D286" s="191"/>
      <c r="E286" s="191"/>
      <c r="F286" s="191"/>
      <c r="G286" s="191"/>
      <c r="H286" s="271" t="s">
        <v>49</v>
      </c>
      <c r="I286" s="271"/>
      <c r="J286" s="270" t="s">
        <v>69</v>
      </c>
      <c r="K286" s="271"/>
      <c r="L286" s="271" t="s">
        <v>50</v>
      </c>
      <c r="M286" s="271"/>
      <c r="N286" s="271" t="s">
        <v>51</v>
      </c>
      <c r="O286" s="271"/>
      <c r="P286" s="271" t="s">
        <v>50</v>
      </c>
      <c r="Q286" s="271"/>
      <c r="R286" s="271" t="s">
        <v>50</v>
      </c>
      <c r="AA286" s="123"/>
      <c r="AC286" s="123"/>
      <c r="AD286" s="123"/>
      <c r="AE286" s="212"/>
      <c r="AF286" s="212"/>
      <c r="AH286" s="123"/>
      <c r="AI286" s="160"/>
      <c r="AJ286" s="160"/>
      <c r="AL286" s="123"/>
      <c r="AM286" s="236"/>
      <c r="AN286" s="236"/>
      <c r="AO286" s="123"/>
      <c r="AP286" s="123"/>
      <c r="AR286" s="123"/>
      <c r="AS286" s="160"/>
    </row>
    <row r="287" spans="1:45" x14ac:dyDescent="0.3">
      <c r="A287" s="297">
        <v>178</v>
      </c>
      <c r="C287" s="132" t="s">
        <v>796</v>
      </c>
      <c r="D287" s="178" t="s">
        <v>815</v>
      </c>
      <c r="E287" s="42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AA287" s="123"/>
      <c r="AC287" s="123"/>
      <c r="AD287" s="123"/>
      <c r="AE287" s="212"/>
      <c r="AF287" s="212"/>
      <c r="AH287" s="123"/>
      <c r="AI287" s="160"/>
      <c r="AJ287" s="160"/>
      <c r="AL287" s="123"/>
      <c r="AM287" s="236"/>
      <c r="AN287" s="236"/>
      <c r="AO287" s="123"/>
      <c r="AP287" s="123"/>
      <c r="AR287" s="123"/>
      <c r="AS287" s="160"/>
    </row>
    <row r="288" spans="1:45" x14ac:dyDescent="0.3">
      <c r="A288" s="297">
        <f>A287+1</f>
        <v>179</v>
      </c>
      <c r="C288" s="178" t="s">
        <v>1116</v>
      </c>
      <c r="D288" s="45"/>
      <c r="E288" s="42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AA288" s="123"/>
      <c r="AC288" s="123"/>
      <c r="AD288" s="123"/>
      <c r="AE288" s="212"/>
      <c r="AF288" s="212"/>
      <c r="AH288" s="123"/>
      <c r="AI288" s="160"/>
      <c r="AJ288" s="160"/>
      <c r="AL288" s="123"/>
      <c r="AM288" s="236"/>
      <c r="AN288" s="236"/>
      <c r="AO288" s="123"/>
      <c r="AP288" s="123"/>
      <c r="AR288" s="123"/>
      <c r="AS288" s="160"/>
    </row>
    <row r="289" spans="1:45" x14ac:dyDescent="0.3">
      <c r="A289" s="297">
        <f t="shared" ref="A289:A314" si="31">A288+1</f>
        <v>180</v>
      </c>
      <c r="C289" s="45" t="s">
        <v>944</v>
      </c>
      <c r="F289" s="184">
        <v>0</v>
      </c>
      <c r="G289" s="1"/>
      <c r="H289" s="184"/>
      <c r="I289" s="159"/>
      <c r="J289" s="238">
        <v>2.3652030000000002</v>
      </c>
      <c r="K289" s="258"/>
      <c r="L289" s="3">
        <f t="shared" si="29"/>
        <v>0</v>
      </c>
      <c r="M289" s="3"/>
      <c r="N289" s="4">
        <v>0</v>
      </c>
      <c r="O289" s="4"/>
      <c r="P289" s="3"/>
      <c r="Q289" s="3"/>
      <c r="R289" s="3">
        <f t="shared" si="30"/>
        <v>0</v>
      </c>
      <c r="AA289" s="123"/>
      <c r="AC289" s="123"/>
      <c r="AD289" s="123"/>
      <c r="AE289" s="212"/>
      <c r="AF289" s="212"/>
      <c r="AH289" s="123"/>
      <c r="AI289" s="160"/>
      <c r="AJ289" s="160"/>
      <c r="AL289" s="123"/>
      <c r="AM289" s="236"/>
      <c r="AN289" s="236"/>
      <c r="AO289" s="123"/>
      <c r="AP289" s="123"/>
      <c r="AR289" s="123"/>
      <c r="AS289" s="160"/>
    </row>
    <row r="290" spans="1:45" x14ac:dyDescent="0.3">
      <c r="A290" s="297">
        <f t="shared" si="31"/>
        <v>181</v>
      </c>
      <c r="C290" s="45" t="s">
        <v>945</v>
      </c>
      <c r="F290" s="184">
        <v>0</v>
      </c>
      <c r="G290" s="1"/>
      <c r="H290" s="184"/>
      <c r="I290" s="159"/>
      <c r="J290" s="238">
        <v>2.502316</v>
      </c>
      <c r="K290" s="258"/>
      <c r="L290" s="3">
        <f t="shared" si="29"/>
        <v>0</v>
      </c>
      <c r="M290" s="3"/>
      <c r="N290" s="4">
        <v>0</v>
      </c>
      <c r="O290" s="4"/>
      <c r="P290" s="3"/>
      <c r="Q290" s="3"/>
      <c r="R290" s="3">
        <f t="shared" si="30"/>
        <v>0</v>
      </c>
      <c r="AA290" s="123"/>
      <c r="AC290" s="123"/>
      <c r="AD290" s="123"/>
      <c r="AE290" s="212"/>
      <c r="AF290" s="212"/>
      <c r="AH290" s="123"/>
      <c r="AI290" s="160"/>
      <c r="AJ290" s="160"/>
      <c r="AL290" s="123"/>
      <c r="AM290" s="236"/>
      <c r="AN290" s="236"/>
      <c r="AO290" s="123"/>
      <c r="AP290" s="123"/>
      <c r="AR290" s="123"/>
      <c r="AS290" s="160"/>
    </row>
    <row r="291" spans="1:45" x14ac:dyDescent="0.3">
      <c r="A291" s="297">
        <f t="shared" si="31"/>
        <v>182</v>
      </c>
      <c r="C291" s="45" t="s">
        <v>946</v>
      </c>
      <c r="F291" s="184">
        <v>0</v>
      </c>
      <c r="G291" s="1"/>
      <c r="H291" s="184"/>
      <c r="I291" s="159"/>
      <c r="J291" s="238">
        <v>2.707986</v>
      </c>
      <c r="K291" s="258"/>
      <c r="L291" s="3">
        <f t="shared" si="29"/>
        <v>0</v>
      </c>
      <c r="M291" s="3"/>
      <c r="N291" s="4">
        <v>0</v>
      </c>
      <c r="O291" s="4"/>
      <c r="P291" s="3"/>
      <c r="Q291" s="3"/>
      <c r="R291" s="3">
        <f t="shared" si="30"/>
        <v>0</v>
      </c>
      <c r="AA291" s="123"/>
      <c r="AC291" s="123"/>
      <c r="AD291" s="123"/>
      <c r="AE291" s="212"/>
      <c r="AF291" s="212"/>
      <c r="AH291" s="123"/>
      <c r="AI291" s="160"/>
      <c r="AJ291" s="160"/>
      <c r="AL291" s="123"/>
      <c r="AM291" s="236"/>
      <c r="AN291" s="236"/>
      <c r="AO291" s="123"/>
      <c r="AP291" s="123"/>
      <c r="AR291" s="123"/>
      <c r="AS291" s="160"/>
    </row>
    <row r="292" spans="1:45" x14ac:dyDescent="0.3">
      <c r="A292" s="297">
        <f t="shared" si="31"/>
        <v>183</v>
      </c>
      <c r="C292" s="45" t="s">
        <v>947</v>
      </c>
      <c r="F292" s="184">
        <v>0</v>
      </c>
      <c r="G292" s="1"/>
      <c r="H292" s="184"/>
      <c r="I292" s="159"/>
      <c r="J292" s="238">
        <v>2.8793769999999999</v>
      </c>
      <c r="K292" s="258"/>
      <c r="L292" s="3">
        <f t="shared" si="29"/>
        <v>0</v>
      </c>
      <c r="M292" s="3"/>
      <c r="N292" s="4">
        <v>0</v>
      </c>
      <c r="O292" s="4"/>
      <c r="P292" s="3"/>
      <c r="Q292" s="3"/>
      <c r="R292" s="3">
        <f t="shared" si="30"/>
        <v>0</v>
      </c>
      <c r="AA292" s="123"/>
      <c r="AC292" s="123"/>
      <c r="AD292" s="123"/>
      <c r="AE292" s="212"/>
      <c r="AF292" s="212"/>
      <c r="AH292" s="123"/>
      <c r="AI292" s="160"/>
      <c r="AJ292" s="160"/>
      <c r="AL292" s="123"/>
      <c r="AM292" s="236"/>
      <c r="AN292" s="236"/>
      <c r="AO292" s="123"/>
      <c r="AP292" s="123"/>
      <c r="AR292" s="123"/>
      <c r="AS292" s="160"/>
    </row>
    <row r="293" spans="1:45" x14ac:dyDescent="0.3">
      <c r="A293" s="297">
        <f t="shared" si="31"/>
        <v>184</v>
      </c>
      <c r="C293" s="45" t="s">
        <v>948</v>
      </c>
      <c r="F293" s="184">
        <v>0</v>
      </c>
      <c r="G293" s="1"/>
      <c r="H293" s="184"/>
      <c r="I293" s="159"/>
      <c r="J293" s="238">
        <v>3.005064</v>
      </c>
      <c r="K293" s="258"/>
      <c r="L293" s="3">
        <f t="shared" si="29"/>
        <v>0</v>
      </c>
      <c r="M293" s="3"/>
      <c r="N293" s="4">
        <v>0</v>
      </c>
      <c r="O293" s="4"/>
      <c r="P293" s="3"/>
      <c r="Q293" s="3"/>
      <c r="R293" s="3">
        <f t="shared" si="30"/>
        <v>0</v>
      </c>
      <c r="AA293" s="123"/>
      <c r="AC293" s="123"/>
      <c r="AD293" s="123"/>
      <c r="AE293" s="212"/>
      <c r="AF293" s="212"/>
      <c r="AH293" s="123"/>
      <c r="AI293" s="160"/>
      <c r="AJ293" s="160"/>
      <c r="AL293" s="123"/>
      <c r="AM293" s="236"/>
      <c r="AN293" s="236"/>
      <c r="AO293" s="123"/>
      <c r="AP293" s="123"/>
      <c r="AR293" s="123"/>
      <c r="AS293" s="160"/>
    </row>
    <row r="294" spans="1:45" x14ac:dyDescent="0.3">
      <c r="A294" s="297">
        <f t="shared" si="31"/>
        <v>185</v>
      </c>
      <c r="C294" s="45" t="s">
        <v>949</v>
      </c>
      <c r="F294" s="184">
        <v>0</v>
      </c>
      <c r="G294" s="1"/>
      <c r="H294" s="184"/>
      <c r="I294" s="159"/>
      <c r="J294" s="238">
        <v>5.5645110000000004</v>
      </c>
      <c r="K294" s="258"/>
      <c r="L294" s="3">
        <f t="shared" si="29"/>
        <v>0</v>
      </c>
      <c r="M294" s="3"/>
      <c r="N294" s="4">
        <v>0</v>
      </c>
      <c r="O294" s="4"/>
      <c r="P294" s="3"/>
      <c r="Q294" s="3"/>
      <c r="R294" s="3">
        <f t="shared" si="30"/>
        <v>0</v>
      </c>
      <c r="AA294" s="123"/>
      <c r="AC294" s="123"/>
      <c r="AD294" s="123"/>
      <c r="AE294" s="212"/>
      <c r="AF294" s="212"/>
      <c r="AH294" s="123"/>
      <c r="AI294" s="160"/>
      <c r="AJ294" s="160"/>
      <c r="AL294" s="123"/>
      <c r="AM294" s="236"/>
      <c r="AN294" s="236"/>
      <c r="AO294" s="123"/>
      <c r="AP294" s="123"/>
      <c r="AR294" s="123"/>
      <c r="AS294" s="160"/>
    </row>
    <row r="295" spans="1:45" x14ac:dyDescent="0.3">
      <c r="A295" s="297">
        <f t="shared" si="31"/>
        <v>186</v>
      </c>
      <c r="C295" s="45" t="s">
        <v>950</v>
      </c>
      <c r="F295" s="184">
        <v>0</v>
      </c>
      <c r="G295" s="1"/>
      <c r="H295" s="184"/>
      <c r="I295" s="159"/>
      <c r="J295" s="238">
        <v>7.0499039999999997</v>
      </c>
      <c r="K295" s="258"/>
      <c r="L295" s="3">
        <f t="shared" si="29"/>
        <v>0</v>
      </c>
      <c r="M295" s="3"/>
      <c r="N295" s="4">
        <v>0</v>
      </c>
      <c r="O295" s="4"/>
      <c r="P295" s="3"/>
      <c r="Q295" s="3"/>
      <c r="R295" s="3">
        <f t="shared" si="30"/>
        <v>0</v>
      </c>
      <c r="AA295" s="123"/>
      <c r="AC295" s="123"/>
      <c r="AD295" s="123"/>
      <c r="AE295" s="212"/>
      <c r="AF295" s="212"/>
      <c r="AH295" s="123"/>
      <c r="AI295" s="160"/>
      <c r="AJ295" s="160"/>
      <c r="AL295" s="123"/>
      <c r="AM295" s="236"/>
      <c r="AN295" s="236"/>
      <c r="AO295" s="123"/>
      <c r="AP295" s="123"/>
      <c r="AR295" s="123"/>
      <c r="AS295" s="160"/>
    </row>
    <row r="296" spans="1:45" x14ac:dyDescent="0.3">
      <c r="A296" s="297">
        <f t="shared" si="31"/>
        <v>187</v>
      </c>
      <c r="C296" s="45" t="s">
        <v>951</v>
      </c>
      <c r="F296" s="184">
        <v>0</v>
      </c>
      <c r="G296" s="1"/>
      <c r="H296" s="184"/>
      <c r="I296" s="159"/>
      <c r="J296" s="238">
        <v>8.066827</v>
      </c>
      <c r="K296" s="258"/>
      <c r="L296" s="3">
        <f t="shared" si="29"/>
        <v>0</v>
      </c>
      <c r="M296" s="3"/>
      <c r="N296" s="4">
        <v>0</v>
      </c>
      <c r="O296" s="4"/>
      <c r="P296" s="3"/>
      <c r="Q296" s="3"/>
      <c r="R296" s="3">
        <f t="shared" si="30"/>
        <v>0</v>
      </c>
      <c r="AA296" s="123"/>
      <c r="AC296" s="123"/>
      <c r="AD296" s="123"/>
      <c r="AE296" s="212"/>
      <c r="AF296" s="212"/>
      <c r="AH296" s="123"/>
      <c r="AI296" s="160"/>
      <c r="AJ296" s="160"/>
      <c r="AL296" s="123"/>
      <c r="AM296" s="236"/>
      <c r="AN296" s="236"/>
      <c r="AO296" s="123"/>
      <c r="AP296" s="123"/>
      <c r="AR296" s="123"/>
      <c r="AS296" s="160"/>
    </row>
    <row r="297" spans="1:45" x14ac:dyDescent="0.3">
      <c r="A297" s="297">
        <f t="shared" si="31"/>
        <v>188</v>
      </c>
      <c r="C297" s="45" t="s">
        <v>952</v>
      </c>
      <c r="F297" s="184">
        <v>0</v>
      </c>
      <c r="G297" s="1"/>
      <c r="H297" s="184"/>
      <c r="I297" s="159"/>
      <c r="J297" s="238">
        <v>8.489592</v>
      </c>
      <c r="K297" s="258"/>
      <c r="L297" s="3">
        <f t="shared" si="29"/>
        <v>0</v>
      </c>
      <c r="M297" s="3"/>
      <c r="N297" s="4">
        <v>0</v>
      </c>
      <c r="O297" s="4"/>
      <c r="P297" s="3"/>
      <c r="Q297" s="3"/>
      <c r="R297" s="3">
        <f t="shared" si="30"/>
        <v>0</v>
      </c>
      <c r="AA297" s="123"/>
      <c r="AC297" s="123"/>
      <c r="AD297" s="123"/>
      <c r="AE297" s="212"/>
      <c r="AF297" s="212"/>
      <c r="AH297" s="123"/>
      <c r="AI297" s="160"/>
      <c r="AJ297" s="160"/>
      <c r="AL297" s="123"/>
      <c r="AM297" s="236"/>
      <c r="AN297" s="236"/>
      <c r="AO297" s="123"/>
      <c r="AP297" s="123"/>
      <c r="AR297" s="123"/>
      <c r="AS297" s="160"/>
    </row>
    <row r="298" spans="1:45" x14ac:dyDescent="0.3">
      <c r="A298" s="297">
        <f t="shared" si="31"/>
        <v>189</v>
      </c>
      <c r="C298" s="45" t="s">
        <v>953</v>
      </c>
      <c r="F298" s="184">
        <v>0</v>
      </c>
      <c r="G298" s="1"/>
      <c r="H298" s="184"/>
      <c r="I298" s="159"/>
      <c r="J298" s="238">
        <v>14.522573</v>
      </c>
      <c r="K298" s="258"/>
      <c r="L298" s="3">
        <f t="shared" si="29"/>
        <v>0</v>
      </c>
      <c r="M298" s="3"/>
      <c r="N298" s="4">
        <v>0</v>
      </c>
      <c r="O298" s="4"/>
      <c r="P298" s="3"/>
      <c r="Q298" s="3"/>
      <c r="R298" s="3">
        <f t="shared" si="30"/>
        <v>0</v>
      </c>
      <c r="AA298" s="123"/>
      <c r="AC298" s="123"/>
      <c r="AD298" s="123"/>
      <c r="AE298" s="212"/>
      <c r="AF298" s="212"/>
      <c r="AH298" s="123"/>
      <c r="AI298" s="160"/>
      <c r="AJ298" s="160"/>
      <c r="AL298" s="123"/>
      <c r="AM298" s="236"/>
      <c r="AN298" s="236"/>
      <c r="AO298" s="123"/>
      <c r="AP298" s="123"/>
      <c r="AR298" s="123"/>
      <c r="AS298" s="160"/>
    </row>
    <row r="299" spans="1:45" x14ac:dyDescent="0.3">
      <c r="A299" s="297">
        <f t="shared" si="31"/>
        <v>190</v>
      </c>
      <c r="C299" s="45" t="s">
        <v>954</v>
      </c>
      <c r="F299" s="184">
        <v>0</v>
      </c>
      <c r="G299" s="1"/>
      <c r="H299" s="184"/>
      <c r="I299" s="159"/>
      <c r="J299" s="238">
        <v>7.3584079999999998</v>
      </c>
      <c r="K299" s="258"/>
      <c r="L299" s="3">
        <f t="shared" si="29"/>
        <v>0</v>
      </c>
      <c r="M299" s="3"/>
      <c r="N299" s="4">
        <v>0</v>
      </c>
      <c r="O299" s="4"/>
      <c r="P299" s="3"/>
      <c r="Q299" s="3"/>
      <c r="R299" s="3">
        <f t="shared" si="30"/>
        <v>0</v>
      </c>
      <c r="AA299" s="123"/>
      <c r="AC299" s="123"/>
      <c r="AD299" s="123"/>
      <c r="AE299" s="212"/>
      <c r="AF299" s="212"/>
      <c r="AH299" s="123"/>
      <c r="AI299" s="160"/>
      <c r="AJ299" s="160"/>
      <c r="AL299" s="123"/>
      <c r="AM299" s="236"/>
      <c r="AN299" s="236"/>
      <c r="AO299" s="123"/>
      <c r="AP299" s="123"/>
      <c r="AR299" s="123"/>
      <c r="AS299" s="160"/>
    </row>
    <row r="300" spans="1:45" x14ac:dyDescent="0.3">
      <c r="A300" s="297">
        <f t="shared" si="31"/>
        <v>191</v>
      </c>
      <c r="C300" s="45" t="s">
        <v>955</v>
      </c>
      <c r="F300" s="184">
        <v>287</v>
      </c>
      <c r="G300" s="1"/>
      <c r="H300" s="184"/>
      <c r="I300" s="159"/>
      <c r="J300" s="238">
        <v>2.0795499999999998</v>
      </c>
      <c r="K300" s="258"/>
      <c r="L300" s="3">
        <f t="shared" si="29"/>
        <v>597</v>
      </c>
      <c r="M300" s="3"/>
      <c r="N300" s="4">
        <v>0</v>
      </c>
      <c r="O300" s="4"/>
      <c r="P300" s="3"/>
      <c r="Q300" s="3"/>
      <c r="R300" s="3">
        <f t="shared" si="30"/>
        <v>597</v>
      </c>
      <c r="AA300" s="123"/>
      <c r="AC300" s="123"/>
      <c r="AD300" s="123"/>
      <c r="AE300" s="212"/>
      <c r="AF300" s="212"/>
      <c r="AH300" s="123"/>
      <c r="AI300" s="160"/>
      <c r="AJ300" s="160"/>
      <c r="AL300" s="123"/>
      <c r="AM300" s="236"/>
      <c r="AN300" s="236"/>
      <c r="AO300" s="123"/>
      <c r="AP300" s="123"/>
      <c r="AR300" s="123"/>
      <c r="AS300" s="160"/>
    </row>
    <row r="301" spans="1:45" x14ac:dyDescent="0.3">
      <c r="A301" s="297">
        <f t="shared" si="31"/>
        <v>192</v>
      </c>
      <c r="C301" s="45" t="s">
        <v>956</v>
      </c>
      <c r="F301" s="184">
        <v>18</v>
      </c>
      <c r="G301" s="1"/>
      <c r="H301" s="184"/>
      <c r="I301" s="159"/>
      <c r="J301" s="238">
        <v>2.296646</v>
      </c>
      <c r="K301" s="258"/>
      <c r="L301" s="3">
        <f t="shared" si="29"/>
        <v>41</v>
      </c>
      <c r="M301" s="3"/>
      <c r="N301" s="4">
        <v>0</v>
      </c>
      <c r="O301" s="4"/>
      <c r="P301" s="3"/>
      <c r="Q301" s="3"/>
      <c r="R301" s="3">
        <f t="shared" si="30"/>
        <v>41</v>
      </c>
      <c r="AA301" s="123"/>
      <c r="AC301" s="123"/>
      <c r="AD301" s="123"/>
      <c r="AE301" s="212"/>
      <c r="AF301" s="212"/>
      <c r="AH301" s="123"/>
      <c r="AI301" s="160"/>
      <c r="AJ301" s="160"/>
      <c r="AL301" s="123"/>
      <c r="AM301" s="236"/>
      <c r="AN301" s="236"/>
      <c r="AO301" s="123"/>
      <c r="AP301" s="123"/>
      <c r="AR301" s="123"/>
      <c r="AS301" s="160"/>
    </row>
    <row r="302" spans="1:45" x14ac:dyDescent="0.3">
      <c r="A302" s="297">
        <f t="shared" si="31"/>
        <v>193</v>
      </c>
      <c r="C302" s="45" t="s">
        <v>1012</v>
      </c>
      <c r="F302" s="184">
        <v>0</v>
      </c>
      <c r="G302" s="1"/>
      <c r="H302" s="184"/>
      <c r="I302" s="159"/>
      <c r="J302" s="238">
        <v>2.8336730000000001</v>
      </c>
      <c r="K302" s="258"/>
      <c r="L302" s="3">
        <f t="shared" si="29"/>
        <v>0</v>
      </c>
      <c r="M302" s="3"/>
      <c r="N302" s="4">
        <v>0</v>
      </c>
      <c r="O302" s="4"/>
      <c r="P302" s="3"/>
      <c r="Q302" s="3"/>
      <c r="R302" s="3">
        <f t="shared" si="30"/>
        <v>0</v>
      </c>
      <c r="AA302" s="123"/>
      <c r="AC302" s="123"/>
      <c r="AD302" s="123"/>
      <c r="AE302" s="212"/>
      <c r="AF302" s="212"/>
      <c r="AH302" s="123"/>
      <c r="AI302" s="160"/>
      <c r="AJ302" s="160"/>
      <c r="AL302" s="123"/>
      <c r="AM302" s="236"/>
      <c r="AN302" s="236"/>
      <c r="AO302" s="123"/>
      <c r="AP302" s="123"/>
      <c r="AR302" s="123"/>
      <c r="AS302" s="160"/>
    </row>
    <row r="303" spans="1:45" x14ac:dyDescent="0.3">
      <c r="A303" s="297">
        <f t="shared" si="31"/>
        <v>194</v>
      </c>
      <c r="C303" s="45" t="s">
        <v>1013</v>
      </c>
      <c r="F303" s="184">
        <v>0</v>
      </c>
      <c r="G303" s="1"/>
      <c r="H303" s="184"/>
      <c r="I303" s="159"/>
      <c r="J303" s="238">
        <v>10.420603</v>
      </c>
      <c r="K303" s="258"/>
      <c r="L303" s="3">
        <f t="shared" si="29"/>
        <v>0</v>
      </c>
      <c r="M303" s="3"/>
      <c r="N303" s="4">
        <v>0</v>
      </c>
      <c r="O303" s="4"/>
      <c r="P303" s="3"/>
      <c r="Q303" s="3"/>
      <c r="R303" s="3">
        <f t="shared" si="30"/>
        <v>0</v>
      </c>
      <c r="AA303" s="123"/>
      <c r="AC303" s="123"/>
      <c r="AD303" s="123"/>
      <c r="AE303" s="212"/>
      <c r="AF303" s="212"/>
      <c r="AH303" s="123"/>
      <c r="AI303" s="160"/>
      <c r="AJ303" s="160"/>
      <c r="AL303" s="123"/>
      <c r="AM303" s="236"/>
      <c r="AN303" s="236"/>
      <c r="AO303" s="123"/>
      <c r="AP303" s="123"/>
      <c r="AR303" s="123"/>
      <c r="AS303" s="160"/>
    </row>
    <row r="304" spans="1:45" x14ac:dyDescent="0.3">
      <c r="A304" s="297">
        <f t="shared" si="31"/>
        <v>195</v>
      </c>
      <c r="C304" s="45" t="s">
        <v>1014</v>
      </c>
      <c r="F304" s="184">
        <v>0</v>
      </c>
      <c r="G304" s="1"/>
      <c r="H304" s="184"/>
      <c r="I304" s="159"/>
      <c r="J304" s="238">
        <v>12.008831000000001</v>
      </c>
      <c r="K304" s="258"/>
      <c r="L304" s="3">
        <f t="shared" si="29"/>
        <v>0</v>
      </c>
      <c r="M304" s="3"/>
      <c r="N304" s="4">
        <v>0</v>
      </c>
      <c r="O304" s="4"/>
      <c r="P304" s="3"/>
      <c r="Q304" s="3"/>
      <c r="R304" s="3">
        <f t="shared" si="30"/>
        <v>0</v>
      </c>
      <c r="AA304" s="123"/>
      <c r="AC304" s="123"/>
      <c r="AD304" s="123"/>
      <c r="AE304" s="212"/>
      <c r="AF304" s="212"/>
      <c r="AH304" s="123"/>
      <c r="AI304" s="160"/>
      <c r="AJ304" s="160"/>
      <c r="AL304" s="123"/>
      <c r="AM304" s="236"/>
      <c r="AN304" s="236"/>
      <c r="AO304" s="123"/>
      <c r="AP304" s="123"/>
      <c r="AR304" s="123"/>
      <c r="AS304" s="160"/>
    </row>
    <row r="305" spans="1:45" x14ac:dyDescent="0.3">
      <c r="A305" s="297">
        <f t="shared" si="31"/>
        <v>196</v>
      </c>
      <c r="C305" s="45" t="s">
        <v>1015</v>
      </c>
      <c r="F305" s="184">
        <v>0</v>
      </c>
      <c r="G305" s="1"/>
      <c r="H305" s="184"/>
      <c r="I305" s="159"/>
      <c r="J305" s="238">
        <v>13.208572</v>
      </c>
      <c r="K305" s="258"/>
      <c r="L305" s="3">
        <f t="shared" si="29"/>
        <v>0</v>
      </c>
      <c r="M305" s="3"/>
      <c r="N305" s="4">
        <v>0</v>
      </c>
      <c r="O305" s="4"/>
      <c r="P305" s="3"/>
      <c r="Q305" s="3"/>
      <c r="R305" s="3">
        <f t="shared" si="30"/>
        <v>0</v>
      </c>
      <c r="AA305" s="123"/>
      <c r="AC305" s="123"/>
      <c r="AD305" s="123"/>
      <c r="AE305" s="212"/>
      <c r="AF305" s="212"/>
      <c r="AH305" s="123"/>
      <c r="AI305" s="160"/>
      <c r="AJ305" s="160"/>
      <c r="AL305" s="123"/>
      <c r="AM305" s="236"/>
      <c r="AN305" s="236"/>
      <c r="AO305" s="123"/>
      <c r="AP305" s="123"/>
      <c r="AR305" s="123"/>
      <c r="AS305" s="160"/>
    </row>
    <row r="306" spans="1:45" x14ac:dyDescent="0.3">
      <c r="A306" s="297">
        <f t="shared" si="31"/>
        <v>197</v>
      </c>
      <c r="C306" s="45" t="s">
        <v>1016</v>
      </c>
      <c r="F306" s="184">
        <v>0</v>
      </c>
      <c r="G306" s="1"/>
      <c r="H306" s="184"/>
      <c r="I306" s="159"/>
      <c r="J306" s="238">
        <v>5.5530850000000003</v>
      </c>
      <c r="K306" s="258"/>
      <c r="L306" s="3">
        <f t="shared" si="29"/>
        <v>0</v>
      </c>
      <c r="M306" s="3"/>
      <c r="N306" s="4">
        <v>0</v>
      </c>
      <c r="O306" s="4"/>
      <c r="P306" s="3"/>
      <c r="Q306" s="3"/>
      <c r="R306" s="3">
        <f t="shared" si="30"/>
        <v>0</v>
      </c>
      <c r="AA306" s="123"/>
      <c r="AC306" s="123"/>
      <c r="AD306" s="123"/>
      <c r="AE306" s="212"/>
      <c r="AF306" s="212"/>
      <c r="AH306" s="123"/>
      <c r="AI306" s="160"/>
      <c r="AJ306" s="160"/>
      <c r="AL306" s="123"/>
      <c r="AM306" s="236"/>
      <c r="AN306" s="236"/>
      <c r="AO306" s="123"/>
      <c r="AP306" s="123"/>
      <c r="AR306" s="123"/>
      <c r="AS306" s="160"/>
    </row>
    <row r="307" spans="1:45" x14ac:dyDescent="0.3">
      <c r="A307" s="297">
        <f t="shared" si="31"/>
        <v>198</v>
      </c>
      <c r="C307" s="45" t="s">
        <v>1017</v>
      </c>
      <c r="F307" s="184">
        <v>0</v>
      </c>
      <c r="G307" s="1"/>
      <c r="H307" s="184"/>
      <c r="I307" s="159"/>
      <c r="J307" s="238">
        <v>5.2674320000000003</v>
      </c>
      <c r="K307" s="258"/>
      <c r="L307" s="3">
        <f t="shared" si="29"/>
        <v>0</v>
      </c>
      <c r="M307" s="3"/>
      <c r="N307" s="4">
        <v>0</v>
      </c>
      <c r="O307" s="4"/>
      <c r="P307" s="3"/>
      <c r="Q307" s="3"/>
      <c r="R307" s="3">
        <f t="shared" si="30"/>
        <v>0</v>
      </c>
      <c r="AA307" s="123"/>
      <c r="AC307" s="123"/>
      <c r="AD307" s="123"/>
      <c r="AE307" s="212"/>
      <c r="AF307" s="212"/>
      <c r="AH307" s="123"/>
      <c r="AI307" s="160"/>
      <c r="AJ307" s="160"/>
      <c r="AL307" s="123"/>
      <c r="AM307" s="236"/>
      <c r="AN307" s="236"/>
      <c r="AO307" s="123"/>
      <c r="AP307" s="123"/>
      <c r="AR307" s="123"/>
      <c r="AS307" s="160"/>
    </row>
    <row r="308" spans="1:45" x14ac:dyDescent="0.3">
      <c r="A308" s="297">
        <f t="shared" si="31"/>
        <v>199</v>
      </c>
      <c r="C308" s="45" t="s">
        <v>1018</v>
      </c>
      <c r="F308" s="184">
        <v>0</v>
      </c>
      <c r="G308" s="1"/>
      <c r="H308" s="184"/>
      <c r="I308" s="159"/>
      <c r="J308" s="238">
        <v>5.8387370000000001</v>
      </c>
      <c r="K308" s="258"/>
      <c r="L308" s="3">
        <f t="shared" si="29"/>
        <v>0</v>
      </c>
      <c r="M308" s="3"/>
      <c r="N308" s="4">
        <v>0</v>
      </c>
      <c r="O308" s="4"/>
      <c r="P308" s="3"/>
      <c r="Q308" s="3"/>
      <c r="R308" s="3">
        <f t="shared" si="30"/>
        <v>0</v>
      </c>
      <c r="AA308" s="123"/>
      <c r="AC308" s="123"/>
      <c r="AD308" s="123"/>
      <c r="AE308" s="212"/>
      <c r="AF308" s="212"/>
      <c r="AH308" s="123"/>
      <c r="AI308" s="160"/>
      <c r="AJ308" s="160"/>
      <c r="AL308" s="123"/>
      <c r="AM308" s="236"/>
      <c r="AN308" s="236"/>
      <c r="AO308" s="123"/>
      <c r="AP308" s="123"/>
      <c r="AR308" s="123"/>
      <c r="AS308" s="160"/>
    </row>
    <row r="309" spans="1:45" x14ac:dyDescent="0.3">
      <c r="A309" s="297">
        <f t="shared" si="31"/>
        <v>200</v>
      </c>
      <c r="C309" s="45" t="s">
        <v>1019</v>
      </c>
      <c r="F309" s="184">
        <v>0</v>
      </c>
      <c r="G309" s="1"/>
      <c r="H309" s="184"/>
      <c r="I309" s="159"/>
      <c r="J309" s="238">
        <v>7.4498170000000004</v>
      </c>
      <c r="K309" s="258"/>
      <c r="L309" s="3">
        <f t="shared" si="29"/>
        <v>0</v>
      </c>
      <c r="M309" s="3"/>
      <c r="N309" s="4">
        <v>0</v>
      </c>
      <c r="O309" s="4"/>
      <c r="P309" s="3"/>
      <c r="Q309" s="3"/>
      <c r="R309" s="3">
        <f t="shared" si="30"/>
        <v>0</v>
      </c>
      <c r="AA309" s="123"/>
      <c r="AC309" s="123"/>
      <c r="AD309" s="123"/>
      <c r="AE309" s="212"/>
      <c r="AF309" s="212"/>
      <c r="AH309" s="123"/>
      <c r="AI309" s="160"/>
      <c r="AJ309" s="160"/>
      <c r="AL309" s="123"/>
      <c r="AM309" s="236"/>
      <c r="AN309" s="236"/>
      <c r="AO309" s="123"/>
      <c r="AP309" s="123"/>
      <c r="AR309" s="123"/>
      <c r="AS309" s="160"/>
    </row>
    <row r="310" spans="1:45" x14ac:dyDescent="0.3">
      <c r="A310" s="297">
        <f t="shared" si="31"/>
        <v>201</v>
      </c>
      <c r="C310" s="45" t="s">
        <v>1020</v>
      </c>
      <c r="F310" s="184">
        <v>0</v>
      </c>
      <c r="G310" s="1"/>
      <c r="H310" s="184"/>
      <c r="I310" s="159"/>
      <c r="J310" s="238">
        <v>8.3753309999999992</v>
      </c>
      <c r="K310" s="258"/>
      <c r="L310" s="3">
        <f t="shared" si="29"/>
        <v>0</v>
      </c>
      <c r="M310" s="3"/>
      <c r="N310" s="4">
        <v>0</v>
      </c>
      <c r="O310" s="4"/>
      <c r="P310" s="3"/>
      <c r="Q310" s="3"/>
      <c r="R310" s="3">
        <f t="shared" si="30"/>
        <v>0</v>
      </c>
      <c r="AA310" s="123"/>
      <c r="AC310" s="123"/>
      <c r="AD310" s="123"/>
      <c r="AE310" s="212"/>
      <c r="AF310" s="212"/>
      <c r="AH310" s="123"/>
      <c r="AI310" s="160"/>
      <c r="AJ310" s="160"/>
      <c r="AL310" s="123"/>
      <c r="AM310" s="236"/>
      <c r="AN310" s="236"/>
      <c r="AO310" s="123"/>
      <c r="AP310" s="123"/>
      <c r="AR310" s="123"/>
      <c r="AS310" s="160"/>
    </row>
    <row r="311" spans="1:45" x14ac:dyDescent="0.3">
      <c r="A311" s="297">
        <f t="shared" si="31"/>
        <v>202</v>
      </c>
      <c r="C311" s="45" t="s">
        <v>1021</v>
      </c>
      <c r="F311" s="184">
        <v>0</v>
      </c>
      <c r="G311" s="1"/>
      <c r="H311" s="184"/>
      <c r="I311" s="159"/>
      <c r="J311" s="238">
        <v>6.1129639999999998</v>
      </c>
      <c r="K311" s="258"/>
      <c r="L311" s="3">
        <f t="shared" si="29"/>
        <v>0</v>
      </c>
      <c r="M311" s="3"/>
      <c r="N311" s="4">
        <v>0</v>
      </c>
      <c r="O311" s="4"/>
      <c r="P311" s="3"/>
      <c r="Q311" s="3"/>
      <c r="R311" s="3">
        <f t="shared" si="30"/>
        <v>0</v>
      </c>
      <c r="AA311" s="123"/>
      <c r="AC311" s="123"/>
      <c r="AD311" s="123"/>
      <c r="AE311" s="212"/>
      <c r="AF311" s="212"/>
      <c r="AH311" s="123"/>
      <c r="AI311" s="160"/>
      <c r="AJ311" s="160"/>
      <c r="AL311" s="123"/>
      <c r="AM311" s="236"/>
      <c r="AN311" s="236"/>
      <c r="AO311" s="123"/>
      <c r="AP311" s="123"/>
      <c r="AR311" s="123"/>
      <c r="AS311" s="160"/>
    </row>
    <row r="312" spans="1:45" x14ac:dyDescent="0.3">
      <c r="A312" s="297">
        <f t="shared" si="31"/>
        <v>203</v>
      </c>
      <c r="C312" s="45" t="s">
        <v>1022</v>
      </c>
      <c r="F312" s="184">
        <v>0</v>
      </c>
      <c r="G312" s="1"/>
      <c r="H312" s="184"/>
      <c r="I312" s="159"/>
      <c r="J312" s="238">
        <v>7.2898519999999998</v>
      </c>
      <c r="K312" s="258"/>
      <c r="L312" s="3">
        <f t="shared" si="29"/>
        <v>0</v>
      </c>
      <c r="M312" s="3"/>
      <c r="N312" s="4">
        <v>0</v>
      </c>
      <c r="O312" s="4"/>
      <c r="P312" s="3"/>
      <c r="Q312" s="3"/>
      <c r="R312" s="3">
        <f t="shared" si="30"/>
        <v>0</v>
      </c>
      <c r="AA312" s="123"/>
      <c r="AC312" s="123"/>
      <c r="AD312" s="123"/>
      <c r="AE312" s="212"/>
      <c r="AF312" s="212"/>
      <c r="AH312" s="123"/>
      <c r="AI312" s="160"/>
      <c r="AJ312" s="160"/>
      <c r="AL312" s="123"/>
      <c r="AM312" s="236"/>
      <c r="AN312" s="236"/>
      <c r="AO312" s="123"/>
      <c r="AP312" s="123"/>
      <c r="AR312" s="123"/>
      <c r="AS312" s="160"/>
    </row>
    <row r="313" spans="1:45" x14ac:dyDescent="0.3">
      <c r="A313" s="297">
        <f t="shared" si="31"/>
        <v>204</v>
      </c>
      <c r="C313" s="45" t="s">
        <v>1023</v>
      </c>
      <c r="F313" s="184">
        <v>0</v>
      </c>
      <c r="G313" s="1"/>
      <c r="H313" s="184"/>
      <c r="I313" s="159"/>
      <c r="J313" s="238">
        <v>5.8158849999999997</v>
      </c>
      <c r="K313" s="258"/>
      <c r="L313" s="3">
        <f t="shared" si="29"/>
        <v>0</v>
      </c>
      <c r="M313" s="3"/>
      <c r="N313" s="4">
        <v>0</v>
      </c>
      <c r="O313" s="4"/>
      <c r="P313" s="3"/>
      <c r="Q313" s="3"/>
      <c r="R313" s="3">
        <f t="shared" si="30"/>
        <v>0</v>
      </c>
      <c r="AA313" s="123"/>
      <c r="AC313" s="123"/>
      <c r="AD313" s="123"/>
      <c r="AE313" s="212"/>
      <c r="AF313" s="212"/>
      <c r="AH313" s="123"/>
      <c r="AI313" s="160"/>
      <c r="AJ313" s="160"/>
      <c r="AL313" s="123"/>
      <c r="AM313" s="236"/>
      <c r="AN313" s="236"/>
      <c r="AO313" s="123"/>
      <c r="AP313" s="123"/>
      <c r="AR313" s="123"/>
      <c r="AS313" s="160"/>
    </row>
    <row r="314" spans="1:45" x14ac:dyDescent="0.3">
      <c r="A314" s="297">
        <f t="shared" si="31"/>
        <v>205</v>
      </c>
      <c r="C314" s="178" t="s">
        <v>930</v>
      </c>
      <c r="F314" s="145">
        <f>SUM(F252:F313)</f>
        <v>323</v>
      </c>
      <c r="G314" s="1"/>
      <c r="H314" s="184"/>
      <c r="I314" s="159"/>
      <c r="J314" s="238"/>
      <c r="K314" s="258"/>
      <c r="L314" s="145">
        <f>SUM(L252:L313)</f>
        <v>704</v>
      </c>
      <c r="M314" s="3"/>
      <c r="N314" s="211">
        <f>ROUND((L314/L$340)*100,1)</f>
        <v>3.1</v>
      </c>
      <c r="O314" s="4"/>
      <c r="P314" s="3"/>
      <c r="Q314" s="3"/>
      <c r="R314" s="145">
        <f>SUM(R252:R313)</f>
        <v>704</v>
      </c>
      <c r="AA314" s="123"/>
      <c r="AC314" s="123"/>
      <c r="AD314" s="123"/>
      <c r="AE314" s="212"/>
      <c r="AF314" s="212"/>
      <c r="AH314" s="123"/>
      <c r="AI314" s="160"/>
      <c r="AJ314" s="160"/>
      <c r="AL314" s="123"/>
      <c r="AM314" s="236"/>
      <c r="AN314" s="236"/>
      <c r="AO314" s="123"/>
      <c r="AP314" s="123"/>
      <c r="AR314" s="123"/>
      <c r="AS314" s="160"/>
    </row>
    <row r="315" spans="1:45" x14ac:dyDescent="0.3">
      <c r="A315" s="297"/>
      <c r="B315" s="291"/>
      <c r="C315" s="45"/>
      <c r="D315" s="291"/>
      <c r="F315" s="184"/>
      <c r="G315" s="1"/>
      <c r="H315" s="184"/>
      <c r="I315" s="159"/>
      <c r="J315" s="238"/>
      <c r="K315" s="258"/>
      <c r="L315" s="3"/>
      <c r="M315" s="3"/>
      <c r="N315" s="4"/>
      <c r="O315" s="4"/>
      <c r="P315" s="3"/>
      <c r="Q315" s="3"/>
      <c r="R315" s="3"/>
      <c r="AA315" s="123"/>
      <c r="AC315" s="123"/>
      <c r="AD315" s="123"/>
      <c r="AE315" s="212"/>
      <c r="AF315" s="212"/>
      <c r="AH315" s="123"/>
      <c r="AI315" s="160"/>
      <c r="AJ315" s="160"/>
      <c r="AL315" s="123"/>
      <c r="AM315" s="236"/>
      <c r="AN315" s="236"/>
      <c r="AO315" s="123"/>
      <c r="AP315" s="123"/>
      <c r="AR315" s="123"/>
      <c r="AS315" s="160"/>
    </row>
    <row r="316" spans="1:45" x14ac:dyDescent="0.3">
      <c r="A316" s="297">
        <f>A314+1</f>
        <v>206</v>
      </c>
      <c r="B316" s="291"/>
      <c r="C316" s="132" t="s">
        <v>957</v>
      </c>
      <c r="D316" s="291"/>
      <c r="F316" s="184"/>
      <c r="G316" s="1"/>
      <c r="H316" s="184"/>
      <c r="I316" s="159"/>
      <c r="J316" s="238"/>
      <c r="K316" s="258"/>
      <c r="L316" s="3"/>
      <c r="M316" s="3"/>
      <c r="N316" s="4"/>
      <c r="O316" s="4"/>
      <c r="P316" s="3"/>
      <c r="Q316" s="3"/>
      <c r="R316" s="3"/>
      <c r="AA316" s="123"/>
      <c r="AC316" s="123"/>
      <c r="AD316" s="123"/>
      <c r="AE316" s="212"/>
      <c r="AF316" s="212"/>
      <c r="AH316" s="123"/>
      <c r="AI316" s="160"/>
      <c r="AJ316" s="160"/>
      <c r="AL316" s="123"/>
      <c r="AM316" s="236"/>
      <c r="AN316" s="236"/>
      <c r="AO316" s="123"/>
      <c r="AP316" s="123"/>
      <c r="AR316" s="123"/>
      <c r="AS316" s="160"/>
    </row>
    <row r="317" spans="1:45" x14ac:dyDescent="0.3">
      <c r="A317" s="297">
        <f>A316+1</f>
        <v>207</v>
      </c>
      <c r="B317" s="291"/>
      <c r="C317" s="45" t="s">
        <v>959</v>
      </c>
      <c r="D317" s="291"/>
      <c r="F317" s="184">
        <v>0</v>
      </c>
      <c r="G317" s="1"/>
      <c r="H317" s="184"/>
      <c r="I317" s="159"/>
      <c r="J317" s="238">
        <v>2.822247</v>
      </c>
      <c r="K317" s="258"/>
      <c r="L317" s="3">
        <f t="shared" ref="L317:L324" si="32">ROUND((F317*J317),0)</f>
        <v>0</v>
      </c>
      <c r="M317" s="3"/>
      <c r="N317" s="4">
        <v>0</v>
      </c>
      <c r="O317" s="4"/>
      <c r="P317" s="3"/>
      <c r="Q317" s="3"/>
      <c r="R317" s="3">
        <f t="shared" ref="R317:R324" si="33">L317+P317</f>
        <v>0</v>
      </c>
      <c r="AA317" s="123"/>
      <c r="AC317" s="123"/>
      <c r="AD317" s="123"/>
      <c r="AE317" s="212"/>
      <c r="AF317" s="212"/>
      <c r="AH317" s="123"/>
      <c r="AI317" s="160"/>
      <c r="AJ317" s="160"/>
      <c r="AL317" s="123"/>
      <c r="AM317" s="236"/>
      <c r="AN317" s="236"/>
      <c r="AO317" s="123"/>
      <c r="AP317" s="123"/>
      <c r="AR317" s="123"/>
      <c r="AS317" s="160"/>
    </row>
    <row r="318" spans="1:45" x14ac:dyDescent="0.3">
      <c r="A318" s="297">
        <f t="shared" ref="A318:A325" si="34">A317+1</f>
        <v>208</v>
      </c>
      <c r="B318" s="291"/>
      <c r="C318" s="45" t="s">
        <v>960</v>
      </c>
      <c r="D318" s="291"/>
      <c r="F318" s="184">
        <v>0</v>
      </c>
      <c r="G318" s="1"/>
      <c r="H318" s="184"/>
      <c r="I318" s="159"/>
      <c r="J318" s="238">
        <v>4.0448389999999996</v>
      </c>
      <c r="K318" s="258"/>
      <c r="L318" s="3">
        <f t="shared" si="32"/>
        <v>0</v>
      </c>
      <c r="M318" s="3"/>
      <c r="N318" s="4">
        <v>0</v>
      </c>
      <c r="O318" s="4"/>
      <c r="P318" s="3"/>
      <c r="Q318" s="3"/>
      <c r="R318" s="3">
        <f t="shared" si="33"/>
        <v>0</v>
      </c>
      <c r="AA318" s="123"/>
      <c r="AC318" s="123"/>
      <c r="AD318" s="123"/>
      <c r="AE318" s="212"/>
      <c r="AF318" s="212"/>
      <c r="AH318" s="123"/>
      <c r="AI318" s="160"/>
      <c r="AJ318" s="160"/>
      <c r="AL318" s="123"/>
      <c r="AM318" s="236"/>
      <c r="AN318" s="236"/>
      <c r="AO318" s="123"/>
      <c r="AP318" s="123"/>
      <c r="AR318" s="123"/>
      <c r="AS318" s="160"/>
    </row>
    <row r="319" spans="1:45" x14ac:dyDescent="0.3">
      <c r="A319" s="297">
        <f t="shared" si="34"/>
        <v>209</v>
      </c>
      <c r="B319" s="291"/>
      <c r="C319" s="45" t="s">
        <v>1029</v>
      </c>
      <c r="D319" s="291"/>
      <c r="F319" s="184">
        <v>0</v>
      </c>
      <c r="G319" s="1"/>
      <c r="H319" s="184"/>
      <c r="I319" s="159"/>
      <c r="J319" s="238">
        <v>10.260638</v>
      </c>
      <c r="K319" s="258"/>
      <c r="L319" s="3">
        <f t="shared" si="32"/>
        <v>0</v>
      </c>
      <c r="M319" s="3"/>
      <c r="N319" s="4">
        <v>0</v>
      </c>
      <c r="O319" s="4"/>
      <c r="P319" s="3"/>
      <c r="Q319" s="3"/>
      <c r="R319" s="3">
        <f t="shared" si="33"/>
        <v>0</v>
      </c>
      <c r="AA319" s="123"/>
      <c r="AC319" s="123"/>
      <c r="AD319" s="123"/>
      <c r="AE319" s="212"/>
      <c r="AF319" s="212"/>
      <c r="AH319" s="123"/>
      <c r="AI319" s="160"/>
      <c r="AJ319" s="160"/>
      <c r="AL319" s="123"/>
      <c r="AM319" s="236"/>
      <c r="AN319" s="236"/>
      <c r="AO319" s="123"/>
      <c r="AP319" s="123"/>
      <c r="AR319" s="123"/>
      <c r="AS319" s="160"/>
    </row>
    <row r="320" spans="1:45" x14ac:dyDescent="0.3">
      <c r="A320" s="297">
        <f t="shared" si="34"/>
        <v>210</v>
      </c>
      <c r="B320" s="291"/>
      <c r="C320" s="45" t="s">
        <v>1030</v>
      </c>
      <c r="D320" s="291"/>
      <c r="F320" s="184">
        <v>0</v>
      </c>
      <c r="G320" s="1"/>
      <c r="H320" s="184"/>
      <c r="I320" s="159"/>
      <c r="J320" s="238">
        <v>1.2797229999999999</v>
      </c>
      <c r="K320" s="258"/>
      <c r="L320" s="3">
        <f t="shared" si="32"/>
        <v>0</v>
      </c>
      <c r="M320" s="3"/>
      <c r="N320" s="4">
        <v>0</v>
      </c>
      <c r="O320" s="4"/>
      <c r="P320" s="3"/>
      <c r="Q320" s="3"/>
      <c r="R320" s="3">
        <f t="shared" si="33"/>
        <v>0</v>
      </c>
      <c r="AA320" s="123"/>
      <c r="AC320" s="123"/>
      <c r="AD320" s="123"/>
      <c r="AE320" s="212"/>
      <c r="AF320" s="212"/>
      <c r="AH320" s="123"/>
      <c r="AI320" s="160"/>
      <c r="AJ320" s="160"/>
      <c r="AL320" s="123"/>
      <c r="AM320" s="236"/>
      <c r="AN320" s="236"/>
      <c r="AO320" s="123"/>
      <c r="AP320" s="123"/>
      <c r="AR320" s="123"/>
      <c r="AS320" s="160"/>
    </row>
    <row r="321" spans="1:45" x14ac:dyDescent="0.3">
      <c r="A321" s="297">
        <f t="shared" si="34"/>
        <v>211</v>
      </c>
      <c r="B321" s="291"/>
      <c r="C321" s="45" t="s">
        <v>1031</v>
      </c>
      <c r="D321" s="291"/>
      <c r="F321" s="184">
        <v>0</v>
      </c>
      <c r="G321" s="1"/>
      <c r="H321" s="184"/>
      <c r="I321" s="159"/>
      <c r="J321" s="238">
        <v>1.485393</v>
      </c>
      <c r="K321" s="258"/>
      <c r="L321" s="3">
        <f t="shared" si="32"/>
        <v>0</v>
      </c>
      <c r="M321" s="3"/>
      <c r="N321" s="4">
        <v>0</v>
      </c>
      <c r="O321" s="4"/>
      <c r="P321" s="3"/>
      <c r="Q321" s="3"/>
      <c r="R321" s="3">
        <f t="shared" si="33"/>
        <v>0</v>
      </c>
      <c r="AA321" s="123"/>
      <c r="AC321" s="123"/>
      <c r="AD321" s="123"/>
      <c r="AE321" s="212"/>
      <c r="AF321" s="212"/>
      <c r="AH321" s="123"/>
      <c r="AI321" s="160"/>
      <c r="AJ321" s="160"/>
      <c r="AL321" s="123"/>
      <c r="AM321" s="236"/>
      <c r="AN321" s="236"/>
      <c r="AO321" s="123"/>
      <c r="AP321" s="123"/>
      <c r="AR321" s="123"/>
      <c r="AS321" s="160"/>
    </row>
    <row r="322" spans="1:45" x14ac:dyDescent="0.3">
      <c r="A322" s="297">
        <f t="shared" si="34"/>
        <v>212</v>
      </c>
      <c r="B322" s="291"/>
      <c r="C322" s="45" t="s">
        <v>1032</v>
      </c>
      <c r="D322" s="291"/>
      <c r="F322" s="184">
        <v>0</v>
      </c>
      <c r="G322" s="1"/>
      <c r="H322" s="184"/>
      <c r="I322" s="159"/>
      <c r="J322" s="238">
        <v>0.93694</v>
      </c>
      <c r="K322" s="258"/>
      <c r="L322" s="3">
        <f t="shared" si="32"/>
        <v>0</v>
      </c>
      <c r="M322" s="3"/>
      <c r="N322" s="4">
        <v>0</v>
      </c>
      <c r="O322" s="4"/>
      <c r="P322" s="3"/>
      <c r="Q322" s="3"/>
      <c r="R322" s="3">
        <f t="shared" si="33"/>
        <v>0</v>
      </c>
      <c r="AA322" s="123"/>
      <c r="AC322" s="123"/>
      <c r="AD322" s="123"/>
      <c r="AE322" s="212"/>
      <c r="AF322" s="212"/>
      <c r="AH322" s="123"/>
      <c r="AI322" s="160"/>
      <c r="AJ322" s="160"/>
      <c r="AL322" s="123"/>
      <c r="AM322" s="236"/>
      <c r="AN322" s="236"/>
      <c r="AO322" s="123"/>
      <c r="AP322" s="123"/>
      <c r="AR322" s="123"/>
      <c r="AS322" s="160"/>
    </row>
    <row r="323" spans="1:45" x14ac:dyDescent="0.3">
      <c r="A323" s="297">
        <f t="shared" si="34"/>
        <v>213</v>
      </c>
      <c r="C323" s="45" t="s">
        <v>1033</v>
      </c>
      <c r="F323" s="184">
        <v>0</v>
      </c>
      <c r="G323" s="1"/>
      <c r="H323" s="184"/>
      <c r="I323" s="159"/>
      <c r="J323" s="238">
        <v>3.1878820000000001</v>
      </c>
      <c r="K323" s="258"/>
      <c r="L323" s="3">
        <f t="shared" si="32"/>
        <v>0</v>
      </c>
      <c r="M323" s="3"/>
      <c r="N323" s="4">
        <v>0</v>
      </c>
      <c r="O323" s="4"/>
      <c r="P323" s="3"/>
      <c r="Q323" s="3"/>
      <c r="R323" s="3">
        <f t="shared" si="33"/>
        <v>0</v>
      </c>
      <c r="AA323" s="123"/>
      <c r="AC323" s="123"/>
      <c r="AD323" s="123"/>
      <c r="AE323" s="212"/>
      <c r="AF323" s="212"/>
      <c r="AH323" s="123"/>
      <c r="AI323" s="160"/>
      <c r="AJ323" s="160"/>
      <c r="AL323" s="123"/>
      <c r="AM323" s="236"/>
      <c r="AN323" s="236"/>
      <c r="AO323" s="123"/>
      <c r="AP323" s="123"/>
      <c r="AR323" s="123"/>
      <c r="AS323" s="160"/>
    </row>
    <row r="324" spans="1:45" x14ac:dyDescent="0.3">
      <c r="A324" s="297">
        <f t="shared" si="34"/>
        <v>214</v>
      </c>
      <c r="C324" s="45" t="s">
        <v>1124</v>
      </c>
      <c r="F324" s="184">
        <v>15</v>
      </c>
      <c r="G324" s="1"/>
      <c r="H324" s="184"/>
      <c r="I324" s="159"/>
      <c r="J324" s="238">
        <v>2.9936379999999998</v>
      </c>
      <c r="K324" s="258"/>
      <c r="L324" s="3">
        <f t="shared" si="32"/>
        <v>45</v>
      </c>
      <c r="M324" s="3"/>
      <c r="N324" s="4">
        <v>0</v>
      </c>
      <c r="O324" s="4"/>
      <c r="P324" s="3"/>
      <c r="Q324" s="3"/>
      <c r="R324" s="3">
        <f t="shared" si="33"/>
        <v>45</v>
      </c>
      <c r="AA324" s="123"/>
      <c r="AC324" s="123"/>
      <c r="AD324" s="123"/>
      <c r="AE324" s="212"/>
      <c r="AF324" s="212"/>
      <c r="AH324" s="123"/>
      <c r="AI324" s="160"/>
      <c r="AJ324" s="160"/>
      <c r="AL324" s="123"/>
      <c r="AM324" s="236"/>
      <c r="AN324" s="236"/>
      <c r="AO324" s="123"/>
      <c r="AP324" s="123"/>
      <c r="AR324" s="123"/>
      <c r="AS324" s="160"/>
    </row>
    <row r="325" spans="1:45" x14ac:dyDescent="0.3">
      <c r="A325" s="297">
        <f t="shared" si="34"/>
        <v>215</v>
      </c>
      <c r="C325" s="178" t="s">
        <v>958</v>
      </c>
      <c r="F325" s="145">
        <f>SUM(F317:F324)</f>
        <v>15</v>
      </c>
      <c r="G325" s="1"/>
      <c r="H325" s="184"/>
      <c r="I325" s="159"/>
      <c r="J325" s="238"/>
      <c r="K325" s="258"/>
      <c r="L325" s="145">
        <f>SUM(L317:L324)</f>
        <v>45</v>
      </c>
      <c r="M325" s="3"/>
      <c r="N325" s="211">
        <f>ROUND((L325/L$340)*100,1)</f>
        <v>0.2</v>
      </c>
      <c r="O325" s="4"/>
      <c r="P325" s="3"/>
      <c r="Q325" s="3"/>
      <c r="R325" s="145">
        <f>SUM(R317:R324)</f>
        <v>45</v>
      </c>
      <c r="AA325" s="123"/>
      <c r="AC325" s="123"/>
      <c r="AD325" s="123"/>
      <c r="AE325" s="212"/>
      <c r="AF325" s="212"/>
      <c r="AH325" s="123"/>
      <c r="AI325" s="160"/>
      <c r="AJ325" s="160"/>
      <c r="AL325" s="123"/>
      <c r="AM325" s="236"/>
      <c r="AN325" s="236"/>
      <c r="AO325" s="123"/>
      <c r="AP325" s="123"/>
      <c r="AR325" s="123"/>
      <c r="AS325" s="160"/>
    </row>
    <row r="326" spans="1:45" x14ac:dyDescent="0.3">
      <c r="A326" s="297"/>
      <c r="C326" s="45"/>
      <c r="F326" s="184"/>
      <c r="G326" s="1"/>
      <c r="H326" s="184"/>
      <c r="I326" s="159"/>
      <c r="J326" s="238"/>
      <c r="K326" s="258"/>
      <c r="L326" s="3"/>
      <c r="M326" s="3"/>
      <c r="N326" s="4"/>
      <c r="O326" s="4"/>
      <c r="P326" s="3"/>
      <c r="Q326" s="3"/>
      <c r="R326" s="3"/>
      <c r="AA326" s="123"/>
      <c r="AC326" s="123"/>
      <c r="AD326" s="123"/>
      <c r="AE326" s="212"/>
      <c r="AF326" s="212"/>
      <c r="AH326" s="123"/>
      <c r="AI326" s="160"/>
      <c r="AJ326" s="160"/>
      <c r="AL326" s="123"/>
      <c r="AM326" s="236"/>
      <c r="AN326" s="236"/>
      <c r="AO326" s="123"/>
      <c r="AP326" s="123"/>
      <c r="AR326" s="123"/>
      <c r="AS326" s="160"/>
    </row>
    <row r="327" spans="1:45" x14ac:dyDescent="0.3">
      <c r="A327" s="297">
        <f>A325+1</f>
        <v>216</v>
      </c>
      <c r="B327" s="291"/>
      <c r="C327" s="132" t="s">
        <v>1098</v>
      </c>
      <c r="F327" s="184"/>
      <c r="G327" s="1"/>
      <c r="H327" s="184"/>
      <c r="I327" s="159"/>
      <c r="J327" s="238"/>
      <c r="K327" s="258"/>
      <c r="L327" s="3"/>
      <c r="M327" s="3"/>
      <c r="N327" s="4"/>
      <c r="O327" s="4"/>
      <c r="P327" s="3"/>
      <c r="Q327" s="3"/>
      <c r="R327" s="3"/>
      <c r="AA327" s="123"/>
      <c r="AC327" s="123"/>
      <c r="AD327" s="123"/>
      <c r="AE327" s="212"/>
      <c r="AF327" s="212"/>
      <c r="AH327" s="123"/>
      <c r="AI327" s="160"/>
      <c r="AJ327" s="160"/>
      <c r="AL327" s="123"/>
      <c r="AM327" s="236"/>
      <c r="AN327" s="236"/>
      <c r="AO327" s="123"/>
      <c r="AP327" s="123"/>
      <c r="AR327" s="123"/>
      <c r="AS327" s="160"/>
    </row>
    <row r="328" spans="1:45" x14ac:dyDescent="0.3">
      <c r="A328" s="297">
        <f>A327+1</f>
        <v>217</v>
      </c>
      <c r="B328" s="291"/>
      <c r="C328" s="45" t="s">
        <v>1100</v>
      </c>
      <c r="F328" s="184">
        <v>0</v>
      </c>
      <c r="G328" s="1"/>
      <c r="H328" s="184"/>
      <c r="I328" s="159"/>
      <c r="J328" s="238">
        <v>1.83</v>
      </c>
      <c r="K328" s="258"/>
      <c r="L328" s="3">
        <f>ROUND((F328*J328),0)</f>
        <v>0</v>
      </c>
      <c r="M328" s="3"/>
      <c r="N328" s="4">
        <v>0</v>
      </c>
      <c r="O328" s="4"/>
      <c r="P328" s="3"/>
      <c r="Q328" s="3"/>
      <c r="R328" s="3">
        <f>L328+P328</f>
        <v>0</v>
      </c>
      <c r="AA328" s="123"/>
      <c r="AC328" s="123"/>
      <c r="AD328" s="123"/>
      <c r="AE328" s="212"/>
      <c r="AF328" s="212"/>
      <c r="AH328" s="123"/>
      <c r="AI328" s="160"/>
      <c r="AJ328" s="160"/>
      <c r="AL328" s="123"/>
      <c r="AM328" s="236"/>
      <c r="AN328" s="236"/>
      <c r="AO328" s="123"/>
      <c r="AP328" s="123"/>
      <c r="AR328" s="123"/>
      <c r="AS328" s="160"/>
    </row>
    <row r="329" spans="1:45" x14ac:dyDescent="0.3">
      <c r="A329" s="297">
        <f>A328+1</f>
        <v>218</v>
      </c>
      <c r="B329" s="291"/>
      <c r="C329" s="45" t="s">
        <v>1101</v>
      </c>
      <c r="F329" s="184">
        <v>0</v>
      </c>
      <c r="G329" s="1"/>
      <c r="H329" s="184"/>
      <c r="I329" s="159"/>
      <c r="J329" s="238">
        <v>1.71</v>
      </c>
      <c r="K329" s="258"/>
      <c r="L329" s="3">
        <f>ROUND((F329*J329),0)</f>
        <v>0</v>
      </c>
      <c r="M329" s="3"/>
      <c r="N329" s="4">
        <v>0</v>
      </c>
      <c r="O329" s="4"/>
      <c r="P329" s="3"/>
      <c r="Q329" s="3"/>
      <c r="R329" s="3">
        <f>L329+P329</f>
        <v>0</v>
      </c>
      <c r="AA329" s="123"/>
      <c r="AC329" s="123"/>
      <c r="AD329" s="123"/>
      <c r="AE329" s="212"/>
      <c r="AF329" s="212"/>
      <c r="AH329" s="123"/>
      <c r="AI329" s="160"/>
      <c r="AJ329" s="160"/>
      <c r="AL329" s="123"/>
      <c r="AM329" s="236"/>
      <c r="AN329" s="236"/>
      <c r="AO329" s="123"/>
      <c r="AP329" s="123"/>
      <c r="AR329" s="123"/>
      <c r="AS329" s="160"/>
    </row>
    <row r="330" spans="1:45" x14ac:dyDescent="0.3">
      <c r="A330" s="297">
        <f>A329+1</f>
        <v>219</v>
      </c>
      <c r="C330" s="178" t="s">
        <v>1099</v>
      </c>
      <c r="F330" s="145">
        <f>SUM(F328:F329)</f>
        <v>0</v>
      </c>
      <c r="G330" s="1"/>
      <c r="H330" s="184"/>
      <c r="I330" s="159"/>
      <c r="J330" s="238"/>
      <c r="K330" s="258"/>
      <c r="L330" s="145">
        <f>SUM(L328:L329)</f>
        <v>0</v>
      </c>
      <c r="M330" s="3"/>
      <c r="N330" s="211">
        <f>ROUND((L330/L$340)*100,1)</f>
        <v>0</v>
      </c>
      <c r="O330" s="4"/>
      <c r="P330" s="3"/>
      <c r="Q330" s="3"/>
      <c r="R330" s="145">
        <f>SUM(R328:R329)</f>
        <v>0</v>
      </c>
      <c r="AA330" s="123"/>
      <c r="AC330" s="123"/>
      <c r="AD330" s="123"/>
      <c r="AE330" s="212"/>
      <c r="AF330" s="212"/>
      <c r="AH330" s="123"/>
      <c r="AI330" s="160"/>
      <c r="AJ330" s="160"/>
      <c r="AL330" s="123"/>
      <c r="AM330" s="236"/>
      <c r="AN330" s="236"/>
      <c r="AO330" s="123"/>
      <c r="AP330" s="123"/>
      <c r="AR330" s="123"/>
      <c r="AS330" s="160"/>
    </row>
    <row r="331" spans="1:45" x14ac:dyDescent="0.3">
      <c r="A331" s="297"/>
      <c r="C331" s="45"/>
      <c r="F331" s="184"/>
      <c r="G331" s="1"/>
      <c r="H331" s="184"/>
      <c r="I331" s="159"/>
      <c r="J331" s="238"/>
      <c r="K331" s="258"/>
      <c r="L331" s="3"/>
      <c r="M331" s="3"/>
      <c r="N331" s="4"/>
      <c r="O331" s="4"/>
      <c r="P331" s="3"/>
      <c r="Q331" s="3"/>
      <c r="R331" s="3"/>
      <c r="AA331" s="123"/>
      <c r="AC331" s="123"/>
      <c r="AD331" s="123"/>
      <c r="AE331" s="212"/>
      <c r="AF331" s="212"/>
      <c r="AH331" s="123"/>
      <c r="AI331" s="160"/>
      <c r="AJ331" s="160"/>
      <c r="AL331" s="123"/>
      <c r="AM331" s="236"/>
      <c r="AN331" s="236"/>
      <c r="AO331" s="123"/>
      <c r="AP331" s="123"/>
      <c r="AR331" s="123"/>
      <c r="AS331" s="160"/>
    </row>
    <row r="332" spans="1:45" x14ac:dyDescent="0.3">
      <c r="A332" s="41">
        <f>A325+1</f>
        <v>216</v>
      </c>
      <c r="C332" s="178" t="s">
        <v>972</v>
      </c>
      <c r="F332" s="145">
        <f>F325+F314+F249+F233+F108+F330</f>
        <v>2283</v>
      </c>
      <c r="G332" s="1"/>
      <c r="H332" s="145">
        <f>H108</f>
        <v>42161</v>
      </c>
      <c r="I332" s="159"/>
      <c r="J332" s="238"/>
      <c r="K332" s="258"/>
      <c r="L332" s="145">
        <f>L325+L314+L249+L233+L108+L110+L330</f>
        <v>22507.429167999999</v>
      </c>
      <c r="M332" s="3"/>
      <c r="N332" s="211">
        <f>ROUND((L332/L$340)*100,1)</f>
        <v>99</v>
      </c>
      <c r="O332" s="4"/>
      <c r="P332" s="3"/>
      <c r="Q332" s="3"/>
      <c r="R332" s="145">
        <f>R325+R314+R249+R233+R108+R110+R330</f>
        <v>22507.429167999999</v>
      </c>
      <c r="AA332" s="123"/>
      <c r="AC332" s="123"/>
      <c r="AD332" s="123"/>
      <c r="AE332" s="212"/>
      <c r="AF332" s="212"/>
      <c r="AH332" s="123"/>
      <c r="AI332" s="160"/>
      <c r="AJ332" s="160"/>
      <c r="AL332" s="123"/>
      <c r="AM332" s="236"/>
      <c r="AN332" s="236"/>
      <c r="AO332" s="123"/>
      <c r="AP332" s="123"/>
      <c r="AR332" s="123"/>
      <c r="AS332" s="160"/>
    </row>
    <row r="333" spans="1:45" x14ac:dyDescent="0.3">
      <c r="A333" s="297"/>
      <c r="C333" s="45"/>
      <c r="F333" s="184"/>
      <c r="G333" s="1"/>
      <c r="H333" s="184"/>
      <c r="I333" s="159"/>
      <c r="J333" s="238"/>
      <c r="K333" s="258"/>
      <c r="L333" s="3"/>
      <c r="M333" s="3"/>
      <c r="N333" s="4"/>
      <c r="O333" s="4"/>
      <c r="P333" s="3"/>
      <c r="Q333" s="3"/>
      <c r="R333" s="3"/>
      <c r="AA333" s="123"/>
      <c r="AC333" s="123"/>
      <c r="AD333" s="123"/>
      <c r="AE333" s="212"/>
      <c r="AF333" s="212"/>
      <c r="AH333" s="123"/>
      <c r="AI333" s="160"/>
      <c r="AJ333" s="160"/>
      <c r="AL333" s="123"/>
      <c r="AM333" s="236"/>
      <c r="AN333" s="236"/>
      <c r="AO333" s="123"/>
      <c r="AP333" s="123"/>
      <c r="AR333" s="123"/>
      <c r="AS333" s="160"/>
    </row>
    <row r="334" spans="1:45" x14ac:dyDescent="0.3">
      <c r="A334" s="345">
        <f>A332+1</f>
        <v>217</v>
      </c>
      <c r="C334" s="132" t="s">
        <v>1145</v>
      </c>
      <c r="F334" s="3"/>
      <c r="G334" s="1"/>
      <c r="H334" s="3"/>
      <c r="I334" s="3"/>
      <c r="J334" s="1"/>
      <c r="K334" s="1"/>
      <c r="L334" s="3"/>
      <c r="M334" s="3"/>
      <c r="N334" s="4"/>
      <c r="O334" s="6"/>
      <c r="P334" s="123"/>
      <c r="Q334" s="3"/>
      <c r="R334" s="3"/>
      <c r="AA334" s="123"/>
      <c r="AC334" s="123"/>
      <c r="AD334" s="123"/>
      <c r="AE334" s="212"/>
      <c r="AF334" s="212"/>
      <c r="AH334" s="123"/>
      <c r="AI334" s="160"/>
      <c r="AJ334" s="160"/>
      <c r="AL334" s="123"/>
      <c r="AM334" s="236"/>
      <c r="AN334" s="236"/>
      <c r="AO334" s="123"/>
      <c r="AP334" s="123"/>
      <c r="AR334" s="123"/>
      <c r="AS334" s="160"/>
    </row>
    <row r="335" spans="1:45" x14ac:dyDescent="0.3">
      <c r="A335" s="345">
        <f>A334+1</f>
        <v>218</v>
      </c>
      <c r="C335" s="192" t="str">
        <f>ESM_Name</f>
        <v>ENVIRONMENTAL SURCHARGE MECHANISM RIDER (ESM)</v>
      </c>
      <c r="F335" s="3"/>
      <c r="G335" s="1"/>
      <c r="H335" s="3"/>
      <c r="I335" s="3"/>
      <c r="J335" s="351">
        <f>PRO_ESM_NONRES</f>
        <v>5.7995821086186533E-3</v>
      </c>
      <c r="K335" s="1"/>
      <c r="L335" s="3">
        <f>ROUND((R332-(PRO_BASE_FUEL*H332)+R337)*J335,0)</f>
        <v>123</v>
      </c>
      <c r="M335" s="3"/>
      <c r="N335" s="4">
        <v>0</v>
      </c>
      <c r="O335" s="6"/>
      <c r="P335" s="123"/>
      <c r="Q335" s="3"/>
      <c r="R335" s="3">
        <f>L335+P335</f>
        <v>123</v>
      </c>
      <c r="AA335" s="123"/>
      <c r="AC335" s="123"/>
      <c r="AD335" s="123"/>
      <c r="AE335" s="212"/>
      <c r="AF335" s="212"/>
      <c r="AH335" s="123"/>
      <c r="AI335" s="160"/>
      <c r="AJ335" s="160"/>
      <c r="AL335" s="123"/>
      <c r="AM335" s="236"/>
      <c r="AN335" s="236"/>
      <c r="AO335" s="123"/>
      <c r="AP335" s="123"/>
      <c r="AR335" s="123"/>
      <c r="AS335" s="160"/>
    </row>
    <row r="336" spans="1:45" x14ac:dyDescent="0.3">
      <c r="A336" s="345">
        <f>A335+1</f>
        <v>219</v>
      </c>
      <c r="C336" s="192" t="str">
        <f>FAC_Name</f>
        <v>FUEL ADJUSTMENT CLAUSE (FAC)</v>
      </c>
      <c r="F336" s="3"/>
      <c r="G336" s="1"/>
      <c r="H336" s="3"/>
      <c r="I336" s="3"/>
      <c r="J336" s="321">
        <f>PRO_FAC</f>
        <v>3.4872127999999998E-3</v>
      </c>
      <c r="K336" s="1"/>
      <c r="L336" s="3"/>
      <c r="M336" s="3"/>
      <c r="N336" s="4">
        <v>0</v>
      </c>
      <c r="O336" s="6"/>
      <c r="P336" s="3">
        <f>ROUND($J336*$H110,0)</f>
        <v>147</v>
      </c>
      <c r="Q336" s="3"/>
      <c r="R336" s="3">
        <f>L336+P336</f>
        <v>147</v>
      </c>
      <c r="AA336" s="123"/>
      <c r="AC336" s="123"/>
      <c r="AD336" s="123"/>
      <c r="AE336" s="212"/>
      <c r="AF336" s="212"/>
      <c r="AH336" s="123"/>
      <c r="AI336" s="160"/>
      <c r="AJ336" s="160"/>
      <c r="AL336" s="123"/>
      <c r="AM336" s="236"/>
      <c r="AN336" s="236"/>
      <c r="AO336" s="123"/>
      <c r="AP336" s="123"/>
      <c r="AR336" s="123"/>
      <c r="AS336" s="160"/>
    </row>
    <row r="337" spans="1:53" x14ac:dyDescent="0.3">
      <c r="A337" s="345">
        <f>A336+1</f>
        <v>220</v>
      </c>
      <c r="C337" s="192" t="str">
        <f>PSM_Name</f>
        <v>PROFIT SHARING MECHANISM (PSM)</v>
      </c>
      <c r="F337" s="3"/>
      <c r="G337" s="1"/>
      <c r="H337" s="3"/>
      <c r="I337" s="3"/>
      <c r="J337" s="321">
        <f>PRO_PSM</f>
        <v>2.4750000000000002E-3</v>
      </c>
      <c r="K337" s="1"/>
      <c r="L337" s="49">
        <f>ROUND((+$H$110)*J337,0)</f>
        <v>104</v>
      </c>
      <c r="M337" s="3"/>
      <c r="N337" s="177">
        <v>0</v>
      </c>
      <c r="O337" s="6"/>
      <c r="P337" s="259"/>
      <c r="Q337" s="3"/>
      <c r="R337" s="49">
        <f>L337+P337</f>
        <v>104</v>
      </c>
      <c r="AA337" s="123"/>
      <c r="AC337" s="123"/>
      <c r="AD337" s="123"/>
      <c r="AE337" s="212"/>
      <c r="AF337" s="212"/>
      <c r="AH337" s="123"/>
      <c r="AI337" s="160"/>
      <c r="AJ337" s="160"/>
      <c r="AL337" s="123"/>
      <c r="AM337" s="236"/>
      <c r="AN337" s="236"/>
      <c r="AO337" s="123"/>
      <c r="AP337" s="123"/>
      <c r="AR337" s="123"/>
      <c r="AS337" s="160"/>
    </row>
    <row r="338" spans="1:53" x14ac:dyDescent="0.3">
      <c r="A338" s="345">
        <f>A337+1</f>
        <v>221</v>
      </c>
      <c r="C338" s="132" t="s">
        <v>465</v>
      </c>
      <c r="F338" s="3"/>
      <c r="G338" s="1"/>
      <c r="H338" s="3"/>
      <c r="I338" s="3"/>
      <c r="J338" s="1"/>
      <c r="K338" s="1"/>
      <c r="L338" s="145">
        <f>SUM(L335:L337)</f>
        <v>227</v>
      </c>
      <c r="M338" s="3"/>
      <c r="N338" s="211">
        <f>ROUND((L338/L$340)*100,1)</f>
        <v>1</v>
      </c>
      <c r="O338" s="6"/>
      <c r="P338" s="276"/>
      <c r="Q338" s="3"/>
      <c r="R338" s="145">
        <f>SUM(R335:R337)</f>
        <v>374</v>
      </c>
      <c r="AA338" s="123"/>
      <c r="AC338" s="123"/>
      <c r="AD338" s="123"/>
      <c r="AE338" s="212"/>
      <c r="AF338" s="212"/>
      <c r="AH338" s="123"/>
      <c r="AI338" s="160"/>
      <c r="AJ338" s="160"/>
      <c r="AL338" s="123"/>
      <c r="AM338" s="236"/>
      <c r="AN338" s="236"/>
      <c r="AO338" s="123"/>
      <c r="AP338" s="123"/>
      <c r="AR338" s="123"/>
      <c r="AS338" s="160"/>
    </row>
    <row r="339" spans="1:53" x14ac:dyDescent="0.3">
      <c r="A339" s="345"/>
      <c r="C339" s="132"/>
      <c r="F339" s="3"/>
      <c r="G339" s="1"/>
      <c r="H339" s="3"/>
      <c r="I339" s="3"/>
      <c r="J339" s="1"/>
      <c r="K339" s="1"/>
      <c r="L339" s="3"/>
      <c r="M339" s="3"/>
      <c r="N339" s="4"/>
      <c r="O339" s="6"/>
      <c r="P339" s="123"/>
      <c r="Q339" s="3"/>
      <c r="R339" s="3"/>
      <c r="AA339" s="123"/>
      <c r="AC339" s="123"/>
      <c r="AD339" s="123"/>
      <c r="AE339" s="212"/>
      <c r="AF339" s="212"/>
      <c r="AH339" s="123"/>
      <c r="AI339" s="160"/>
      <c r="AJ339" s="160"/>
      <c r="AL339" s="123"/>
      <c r="AM339" s="236"/>
      <c r="AN339" s="236"/>
      <c r="AO339" s="123"/>
      <c r="AP339" s="123"/>
      <c r="AR339" s="123"/>
      <c r="AS339" s="160"/>
    </row>
    <row r="340" spans="1:53" ht="16.2" thickBot="1" x14ac:dyDescent="0.35">
      <c r="A340" s="41">
        <f>A338+1</f>
        <v>222</v>
      </c>
      <c r="C340" s="178" t="s">
        <v>823</v>
      </c>
      <c r="F340" s="162">
        <f>F325+F314+F249+F233+F108</f>
        <v>2283</v>
      </c>
      <c r="G340" s="1"/>
      <c r="H340" s="162">
        <f>H108</f>
        <v>42161</v>
      </c>
      <c r="I340" s="3"/>
      <c r="J340" s="1"/>
      <c r="K340" s="1"/>
      <c r="L340" s="162">
        <f>L325+L314+L249+L233+L108+L110+L338+L330</f>
        <v>22734.429167999999</v>
      </c>
      <c r="M340" s="3"/>
      <c r="N340" s="211">
        <f>ROUND((L340/L$340)*100,1)</f>
        <v>100</v>
      </c>
      <c r="O340" s="4"/>
      <c r="P340" s="151">
        <f>ROUND(H340*CUR_FAC,0)</f>
        <v>147</v>
      </c>
      <c r="Q340" s="3"/>
      <c r="R340" s="162">
        <f>R325+R314+R249+R233+R108+R110+R338+R330</f>
        <v>22881.429167999999</v>
      </c>
      <c r="AA340" s="123"/>
      <c r="AC340" s="123"/>
      <c r="AD340" s="123"/>
      <c r="AE340" s="212"/>
      <c r="AF340" s="212"/>
      <c r="AH340" s="123"/>
      <c r="AI340" s="160"/>
      <c r="AJ340" s="160"/>
      <c r="AL340" s="123"/>
      <c r="AM340" s="236"/>
      <c r="AN340" s="236"/>
      <c r="AO340" s="123"/>
      <c r="AP340" s="123"/>
      <c r="AR340" s="123"/>
      <c r="AS340" s="160"/>
    </row>
    <row r="341" spans="1:53" ht="16.2" thickTop="1" x14ac:dyDescent="0.3">
      <c r="C341" s="42"/>
      <c r="F341" s="3"/>
      <c r="G341" s="1"/>
      <c r="H341" s="3"/>
      <c r="I341" s="3"/>
      <c r="J341" s="1"/>
      <c r="K341" s="1"/>
      <c r="L341" s="3"/>
      <c r="M341" s="3"/>
      <c r="N341" s="4"/>
      <c r="O341" s="4"/>
      <c r="P341" s="3"/>
      <c r="Q341" s="3"/>
      <c r="R341" s="3"/>
      <c r="AA341" s="123"/>
      <c r="AC341" s="123"/>
      <c r="AD341" s="123"/>
      <c r="AE341" s="212"/>
      <c r="AF341" s="212"/>
      <c r="AH341" s="123"/>
      <c r="AI341" s="160"/>
      <c r="AJ341" s="160"/>
      <c r="AL341" s="123"/>
      <c r="AM341" s="236"/>
      <c r="AN341" s="236"/>
      <c r="AO341" s="123"/>
      <c r="AP341" s="123"/>
      <c r="AR341" s="123"/>
      <c r="AS341" s="160"/>
    </row>
    <row r="342" spans="1:53" x14ac:dyDescent="0.3">
      <c r="A342" s="202" t="s">
        <v>76</v>
      </c>
      <c r="B342" s="294"/>
      <c r="C342" s="294"/>
      <c r="D342" s="294"/>
      <c r="E342" s="294"/>
      <c r="F342" s="294"/>
      <c r="G342" s="294"/>
      <c r="H342" s="294"/>
      <c r="I342" s="294"/>
      <c r="J342" s="264"/>
      <c r="K342" s="294"/>
      <c r="L342" s="295"/>
      <c r="M342" s="294"/>
      <c r="N342" s="294"/>
      <c r="O342" s="294"/>
      <c r="P342" s="264"/>
      <c r="Q342" s="153"/>
      <c r="R342" s="153"/>
      <c r="AA342" s="123"/>
      <c r="AC342" s="123"/>
      <c r="AD342" s="123"/>
      <c r="AE342" s="212"/>
      <c r="AF342" s="212"/>
      <c r="AH342" s="123"/>
      <c r="AI342" s="160"/>
      <c r="AJ342" s="160"/>
      <c r="AL342" s="123"/>
      <c r="AM342" s="236"/>
      <c r="AN342" s="236"/>
      <c r="AO342" s="123"/>
      <c r="AP342" s="123"/>
      <c r="AR342" s="123"/>
      <c r="AS342" s="160"/>
    </row>
    <row r="343" spans="1:53" x14ac:dyDescent="0.3">
      <c r="A343" s="202" t="str">
        <f>"(1A) REFLECTS FUEL COST RECOVERY INCLUDED IN BASE RATES OF "&amp;TEXT(CUR_BASE_FUEL,"$0.000000;($0.000000)")&amp;"  PER KWH."</f>
        <v>(1A) REFLECTS FUEL COST RECOVERY INCLUDED IN BASE RATES OF $0.033780  PER KWH.</v>
      </c>
      <c r="B343" s="294"/>
      <c r="C343" s="294"/>
      <c r="D343" s="294"/>
      <c r="E343" s="294"/>
      <c r="F343" s="296"/>
      <c r="G343" s="294"/>
      <c r="H343" s="294"/>
      <c r="I343" s="294"/>
      <c r="J343" s="264"/>
      <c r="K343" s="294"/>
      <c r="L343" s="295"/>
      <c r="M343" s="294"/>
      <c r="N343" s="294"/>
      <c r="O343" s="294"/>
      <c r="P343" s="264"/>
      <c r="Q343" s="153"/>
      <c r="R343" s="153"/>
      <c r="AA343" s="123"/>
      <c r="AC343" s="123"/>
      <c r="AD343" s="123"/>
      <c r="AE343" s="212"/>
      <c r="AF343" s="212"/>
      <c r="AH343" s="123"/>
      <c r="AI343" s="160"/>
      <c r="AJ343" s="160"/>
      <c r="AL343" s="123"/>
      <c r="AM343" s="236"/>
      <c r="AN343" s="236"/>
      <c r="AO343" s="123"/>
      <c r="AP343" s="123"/>
      <c r="AR343" s="123"/>
      <c r="AS343" s="160"/>
    </row>
    <row r="344" spans="1:53" x14ac:dyDescent="0.3">
      <c r="A344" s="202" t="str">
        <f>"(2) REFLECTS FUEL COMPONENT OF "&amp;TEXT(CUR_FAC,"$0.000000;($0.000000)")&amp;"  PER KWH."</f>
        <v>(2) REFLECTS FUEL COMPONENT OF $0.003487  PER KWH.</v>
      </c>
      <c r="B344" s="294"/>
      <c r="C344" s="294"/>
      <c r="D344" s="294"/>
      <c r="E344" s="294"/>
      <c r="F344" s="296"/>
      <c r="G344" s="294"/>
      <c r="H344" s="294"/>
      <c r="I344" s="294"/>
      <c r="J344" s="264"/>
      <c r="K344" s="294"/>
      <c r="L344" s="295"/>
      <c r="M344" s="294"/>
      <c r="N344" s="294"/>
      <c r="O344" s="294"/>
      <c r="P344" s="264"/>
      <c r="Q344" s="153"/>
      <c r="R344" s="153"/>
      <c r="AA344" s="123"/>
      <c r="AC344" s="123"/>
      <c r="AD344" s="123"/>
      <c r="AE344" s="212"/>
      <c r="AF344" s="212"/>
      <c r="AH344" s="123"/>
      <c r="AI344" s="160"/>
      <c r="AJ344" s="160"/>
      <c r="AL344" s="123"/>
      <c r="AM344" s="236"/>
      <c r="AN344" s="236"/>
      <c r="AO344" s="123"/>
      <c r="AP344" s="123"/>
      <c r="AR344" s="123"/>
      <c r="AS344" s="160"/>
    </row>
    <row r="345" spans="1:53" x14ac:dyDescent="0.3">
      <c r="A345" s="264"/>
      <c r="B345" s="294"/>
      <c r="C345" s="294"/>
      <c r="D345" s="294"/>
      <c r="E345" s="294"/>
      <c r="F345" s="296"/>
      <c r="G345" s="294"/>
      <c r="H345" s="294"/>
      <c r="I345" s="294"/>
      <c r="J345" s="264"/>
      <c r="K345" s="294"/>
      <c r="L345" s="295"/>
      <c r="M345" s="294"/>
      <c r="N345" s="294"/>
      <c r="O345" s="294"/>
      <c r="P345" s="264"/>
      <c r="Q345" s="153"/>
      <c r="R345" s="153"/>
      <c r="AA345" s="123"/>
      <c r="AC345" s="123"/>
      <c r="AD345" s="123"/>
      <c r="AE345" s="212"/>
      <c r="AF345" s="212"/>
      <c r="AH345" s="123"/>
      <c r="AI345" s="160"/>
      <c r="AJ345" s="160"/>
      <c r="AL345" s="123"/>
      <c r="AM345" s="236"/>
      <c r="AN345" s="236"/>
      <c r="AO345" s="123"/>
      <c r="AP345" s="123"/>
      <c r="AR345" s="123"/>
      <c r="AS345" s="160"/>
    </row>
    <row r="346" spans="1:53" x14ac:dyDescent="0.3">
      <c r="A346" s="264"/>
      <c r="B346" s="294"/>
      <c r="C346" s="294"/>
      <c r="D346" s="294"/>
      <c r="E346" s="294"/>
      <c r="F346" s="296"/>
      <c r="G346" s="294"/>
      <c r="H346" s="294"/>
      <c r="I346" s="294"/>
      <c r="J346" s="264"/>
      <c r="K346" s="294"/>
      <c r="L346" s="295"/>
      <c r="M346" s="294"/>
      <c r="N346" s="294"/>
      <c r="O346" s="294"/>
      <c r="P346" s="264"/>
      <c r="Q346" s="153"/>
      <c r="R346" s="153"/>
    </row>
    <row r="347" spans="1:53" ht="18" customHeight="1" x14ac:dyDescent="0.3">
      <c r="A347" s="45"/>
      <c r="F347" s="188"/>
      <c r="J347" s="45"/>
      <c r="V347" s="42"/>
      <c r="AA347" s="123"/>
      <c r="AC347" s="123"/>
      <c r="AD347" s="123"/>
      <c r="AE347" s="213"/>
      <c r="AF347" s="213"/>
      <c r="AH347" s="123"/>
      <c r="AI347" s="160"/>
      <c r="AJ347" s="160"/>
      <c r="AL347" s="123"/>
      <c r="AM347" s="160"/>
      <c r="AN347" s="160"/>
      <c r="AO347" s="123"/>
      <c r="AP347" s="123"/>
      <c r="AR347" s="123"/>
      <c r="AS347" s="160"/>
    </row>
    <row r="348" spans="1:53" ht="15" customHeight="1" x14ac:dyDescent="0.3">
      <c r="A348" s="45"/>
      <c r="F348" s="123"/>
      <c r="H348" s="123"/>
      <c r="J348" s="45"/>
      <c r="N348" s="188"/>
      <c r="P348" s="45"/>
      <c r="V348" s="42"/>
      <c r="AA348" s="184"/>
      <c r="AC348" s="184"/>
      <c r="AD348" s="184"/>
      <c r="AE348" s="213"/>
      <c r="AF348" s="213"/>
      <c r="AH348" s="123"/>
      <c r="AI348" s="160"/>
      <c r="AJ348" s="160"/>
      <c r="AL348" s="123"/>
      <c r="AO348" s="123"/>
      <c r="AP348" s="123"/>
      <c r="AR348" s="123"/>
      <c r="AS348" s="160"/>
    </row>
    <row r="350" spans="1:53" x14ac:dyDescent="0.3">
      <c r="V350" s="42"/>
      <c r="AA350" s="123"/>
      <c r="AC350" s="184"/>
      <c r="AD350" s="184"/>
      <c r="AE350" s="193"/>
      <c r="AF350" s="193"/>
      <c r="AH350" s="123"/>
      <c r="AI350" s="160"/>
      <c r="AJ350" s="160"/>
      <c r="AL350" s="123"/>
      <c r="AM350" s="236"/>
      <c r="AN350" s="236"/>
      <c r="AR350" s="123"/>
      <c r="AS350" s="160"/>
    </row>
    <row r="351" spans="1:53" x14ac:dyDescent="0.3">
      <c r="C351" s="42"/>
      <c r="F351" s="3"/>
      <c r="G351" s="1"/>
      <c r="H351" s="123"/>
      <c r="I351" s="3"/>
      <c r="J351" s="1"/>
      <c r="K351" s="1"/>
      <c r="L351" s="1"/>
      <c r="M351" s="1"/>
      <c r="N351" s="1"/>
      <c r="O351" s="1"/>
      <c r="P351" s="3"/>
      <c r="Q351" s="3"/>
      <c r="R351" s="4"/>
      <c r="S351" s="6"/>
      <c r="T351" s="3"/>
      <c r="U351" s="3"/>
      <c r="V351" s="3"/>
      <c r="Z351" s="44"/>
      <c r="AA351" s="44"/>
      <c r="AB351" s="44"/>
      <c r="AC351" s="44"/>
      <c r="AD351" s="44"/>
      <c r="AE351" s="44"/>
      <c r="AG351" s="168"/>
      <c r="AH351" s="44"/>
      <c r="AI351" s="44"/>
      <c r="AJ351" s="44"/>
      <c r="AK351" s="168"/>
      <c r="AL351" s="44"/>
      <c r="AM351" s="44"/>
      <c r="AN351" s="44"/>
      <c r="AO351" s="44"/>
      <c r="AP351" s="44"/>
      <c r="AQ351" s="168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</row>
    <row r="352" spans="1:53" x14ac:dyDescent="0.3">
      <c r="C352" s="4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4"/>
      <c r="T352" s="469" t="str">
        <f>NAME</f>
        <v>DUKE ENERGY KENTUCKY, INC.</v>
      </c>
      <c r="U352" s="469"/>
      <c r="V352" s="469"/>
      <c r="W352" s="469"/>
      <c r="X352" s="469"/>
      <c r="Y352" s="469"/>
      <c r="Z352" s="469"/>
      <c r="AA352" s="469"/>
      <c r="AB352" s="469"/>
      <c r="AC352" s="469"/>
      <c r="AD352" s="469"/>
      <c r="AE352" s="469"/>
      <c r="AF352" s="469"/>
      <c r="AG352" s="469"/>
      <c r="AH352" s="469"/>
      <c r="AI352" s="469"/>
      <c r="AJ352" s="469"/>
      <c r="AK352" s="469"/>
      <c r="AL352" s="469"/>
      <c r="AM352" s="469"/>
      <c r="AN352" s="469"/>
      <c r="AO352" s="469"/>
      <c r="AP352" s="469"/>
      <c r="AQ352" s="469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</row>
    <row r="353" spans="3:53" x14ac:dyDescent="0.3">
      <c r="C353" s="42"/>
      <c r="F353" s="159"/>
      <c r="G353" s="3"/>
      <c r="H353" s="159"/>
      <c r="I353" s="159"/>
      <c r="J353" s="159"/>
      <c r="K353" s="159"/>
      <c r="L353" s="258"/>
      <c r="M353" s="159"/>
      <c r="N353" s="159"/>
      <c r="O353" s="159"/>
      <c r="P353" s="3"/>
      <c r="Q353" s="3"/>
      <c r="R353" s="3"/>
      <c r="S353" s="4"/>
      <c r="T353" s="40" t="str">
        <f>CASE_NO</f>
        <v>CASE NO.   2024-00354</v>
      </c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</row>
    <row r="354" spans="3:53" x14ac:dyDescent="0.3">
      <c r="C354" s="42"/>
      <c r="F354" s="159"/>
      <c r="G354" s="3"/>
      <c r="H354" s="159"/>
      <c r="I354" s="159"/>
      <c r="J354" s="159"/>
      <c r="K354" s="159"/>
      <c r="L354" s="159"/>
      <c r="M354" s="159"/>
      <c r="N354" s="159"/>
      <c r="O354" s="159"/>
      <c r="P354" s="159"/>
      <c r="Q354" s="3"/>
      <c r="R354" s="159"/>
      <c r="S354" s="4"/>
      <c r="T354" s="40" t="str">
        <f>TITLE</f>
        <v>ANNUALIZED TEST YEAR REVENUES AT REHEARING ORDER CALCULATED VS. MOST CURRENT RATES</v>
      </c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</row>
    <row r="355" spans="3:53" x14ac:dyDescent="0.3">
      <c r="C355" s="42"/>
      <c r="F355" s="184"/>
      <c r="G355" s="123"/>
      <c r="H355" s="184"/>
      <c r="I355" s="184"/>
      <c r="J355" s="184"/>
      <c r="K355" s="184"/>
      <c r="L355" s="123"/>
      <c r="M355" s="123"/>
      <c r="N355" s="123"/>
      <c r="O355" s="123"/>
      <c r="P355" s="123"/>
      <c r="Q355" s="123"/>
      <c r="R355" s="123"/>
      <c r="T355" s="40" t="str">
        <f>DATE</f>
        <v>FOR THE TWELVE MONTHS ENDED June 30, 2026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123"/>
      <c r="AS355" s="160"/>
    </row>
    <row r="356" spans="3:53" x14ac:dyDescent="0.3">
      <c r="F356" s="210"/>
      <c r="H356" s="123"/>
      <c r="I356" s="123"/>
      <c r="J356" s="213"/>
      <c r="K356" s="213"/>
      <c r="L356" s="210"/>
      <c r="M356" s="210"/>
      <c r="N356" s="210"/>
      <c r="O356" s="210"/>
      <c r="P356" s="210"/>
      <c r="Q356" s="210"/>
      <c r="R356" s="210"/>
      <c r="T356" s="40" t="str">
        <f>SERVICE</f>
        <v>(ELECTRIC SERVICE)</v>
      </c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123"/>
      <c r="AS356" s="160"/>
    </row>
    <row r="357" spans="3:53" x14ac:dyDescent="0.3">
      <c r="F357" s="210"/>
      <c r="H357" s="123"/>
      <c r="I357" s="123"/>
      <c r="J357" s="213"/>
      <c r="K357" s="213"/>
      <c r="L357" s="210"/>
      <c r="M357" s="210"/>
      <c r="N357" s="210"/>
      <c r="O357" s="210"/>
      <c r="P357" s="210"/>
      <c r="Q357" s="210"/>
      <c r="R357" s="210"/>
      <c r="T357" s="41" t="str">
        <f>DATA_PERIOD</f>
        <v>DATA: ____ BASE PERIOD   __X__FORECASTED PERIOD</v>
      </c>
      <c r="AG357" s="41"/>
      <c r="AK357" s="41"/>
      <c r="AO357" s="42" t="s">
        <v>158</v>
      </c>
      <c r="AQ357" s="41"/>
    </row>
    <row r="358" spans="3:53" x14ac:dyDescent="0.3">
      <c r="C358" s="42"/>
      <c r="F358" s="184"/>
      <c r="H358" s="184"/>
      <c r="I358" s="184"/>
      <c r="J358" s="237"/>
      <c r="K358" s="237"/>
      <c r="L358" s="123"/>
      <c r="M358" s="123"/>
      <c r="N358" s="160"/>
      <c r="O358" s="160"/>
      <c r="P358" s="123"/>
      <c r="Q358" s="123"/>
      <c r="R358" s="123"/>
      <c r="S358" s="123"/>
      <c r="T358" s="41" t="str">
        <f>TYPE</f>
        <v>TYPE OF FILING: _X_ ORIGINAL   ___UPDATED  ___ REVISED</v>
      </c>
      <c r="AG358" s="41"/>
      <c r="AK358" s="41"/>
      <c r="AO358" s="45" t="str">
        <f>"PAGE 20 OF "&amp;TEXT(Page_Num_2.2,"00")</f>
        <v>PAGE 20 OF 24</v>
      </c>
      <c r="AQ358" s="41"/>
      <c r="AR358" s="123"/>
      <c r="AS358" s="160"/>
    </row>
    <row r="359" spans="3:53" x14ac:dyDescent="0.3">
      <c r="C359" s="42"/>
      <c r="F359" s="184"/>
      <c r="H359" s="184"/>
      <c r="I359" s="184"/>
      <c r="J359" s="193"/>
      <c r="K359" s="193"/>
      <c r="L359" s="123"/>
      <c r="M359" s="123"/>
      <c r="N359" s="160"/>
      <c r="O359" s="160"/>
      <c r="P359" s="123"/>
      <c r="Q359" s="123"/>
      <c r="R359" s="123"/>
      <c r="T359" s="42" t="s">
        <v>171</v>
      </c>
      <c r="AO359" s="42" t="s">
        <v>4</v>
      </c>
      <c r="AP359" s="42"/>
    </row>
    <row r="360" spans="3:53" x14ac:dyDescent="0.3">
      <c r="F360" s="123"/>
      <c r="H360" s="210"/>
      <c r="I360" s="210"/>
      <c r="J360" s="213"/>
      <c r="K360" s="213"/>
      <c r="L360" s="210"/>
      <c r="M360" s="210"/>
      <c r="N360" s="210"/>
      <c r="O360" s="210"/>
      <c r="P360" s="210"/>
      <c r="Q360" s="210"/>
      <c r="R360" s="210"/>
      <c r="T360" s="153" t="str">
        <f>TIME</f>
        <v>12 Months Projected with Riders</v>
      </c>
      <c r="AF360" s="42"/>
      <c r="AO360" s="123" t="str">
        <f>WIT</f>
        <v>B. L. Sailers</v>
      </c>
      <c r="AR360" s="123"/>
      <c r="AS360" s="160"/>
    </row>
    <row r="361" spans="3:53" x14ac:dyDescent="0.3">
      <c r="F361" s="123"/>
      <c r="H361" s="210"/>
      <c r="I361" s="210"/>
      <c r="J361" s="213"/>
      <c r="K361" s="213"/>
      <c r="L361" s="210"/>
      <c r="M361" s="210"/>
      <c r="N361" s="210"/>
      <c r="O361" s="210"/>
      <c r="P361" s="210"/>
      <c r="Q361" s="210"/>
      <c r="R361" s="210"/>
      <c r="T361" s="40" t="s">
        <v>131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166"/>
      <c r="AH361" s="40"/>
      <c r="AI361" s="40"/>
      <c r="AJ361" s="40"/>
      <c r="AK361" s="166"/>
      <c r="AL361" s="40"/>
      <c r="AM361" s="40"/>
      <c r="AN361" s="40"/>
      <c r="AO361" s="40"/>
      <c r="AP361" s="40"/>
      <c r="AR361" s="123"/>
      <c r="AS361" s="160"/>
    </row>
    <row r="362" spans="3:53" x14ac:dyDescent="0.3">
      <c r="F362" s="123"/>
      <c r="H362" s="210"/>
      <c r="I362" s="210"/>
      <c r="J362" s="213"/>
      <c r="K362" s="213"/>
      <c r="L362" s="210"/>
      <c r="M362" s="210"/>
      <c r="N362" s="210"/>
      <c r="O362" s="210"/>
      <c r="P362" s="210"/>
      <c r="Q362" s="210"/>
      <c r="R362" s="210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43"/>
      <c r="AF362" s="43"/>
      <c r="AG362" s="167"/>
      <c r="AH362" s="43"/>
      <c r="AI362" s="43"/>
      <c r="AJ362" s="43"/>
      <c r="AK362" s="167"/>
      <c r="AL362" s="43"/>
      <c r="AM362" s="43"/>
      <c r="AN362" s="135"/>
      <c r="AO362" s="135"/>
      <c r="AP362" s="135"/>
    </row>
    <row r="363" spans="3:53" ht="18" customHeight="1" x14ac:dyDescent="0.3">
      <c r="C363" s="42"/>
      <c r="F363" s="123"/>
      <c r="H363" s="123"/>
      <c r="I363" s="123"/>
      <c r="J363" s="213"/>
      <c r="K363" s="213"/>
      <c r="L363" s="123"/>
      <c r="M363" s="123"/>
      <c r="N363" s="123"/>
      <c r="O363" s="123"/>
      <c r="P363" s="123"/>
      <c r="Q363" s="123"/>
      <c r="R363" s="123"/>
      <c r="T363" s="191"/>
      <c r="U363" s="191"/>
      <c r="V363" s="191"/>
      <c r="W363" s="191"/>
      <c r="X363" s="191"/>
      <c r="Y363" s="191"/>
      <c r="Z363" s="191"/>
      <c r="AA363" s="191"/>
      <c r="AB363" s="191"/>
      <c r="AC363" s="191"/>
      <c r="AD363" s="191"/>
      <c r="AE363" s="44" t="s">
        <v>8</v>
      </c>
      <c r="AF363" s="44"/>
      <c r="AG363" s="168" t="s">
        <v>7</v>
      </c>
      <c r="AH363" s="44"/>
      <c r="AI363" s="44" t="s">
        <v>9</v>
      </c>
      <c r="AJ363" s="44"/>
      <c r="AK363" s="168" t="s">
        <v>10</v>
      </c>
      <c r="AL363" s="44"/>
      <c r="AN363" s="191"/>
      <c r="AO363" s="272" t="s">
        <v>8</v>
      </c>
      <c r="AP363" s="272"/>
      <c r="AQ363" s="273" t="s">
        <v>11</v>
      </c>
      <c r="AR363" s="123"/>
      <c r="AW363" s="184"/>
    </row>
    <row r="364" spans="3:53" x14ac:dyDescent="0.3">
      <c r="C364" s="42"/>
      <c r="F364" s="123"/>
      <c r="H364" s="184"/>
      <c r="I364" s="184"/>
      <c r="J364" s="238"/>
      <c r="K364" s="238"/>
      <c r="L364" s="123"/>
      <c r="M364" s="123"/>
      <c r="N364" s="160"/>
      <c r="O364" s="160"/>
      <c r="P364" s="123"/>
      <c r="Q364" s="123"/>
      <c r="R364" s="123"/>
      <c r="AC364" s="346" t="s">
        <v>812</v>
      </c>
      <c r="AD364" s="40"/>
      <c r="AE364" s="44" t="s">
        <v>12</v>
      </c>
      <c r="AF364" s="44"/>
      <c r="AG364" s="168" t="s">
        <v>13</v>
      </c>
      <c r="AH364" s="44"/>
      <c r="AI364" s="44" t="s">
        <v>15</v>
      </c>
      <c r="AJ364" s="44"/>
      <c r="AK364" s="168" t="s">
        <v>16</v>
      </c>
      <c r="AL364" s="44"/>
      <c r="AO364" s="44" t="s">
        <v>11</v>
      </c>
      <c r="AP364" s="44"/>
      <c r="AQ364" s="168" t="s">
        <v>9</v>
      </c>
      <c r="AW364" s="184"/>
    </row>
    <row r="365" spans="3:53" x14ac:dyDescent="0.3">
      <c r="C365" s="42"/>
      <c r="H365" s="184"/>
      <c r="I365" s="184"/>
      <c r="J365" s="238"/>
      <c r="K365" s="238"/>
      <c r="L365" s="123"/>
      <c r="M365" s="123"/>
      <c r="N365" s="160"/>
      <c r="O365" s="160"/>
      <c r="P365" s="123"/>
      <c r="Q365" s="123"/>
      <c r="R365" s="123"/>
      <c r="T365" s="44" t="s">
        <v>17</v>
      </c>
      <c r="V365" s="44" t="s">
        <v>18</v>
      </c>
      <c r="W365" s="44" t="s">
        <v>19</v>
      </c>
      <c r="X365" s="44"/>
      <c r="Y365" s="44" t="s">
        <v>20</v>
      </c>
      <c r="AC365" s="44" t="s">
        <v>808</v>
      </c>
      <c r="AD365" s="44" t="s">
        <v>809</v>
      </c>
      <c r="AE365" s="44" t="s">
        <v>842</v>
      </c>
      <c r="AF365" s="44"/>
      <c r="AG365" s="168" t="s">
        <v>842</v>
      </c>
      <c r="AH365" s="44"/>
      <c r="AI365" s="46" t="s">
        <v>965</v>
      </c>
      <c r="AJ365" s="44"/>
      <c r="AK365" s="169" t="s">
        <v>965</v>
      </c>
      <c r="AL365" s="44"/>
      <c r="AM365" s="44" t="s">
        <v>842</v>
      </c>
      <c r="AN365" s="44"/>
      <c r="AO365" s="44" t="s">
        <v>9</v>
      </c>
      <c r="AP365" s="44"/>
      <c r="AQ365" s="168" t="s">
        <v>21</v>
      </c>
      <c r="AW365" s="184"/>
    </row>
    <row r="366" spans="3:53" x14ac:dyDescent="0.3">
      <c r="F366" s="123"/>
      <c r="H366" s="123"/>
      <c r="I366" s="123"/>
      <c r="J366" s="213"/>
      <c r="K366" s="213"/>
      <c r="L366" s="210"/>
      <c r="M366" s="210"/>
      <c r="N366" s="210"/>
      <c r="O366" s="210"/>
      <c r="P366" s="210"/>
      <c r="Q366" s="210"/>
      <c r="R366" s="210"/>
      <c r="T366" s="44" t="s">
        <v>22</v>
      </c>
      <c r="V366" s="44" t="s">
        <v>23</v>
      </c>
      <c r="W366" s="44" t="s">
        <v>24</v>
      </c>
      <c r="X366" s="44"/>
      <c r="Y366" s="44" t="s">
        <v>25</v>
      </c>
      <c r="AA366" s="44" t="s">
        <v>26</v>
      </c>
      <c r="AB366" s="44"/>
      <c r="AC366" s="46" t="s">
        <v>27</v>
      </c>
      <c r="AD366" s="46" t="s">
        <v>27</v>
      </c>
      <c r="AE366" s="44" t="s">
        <v>9</v>
      </c>
      <c r="AF366" s="44"/>
      <c r="AG366" s="168" t="s">
        <v>9</v>
      </c>
      <c r="AH366" s="44"/>
      <c r="AI366" s="141" t="s">
        <v>29</v>
      </c>
      <c r="AJ366" s="141"/>
      <c r="AK366" s="170" t="s">
        <v>30</v>
      </c>
      <c r="AL366" s="44"/>
      <c r="AM366" s="44" t="s">
        <v>324</v>
      </c>
      <c r="AN366" s="44"/>
      <c r="AO366" s="141" t="s">
        <v>31</v>
      </c>
      <c r="AP366" s="141"/>
      <c r="AQ366" s="170" t="s">
        <v>32</v>
      </c>
      <c r="AW366" s="184"/>
    </row>
    <row r="367" spans="3:53" x14ac:dyDescent="0.3">
      <c r="C367" s="42"/>
      <c r="F367" s="123"/>
      <c r="H367" s="123"/>
      <c r="I367" s="123"/>
      <c r="J367" s="219"/>
      <c r="K367" s="219"/>
      <c r="L367" s="123"/>
      <c r="M367" s="123"/>
      <c r="N367" s="160"/>
      <c r="O367" s="160"/>
      <c r="P367" s="123"/>
      <c r="Q367" s="123"/>
      <c r="R367" s="123"/>
      <c r="V367" s="141" t="s">
        <v>33</v>
      </c>
      <c r="W367" s="141" t="s">
        <v>34</v>
      </c>
      <c r="X367" s="141"/>
      <c r="Y367" s="141" t="s">
        <v>35</v>
      </c>
      <c r="Z367" s="153"/>
      <c r="AA367" s="141" t="s">
        <v>36</v>
      </c>
      <c r="AB367" s="141"/>
      <c r="AC367" s="156" t="s">
        <v>814</v>
      </c>
      <c r="AD367" s="156" t="s">
        <v>813</v>
      </c>
      <c r="AE367" s="141" t="s">
        <v>43</v>
      </c>
      <c r="AF367" s="141"/>
      <c r="AG367" s="170" t="s">
        <v>44</v>
      </c>
      <c r="AH367" s="141"/>
      <c r="AI367" s="141" t="s">
        <v>45</v>
      </c>
      <c r="AJ367" s="141"/>
      <c r="AK367" s="170" t="s">
        <v>46</v>
      </c>
      <c r="AL367" s="141"/>
      <c r="AM367" s="141" t="s">
        <v>40</v>
      </c>
      <c r="AN367" s="141"/>
      <c r="AO367" s="141" t="s">
        <v>47</v>
      </c>
      <c r="AP367" s="141"/>
      <c r="AQ367" s="170" t="s">
        <v>48</v>
      </c>
      <c r="AW367" s="184"/>
    </row>
    <row r="368" spans="3:53" ht="17.100000000000001" customHeight="1" x14ac:dyDescent="0.3">
      <c r="F368" s="123"/>
      <c r="H368" s="123"/>
      <c r="I368" s="123"/>
      <c r="J368" s="213"/>
      <c r="K368" s="213"/>
      <c r="L368" s="210"/>
      <c r="M368" s="210"/>
      <c r="N368" s="210"/>
      <c r="O368" s="210"/>
      <c r="P368" s="210"/>
      <c r="Q368" s="210"/>
      <c r="R368" s="210"/>
      <c r="T368" s="191"/>
      <c r="U368" s="191"/>
      <c r="V368" s="191"/>
      <c r="W368" s="191"/>
      <c r="X368" s="191"/>
      <c r="Y368" s="191"/>
      <c r="Z368" s="191"/>
      <c r="AA368" s="271" t="s">
        <v>49</v>
      </c>
      <c r="AB368" s="271"/>
      <c r="AC368" s="270" t="s">
        <v>69</v>
      </c>
      <c r="AD368" s="271"/>
      <c r="AE368" s="271" t="s">
        <v>50</v>
      </c>
      <c r="AF368" s="271"/>
      <c r="AG368" s="274" t="s">
        <v>51</v>
      </c>
      <c r="AH368" s="271"/>
      <c r="AI368" s="271" t="s">
        <v>50</v>
      </c>
      <c r="AJ368" s="271"/>
      <c r="AK368" s="274" t="s">
        <v>51</v>
      </c>
      <c r="AL368" s="271"/>
      <c r="AM368" s="271" t="s">
        <v>50</v>
      </c>
      <c r="AN368" s="271"/>
      <c r="AO368" s="271" t="s">
        <v>50</v>
      </c>
      <c r="AP368" s="271"/>
      <c r="AQ368" s="274" t="s">
        <v>51</v>
      </c>
      <c r="AW368" s="184"/>
    </row>
    <row r="369" spans="1:49" x14ac:dyDescent="0.3">
      <c r="C369" s="42"/>
      <c r="F369" s="184"/>
      <c r="H369" s="184"/>
      <c r="I369" s="184"/>
      <c r="J369" s="227"/>
      <c r="K369" s="227"/>
      <c r="L369" s="123"/>
      <c r="M369" s="123"/>
      <c r="N369" s="160"/>
      <c r="O369" s="160"/>
      <c r="P369" s="123"/>
      <c r="Q369" s="123"/>
      <c r="R369" s="123"/>
      <c r="T369" s="282">
        <f t="shared" ref="T369:T412" si="35">A18</f>
        <v>1</v>
      </c>
      <c r="V369" s="45" t="str">
        <f>C18</f>
        <v>LED</v>
      </c>
      <c r="W369" s="45" t="str">
        <f>D18</f>
        <v>STREET LIGHTING -- LED</v>
      </c>
      <c r="X369" s="42"/>
      <c r="Y369" s="1"/>
      <c r="Z369" s="1"/>
      <c r="AA369" s="1"/>
      <c r="AB369" s="1"/>
      <c r="AC369" s="1"/>
      <c r="AD369" s="1"/>
      <c r="AE369" s="1"/>
      <c r="AF369" s="1"/>
      <c r="AG369" s="175"/>
      <c r="AH369" s="1"/>
      <c r="AI369" s="1"/>
      <c r="AJ369" s="1"/>
      <c r="AK369" s="175"/>
      <c r="AL369" s="1"/>
      <c r="AM369" s="1"/>
      <c r="AN369" s="1"/>
      <c r="AO369" s="1"/>
      <c r="AP369" s="1"/>
      <c r="AQ369" s="181"/>
      <c r="AW369" s="184"/>
    </row>
    <row r="370" spans="1:49" x14ac:dyDescent="0.3">
      <c r="C370" s="42"/>
      <c r="F370" s="123"/>
      <c r="H370" s="123"/>
      <c r="I370" s="123"/>
      <c r="J370" s="213"/>
      <c r="K370" s="213"/>
      <c r="L370" s="123"/>
      <c r="M370" s="123"/>
      <c r="N370" s="160"/>
      <c r="O370" s="160"/>
      <c r="P370" s="123"/>
      <c r="Q370" s="123"/>
      <c r="R370" s="123"/>
      <c r="S370" s="123"/>
      <c r="T370" s="282">
        <f t="shared" si="35"/>
        <v>2</v>
      </c>
      <c r="V370" s="45" t="str">
        <f t="shared" ref="V370:V412" si="36">C19</f>
        <v>FIXTURES</v>
      </c>
      <c r="W370" s="153"/>
      <c r="Y370" s="159"/>
      <c r="Z370" s="1"/>
      <c r="AA370" s="159"/>
      <c r="AB370" s="1"/>
      <c r="AC370" s="1"/>
      <c r="AD370" s="1"/>
      <c r="AE370" s="1"/>
      <c r="AF370" s="1"/>
      <c r="AG370" s="175"/>
      <c r="AH370" s="1"/>
      <c r="AI370" s="1"/>
      <c r="AJ370" s="1"/>
      <c r="AK370" s="175"/>
      <c r="AL370" s="1"/>
      <c r="AM370" s="1"/>
      <c r="AN370" s="1"/>
      <c r="AO370" s="1"/>
      <c r="AP370" s="1"/>
      <c r="AQ370" s="181"/>
      <c r="AW370" s="184"/>
    </row>
    <row r="371" spans="1:49" x14ac:dyDescent="0.3">
      <c r="F371" s="210"/>
      <c r="H371" s="210"/>
      <c r="I371" s="210"/>
      <c r="J371" s="213"/>
      <c r="K371" s="213"/>
      <c r="L371" s="210"/>
      <c r="M371" s="210"/>
      <c r="N371" s="210"/>
      <c r="O371" s="210"/>
      <c r="P371" s="210"/>
      <c r="Q371" s="210"/>
      <c r="R371" s="210"/>
      <c r="S371" s="123"/>
      <c r="T371" s="282">
        <f t="shared" si="35"/>
        <v>3</v>
      </c>
      <c r="V371" s="45" t="str">
        <f t="shared" si="36"/>
        <v xml:space="preserve">   50W Neighborhood</v>
      </c>
      <c r="W371" s="153"/>
      <c r="Y371" s="159">
        <f t="shared" ref="Y371:Y412" si="37">F20</f>
        <v>0</v>
      </c>
      <c r="Z371" s="1"/>
      <c r="AA371" s="159">
        <f t="shared" ref="AA371:AA412" si="38">H20</f>
        <v>0</v>
      </c>
      <c r="AB371" s="159"/>
      <c r="AC371" s="238">
        <v>4.1500000000000004</v>
      </c>
      <c r="AD371" s="238">
        <v>2.9</v>
      </c>
      <c r="AE371" s="3">
        <f>ROUND((Y371*(AC371+AD371)),0)</f>
        <v>0</v>
      </c>
      <c r="AF371" s="3"/>
      <c r="AG371" s="175">
        <f t="shared" ref="AG371:AG412" si="39">ROUND((AE371/AE$692)*100,1)</f>
        <v>0</v>
      </c>
      <c r="AH371" s="4"/>
      <c r="AI371" s="3">
        <f t="shared" ref="AI371:AI412" si="40">L20-AE371</f>
        <v>0</v>
      </c>
      <c r="AJ371" s="3"/>
      <c r="AK371" s="181" t="str">
        <f t="shared" ref="AK371:AK401" si="41">IF(AE371=0,"0.0 ",ROUND((AI371/AE371)*100,1))</f>
        <v xml:space="preserve">0.0 </v>
      </c>
      <c r="AL371" s="6"/>
      <c r="AM371" s="3"/>
      <c r="AN371" s="3"/>
      <c r="AO371" s="3">
        <f>AM371+AE371</f>
        <v>0</v>
      </c>
      <c r="AP371" s="3"/>
      <c r="AQ371" s="181" t="str">
        <f t="shared" ref="AQ371:AQ401" si="42">IF(AO371=0,"0.0 ",ROUND((AI371/AO371)*100,1))</f>
        <v xml:space="preserve">0.0 </v>
      </c>
      <c r="AW371" s="184"/>
    </row>
    <row r="372" spans="1:49" x14ac:dyDescent="0.3">
      <c r="F372" s="210"/>
      <c r="H372" s="210"/>
      <c r="I372" s="210"/>
      <c r="J372" s="213"/>
      <c r="K372" s="213"/>
      <c r="L372" s="210"/>
      <c r="M372" s="210"/>
      <c r="N372" s="210"/>
      <c r="O372" s="210"/>
      <c r="P372" s="210"/>
      <c r="Q372" s="210"/>
      <c r="R372" s="210"/>
      <c r="T372" s="282">
        <f t="shared" si="35"/>
        <v>4</v>
      </c>
      <c r="V372" s="45" t="str">
        <f t="shared" si="36"/>
        <v xml:space="preserve">   50W Neighborhood with Lens</v>
      </c>
      <c r="Y372" s="159">
        <f t="shared" si="37"/>
        <v>0</v>
      </c>
      <c r="Z372" s="1"/>
      <c r="AA372" s="159">
        <f t="shared" si="38"/>
        <v>0</v>
      </c>
      <c r="AB372" s="159"/>
      <c r="AC372" s="238">
        <v>4.2</v>
      </c>
      <c r="AD372" s="238">
        <v>2.9</v>
      </c>
      <c r="AE372" s="3">
        <f t="shared" ref="AE372:AE401" si="43">ROUND((Y372*(AC372+AD372)),0)</f>
        <v>0</v>
      </c>
      <c r="AF372" s="3"/>
      <c r="AG372" s="175">
        <f t="shared" si="39"/>
        <v>0</v>
      </c>
      <c r="AH372" s="4"/>
      <c r="AI372" s="3">
        <f t="shared" si="40"/>
        <v>0</v>
      </c>
      <c r="AJ372" s="3"/>
      <c r="AK372" s="181" t="str">
        <f t="shared" si="41"/>
        <v xml:space="preserve">0.0 </v>
      </c>
      <c r="AL372" s="6"/>
      <c r="AM372" s="3"/>
      <c r="AN372" s="3"/>
      <c r="AO372" s="3">
        <f t="shared" ref="AO372:AO401" si="44">AM372+AE372</f>
        <v>0</v>
      </c>
      <c r="AP372" s="3"/>
      <c r="AQ372" s="181" t="str">
        <f t="shared" si="42"/>
        <v xml:space="preserve">0.0 </v>
      </c>
      <c r="AS372" s="123"/>
      <c r="AW372" s="184"/>
    </row>
    <row r="373" spans="1:49" x14ac:dyDescent="0.3">
      <c r="C373" s="42"/>
      <c r="T373" s="282">
        <f t="shared" si="35"/>
        <v>5</v>
      </c>
      <c r="V373" s="45" t="str">
        <f t="shared" si="36"/>
        <v xml:space="preserve">   50W Standard LED</v>
      </c>
      <c r="Y373" s="159">
        <f t="shared" si="37"/>
        <v>259</v>
      </c>
      <c r="Z373" s="1"/>
      <c r="AA373" s="159">
        <f t="shared" si="38"/>
        <v>4403</v>
      </c>
      <c r="AB373" s="159"/>
      <c r="AC373" s="238">
        <v>3.84</v>
      </c>
      <c r="AD373" s="238">
        <v>2.9</v>
      </c>
      <c r="AE373" s="3">
        <f t="shared" si="43"/>
        <v>1746</v>
      </c>
      <c r="AF373" s="3"/>
      <c r="AG373" s="175">
        <f t="shared" si="39"/>
        <v>8.8000000000000007</v>
      </c>
      <c r="AH373" s="4"/>
      <c r="AI373" s="3">
        <f t="shared" si="40"/>
        <v>249</v>
      </c>
      <c r="AJ373" s="3"/>
      <c r="AK373" s="181">
        <f t="shared" si="41"/>
        <v>14.3</v>
      </c>
      <c r="AL373" s="6"/>
      <c r="AM373" s="3"/>
      <c r="AN373" s="3"/>
      <c r="AO373" s="3">
        <f t="shared" si="44"/>
        <v>1746</v>
      </c>
      <c r="AP373" s="3"/>
      <c r="AQ373" s="181">
        <f t="shared" si="42"/>
        <v>14.3</v>
      </c>
      <c r="AS373" s="123"/>
      <c r="AW373" s="184"/>
    </row>
    <row r="374" spans="1:49" x14ac:dyDescent="0.3">
      <c r="C374" s="42"/>
      <c r="F374" s="123"/>
      <c r="H374" s="123"/>
      <c r="I374" s="123"/>
      <c r="L374" s="123"/>
      <c r="M374" s="123"/>
      <c r="N374" s="160"/>
      <c r="O374" s="160"/>
      <c r="P374" s="184"/>
      <c r="Q374" s="184"/>
      <c r="R374" s="123"/>
      <c r="T374" s="282">
        <f t="shared" si="35"/>
        <v>6</v>
      </c>
      <c r="V374" s="45" t="str">
        <f t="shared" si="36"/>
        <v xml:space="preserve">   70W Standard LED</v>
      </c>
      <c r="Y374" s="159">
        <f t="shared" si="37"/>
        <v>672</v>
      </c>
      <c r="Z374" s="1"/>
      <c r="AA374" s="159">
        <f t="shared" si="38"/>
        <v>11424</v>
      </c>
      <c r="AB374" s="159"/>
      <c r="AC374" s="238">
        <v>4.22</v>
      </c>
      <c r="AD374" s="238">
        <v>2.9</v>
      </c>
      <c r="AE374" s="3">
        <f t="shared" si="43"/>
        <v>4785</v>
      </c>
      <c r="AF374" s="3"/>
      <c r="AG374" s="175">
        <f t="shared" si="39"/>
        <v>24</v>
      </c>
      <c r="AH374" s="4"/>
      <c r="AI374" s="3">
        <f t="shared" si="40"/>
        <v>682</v>
      </c>
      <c r="AJ374" s="3"/>
      <c r="AK374" s="181">
        <f t="shared" si="41"/>
        <v>14.3</v>
      </c>
      <c r="AL374" s="6"/>
      <c r="AM374" s="3"/>
      <c r="AN374" s="3"/>
      <c r="AO374" s="3">
        <f t="shared" si="44"/>
        <v>4785</v>
      </c>
      <c r="AP374" s="3"/>
      <c r="AQ374" s="181">
        <f t="shared" si="42"/>
        <v>14.3</v>
      </c>
      <c r="AS374" s="123"/>
      <c r="AW374" s="184"/>
    </row>
    <row r="375" spans="1:49" x14ac:dyDescent="0.3">
      <c r="F375" s="210"/>
      <c r="H375" s="210"/>
      <c r="I375" s="210"/>
      <c r="J375" s="213"/>
      <c r="K375" s="213"/>
      <c r="L375" s="210"/>
      <c r="M375" s="210"/>
      <c r="N375" s="210"/>
      <c r="O375" s="210"/>
      <c r="P375" s="210"/>
      <c r="Q375" s="210"/>
      <c r="R375" s="210"/>
      <c r="T375" s="282">
        <f t="shared" si="35"/>
        <v>7</v>
      </c>
      <c r="V375" s="45" t="str">
        <f t="shared" si="36"/>
        <v xml:space="preserve">   110W Standard LED</v>
      </c>
      <c r="Y375" s="159">
        <f t="shared" si="37"/>
        <v>22</v>
      </c>
      <c r="Z375" s="1"/>
      <c r="AA375" s="159">
        <f t="shared" si="38"/>
        <v>528</v>
      </c>
      <c r="AB375" s="159"/>
      <c r="AC375" s="238">
        <v>4.7699999999999996</v>
      </c>
      <c r="AD375" s="238">
        <v>2.9</v>
      </c>
      <c r="AE375" s="3">
        <f t="shared" si="43"/>
        <v>169</v>
      </c>
      <c r="AF375" s="3"/>
      <c r="AG375" s="175">
        <f t="shared" si="39"/>
        <v>0.8</v>
      </c>
      <c r="AH375" s="4"/>
      <c r="AI375" s="3">
        <f t="shared" si="40"/>
        <v>24</v>
      </c>
      <c r="AJ375" s="3"/>
      <c r="AK375" s="181">
        <f t="shared" si="41"/>
        <v>14.2</v>
      </c>
      <c r="AL375" s="6"/>
      <c r="AM375" s="3"/>
      <c r="AN375" s="3"/>
      <c r="AO375" s="3">
        <f t="shared" si="44"/>
        <v>169</v>
      </c>
      <c r="AP375" s="3"/>
      <c r="AQ375" s="181">
        <f t="shared" si="42"/>
        <v>14.2</v>
      </c>
      <c r="AS375" s="123"/>
      <c r="AW375" s="184"/>
    </row>
    <row r="376" spans="1:49" x14ac:dyDescent="0.3">
      <c r="T376" s="282">
        <f t="shared" si="35"/>
        <v>8</v>
      </c>
      <c r="V376" s="45" t="str">
        <f t="shared" si="36"/>
        <v xml:space="preserve">   150W Standard LED</v>
      </c>
      <c r="Y376" s="159">
        <f t="shared" si="37"/>
        <v>10</v>
      </c>
      <c r="Z376" s="1"/>
      <c r="AA376" s="159">
        <f t="shared" si="38"/>
        <v>380</v>
      </c>
      <c r="AB376" s="159"/>
      <c r="AC376" s="238">
        <v>4.83</v>
      </c>
      <c r="AD376" s="238">
        <v>2.9</v>
      </c>
      <c r="AE376" s="3">
        <f t="shared" si="43"/>
        <v>77</v>
      </c>
      <c r="AF376" s="3"/>
      <c r="AG376" s="175">
        <f t="shared" si="39"/>
        <v>0.4</v>
      </c>
      <c r="AH376" s="4"/>
      <c r="AI376" s="3">
        <f t="shared" si="40"/>
        <v>11</v>
      </c>
      <c r="AJ376" s="3"/>
      <c r="AK376" s="181">
        <f t="shared" si="41"/>
        <v>14.3</v>
      </c>
      <c r="AL376" s="6"/>
      <c r="AM376" s="3"/>
      <c r="AN376" s="3"/>
      <c r="AO376" s="3">
        <f t="shared" si="44"/>
        <v>77</v>
      </c>
      <c r="AP376" s="3"/>
      <c r="AQ376" s="181">
        <f t="shared" si="42"/>
        <v>14.3</v>
      </c>
      <c r="AS376" s="123"/>
      <c r="AW376" s="184"/>
    </row>
    <row r="377" spans="1:49" x14ac:dyDescent="0.3">
      <c r="C377" s="42"/>
      <c r="L377" s="123"/>
      <c r="M377" s="123"/>
      <c r="N377" s="123"/>
      <c r="O377" s="123"/>
      <c r="P377" s="123"/>
      <c r="Q377" s="123"/>
      <c r="R377" s="123"/>
      <c r="S377" s="123"/>
      <c r="T377" s="282">
        <f t="shared" si="35"/>
        <v>9</v>
      </c>
      <c r="V377" s="45" t="str">
        <f t="shared" si="36"/>
        <v xml:space="preserve">   220W Standard LED</v>
      </c>
      <c r="Y377" s="159">
        <f t="shared" si="37"/>
        <v>19</v>
      </c>
      <c r="Z377" s="1"/>
      <c r="AA377" s="159">
        <f t="shared" si="38"/>
        <v>988</v>
      </c>
      <c r="AB377" s="159"/>
      <c r="AC377" s="238">
        <v>6.31</v>
      </c>
      <c r="AD377" s="238">
        <v>3.54</v>
      </c>
      <c r="AE377" s="3">
        <f t="shared" si="43"/>
        <v>187</v>
      </c>
      <c r="AF377" s="3"/>
      <c r="AG377" s="175">
        <f t="shared" si="39"/>
        <v>0.9</v>
      </c>
      <c r="AH377" s="4"/>
      <c r="AI377" s="3">
        <f t="shared" si="40"/>
        <v>27</v>
      </c>
      <c r="AJ377" s="3"/>
      <c r="AK377" s="181">
        <f t="shared" si="41"/>
        <v>14.4</v>
      </c>
      <c r="AL377" s="6"/>
      <c r="AM377" s="3"/>
      <c r="AN377" s="3"/>
      <c r="AO377" s="3">
        <f t="shared" si="44"/>
        <v>187</v>
      </c>
      <c r="AP377" s="3"/>
      <c r="AQ377" s="181">
        <f t="shared" si="42"/>
        <v>14.4</v>
      </c>
      <c r="AS377" s="123"/>
      <c r="AW377" s="184"/>
    </row>
    <row r="378" spans="1:49" x14ac:dyDescent="0.3">
      <c r="C378" s="42"/>
      <c r="L378" s="123"/>
      <c r="M378" s="123"/>
      <c r="N378" s="123"/>
      <c r="O378" s="123"/>
      <c r="P378" s="123"/>
      <c r="Q378" s="123"/>
      <c r="R378" s="123"/>
      <c r="S378" s="123"/>
      <c r="T378" s="282">
        <f t="shared" si="35"/>
        <v>10</v>
      </c>
      <c r="V378" s="45" t="str">
        <f t="shared" si="36"/>
        <v xml:space="preserve">   280W Standard LED</v>
      </c>
      <c r="Y378" s="159">
        <f t="shared" si="37"/>
        <v>4</v>
      </c>
      <c r="Z378" s="1"/>
      <c r="AA378" s="159">
        <f t="shared" si="38"/>
        <v>304</v>
      </c>
      <c r="AB378" s="159"/>
      <c r="AC378" s="238">
        <v>6.36</v>
      </c>
      <c r="AD378" s="238">
        <v>3.54</v>
      </c>
      <c r="AE378" s="3">
        <f t="shared" si="43"/>
        <v>40</v>
      </c>
      <c r="AF378" s="3"/>
      <c r="AG378" s="175">
        <f t="shared" si="39"/>
        <v>0.2</v>
      </c>
      <c r="AH378" s="4"/>
      <c r="AI378" s="3">
        <f t="shared" si="40"/>
        <v>5</v>
      </c>
      <c r="AJ378" s="3"/>
      <c r="AK378" s="181">
        <f t="shared" si="41"/>
        <v>12.5</v>
      </c>
      <c r="AL378" s="6"/>
      <c r="AM378" s="3"/>
      <c r="AN378" s="3"/>
      <c r="AO378" s="3">
        <f t="shared" si="44"/>
        <v>40</v>
      </c>
      <c r="AP378" s="3"/>
      <c r="AQ378" s="181">
        <f t="shared" si="42"/>
        <v>12.5</v>
      </c>
      <c r="AS378" s="123"/>
      <c r="AW378" s="184"/>
    </row>
    <row r="379" spans="1:49" x14ac:dyDescent="0.3">
      <c r="C379" s="42"/>
      <c r="L379" s="123"/>
      <c r="M379" s="123"/>
      <c r="N379" s="123"/>
      <c r="O379" s="123"/>
      <c r="P379" s="123"/>
      <c r="Q379" s="123"/>
      <c r="R379" s="123"/>
      <c r="S379" s="123"/>
      <c r="T379" s="282">
        <f t="shared" si="35"/>
        <v>11</v>
      </c>
      <c r="V379" s="45" t="str">
        <f t="shared" si="36"/>
        <v xml:space="preserve">   50W Acorn LED</v>
      </c>
      <c r="Y379" s="159">
        <f t="shared" si="37"/>
        <v>0</v>
      </c>
      <c r="Z379" s="1"/>
      <c r="AA379" s="159">
        <f t="shared" si="38"/>
        <v>0</v>
      </c>
      <c r="AB379" s="159"/>
      <c r="AC379" s="238">
        <v>11.71</v>
      </c>
      <c r="AD379" s="238">
        <v>2.9</v>
      </c>
      <c r="AE379" s="3">
        <f t="shared" si="43"/>
        <v>0</v>
      </c>
      <c r="AF379" s="3"/>
      <c r="AG379" s="175">
        <f t="shared" si="39"/>
        <v>0</v>
      </c>
      <c r="AH379" s="4"/>
      <c r="AI379" s="3">
        <f t="shared" si="40"/>
        <v>0</v>
      </c>
      <c r="AJ379" s="3"/>
      <c r="AK379" s="181" t="str">
        <f t="shared" si="41"/>
        <v xml:space="preserve">0.0 </v>
      </c>
      <c r="AL379" s="6"/>
      <c r="AM379" s="3"/>
      <c r="AN379" s="3"/>
      <c r="AO379" s="3">
        <f t="shared" si="44"/>
        <v>0</v>
      </c>
      <c r="AP379" s="3"/>
      <c r="AQ379" s="181" t="str">
        <f t="shared" si="42"/>
        <v xml:space="preserve">0.0 </v>
      </c>
      <c r="AS379" s="123"/>
      <c r="AW379" s="184"/>
    </row>
    <row r="380" spans="1:49" x14ac:dyDescent="0.3">
      <c r="C380" s="42"/>
      <c r="L380" s="123"/>
      <c r="M380" s="123"/>
      <c r="N380" s="123"/>
      <c r="O380" s="123"/>
      <c r="P380" s="123"/>
      <c r="Q380" s="123"/>
      <c r="R380" s="123"/>
      <c r="S380" s="123"/>
      <c r="T380" s="282">
        <f t="shared" si="35"/>
        <v>12</v>
      </c>
      <c r="V380" s="45" t="str">
        <f t="shared" si="36"/>
        <v xml:space="preserve">   50W Deluxe Acorn LED</v>
      </c>
      <c r="Y380" s="159">
        <f t="shared" si="37"/>
        <v>0</v>
      </c>
      <c r="Z380" s="1"/>
      <c r="AA380" s="159">
        <f t="shared" si="38"/>
        <v>0</v>
      </c>
      <c r="AB380" s="159"/>
      <c r="AC380" s="238">
        <v>13.05</v>
      </c>
      <c r="AD380" s="238">
        <v>2.9</v>
      </c>
      <c r="AE380" s="3">
        <f t="shared" si="43"/>
        <v>0</v>
      </c>
      <c r="AF380" s="3"/>
      <c r="AG380" s="175">
        <f t="shared" si="39"/>
        <v>0</v>
      </c>
      <c r="AH380" s="4"/>
      <c r="AI380" s="3">
        <f t="shared" si="40"/>
        <v>0</v>
      </c>
      <c r="AJ380" s="3"/>
      <c r="AK380" s="181" t="str">
        <f t="shared" si="41"/>
        <v xml:space="preserve">0.0 </v>
      </c>
      <c r="AL380" s="6"/>
      <c r="AM380" s="3"/>
      <c r="AN380" s="3"/>
      <c r="AO380" s="3">
        <f t="shared" si="44"/>
        <v>0</v>
      </c>
      <c r="AP380" s="3"/>
      <c r="AQ380" s="181" t="str">
        <f t="shared" si="42"/>
        <v xml:space="preserve">0.0 </v>
      </c>
      <c r="AS380" s="123"/>
      <c r="AW380" s="184"/>
    </row>
    <row r="381" spans="1:49" x14ac:dyDescent="0.3">
      <c r="A381" s="42"/>
      <c r="T381" s="282">
        <f t="shared" si="35"/>
        <v>13</v>
      </c>
      <c r="V381" s="45" t="str">
        <f t="shared" si="36"/>
        <v xml:space="preserve">   70W LED Open Deluxe Acorn</v>
      </c>
      <c r="Y381" s="159">
        <f t="shared" si="37"/>
        <v>0</v>
      </c>
      <c r="Z381" s="1"/>
      <c r="AA381" s="159">
        <f t="shared" si="38"/>
        <v>0</v>
      </c>
      <c r="AB381" s="159"/>
      <c r="AC381" s="238">
        <v>13.44</v>
      </c>
      <c r="AD381" s="238">
        <v>2.9</v>
      </c>
      <c r="AE381" s="3">
        <f t="shared" si="43"/>
        <v>0</v>
      </c>
      <c r="AF381" s="3"/>
      <c r="AG381" s="175">
        <f t="shared" si="39"/>
        <v>0</v>
      </c>
      <c r="AH381" s="4"/>
      <c r="AI381" s="3">
        <f t="shared" si="40"/>
        <v>0</v>
      </c>
      <c r="AJ381" s="3"/>
      <c r="AK381" s="181" t="str">
        <f t="shared" si="41"/>
        <v xml:space="preserve">0.0 </v>
      </c>
      <c r="AL381" s="6"/>
      <c r="AM381" s="3"/>
      <c r="AN381" s="3"/>
      <c r="AO381" s="3">
        <f t="shared" si="44"/>
        <v>0</v>
      </c>
      <c r="AP381" s="3"/>
      <c r="AQ381" s="181" t="str">
        <f t="shared" si="42"/>
        <v xml:space="preserve">0.0 </v>
      </c>
      <c r="AS381" s="123"/>
      <c r="AW381" s="184"/>
    </row>
    <row r="382" spans="1:49" x14ac:dyDescent="0.3">
      <c r="A382" s="42"/>
      <c r="T382" s="282">
        <f t="shared" si="35"/>
        <v>14</v>
      </c>
      <c r="V382" s="45" t="str">
        <f t="shared" si="36"/>
        <v xml:space="preserve">   50W Traditional LED</v>
      </c>
      <c r="Y382" s="159">
        <f t="shared" si="37"/>
        <v>858</v>
      </c>
      <c r="Z382" s="1"/>
      <c r="AA382" s="159">
        <f t="shared" si="38"/>
        <v>20592</v>
      </c>
      <c r="AB382" s="159"/>
      <c r="AC382" s="238">
        <v>6.31</v>
      </c>
      <c r="AD382" s="238">
        <v>2.9</v>
      </c>
      <c r="AE382" s="3">
        <f t="shared" si="43"/>
        <v>7902</v>
      </c>
      <c r="AF382" s="3"/>
      <c r="AG382" s="175">
        <f t="shared" si="39"/>
        <v>39.700000000000003</v>
      </c>
      <c r="AH382" s="4"/>
      <c r="AI382" s="3">
        <f t="shared" si="40"/>
        <v>1127</v>
      </c>
      <c r="AJ382" s="3"/>
      <c r="AK382" s="181">
        <f t="shared" si="41"/>
        <v>14.3</v>
      </c>
      <c r="AL382" s="6"/>
      <c r="AM382" s="3"/>
      <c r="AN382" s="3"/>
      <c r="AO382" s="3">
        <f t="shared" si="44"/>
        <v>7902</v>
      </c>
      <c r="AP382" s="3"/>
      <c r="AQ382" s="181">
        <f t="shared" si="42"/>
        <v>14.3</v>
      </c>
      <c r="AS382" s="123"/>
      <c r="AW382" s="184"/>
    </row>
    <row r="383" spans="1:49" x14ac:dyDescent="0.3">
      <c r="A383" s="42"/>
      <c r="T383" s="282">
        <f t="shared" si="35"/>
        <v>15</v>
      </c>
      <c r="V383" s="45" t="str">
        <f t="shared" si="36"/>
        <v xml:space="preserve">   50W Open Traditional LED</v>
      </c>
      <c r="Y383" s="159">
        <f t="shared" si="37"/>
        <v>0</v>
      </c>
      <c r="Z383" s="1"/>
      <c r="AA383" s="159">
        <f t="shared" si="38"/>
        <v>0</v>
      </c>
      <c r="AB383" s="159"/>
      <c r="AC383" s="238">
        <v>6.56</v>
      </c>
      <c r="AD383" s="238">
        <v>2.9</v>
      </c>
      <c r="AE383" s="3">
        <f t="shared" si="43"/>
        <v>0</v>
      </c>
      <c r="AF383" s="3"/>
      <c r="AG383" s="175">
        <f t="shared" si="39"/>
        <v>0</v>
      </c>
      <c r="AH383" s="4"/>
      <c r="AI383" s="3">
        <f t="shared" si="40"/>
        <v>0</v>
      </c>
      <c r="AJ383" s="3"/>
      <c r="AK383" s="181" t="str">
        <f t="shared" si="41"/>
        <v xml:space="preserve">0.0 </v>
      </c>
      <c r="AL383" s="6"/>
      <c r="AM383" s="3"/>
      <c r="AN383" s="3"/>
      <c r="AO383" s="3">
        <f t="shared" si="44"/>
        <v>0</v>
      </c>
      <c r="AP383" s="3"/>
      <c r="AQ383" s="181" t="str">
        <f t="shared" si="42"/>
        <v xml:space="preserve">0.0 </v>
      </c>
      <c r="AS383" s="123"/>
      <c r="AW383" s="184"/>
    </row>
    <row r="384" spans="1:49" x14ac:dyDescent="0.3">
      <c r="A384" s="42"/>
      <c r="T384" s="282">
        <f t="shared" si="35"/>
        <v>16</v>
      </c>
      <c r="V384" s="45" t="str">
        <f t="shared" si="36"/>
        <v xml:space="preserve">   50W Mini Bell LED</v>
      </c>
      <c r="Y384" s="159">
        <f t="shared" si="37"/>
        <v>0</v>
      </c>
      <c r="Z384" s="1"/>
      <c r="AA384" s="159">
        <f t="shared" si="38"/>
        <v>0</v>
      </c>
      <c r="AB384" s="159"/>
      <c r="AC384" s="238">
        <v>12.01</v>
      </c>
      <c r="AD384" s="238">
        <v>2.9</v>
      </c>
      <c r="AE384" s="3">
        <f t="shared" si="43"/>
        <v>0</v>
      </c>
      <c r="AF384" s="3"/>
      <c r="AG384" s="175">
        <f t="shared" si="39"/>
        <v>0</v>
      </c>
      <c r="AH384" s="4"/>
      <c r="AI384" s="3">
        <f t="shared" si="40"/>
        <v>0</v>
      </c>
      <c r="AJ384" s="3"/>
      <c r="AK384" s="181" t="str">
        <f t="shared" si="41"/>
        <v xml:space="preserve">0.0 </v>
      </c>
      <c r="AL384" s="6"/>
      <c r="AM384" s="3"/>
      <c r="AN384" s="3"/>
      <c r="AO384" s="3">
        <f t="shared" si="44"/>
        <v>0</v>
      </c>
      <c r="AP384" s="3"/>
      <c r="AQ384" s="181" t="str">
        <f t="shared" si="42"/>
        <v xml:space="preserve">0.0 </v>
      </c>
      <c r="AS384" s="123"/>
      <c r="AW384" s="184"/>
    </row>
    <row r="385" spans="1:49" x14ac:dyDescent="0.3">
      <c r="A385" s="42"/>
      <c r="T385" s="282">
        <f t="shared" si="35"/>
        <v>17</v>
      </c>
      <c r="U385" s="304"/>
      <c r="V385" s="45" t="str">
        <f t="shared" si="36"/>
        <v xml:space="preserve">   50W Enterprise LED</v>
      </c>
      <c r="W385" s="304"/>
      <c r="Y385" s="159">
        <f t="shared" si="37"/>
        <v>0</v>
      </c>
      <c r="Z385" s="1"/>
      <c r="AA385" s="159">
        <f t="shared" si="38"/>
        <v>0</v>
      </c>
      <c r="AB385" s="159"/>
      <c r="AC385" s="238">
        <v>11.53</v>
      </c>
      <c r="AD385" s="238">
        <v>2.9</v>
      </c>
      <c r="AE385" s="3">
        <f t="shared" si="43"/>
        <v>0</v>
      </c>
      <c r="AF385" s="3"/>
      <c r="AG385" s="175">
        <f t="shared" si="39"/>
        <v>0</v>
      </c>
      <c r="AH385" s="4"/>
      <c r="AI385" s="3">
        <f t="shared" si="40"/>
        <v>0</v>
      </c>
      <c r="AJ385" s="3"/>
      <c r="AK385" s="181" t="str">
        <f t="shared" si="41"/>
        <v xml:space="preserve">0.0 </v>
      </c>
      <c r="AL385" s="6"/>
      <c r="AM385" s="3"/>
      <c r="AN385" s="3"/>
      <c r="AO385" s="3">
        <f t="shared" si="44"/>
        <v>0</v>
      </c>
      <c r="AP385" s="3"/>
      <c r="AQ385" s="181" t="str">
        <f t="shared" si="42"/>
        <v xml:space="preserve">0.0 </v>
      </c>
      <c r="AS385" s="123"/>
      <c r="AW385" s="184"/>
    </row>
    <row r="386" spans="1:49" x14ac:dyDescent="0.3">
      <c r="A386" s="42"/>
      <c r="T386" s="282">
        <f t="shared" si="35"/>
        <v>18</v>
      </c>
      <c r="U386" s="304"/>
      <c r="V386" s="45" t="str">
        <f t="shared" si="36"/>
        <v xml:space="preserve">   70W Sanibel LED</v>
      </c>
      <c r="W386" s="304"/>
      <c r="Y386" s="159">
        <f t="shared" si="37"/>
        <v>0</v>
      </c>
      <c r="Z386" s="1"/>
      <c r="AA386" s="159">
        <f t="shared" si="38"/>
        <v>0</v>
      </c>
      <c r="AB386" s="159"/>
      <c r="AC386" s="238">
        <v>14.66</v>
      </c>
      <c r="AD386" s="238">
        <v>2.9</v>
      </c>
      <c r="AE386" s="3">
        <f t="shared" si="43"/>
        <v>0</v>
      </c>
      <c r="AF386" s="3"/>
      <c r="AG386" s="175">
        <f t="shared" si="39"/>
        <v>0</v>
      </c>
      <c r="AH386" s="4"/>
      <c r="AI386" s="3">
        <f t="shared" si="40"/>
        <v>0</v>
      </c>
      <c r="AJ386" s="3"/>
      <c r="AK386" s="181" t="str">
        <f t="shared" si="41"/>
        <v xml:space="preserve">0.0 </v>
      </c>
      <c r="AL386" s="6"/>
      <c r="AM386" s="3"/>
      <c r="AN386" s="3"/>
      <c r="AO386" s="3">
        <f t="shared" si="44"/>
        <v>0</v>
      </c>
      <c r="AP386" s="3"/>
      <c r="AQ386" s="181" t="str">
        <f t="shared" si="42"/>
        <v xml:space="preserve">0.0 </v>
      </c>
      <c r="AS386" s="123"/>
      <c r="AW386" s="184"/>
    </row>
    <row r="387" spans="1:49" x14ac:dyDescent="0.3">
      <c r="A387" s="42"/>
      <c r="T387" s="282">
        <f t="shared" si="35"/>
        <v>19</v>
      </c>
      <c r="U387" s="304"/>
      <c r="V387" s="45" t="str">
        <f t="shared" si="36"/>
        <v xml:space="preserve">   150W Sanibel LED</v>
      </c>
      <c r="W387" s="304"/>
      <c r="Y387" s="159">
        <f t="shared" si="37"/>
        <v>0</v>
      </c>
      <c r="Z387" s="1"/>
      <c r="AA387" s="159">
        <f t="shared" si="38"/>
        <v>0</v>
      </c>
      <c r="AB387" s="159"/>
      <c r="AC387" s="238">
        <v>15.28</v>
      </c>
      <c r="AD387" s="238">
        <v>2.9</v>
      </c>
      <c r="AE387" s="3">
        <f t="shared" si="43"/>
        <v>0</v>
      </c>
      <c r="AF387" s="3"/>
      <c r="AG387" s="175">
        <f t="shared" si="39"/>
        <v>0</v>
      </c>
      <c r="AH387" s="4"/>
      <c r="AI387" s="3">
        <f t="shared" si="40"/>
        <v>0</v>
      </c>
      <c r="AJ387" s="3"/>
      <c r="AK387" s="181" t="str">
        <f t="shared" si="41"/>
        <v xml:space="preserve">0.0 </v>
      </c>
      <c r="AL387" s="6"/>
      <c r="AM387" s="3"/>
      <c r="AN387" s="3"/>
      <c r="AO387" s="3">
        <f t="shared" si="44"/>
        <v>0</v>
      </c>
      <c r="AP387" s="3"/>
      <c r="AQ387" s="181" t="str">
        <f t="shared" si="42"/>
        <v xml:space="preserve">0.0 </v>
      </c>
      <c r="AS387" s="123"/>
      <c r="AW387" s="184"/>
    </row>
    <row r="388" spans="1:49" x14ac:dyDescent="0.3">
      <c r="A388" s="42"/>
      <c r="T388" s="282">
        <f t="shared" si="35"/>
        <v>20</v>
      </c>
      <c r="V388" s="45" t="str">
        <f t="shared" si="36"/>
        <v xml:space="preserve">   150W LED Teardrop</v>
      </c>
      <c r="Y388" s="159">
        <f t="shared" si="37"/>
        <v>0</v>
      </c>
      <c r="Z388" s="1"/>
      <c r="AA388" s="159">
        <f t="shared" si="38"/>
        <v>0</v>
      </c>
      <c r="AB388" s="159"/>
      <c r="AC388" s="238">
        <v>18.36</v>
      </c>
      <c r="AD388" s="238">
        <v>2.9</v>
      </c>
      <c r="AE388" s="3">
        <f t="shared" si="43"/>
        <v>0</v>
      </c>
      <c r="AF388" s="3"/>
      <c r="AG388" s="175">
        <f t="shared" si="39"/>
        <v>0</v>
      </c>
      <c r="AH388" s="4"/>
      <c r="AI388" s="3">
        <f t="shared" si="40"/>
        <v>0</v>
      </c>
      <c r="AJ388" s="3"/>
      <c r="AK388" s="181" t="str">
        <f t="shared" si="41"/>
        <v xml:space="preserve">0.0 </v>
      </c>
      <c r="AL388" s="6"/>
      <c r="AM388" s="3"/>
      <c r="AN388" s="3"/>
      <c r="AO388" s="3">
        <f t="shared" si="44"/>
        <v>0</v>
      </c>
      <c r="AP388" s="3"/>
      <c r="AQ388" s="181" t="str">
        <f t="shared" si="42"/>
        <v xml:space="preserve">0.0 </v>
      </c>
      <c r="AS388" s="123"/>
      <c r="AW388" s="184"/>
    </row>
    <row r="389" spans="1:49" x14ac:dyDescent="0.3">
      <c r="A389" s="42"/>
      <c r="T389" s="282">
        <f t="shared" si="35"/>
        <v>21</v>
      </c>
      <c r="U389" s="305"/>
      <c r="V389" s="45" t="str">
        <f t="shared" si="36"/>
        <v xml:space="preserve">   50W LED Teardrop Pedestrian</v>
      </c>
      <c r="W389" s="305"/>
      <c r="Y389" s="159">
        <f t="shared" si="37"/>
        <v>0</v>
      </c>
      <c r="Z389" s="1"/>
      <c r="AA389" s="159">
        <f t="shared" si="38"/>
        <v>0</v>
      </c>
      <c r="AB389" s="159"/>
      <c r="AC389" s="238">
        <v>15.01</v>
      </c>
      <c r="AD389" s="238">
        <v>2.9</v>
      </c>
      <c r="AE389" s="3">
        <f t="shared" si="43"/>
        <v>0</v>
      </c>
      <c r="AF389" s="3"/>
      <c r="AG389" s="175">
        <f t="shared" si="39"/>
        <v>0</v>
      </c>
      <c r="AH389" s="4"/>
      <c r="AI389" s="3">
        <f t="shared" si="40"/>
        <v>0</v>
      </c>
      <c r="AJ389" s="3"/>
      <c r="AK389" s="181" t="str">
        <f t="shared" si="41"/>
        <v xml:space="preserve">0.0 </v>
      </c>
      <c r="AL389" s="6"/>
      <c r="AM389" s="3"/>
      <c r="AN389" s="3"/>
      <c r="AO389" s="3">
        <f t="shared" si="44"/>
        <v>0</v>
      </c>
      <c r="AP389" s="3"/>
      <c r="AQ389" s="181" t="str">
        <f t="shared" si="42"/>
        <v xml:space="preserve">0.0 </v>
      </c>
      <c r="AS389" s="123"/>
      <c r="AW389" s="184"/>
    </row>
    <row r="390" spans="1:49" x14ac:dyDescent="0.3">
      <c r="A390" s="42"/>
      <c r="T390" s="282">
        <f t="shared" si="35"/>
        <v>22</v>
      </c>
      <c r="V390" s="45" t="str">
        <f t="shared" si="36"/>
        <v xml:space="preserve">   220W LED Shoebox</v>
      </c>
      <c r="Y390" s="159">
        <f t="shared" si="37"/>
        <v>0</v>
      </c>
      <c r="Z390" s="1"/>
      <c r="AA390" s="159">
        <f t="shared" si="38"/>
        <v>0</v>
      </c>
      <c r="AB390" s="159"/>
      <c r="AC390" s="238">
        <v>11.39</v>
      </c>
      <c r="AD390" s="238">
        <v>3.54</v>
      </c>
      <c r="AE390" s="3">
        <f t="shared" si="43"/>
        <v>0</v>
      </c>
      <c r="AF390" s="3"/>
      <c r="AG390" s="175">
        <f t="shared" si="39"/>
        <v>0</v>
      </c>
      <c r="AH390" s="4"/>
      <c r="AI390" s="3">
        <f t="shared" si="40"/>
        <v>0</v>
      </c>
      <c r="AJ390" s="3"/>
      <c r="AK390" s="181" t="str">
        <f t="shared" si="41"/>
        <v xml:space="preserve">0.0 </v>
      </c>
      <c r="AL390" s="6"/>
      <c r="AM390" s="3"/>
      <c r="AN390" s="3"/>
      <c r="AO390" s="3">
        <f t="shared" si="44"/>
        <v>0</v>
      </c>
      <c r="AP390" s="3"/>
      <c r="AQ390" s="181" t="str">
        <f t="shared" si="42"/>
        <v xml:space="preserve">0.0 </v>
      </c>
      <c r="AS390" s="123"/>
      <c r="AW390" s="184"/>
    </row>
    <row r="391" spans="1:49" x14ac:dyDescent="0.3">
      <c r="T391" s="282">
        <f t="shared" si="35"/>
        <v>23</v>
      </c>
      <c r="V391" s="45" t="str">
        <f t="shared" si="36"/>
        <v xml:space="preserve">   420W LED Shoebox</v>
      </c>
      <c r="Y391" s="159">
        <f t="shared" si="37"/>
        <v>0</v>
      </c>
      <c r="Z391" s="1"/>
      <c r="AA391" s="159">
        <f t="shared" si="38"/>
        <v>0</v>
      </c>
      <c r="AB391" s="1"/>
      <c r="AC391" s="238">
        <v>16.920000000000002</v>
      </c>
      <c r="AD391" s="238">
        <v>3.54</v>
      </c>
      <c r="AE391" s="3">
        <f t="shared" si="43"/>
        <v>0</v>
      </c>
      <c r="AF391" s="3"/>
      <c r="AG391" s="175">
        <f t="shared" si="39"/>
        <v>0</v>
      </c>
      <c r="AH391" s="4"/>
      <c r="AI391" s="3">
        <f t="shared" si="40"/>
        <v>0</v>
      </c>
      <c r="AJ391" s="3"/>
      <c r="AK391" s="181" t="str">
        <f t="shared" si="41"/>
        <v xml:space="preserve">0.0 </v>
      </c>
      <c r="AL391" s="6"/>
      <c r="AM391" s="3"/>
      <c r="AN391" s="3"/>
      <c r="AO391" s="3">
        <f t="shared" si="44"/>
        <v>0</v>
      </c>
      <c r="AP391" s="3"/>
      <c r="AQ391" s="181" t="str">
        <f t="shared" si="42"/>
        <v xml:space="preserve">0.0 </v>
      </c>
      <c r="AS391" s="123"/>
      <c r="AW391" s="184"/>
    </row>
    <row r="392" spans="1:49" x14ac:dyDescent="0.3">
      <c r="T392" s="282">
        <f t="shared" si="35"/>
        <v>24</v>
      </c>
      <c r="V392" s="45" t="str">
        <f t="shared" si="36"/>
        <v xml:space="preserve">   530W LED Shoebox</v>
      </c>
      <c r="Y392" s="159">
        <f t="shared" si="37"/>
        <v>0</v>
      </c>
      <c r="Z392" s="1"/>
      <c r="AA392" s="159">
        <f t="shared" si="38"/>
        <v>0</v>
      </c>
      <c r="AB392" s="159"/>
      <c r="AC392" s="238">
        <v>19.489999999999998</v>
      </c>
      <c r="AD392" s="238">
        <v>3.54</v>
      </c>
      <c r="AE392" s="3">
        <f t="shared" si="43"/>
        <v>0</v>
      </c>
      <c r="AF392" s="3"/>
      <c r="AG392" s="175">
        <f t="shared" si="39"/>
        <v>0</v>
      </c>
      <c r="AH392" s="4"/>
      <c r="AI392" s="3">
        <f t="shared" si="40"/>
        <v>0</v>
      </c>
      <c r="AJ392" s="3"/>
      <c r="AK392" s="181" t="str">
        <f t="shared" si="41"/>
        <v xml:space="preserve">0.0 </v>
      </c>
      <c r="AL392" s="6"/>
      <c r="AM392" s="3"/>
      <c r="AN392" s="3"/>
      <c r="AO392" s="3">
        <f t="shared" si="44"/>
        <v>0</v>
      </c>
      <c r="AP392" s="3"/>
      <c r="AQ392" s="181" t="str">
        <f t="shared" si="42"/>
        <v xml:space="preserve">0.0 </v>
      </c>
      <c r="AS392" s="123"/>
      <c r="AW392" s="184"/>
    </row>
    <row r="393" spans="1:49" x14ac:dyDescent="0.3">
      <c r="T393" s="282">
        <f t="shared" si="35"/>
        <v>25</v>
      </c>
      <c r="V393" s="45" t="str">
        <f t="shared" si="36"/>
        <v xml:space="preserve">   150W Clermont LED</v>
      </c>
      <c r="Y393" s="159">
        <f t="shared" si="37"/>
        <v>0</v>
      </c>
      <c r="Z393" s="1"/>
      <c r="AA393" s="159">
        <f t="shared" si="38"/>
        <v>0</v>
      </c>
      <c r="AB393" s="159"/>
      <c r="AC393" s="238">
        <v>20.04</v>
      </c>
      <c r="AD393" s="238">
        <v>2.9</v>
      </c>
      <c r="AE393" s="3">
        <f t="shared" si="43"/>
        <v>0</v>
      </c>
      <c r="AF393" s="3"/>
      <c r="AG393" s="175">
        <f t="shared" si="39"/>
        <v>0</v>
      </c>
      <c r="AH393" s="4"/>
      <c r="AI393" s="3">
        <f t="shared" si="40"/>
        <v>0</v>
      </c>
      <c r="AJ393" s="3"/>
      <c r="AK393" s="181" t="str">
        <f t="shared" si="41"/>
        <v xml:space="preserve">0.0 </v>
      </c>
      <c r="AL393" s="6"/>
      <c r="AM393" s="3"/>
      <c r="AN393" s="3"/>
      <c r="AO393" s="3">
        <f t="shared" si="44"/>
        <v>0</v>
      </c>
      <c r="AP393" s="3"/>
      <c r="AQ393" s="181" t="str">
        <f t="shared" si="42"/>
        <v xml:space="preserve">0.0 </v>
      </c>
      <c r="AS393" s="123"/>
      <c r="AW393" s="184"/>
    </row>
    <row r="394" spans="1:49" x14ac:dyDescent="0.3">
      <c r="H394" s="42"/>
      <c r="I394" s="42"/>
      <c r="T394" s="282">
        <f t="shared" si="35"/>
        <v>26</v>
      </c>
      <c r="V394" s="45" t="str">
        <f t="shared" si="36"/>
        <v xml:space="preserve">   130W Flood LED</v>
      </c>
      <c r="Y394" s="159">
        <f t="shared" si="37"/>
        <v>14</v>
      </c>
      <c r="Z394" s="1"/>
      <c r="AA394" s="159">
        <f t="shared" si="38"/>
        <v>728</v>
      </c>
      <c r="AB394" s="159"/>
      <c r="AC394" s="238">
        <v>7.2</v>
      </c>
      <c r="AD394" s="238">
        <v>2.9</v>
      </c>
      <c r="AE394" s="3">
        <f t="shared" si="43"/>
        <v>141</v>
      </c>
      <c r="AF394" s="3"/>
      <c r="AG394" s="175">
        <f t="shared" si="39"/>
        <v>0.7</v>
      </c>
      <c r="AH394" s="4"/>
      <c r="AI394" s="3">
        <f t="shared" si="40"/>
        <v>21</v>
      </c>
      <c r="AJ394" s="3"/>
      <c r="AK394" s="181">
        <f t="shared" si="41"/>
        <v>14.9</v>
      </c>
      <c r="AL394" s="6"/>
      <c r="AM394" s="3"/>
      <c r="AN394" s="3"/>
      <c r="AO394" s="3">
        <f t="shared" si="44"/>
        <v>141</v>
      </c>
      <c r="AP394" s="3"/>
      <c r="AQ394" s="181">
        <f t="shared" si="42"/>
        <v>14.9</v>
      </c>
      <c r="AS394" s="123"/>
      <c r="AW394" s="184"/>
    </row>
    <row r="395" spans="1:49" x14ac:dyDescent="0.3">
      <c r="H395" s="42"/>
      <c r="I395" s="42"/>
      <c r="T395" s="282">
        <f t="shared" si="35"/>
        <v>27</v>
      </c>
      <c r="V395" s="45" t="str">
        <f t="shared" si="36"/>
        <v xml:space="preserve">   260W Flood LED</v>
      </c>
      <c r="Y395" s="159">
        <f t="shared" si="37"/>
        <v>58</v>
      </c>
      <c r="Z395" s="1"/>
      <c r="AA395" s="159">
        <f t="shared" si="38"/>
        <v>2610</v>
      </c>
      <c r="AB395" s="159"/>
      <c r="AC395" s="238">
        <v>11.24</v>
      </c>
      <c r="AD395" s="238">
        <v>3.54</v>
      </c>
      <c r="AE395" s="3">
        <f t="shared" si="43"/>
        <v>857</v>
      </c>
      <c r="AF395" s="3"/>
      <c r="AG395" s="175">
        <f t="shared" si="39"/>
        <v>4.3</v>
      </c>
      <c r="AH395" s="4"/>
      <c r="AI395" s="3">
        <f t="shared" si="40"/>
        <v>122</v>
      </c>
      <c r="AJ395" s="3"/>
      <c r="AK395" s="181">
        <f t="shared" si="41"/>
        <v>14.2</v>
      </c>
      <c r="AL395" s="6"/>
      <c r="AM395" s="3"/>
      <c r="AN395" s="3"/>
      <c r="AO395" s="3">
        <f t="shared" si="44"/>
        <v>857</v>
      </c>
      <c r="AP395" s="3"/>
      <c r="AQ395" s="181">
        <f t="shared" si="42"/>
        <v>14.2</v>
      </c>
      <c r="AS395" s="123"/>
      <c r="AW395" s="184"/>
    </row>
    <row r="396" spans="1:49" x14ac:dyDescent="0.3">
      <c r="T396" s="282">
        <f t="shared" si="35"/>
        <v>28</v>
      </c>
      <c r="V396" s="45" t="str">
        <f t="shared" si="36"/>
        <v xml:space="preserve">   50W Monticello LED</v>
      </c>
      <c r="Y396" s="159">
        <f t="shared" si="37"/>
        <v>0</v>
      </c>
      <c r="Z396" s="1"/>
      <c r="AA396" s="159">
        <f t="shared" si="38"/>
        <v>0</v>
      </c>
      <c r="AB396" s="159"/>
      <c r="AC396" s="238">
        <v>13.49</v>
      </c>
      <c r="AD396" s="238">
        <v>2.9</v>
      </c>
      <c r="AE396" s="3">
        <f t="shared" si="43"/>
        <v>0</v>
      </c>
      <c r="AF396" s="3"/>
      <c r="AG396" s="175">
        <f t="shared" si="39"/>
        <v>0</v>
      </c>
      <c r="AH396" s="4"/>
      <c r="AI396" s="3">
        <f t="shared" si="40"/>
        <v>0</v>
      </c>
      <c r="AJ396" s="3"/>
      <c r="AK396" s="181" t="str">
        <f t="shared" si="41"/>
        <v xml:space="preserve">0.0 </v>
      </c>
      <c r="AL396" s="6"/>
      <c r="AM396" s="3"/>
      <c r="AN396" s="3"/>
      <c r="AO396" s="3">
        <f t="shared" si="44"/>
        <v>0</v>
      </c>
      <c r="AP396" s="3"/>
      <c r="AQ396" s="181" t="str">
        <f t="shared" si="42"/>
        <v xml:space="preserve">0.0 </v>
      </c>
      <c r="AS396" s="123"/>
      <c r="AW396" s="184"/>
    </row>
    <row r="397" spans="1:49" x14ac:dyDescent="0.3">
      <c r="T397" s="282">
        <f t="shared" si="35"/>
        <v>29</v>
      </c>
      <c r="V397" s="45" t="str">
        <f t="shared" si="36"/>
        <v xml:space="preserve">   50W Mitchell Finial</v>
      </c>
      <c r="Y397" s="159">
        <f t="shared" si="37"/>
        <v>0</v>
      </c>
      <c r="Z397" s="1"/>
      <c r="AA397" s="159">
        <f t="shared" si="38"/>
        <v>0</v>
      </c>
      <c r="AB397" s="159"/>
      <c r="AC397" s="238">
        <v>12.85</v>
      </c>
      <c r="AD397" s="238">
        <v>2.9</v>
      </c>
      <c r="AE397" s="3">
        <f t="shared" si="43"/>
        <v>0</v>
      </c>
      <c r="AF397" s="3"/>
      <c r="AG397" s="175">
        <f t="shared" si="39"/>
        <v>0</v>
      </c>
      <c r="AH397" s="4"/>
      <c r="AI397" s="3">
        <f t="shared" si="40"/>
        <v>0</v>
      </c>
      <c r="AJ397" s="3"/>
      <c r="AK397" s="181" t="str">
        <f t="shared" si="41"/>
        <v xml:space="preserve">0.0 </v>
      </c>
      <c r="AL397" s="6"/>
      <c r="AM397" s="3"/>
      <c r="AN397" s="3"/>
      <c r="AO397" s="3">
        <f t="shared" si="44"/>
        <v>0</v>
      </c>
      <c r="AP397" s="3"/>
      <c r="AQ397" s="181" t="str">
        <f t="shared" si="42"/>
        <v xml:space="preserve">0.0 </v>
      </c>
      <c r="AS397" s="123"/>
      <c r="AW397" s="184"/>
    </row>
    <row r="398" spans="1:49" x14ac:dyDescent="0.3">
      <c r="T398" s="282">
        <f t="shared" si="35"/>
        <v>30</v>
      </c>
      <c r="V398" s="45" t="str">
        <f t="shared" si="36"/>
        <v xml:space="preserve">   50W Mitchell Ribs, Bands, and Medallions LED</v>
      </c>
      <c r="Y398" s="159">
        <f t="shared" si="37"/>
        <v>0</v>
      </c>
      <c r="Z398" s="1"/>
      <c r="AA398" s="159">
        <f t="shared" si="38"/>
        <v>0</v>
      </c>
      <c r="AB398" s="159"/>
      <c r="AC398" s="238">
        <v>14.04</v>
      </c>
      <c r="AD398" s="238">
        <v>2.9</v>
      </c>
      <c r="AE398" s="3">
        <f t="shared" si="43"/>
        <v>0</v>
      </c>
      <c r="AF398" s="3"/>
      <c r="AG398" s="175">
        <f t="shared" si="39"/>
        <v>0</v>
      </c>
      <c r="AH398" s="4"/>
      <c r="AI398" s="3">
        <f t="shared" si="40"/>
        <v>0</v>
      </c>
      <c r="AJ398" s="3"/>
      <c r="AK398" s="181" t="str">
        <f t="shared" si="41"/>
        <v xml:space="preserve">0.0 </v>
      </c>
      <c r="AL398" s="6"/>
      <c r="AM398" s="3"/>
      <c r="AN398" s="3"/>
      <c r="AO398" s="3">
        <f t="shared" si="44"/>
        <v>0</v>
      </c>
      <c r="AP398" s="3"/>
      <c r="AQ398" s="181" t="str">
        <f t="shared" si="42"/>
        <v xml:space="preserve">0.0 </v>
      </c>
      <c r="AS398" s="123"/>
      <c r="AW398" s="184"/>
    </row>
    <row r="399" spans="1:49" x14ac:dyDescent="0.3">
      <c r="T399" s="282">
        <f t="shared" si="35"/>
        <v>31</v>
      </c>
      <c r="U399" s="306"/>
      <c r="V399" s="45" t="str">
        <f t="shared" si="36"/>
        <v xml:space="preserve">   50W Mitchell Top Hat LED</v>
      </c>
      <c r="W399" s="306"/>
      <c r="Y399" s="159">
        <f t="shared" si="37"/>
        <v>0</v>
      </c>
      <c r="Z399" s="1"/>
      <c r="AA399" s="159">
        <f t="shared" si="38"/>
        <v>0</v>
      </c>
      <c r="AB399" s="159"/>
      <c r="AC399" s="238">
        <v>12.85</v>
      </c>
      <c r="AD399" s="238">
        <v>2.9</v>
      </c>
      <c r="AE399" s="3">
        <f t="shared" si="43"/>
        <v>0</v>
      </c>
      <c r="AF399" s="3"/>
      <c r="AG399" s="175">
        <f t="shared" si="39"/>
        <v>0</v>
      </c>
      <c r="AH399" s="4"/>
      <c r="AI399" s="3">
        <f t="shared" si="40"/>
        <v>0</v>
      </c>
      <c r="AJ399" s="3"/>
      <c r="AK399" s="181" t="str">
        <f t="shared" si="41"/>
        <v xml:space="preserve">0.0 </v>
      </c>
      <c r="AL399" s="6"/>
      <c r="AM399" s="3"/>
      <c r="AN399" s="3"/>
      <c r="AO399" s="3">
        <f t="shared" si="44"/>
        <v>0</v>
      </c>
      <c r="AP399" s="3"/>
      <c r="AQ399" s="181" t="str">
        <f t="shared" si="42"/>
        <v xml:space="preserve">0.0 </v>
      </c>
      <c r="AS399" s="123"/>
      <c r="AW399" s="184"/>
    </row>
    <row r="400" spans="1:49" x14ac:dyDescent="0.3">
      <c r="L400" s="42"/>
      <c r="M400" s="42"/>
      <c r="T400" s="282">
        <f t="shared" si="35"/>
        <v>32</v>
      </c>
      <c r="V400" s="45" t="str">
        <f t="shared" si="36"/>
        <v xml:space="preserve">   50W Mitchell Top Hat with Ribs, Bands, and Medallions LED</v>
      </c>
      <c r="Y400" s="159">
        <f t="shared" si="37"/>
        <v>0</v>
      </c>
      <c r="Z400" s="1"/>
      <c r="AA400" s="159">
        <f t="shared" si="38"/>
        <v>0</v>
      </c>
      <c r="AB400" s="159"/>
      <c r="AC400" s="238">
        <v>14.04</v>
      </c>
      <c r="AD400" s="238">
        <v>2.9</v>
      </c>
      <c r="AE400" s="3">
        <f t="shared" si="43"/>
        <v>0</v>
      </c>
      <c r="AF400" s="3"/>
      <c r="AG400" s="175">
        <f t="shared" si="39"/>
        <v>0</v>
      </c>
      <c r="AH400" s="4"/>
      <c r="AI400" s="3">
        <f t="shared" si="40"/>
        <v>0</v>
      </c>
      <c r="AJ400" s="3"/>
      <c r="AK400" s="181" t="str">
        <f t="shared" si="41"/>
        <v xml:space="preserve">0.0 </v>
      </c>
      <c r="AL400" s="6"/>
      <c r="AM400" s="3"/>
      <c r="AN400" s="3"/>
      <c r="AO400" s="3">
        <f t="shared" si="44"/>
        <v>0</v>
      </c>
      <c r="AP400" s="3"/>
      <c r="AQ400" s="181" t="str">
        <f t="shared" si="42"/>
        <v xml:space="preserve">0.0 </v>
      </c>
      <c r="AS400" s="123"/>
      <c r="AW400" s="184"/>
    </row>
    <row r="401" spans="12:49" x14ac:dyDescent="0.3">
      <c r="L401" s="42"/>
      <c r="M401" s="42"/>
      <c r="T401" s="282">
        <f t="shared" si="35"/>
        <v>33</v>
      </c>
      <c r="V401" s="45" t="str">
        <f t="shared" si="36"/>
        <v xml:space="preserve">   50W Open Monticello LED</v>
      </c>
      <c r="Y401" s="159">
        <f t="shared" si="37"/>
        <v>0</v>
      </c>
      <c r="Z401" s="1"/>
      <c r="AA401" s="159">
        <f t="shared" si="38"/>
        <v>0</v>
      </c>
      <c r="AB401" s="159"/>
      <c r="AC401" s="238">
        <v>13.44</v>
      </c>
      <c r="AD401" s="238">
        <v>2.9</v>
      </c>
      <c r="AE401" s="3">
        <f t="shared" si="43"/>
        <v>0</v>
      </c>
      <c r="AF401" s="3"/>
      <c r="AG401" s="175">
        <f t="shared" si="39"/>
        <v>0</v>
      </c>
      <c r="AH401" s="4"/>
      <c r="AI401" s="3">
        <f t="shared" si="40"/>
        <v>0</v>
      </c>
      <c r="AJ401" s="3"/>
      <c r="AK401" s="181" t="str">
        <f t="shared" si="41"/>
        <v xml:space="preserve">0.0 </v>
      </c>
      <c r="AL401" s="6"/>
      <c r="AM401" s="3"/>
      <c r="AN401" s="3"/>
      <c r="AO401" s="3">
        <f t="shared" si="44"/>
        <v>0</v>
      </c>
      <c r="AP401" s="3"/>
      <c r="AQ401" s="181" t="str">
        <f t="shared" si="42"/>
        <v xml:space="preserve">0.0 </v>
      </c>
      <c r="AS401" s="123"/>
      <c r="AW401" s="184"/>
    </row>
    <row r="402" spans="12:49" x14ac:dyDescent="0.3">
      <c r="L402" s="42"/>
      <c r="M402" s="42"/>
      <c r="T402" s="282">
        <f t="shared" si="35"/>
        <v>34</v>
      </c>
      <c r="V402" s="45" t="str">
        <f t="shared" si="36"/>
        <v xml:space="preserve">   150W LED Shoebox</v>
      </c>
      <c r="Y402" s="159">
        <f t="shared" si="37"/>
        <v>0</v>
      </c>
      <c r="Z402" s="1"/>
      <c r="AA402" s="159">
        <f t="shared" si="38"/>
        <v>0</v>
      </c>
      <c r="AB402" s="159"/>
      <c r="AC402" s="238">
        <v>10.48</v>
      </c>
      <c r="AD402" s="238">
        <v>2.9</v>
      </c>
      <c r="AE402" s="3">
        <f t="shared" ref="AE402:AE458" si="45">ROUND((Y402*(AC402+AD402)),0)</f>
        <v>0</v>
      </c>
      <c r="AF402" s="3"/>
      <c r="AG402" s="175">
        <f t="shared" si="39"/>
        <v>0</v>
      </c>
      <c r="AH402" s="4"/>
      <c r="AI402" s="3">
        <f t="shared" si="40"/>
        <v>0</v>
      </c>
      <c r="AJ402" s="3"/>
      <c r="AK402" s="181" t="str">
        <f t="shared" ref="AK402:AK458" si="46">IF(AE402=0,"0.0 ",ROUND((AI402/AE402)*100,1))</f>
        <v xml:space="preserve">0.0 </v>
      </c>
      <c r="AL402" s="6"/>
      <c r="AM402" s="3"/>
      <c r="AN402" s="3"/>
      <c r="AO402" s="3">
        <f t="shared" ref="AO402:AO458" si="47">AM402+AE402</f>
        <v>0</v>
      </c>
      <c r="AP402" s="3"/>
      <c r="AQ402" s="181" t="str">
        <f t="shared" ref="AQ402:AQ458" si="48">IF(AO402=0,"0.0 ",ROUND((AI402/AO402)*100,1))</f>
        <v xml:space="preserve">0.0 </v>
      </c>
      <c r="AS402" s="123"/>
      <c r="AW402" s="184"/>
    </row>
    <row r="403" spans="12:49" x14ac:dyDescent="0.3">
      <c r="L403" s="42"/>
      <c r="M403" s="42"/>
      <c r="T403" s="282">
        <f t="shared" si="35"/>
        <v>35</v>
      </c>
      <c r="V403" s="45" t="str">
        <f t="shared" si="36"/>
        <v xml:space="preserve">   50W Sanibel LED</v>
      </c>
      <c r="Y403" s="159">
        <f t="shared" si="37"/>
        <v>0</v>
      </c>
      <c r="Z403" s="1"/>
      <c r="AA403" s="159">
        <f t="shared" si="38"/>
        <v>0</v>
      </c>
      <c r="AB403" s="159"/>
      <c r="AC403" s="238">
        <v>13.9</v>
      </c>
      <c r="AD403" s="238">
        <v>2.9</v>
      </c>
      <c r="AE403" s="3">
        <f t="shared" si="45"/>
        <v>0</v>
      </c>
      <c r="AF403" s="3"/>
      <c r="AG403" s="175">
        <f t="shared" si="39"/>
        <v>0</v>
      </c>
      <c r="AH403" s="4"/>
      <c r="AI403" s="3">
        <f t="shared" si="40"/>
        <v>0</v>
      </c>
      <c r="AJ403" s="3"/>
      <c r="AK403" s="181" t="str">
        <f t="shared" si="46"/>
        <v xml:space="preserve">0.0 </v>
      </c>
      <c r="AL403" s="6"/>
      <c r="AM403" s="3"/>
      <c r="AN403" s="3"/>
      <c r="AO403" s="3">
        <f t="shared" si="47"/>
        <v>0</v>
      </c>
      <c r="AP403" s="3"/>
      <c r="AQ403" s="181" t="str">
        <f t="shared" si="48"/>
        <v xml:space="preserve">0.0 </v>
      </c>
      <c r="AS403" s="123"/>
      <c r="AW403" s="184"/>
    </row>
    <row r="404" spans="12:49" x14ac:dyDescent="0.3">
      <c r="L404" s="42"/>
      <c r="M404" s="42"/>
      <c r="T404" s="282">
        <f t="shared" si="35"/>
        <v>36</v>
      </c>
      <c r="V404" s="45" t="str">
        <f t="shared" si="36"/>
        <v xml:space="preserve">   40W Acorn No Finial LED</v>
      </c>
      <c r="Y404" s="159">
        <f t="shared" si="37"/>
        <v>0</v>
      </c>
      <c r="Z404" s="1"/>
      <c r="AA404" s="159">
        <f t="shared" si="38"/>
        <v>0</v>
      </c>
      <c r="AB404" s="159"/>
      <c r="AC404" s="238">
        <v>11.2</v>
      </c>
      <c r="AD404" s="238">
        <v>2.9</v>
      </c>
      <c r="AE404" s="3">
        <f t="shared" si="45"/>
        <v>0</v>
      </c>
      <c r="AF404" s="3"/>
      <c r="AG404" s="175">
        <f t="shared" si="39"/>
        <v>0</v>
      </c>
      <c r="AH404" s="4"/>
      <c r="AI404" s="3">
        <f t="shared" si="40"/>
        <v>0</v>
      </c>
      <c r="AJ404" s="3"/>
      <c r="AK404" s="181" t="str">
        <f t="shared" si="46"/>
        <v xml:space="preserve">0.0 </v>
      </c>
      <c r="AL404" s="6"/>
      <c r="AM404" s="3"/>
      <c r="AN404" s="3"/>
      <c r="AO404" s="3">
        <f t="shared" si="47"/>
        <v>0</v>
      </c>
      <c r="AP404" s="3"/>
      <c r="AQ404" s="181" t="str">
        <f t="shared" si="48"/>
        <v xml:space="preserve">0.0 </v>
      </c>
      <c r="AS404" s="123"/>
      <c r="AW404" s="184"/>
    </row>
    <row r="405" spans="12:49" x14ac:dyDescent="0.3">
      <c r="L405" s="42"/>
      <c r="M405" s="42"/>
      <c r="T405" s="282">
        <f t="shared" si="35"/>
        <v>37</v>
      </c>
      <c r="V405" s="45" t="str">
        <f t="shared" si="36"/>
        <v xml:space="preserve">   50W Ocala Acorn LED</v>
      </c>
      <c r="Y405" s="159">
        <f t="shared" si="37"/>
        <v>0</v>
      </c>
      <c r="Z405" s="1"/>
      <c r="AA405" s="159">
        <f t="shared" si="38"/>
        <v>0</v>
      </c>
      <c r="AB405" s="159"/>
      <c r="AC405" s="238">
        <v>6.71</v>
      </c>
      <c r="AD405" s="238">
        <v>2.9</v>
      </c>
      <c r="AE405" s="3">
        <f t="shared" si="45"/>
        <v>0</v>
      </c>
      <c r="AF405" s="3"/>
      <c r="AG405" s="175">
        <f t="shared" si="39"/>
        <v>0</v>
      </c>
      <c r="AH405" s="4"/>
      <c r="AI405" s="3">
        <f t="shared" si="40"/>
        <v>0</v>
      </c>
      <c r="AJ405" s="3"/>
      <c r="AK405" s="181" t="str">
        <f t="shared" si="46"/>
        <v xml:space="preserve">0.0 </v>
      </c>
      <c r="AL405" s="6"/>
      <c r="AM405" s="3"/>
      <c r="AN405" s="3"/>
      <c r="AO405" s="3">
        <f t="shared" si="47"/>
        <v>0</v>
      </c>
      <c r="AP405" s="3"/>
      <c r="AQ405" s="181" t="str">
        <f t="shared" si="48"/>
        <v xml:space="preserve">0.0 </v>
      </c>
      <c r="AS405" s="123"/>
      <c r="AW405" s="184"/>
    </row>
    <row r="406" spans="12:49" x14ac:dyDescent="0.3">
      <c r="L406" s="42"/>
      <c r="M406" s="42"/>
      <c r="T406" s="282">
        <f t="shared" si="35"/>
        <v>38</v>
      </c>
      <c r="V406" s="45" t="str">
        <f t="shared" si="36"/>
        <v xml:space="preserve">   50W Deluxe Traditional LED</v>
      </c>
      <c r="Y406" s="159">
        <f t="shared" si="37"/>
        <v>0</v>
      </c>
      <c r="Z406" s="1"/>
      <c r="AA406" s="159">
        <f t="shared" si="38"/>
        <v>0</v>
      </c>
      <c r="AB406" s="159"/>
      <c r="AC406" s="238">
        <v>12.82</v>
      </c>
      <c r="AD406" s="238">
        <v>2.9</v>
      </c>
      <c r="AE406" s="3">
        <f t="shared" si="45"/>
        <v>0</v>
      </c>
      <c r="AF406" s="3"/>
      <c r="AG406" s="175">
        <f t="shared" si="39"/>
        <v>0</v>
      </c>
      <c r="AH406" s="4"/>
      <c r="AI406" s="3">
        <f t="shared" si="40"/>
        <v>0</v>
      </c>
      <c r="AJ406" s="3"/>
      <c r="AK406" s="181" t="str">
        <f t="shared" si="46"/>
        <v xml:space="preserve">0.0 </v>
      </c>
      <c r="AL406" s="6"/>
      <c r="AM406" s="3"/>
      <c r="AN406" s="3"/>
      <c r="AO406" s="3">
        <f t="shared" si="47"/>
        <v>0</v>
      </c>
      <c r="AP406" s="3"/>
      <c r="AQ406" s="181" t="str">
        <f t="shared" si="48"/>
        <v xml:space="preserve">0.0 </v>
      </c>
      <c r="AS406" s="123"/>
      <c r="AW406" s="184"/>
    </row>
    <row r="407" spans="12:49" x14ac:dyDescent="0.3">
      <c r="L407" s="42"/>
      <c r="M407" s="42"/>
      <c r="T407" s="282">
        <f t="shared" si="35"/>
        <v>39</v>
      </c>
      <c r="V407" s="45" t="str">
        <f t="shared" si="36"/>
        <v xml:space="preserve">   30W Town &amp; Country LED</v>
      </c>
      <c r="Y407" s="159">
        <f t="shared" si="37"/>
        <v>0</v>
      </c>
      <c r="Z407" s="1"/>
      <c r="AA407" s="159">
        <f t="shared" si="38"/>
        <v>0</v>
      </c>
      <c r="AB407" s="159"/>
      <c r="AC407" s="238">
        <v>5.35</v>
      </c>
      <c r="AD407" s="238">
        <v>2.9</v>
      </c>
      <c r="AE407" s="3">
        <f t="shared" si="45"/>
        <v>0</v>
      </c>
      <c r="AF407" s="3"/>
      <c r="AG407" s="175">
        <f t="shared" si="39"/>
        <v>0</v>
      </c>
      <c r="AH407" s="4"/>
      <c r="AI407" s="3">
        <f t="shared" si="40"/>
        <v>0</v>
      </c>
      <c r="AJ407" s="3"/>
      <c r="AK407" s="181" t="str">
        <f t="shared" si="46"/>
        <v xml:space="preserve">0.0 </v>
      </c>
      <c r="AL407" s="6"/>
      <c r="AM407" s="3"/>
      <c r="AN407" s="3"/>
      <c r="AO407" s="3">
        <f t="shared" si="47"/>
        <v>0</v>
      </c>
      <c r="AP407" s="3"/>
      <c r="AQ407" s="181" t="str">
        <f t="shared" si="48"/>
        <v xml:space="preserve">0.0 </v>
      </c>
      <c r="AS407" s="123"/>
      <c r="AW407" s="184"/>
    </row>
    <row r="408" spans="12:49" x14ac:dyDescent="0.3">
      <c r="L408" s="42"/>
      <c r="M408" s="42"/>
      <c r="T408" s="282">
        <f t="shared" si="35"/>
        <v>40</v>
      </c>
      <c r="V408" s="45" t="str">
        <f t="shared" si="36"/>
        <v xml:space="preserve">   30W Open Town &amp; Country LED</v>
      </c>
      <c r="Y408" s="159">
        <f t="shared" si="37"/>
        <v>0</v>
      </c>
      <c r="Z408" s="1"/>
      <c r="AA408" s="159">
        <f t="shared" si="38"/>
        <v>0</v>
      </c>
      <c r="AB408" s="159"/>
      <c r="AC408" s="238">
        <v>5.09</v>
      </c>
      <c r="AD408" s="238">
        <v>2.9</v>
      </c>
      <c r="AE408" s="3">
        <f t="shared" si="45"/>
        <v>0</v>
      </c>
      <c r="AF408" s="3"/>
      <c r="AG408" s="175">
        <f t="shared" si="39"/>
        <v>0</v>
      </c>
      <c r="AH408" s="4"/>
      <c r="AI408" s="3">
        <f t="shared" si="40"/>
        <v>0</v>
      </c>
      <c r="AJ408" s="3"/>
      <c r="AK408" s="181" t="str">
        <f t="shared" si="46"/>
        <v xml:space="preserve">0.0 </v>
      </c>
      <c r="AL408" s="6"/>
      <c r="AM408" s="3"/>
      <c r="AN408" s="3"/>
      <c r="AO408" s="3">
        <f t="shared" si="47"/>
        <v>0</v>
      </c>
      <c r="AP408" s="3"/>
      <c r="AQ408" s="181" t="str">
        <f t="shared" si="48"/>
        <v xml:space="preserve">0.0 </v>
      </c>
      <c r="AS408" s="123"/>
      <c r="AW408" s="184"/>
    </row>
    <row r="409" spans="12:49" x14ac:dyDescent="0.3">
      <c r="L409" s="42"/>
      <c r="M409" s="42"/>
      <c r="T409" s="282">
        <f t="shared" si="35"/>
        <v>41</v>
      </c>
      <c r="V409" s="45" t="str">
        <f t="shared" si="36"/>
        <v xml:space="preserve">   150W Enterprise LED</v>
      </c>
      <c r="Y409" s="159">
        <f t="shared" si="37"/>
        <v>0</v>
      </c>
      <c r="Z409" s="1"/>
      <c r="AA409" s="159">
        <f t="shared" si="38"/>
        <v>0</v>
      </c>
      <c r="AB409" s="159"/>
      <c r="AC409" s="238">
        <v>11.45</v>
      </c>
      <c r="AD409" s="238">
        <v>2.9</v>
      </c>
      <c r="AE409" s="3">
        <f t="shared" si="45"/>
        <v>0</v>
      </c>
      <c r="AF409" s="3"/>
      <c r="AG409" s="175">
        <f t="shared" si="39"/>
        <v>0</v>
      </c>
      <c r="AH409" s="4"/>
      <c r="AI409" s="3">
        <f t="shared" si="40"/>
        <v>0</v>
      </c>
      <c r="AJ409" s="3"/>
      <c r="AK409" s="181" t="str">
        <f t="shared" si="46"/>
        <v xml:space="preserve">0.0 </v>
      </c>
      <c r="AL409" s="6"/>
      <c r="AM409" s="3"/>
      <c r="AN409" s="3"/>
      <c r="AO409" s="3">
        <f t="shared" si="47"/>
        <v>0</v>
      </c>
      <c r="AP409" s="3"/>
      <c r="AQ409" s="181" t="str">
        <f t="shared" si="48"/>
        <v xml:space="preserve">0.0 </v>
      </c>
      <c r="AS409" s="123"/>
      <c r="AW409" s="184"/>
    </row>
    <row r="410" spans="12:49" x14ac:dyDescent="0.3">
      <c r="L410" s="42"/>
      <c r="M410" s="42"/>
      <c r="T410" s="282">
        <f t="shared" si="35"/>
        <v>42</v>
      </c>
      <c r="V410" s="45" t="str">
        <f t="shared" si="36"/>
        <v xml:space="preserve">   220W Enterprise LED</v>
      </c>
      <c r="Y410" s="159">
        <f t="shared" si="37"/>
        <v>0</v>
      </c>
      <c r="Z410" s="1"/>
      <c r="AA410" s="159">
        <f t="shared" si="38"/>
        <v>0</v>
      </c>
      <c r="AB410" s="159"/>
      <c r="AC410" s="238">
        <v>11.78</v>
      </c>
      <c r="AD410" s="238">
        <v>3.54</v>
      </c>
      <c r="AE410" s="3">
        <f t="shared" si="45"/>
        <v>0</v>
      </c>
      <c r="AF410" s="3"/>
      <c r="AG410" s="175">
        <f t="shared" si="39"/>
        <v>0</v>
      </c>
      <c r="AH410" s="4"/>
      <c r="AI410" s="3">
        <f t="shared" si="40"/>
        <v>0</v>
      </c>
      <c r="AJ410" s="3"/>
      <c r="AK410" s="181" t="str">
        <f t="shared" si="46"/>
        <v xml:space="preserve">0.0 </v>
      </c>
      <c r="AL410" s="6"/>
      <c r="AM410" s="3"/>
      <c r="AN410" s="3"/>
      <c r="AO410" s="3">
        <f t="shared" si="47"/>
        <v>0</v>
      </c>
      <c r="AP410" s="3"/>
      <c r="AQ410" s="181" t="str">
        <f t="shared" si="48"/>
        <v xml:space="preserve">0.0 </v>
      </c>
      <c r="AS410" s="123"/>
      <c r="AW410" s="184"/>
    </row>
    <row r="411" spans="12:49" x14ac:dyDescent="0.3">
      <c r="L411" s="42"/>
      <c r="M411" s="42"/>
      <c r="T411" s="282">
        <f t="shared" si="35"/>
        <v>43</v>
      </c>
      <c r="V411" s="45" t="str">
        <f t="shared" si="36"/>
        <v xml:space="preserve">   50W Clermont LED</v>
      </c>
      <c r="Y411" s="159">
        <f t="shared" si="37"/>
        <v>0</v>
      </c>
      <c r="Z411" s="1"/>
      <c r="AA411" s="159">
        <f t="shared" si="38"/>
        <v>0</v>
      </c>
      <c r="AB411" s="159"/>
      <c r="AC411" s="238">
        <v>18.68</v>
      </c>
      <c r="AD411" s="238">
        <v>2.9</v>
      </c>
      <c r="AE411" s="3">
        <f t="shared" si="45"/>
        <v>0</v>
      </c>
      <c r="AF411" s="3"/>
      <c r="AG411" s="175">
        <f t="shared" si="39"/>
        <v>0</v>
      </c>
      <c r="AH411" s="4"/>
      <c r="AI411" s="3">
        <f t="shared" si="40"/>
        <v>0</v>
      </c>
      <c r="AJ411" s="3"/>
      <c r="AK411" s="181" t="str">
        <f t="shared" si="46"/>
        <v xml:space="preserve">0.0 </v>
      </c>
      <c r="AL411" s="6"/>
      <c r="AM411" s="3"/>
      <c r="AN411" s="3"/>
      <c r="AO411" s="3">
        <f t="shared" si="47"/>
        <v>0</v>
      </c>
      <c r="AP411" s="3"/>
      <c r="AQ411" s="181" t="str">
        <f t="shared" si="48"/>
        <v xml:space="preserve">0.0 </v>
      </c>
      <c r="AS411" s="123"/>
      <c r="AW411" s="184"/>
    </row>
    <row r="412" spans="12:49" x14ac:dyDescent="0.3">
      <c r="L412" s="42"/>
      <c r="M412" s="42"/>
      <c r="T412" s="282">
        <f t="shared" si="35"/>
        <v>44</v>
      </c>
      <c r="V412" s="45" t="str">
        <f t="shared" si="36"/>
        <v xml:space="preserve">   30W Gaslight Replica LED</v>
      </c>
      <c r="Y412" s="159">
        <f t="shared" si="37"/>
        <v>0</v>
      </c>
      <c r="Z412" s="1"/>
      <c r="AA412" s="159">
        <f t="shared" si="38"/>
        <v>0</v>
      </c>
      <c r="AB412" s="159"/>
      <c r="AC412" s="238">
        <v>21.3</v>
      </c>
      <c r="AD412" s="238">
        <v>2.9</v>
      </c>
      <c r="AE412" s="3">
        <f t="shared" si="45"/>
        <v>0</v>
      </c>
      <c r="AF412" s="3"/>
      <c r="AG412" s="175">
        <f t="shared" si="39"/>
        <v>0</v>
      </c>
      <c r="AH412" s="4"/>
      <c r="AI412" s="3">
        <f t="shared" si="40"/>
        <v>0</v>
      </c>
      <c r="AJ412" s="3"/>
      <c r="AK412" s="181" t="str">
        <f t="shared" si="46"/>
        <v xml:space="preserve">0.0 </v>
      </c>
      <c r="AL412" s="6"/>
      <c r="AM412" s="3"/>
      <c r="AN412" s="3"/>
      <c r="AO412" s="3">
        <f t="shared" si="47"/>
        <v>0</v>
      </c>
      <c r="AP412" s="3"/>
      <c r="AQ412" s="181" t="str">
        <f t="shared" si="48"/>
        <v xml:space="preserve">0.0 </v>
      </c>
      <c r="AS412" s="123"/>
      <c r="AW412" s="184"/>
    </row>
    <row r="413" spans="12:49" x14ac:dyDescent="0.3">
      <c r="L413" s="42"/>
      <c r="M413" s="42"/>
      <c r="T413" s="282"/>
      <c r="V413" s="45"/>
      <c r="Y413" s="159"/>
      <c r="Z413" s="1"/>
      <c r="AA413" s="159"/>
      <c r="AB413" s="159"/>
      <c r="AC413" s="238"/>
      <c r="AD413" s="238"/>
      <c r="AE413" s="3"/>
      <c r="AF413" s="3"/>
      <c r="AG413" s="175"/>
      <c r="AH413" s="4"/>
      <c r="AI413" s="3"/>
      <c r="AJ413" s="3"/>
      <c r="AK413" s="181"/>
      <c r="AL413" s="6"/>
      <c r="AM413" s="3"/>
      <c r="AN413" s="3"/>
      <c r="AO413" s="3"/>
      <c r="AP413" s="3"/>
      <c r="AQ413" s="181"/>
      <c r="AS413" s="123"/>
      <c r="AW413" s="184"/>
    </row>
    <row r="414" spans="12:49" x14ac:dyDescent="0.3">
      <c r="L414" s="42"/>
      <c r="M414" s="42"/>
      <c r="T414" s="202" t="s">
        <v>76</v>
      </c>
      <c r="V414" s="45"/>
      <c r="Y414" s="159"/>
      <c r="Z414" s="1"/>
      <c r="AA414" s="159"/>
      <c r="AB414" s="159"/>
      <c r="AC414" s="238"/>
      <c r="AD414" s="238"/>
      <c r="AE414" s="3"/>
      <c r="AF414" s="3"/>
      <c r="AG414" s="175"/>
      <c r="AH414" s="4"/>
      <c r="AI414" s="3"/>
      <c r="AJ414" s="3"/>
      <c r="AK414" s="181"/>
      <c r="AL414" s="6"/>
      <c r="AM414" s="3"/>
      <c r="AN414" s="3"/>
      <c r="AO414" s="3"/>
      <c r="AP414" s="3"/>
      <c r="AQ414" s="181"/>
      <c r="AS414" s="123"/>
      <c r="AW414" s="184"/>
    </row>
    <row r="415" spans="12:49" x14ac:dyDescent="0.3">
      <c r="L415" s="42"/>
      <c r="M415" s="42"/>
      <c r="T415" s="202" t="str">
        <f>"(1A) REFLECTS FUEL COST RECOVERY INCLUDED IN BASE RATES OF "&amp;TEXT(CUR_BASE_FUEL,"$0.000000;($0.000000)")&amp;"  PER KWH."</f>
        <v>(1A) REFLECTS FUEL COST RECOVERY INCLUDED IN BASE RATES OF $0.033780  PER KWH.</v>
      </c>
      <c r="V415" s="45"/>
      <c r="Y415" s="159"/>
      <c r="Z415" s="1"/>
      <c r="AA415" s="159"/>
      <c r="AB415" s="159"/>
      <c r="AC415" s="238"/>
      <c r="AD415" s="238"/>
      <c r="AE415" s="3"/>
      <c r="AF415" s="3"/>
      <c r="AG415" s="175"/>
      <c r="AH415" s="4"/>
      <c r="AI415" s="3"/>
      <c r="AJ415" s="3"/>
      <c r="AK415" s="181"/>
      <c r="AL415" s="6"/>
      <c r="AM415" s="3"/>
      <c r="AN415" s="3"/>
      <c r="AO415" s="3"/>
      <c r="AP415" s="3"/>
      <c r="AQ415" s="181"/>
      <c r="AS415" s="123"/>
      <c r="AW415" s="184"/>
    </row>
    <row r="416" spans="12:49" x14ac:dyDescent="0.3">
      <c r="L416" s="42"/>
      <c r="M416" s="42"/>
      <c r="T416" s="202" t="str">
        <f>"(2) REFLECTS FUEL COMPONENT OF "&amp;TEXT(CUR_FAC,"$0.000000;($0.000000)")&amp;"  PER KWH."</f>
        <v>(2) REFLECTS FUEL COMPONENT OF $0.003487  PER KWH.</v>
      </c>
      <c r="V416" s="45"/>
      <c r="Y416" s="159"/>
      <c r="Z416" s="1"/>
      <c r="AA416" s="159"/>
      <c r="AB416" s="159"/>
      <c r="AC416" s="238"/>
      <c r="AD416" s="238"/>
      <c r="AE416" s="3"/>
      <c r="AF416" s="3"/>
      <c r="AG416" s="175"/>
      <c r="AH416" s="4"/>
      <c r="AI416" s="3"/>
      <c r="AJ416" s="3"/>
      <c r="AK416" s="181"/>
      <c r="AL416" s="6"/>
      <c r="AM416" s="3"/>
      <c r="AN416" s="3"/>
      <c r="AO416" s="3"/>
      <c r="AP416" s="3"/>
      <c r="AQ416" s="181"/>
      <c r="AS416" s="123"/>
      <c r="AW416" s="184"/>
    </row>
    <row r="417" spans="12:49" x14ac:dyDescent="0.3">
      <c r="L417" s="42"/>
      <c r="M417" s="42"/>
      <c r="T417" s="282"/>
      <c r="V417" s="45"/>
      <c r="Y417" s="159"/>
      <c r="Z417" s="1"/>
      <c r="AA417" s="159"/>
      <c r="AB417" s="159"/>
      <c r="AC417" s="238"/>
      <c r="AD417" s="238"/>
      <c r="AE417" s="3"/>
      <c r="AF417" s="3"/>
      <c r="AG417" s="175"/>
      <c r="AH417" s="4"/>
      <c r="AI417" s="3"/>
      <c r="AJ417" s="3"/>
      <c r="AK417" s="181"/>
      <c r="AL417" s="6"/>
      <c r="AM417" s="3"/>
      <c r="AN417" s="3"/>
      <c r="AO417" s="3"/>
      <c r="AP417" s="3"/>
      <c r="AQ417" s="181"/>
      <c r="AS417" s="123"/>
      <c r="AW417" s="184"/>
    </row>
    <row r="418" spans="12:49" x14ac:dyDescent="0.3">
      <c r="L418" s="42"/>
      <c r="M418" s="42"/>
      <c r="T418" s="469" t="str">
        <f>NAME</f>
        <v>DUKE ENERGY KENTUCKY, INC.</v>
      </c>
      <c r="U418" s="469"/>
      <c r="V418" s="469"/>
      <c r="W418" s="469"/>
      <c r="X418" s="469"/>
      <c r="Y418" s="469"/>
      <c r="Z418" s="469"/>
      <c r="AA418" s="469"/>
      <c r="AB418" s="469"/>
      <c r="AC418" s="469"/>
      <c r="AD418" s="469"/>
      <c r="AE418" s="469"/>
      <c r="AF418" s="469"/>
      <c r="AG418" s="469"/>
      <c r="AH418" s="469"/>
      <c r="AI418" s="469"/>
      <c r="AJ418" s="469"/>
      <c r="AK418" s="469"/>
      <c r="AL418" s="469"/>
      <c r="AM418" s="469"/>
      <c r="AN418" s="469"/>
      <c r="AO418" s="469"/>
      <c r="AP418" s="469"/>
      <c r="AQ418" s="469"/>
      <c r="AS418" s="123"/>
      <c r="AW418" s="184"/>
    </row>
    <row r="419" spans="12:49" x14ac:dyDescent="0.3">
      <c r="L419" s="42"/>
      <c r="M419" s="42"/>
      <c r="T419" s="40" t="str">
        <f>CASE_NO</f>
        <v>CASE NO.   2024-00354</v>
      </c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S419" s="123"/>
      <c r="AW419" s="184"/>
    </row>
    <row r="420" spans="12:49" x14ac:dyDescent="0.3">
      <c r="L420" s="42"/>
      <c r="M420" s="42"/>
      <c r="T420" s="40" t="str">
        <f>TITLE</f>
        <v>ANNUALIZED TEST YEAR REVENUES AT REHEARING ORDER CALCULATED VS. MOST CURRENT RATES</v>
      </c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S420" s="123"/>
      <c r="AW420" s="184"/>
    </row>
    <row r="421" spans="12:49" x14ac:dyDescent="0.3">
      <c r="L421" s="42"/>
      <c r="M421" s="42"/>
      <c r="T421" s="40" t="str">
        <f>DATE</f>
        <v>FOR THE TWELVE MONTHS ENDED June 30, 2026</v>
      </c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S421" s="123"/>
      <c r="AW421" s="184"/>
    </row>
    <row r="422" spans="12:49" x14ac:dyDescent="0.3">
      <c r="L422" s="42"/>
      <c r="M422" s="42"/>
      <c r="T422" s="40" t="str">
        <f>SERVICE</f>
        <v>(ELECTRIC SERVICE)</v>
      </c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S422" s="123"/>
      <c r="AW422" s="184"/>
    </row>
    <row r="423" spans="12:49" x14ac:dyDescent="0.3">
      <c r="L423" s="42"/>
      <c r="M423" s="42"/>
      <c r="T423" s="41" t="str">
        <f>DATA_PERIOD</f>
        <v>DATA: ____ BASE PERIOD   __X__FORECASTED PERIOD</v>
      </c>
      <c r="AG423" s="41"/>
      <c r="AK423" s="41"/>
      <c r="AO423" s="42" t="s">
        <v>158</v>
      </c>
      <c r="AQ423" s="41"/>
      <c r="AS423" s="123"/>
      <c r="AW423" s="184"/>
    </row>
    <row r="424" spans="12:49" x14ac:dyDescent="0.3">
      <c r="L424" s="42"/>
      <c r="M424" s="42"/>
      <c r="T424" s="41" t="str">
        <f>TYPE</f>
        <v>TYPE OF FILING: _X_ ORIGINAL   ___UPDATED  ___ REVISED</v>
      </c>
      <c r="AG424" s="41"/>
      <c r="AK424" s="41"/>
      <c r="AO424" s="45" t="str">
        <f>"PAGE 21 OF "&amp;TEXT(Page_Num_2.2,"00")</f>
        <v>PAGE 21 OF 24</v>
      </c>
      <c r="AQ424" s="41"/>
      <c r="AS424" s="123"/>
      <c r="AW424" s="184"/>
    </row>
    <row r="425" spans="12:49" x14ac:dyDescent="0.3">
      <c r="L425" s="42"/>
      <c r="M425" s="42"/>
      <c r="T425" s="42" t="s">
        <v>171</v>
      </c>
      <c r="AO425" s="42" t="s">
        <v>4</v>
      </c>
      <c r="AP425" s="42"/>
      <c r="AS425" s="123"/>
      <c r="AW425" s="184"/>
    </row>
    <row r="426" spans="12:49" x14ac:dyDescent="0.3">
      <c r="L426" s="42"/>
      <c r="M426" s="42"/>
      <c r="T426" s="153" t="str">
        <f>TIME</f>
        <v>12 Months Projected with Riders</v>
      </c>
      <c r="AF426" s="42"/>
      <c r="AO426" s="123" t="str">
        <f>WIT</f>
        <v>B. L. Sailers</v>
      </c>
      <c r="AS426" s="123"/>
      <c r="AW426" s="184"/>
    </row>
    <row r="427" spans="12:49" x14ac:dyDescent="0.3">
      <c r="L427" s="42"/>
      <c r="M427" s="42"/>
      <c r="T427" s="40" t="s">
        <v>131</v>
      </c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166"/>
      <c r="AH427" s="40"/>
      <c r="AI427" s="40"/>
      <c r="AJ427" s="40"/>
      <c r="AK427" s="166"/>
      <c r="AL427" s="40"/>
      <c r="AM427" s="40"/>
      <c r="AN427" s="40"/>
      <c r="AO427" s="40"/>
      <c r="AP427" s="40"/>
      <c r="AS427" s="123"/>
      <c r="AW427" s="184"/>
    </row>
    <row r="428" spans="12:49" x14ac:dyDescent="0.3">
      <c r="L428" s="42"/>
      <c r="M428" s="42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43"/>
      <c r="AF428" s="43"/>
      <c r="AG428" s="167"/>
      <c r="AH428" s="43"/>
      <c r="AI428" s="43"/>
      <c r="AJ428" s="43"/>
      <c r="AK428" s="167"/>
      <c r="AL428" s="43"/>
      <c r="AM428" s="43"/>
      <c r="AN428" s="135"/>
      <c r="AO428" s="135"/>
      <c r="AP428" s="135"/>
      <c r="AS428" s="123"/>
      <c r="AW428" s="184"/>
    </row>
    <row r="429" spans="12:49" x14ac:dyDescent="0.3">
      <c r="L429" s="42"/>
      <c r="M429" s="42"/>
      <c r="T429" s="191"/>
      <c r="U429" s="191"/>
      <c r="V429" s="191"/>
      <c r="W429" s="191"/>
      <c r="X429" s="191"/>
      <c r="Y429" s="191"/>
      <c r="Z429" s="191"/>
      <c r="AA429" s="191"/>
      <c r="AB429" s="191"/>
      <c r="AC429" s="191"/>
      <c r="AD429" s="191"/>
      <c r="AE429" s="44" t="s">
        <v>8</v>
      </c>
      <c r="AF429" s="44"/>
      <c r="AG429" s="168" t="s">
        <v>7</v>
      </c>
      <c r="AH429" s="44"/>
      <c r="AI429" s="44" t="s">
        <v>9</v>
      </c>
      <c r="AJ429" s="44"/>
      <c r="AK429" s="168" t="s">
        <v>10</v>
      </c>
      <c r="AL429" s="44"/>
      <c r="AN429" s="191"/>
      <c r="AO429" s="272" t="s">
        <v>8</v>
      </c>
      <c r="AP429" s="272"/>
      <c r="AQ429" s="273" t="s">
        <v>11</v>
      </c>
      <c r="AS429" s="123"/>
      <c r="AW429" s="184"/>
    </row>
    <row r="430" spans="12:49" x14ac:dyDescent="0.3">
      <c r="L430" s="42"/>
      <c r="M430" s="42"/>
      <c r="AC430" s="346" t="s">
        <v>812</v>
      </c>
      <c r="AD430" s="40"/>
      <c r="AE430" s="44" t="s">
        <v>12</v>
      </c>
      <c r="AF430" s="44"/>
      <c r="AG430" s="168" t="s">
        <v>13</v>
      </c>
      <c r="AH430" s="44"/>
      <c r="AI430" s="44" t="s">
        <v>15</v>
      </c>
      <c r="AJ430" s="44"/>
      <c r="AK430" s="168" t="s">
        <v>16</v>
      </c>
      <c r="AL430" s="44"/>
      <c r="AO430" s="44" t="s">
        <v>11</v>
      </c>
      <c r="AP430" s="44"/>
      <c r="AQ430" s="168" t="s">
        <v>9</v>
      </c>
      <c r="AS430" s="123"/>
      <c r="AW430" s="184"/>
    </row>
    <row r="431" spans="12:49" x14ac:dyDescent="0.3">
      <c r="L431" s="42"/>
      <c r="M431" s="42"/>
      <c r="T431" s="44" t="s">
        <v>17</v>
      </c>
      <c r="V431" s="44" t="s">
        <v>18</v>
      </c>
      <c r="W431" s="44" t="s">
        <v>19</v>
      </c>
      <c r="X431" s="44"/>
      <c r="Y431" s="44" t="s">
        <v>20</v>
      </c>
      <c r="AC431" s="44" t="s">
        <v>808</v>
      </c>
      <c r="AD431" s="44" t="s">
        <v>809</v>
      </c>
      <c r="AE431" s="44" t="s">
        <v>842</v>
      </c>
      <c r="AF431" s="44"/>
      <c r="AG431" s="168" t="s">
        <v>842</v>
      </c>
      <c r="AH431" s="44"/>
      <c r="AI431" s="46" t="s">
        <v>965</v>
      </c>
      <c r="AJ431" s="44"/>
      <c r="AK431" s="169" t="s">
        <v>965</v>
      </c>
      <c r="AL431" s="44"/>
      <c r="AM431" s="44" t="s">
        <v>842</v>
      </c>
      <c r="AN431" s="44"/>
      <c r="AO431" s="44" t="s">
        <v>9</v>
      </c>
      <c r="AP431" s="44"/>
      <c r="AQ431" s="168" t="s">
        <v>21</v>
      </c>
      <c r="AS431" s="123"/>
      <c r="AW431" s="184"/>
    </row>
    <row r="432" spans="12:49" x14ac:dyDescent="0.3">
      <c r="L432" s="42"/>
      <c r="M432" s="42"/>
      <c r="T432" s="44" t="s">
        <v>22</v>
      </c>
      <c r="V432" s="44" t="s">
        <v>23</v>
      </c>
      <c r="W432" s="44" t="s">
        <v>24</v>
      </c>
      <c r="X432" s="44"/>
      <c r="Y432" s="44" t="s">
        <v>25</v>
      </c>
      <c r="AA432" s="44" t="s">
        <v>26</v>
      </c>
      <c r="AB432" s="44"/>
      <c r="AC432" s="46" t="s">
        <v>27</v>
      </c>
      <c r="AD432" s="46" t="s">
        <v>27</v>
      </c>
      <c r="AE432" s="44" t="s">
        <v>9</v>
      </c>
      <c r="AF432" s="44"/>
      <c r="AG432" s="168" t="s">
        <v>9</v>
      </c>
      <c r="AH432" s="44"/>
      <c r="AI432" s="141" t="s">
        <v>29</v>
      </c>
      <c r="AJ432" s="141"/>
      <c r="AK432" s="170" t="s">
        <v>30</v>
      </c>
      <c r="AL432" s="44"/>
      <c r="AM432" s="44" t="s">
        <v>324</v>
      </c>
      <c r="AN432" s="44"/>
      <c r="AO432" s="141" t="s">
        <v>31</v>
      </c>
      <c r="AP432" s="141"/>
      <c r="AQ432" s="170" t="s">
        <v>32</v>
      </c>
      <c r="AS432" s="123"/>
      <c r="AW432" s="184"/>
    </row>
    <row r="433" spans="12:49" x14ac:dyDescent="0.3">
      <c r="L433" s="42"/>
      <c r="M433" s="42"/>
      <c r="V433" s="141" t="s">
        <v>33</v>
      </c>
      <c r="W433" s="141" t="s">
        <v>34</v>
      </c>
      <c r="X433" s="141"/>
      <c r="Y433" s="141" t="s">
        <v>35</v>
      </c>
      <c r="Z433" s="153"/>
      <c r="AA433" s="141" t="s">
        <v>36</v>
      </c>
      <c r="AB433" s="141"/>
      <c r="AC433" s="156" t="s">
        <v>814</v>
      </c>
      <c r="AD433" s="156" t="s">
        <v>813</v>
      </c>
      <c r="AE433" s="141" t="s">
        <v>43</v>
      </c>
      <c r="AF433" s="141"/>
      <c r="AG433" s="170" t="s">
        <v>44</v>
      </c>
      <c r="AH433" s="141"/>
      <c r="AI433" s="141" t="s">
        <v>45</v>
      </c>
      <c r="AJ433" s="141"/>
      <c r="AK433" s="170" t="s">
        <v>46</v>
      </c>
      <c r="AL433" s="141"/>
      <c r="AM433" s="141" t="s">
        <v>40</v>
      </c>
      <c r="AN433" s="141"/>
      <c r="AO433" s="141" t="s">
        <v>47</v>
      </c>
      <c r="AP433" s="141"/>
      <c r="AQ433" s="170" t="s">
        <v>48</v>
      </c>
      <c r="AS433" s="123"/>
      <c r="AW433" s="184"/>
    </row>
    <row r="434" spans="12:49" x14ac:dyDescent="0.3">
      <c r="L434" s="42"/>
      <c r="M434" s="42"/>
      <c r="T434" s="191"/>
      <c r="U434" s="191"/>
      <c r="V434" s="191"/>
      <c r="W434" s="191"/>
      <c r="X434" s="191"/>
      <c r="Y434" s="191"/>
      <c r="Z434" s="191"/>
      <c r="AA434" s="271" t="s">
        <v>49</v>
      </c>
      <c r="AB434" s="271"/>
      <c r="AC434" s="270" t="s">
        <v>69</v>
      </c>
      <c r="AD434" s="271"/>
      <c r="AE434" s="271" t="s">
        <v>50</v>
      </c>
      <c r="AF434" s="271"/>
      <c r="AG434" s="274" t="s">
        <v>51</v>
      </c>
      <c r="AH434" s="271"/>
      <c r="AI434" s="271" t="s">
        <v>50</v>
      </c>
      <c r="AJ434" s="271"/>
      <c r="AK434" s="274" t="s">
        <v>51</v>
      </c>
      <c r="AL434" s="271"/>
      <c r="AM434" s="271" t="s">
        <v>50</v>
      </c>
      <c r="AN434" s="271"/>
      <c r="AO434" s="271" t="s">
        <v>50</v>
      </c>
      <c r="AP434" s="271"/>
      <c r="AQ434" s="274" t="s">
        <v>51</v>
      </c>
      <c r="AS434" s="123"/>
      <c r="AW434" s="184"/>
    </row>
    <row r="435" spans="12:49" x14ac:dyDescent="0.3">
      <c r="L435" s="42"/>
      <c r="M435" s="42"/>
      <c r="T435" s="282"/>
      <c r="V435" s="45"/>
      <c r="Y435" s="159"/>
      <c r="Z435" s="1"/>
      <c r="AA435" s="159"/>
      <c r="AB435" s="159"/>
      <c r="AC435" s="238"/>
      <c r="AD435" s="238"/>
      <c r="AE435" s="3"/>
      <c r="AF435" s="3"/>
      <c r="AG435" s="175"/>
      <c r="AH435" s="4"/>
      <c r="AI435" s="3"/>
      <c r="AJ435" s="3"/>
      <c r="AK435" s="181"/>
      <c r="AL435" s="6"/>
      <c r="AM435" s="3"/>
      <c r="AN435" s="3"/>
      <c r="AO435" s="3"/>
      <c r="AP435" s="3"/>
      <c r="AQ435" s="181"/>
      <c r="AS435" s="123"/>
      <c r="AW435" s="184"/>
    </row>
    <row r="436" spans="12:49" x14ac:dyDescent="0.3">
      <c r="L436" s="42"/>
      <c r="M436" s="42"/>
      <c r="T436" s="282">
        <f t="shared" ref="T436:T437" si="49">A84</f>
        <v>45</v>
      </c>
      <c r="V436" s="45" t="str">
        <f t="shared" ref="V436:W437" si="50">C84</f>
        <v>LED</v>
      </c>
      <c r="W436" s="45" t="str">
        <f t="shared" si="50"/>
        <v>STREET LIGHTING -- LED (CONT'D)</v>
      </c>
      <c r="Y436" s="159"/>
      <c r="Z436" s="1"/>
      <c r="AA436" s="159"/>
      <c r="AB436" s="159"/>
      <c r="AC436" s="238"/>
      <c r="AD436" s="238"/>
      <c r="AE436" s="3"/>
      <c r="AF436" s="3"/>
      <c r="AG436" s="175"/>
      <c r="AH436" s="4"/>
      <c r="AI436" s="3"/>
      <c r="AJ436" s="3"/>
      <c r="AK436" s="181"/>
      <c r="AL436" s="6"/>
      <c r="AM436" s="3"/>
      <c r="AN436" s="3"/>
      <c r="AO436" s="3"/>
      <c r="AP436" s="3"/>
      <c r="AQ436" s="181"/>
      <c r="AS436" s="123"/>
      <c r="AW436" s="184"/>
    </row>
    <row r="437" spans="12:49" x14ac:dyDescent="0.3">
      <c r="L437" s="42"/>
      <c r="M437" s="42"/>
      <c r="T437" s="282">
        <f t="shared" si="49"/>
        <v>46</v>
      </c>
      <c r="V437" s="45" t="str">
        <f t="shared" si="50"/>
        <v>FIXTURES (CONT'D)</v>
      </c>
      <c r="Y437" s="159"/>
      <c r="Z437" s="1"/>
      <c r="AA437" s="159"/>
      <c r="AB437" s="159"/>
      <c r="AC437" s="238"/>
      <c r="AD437" s="238"/>
      <c r="AE437" s="3"/>
      <c r="AF437" s="3"/>
      <c r="AG437" s="175"/>
      <c r="AH437" s="4"/>
      <c r="AI437" s="3"/>
      <c r="AJ437" s="3"/>
      <c r="AK437" s="181"/>
      <c r="AL437" s="6"/>
      <c r="AM437" s="3"/>
      <c r="AN437" s="3"/>
      <c r="AO437" s="3"/>
      <c r="AP437" s="3"/>
      <c r="AQ437" s="181"/>
      <c r="AS437" s="123"/>
      <c r="AW437" s="184"/>
    </row>
    <row r="438" spans="12:49" x14ac:dyDescent="0.3">
      <c r="L438" s="42"/>
      <c r="M438" s="42"/>
      <c r="T438" s="282">
        <f t="shared" ref="T438:T460" si="51">A86</f>
        <v>47</v>
      </c>
      <c r="V438" s="45" t="str">
        <f t="shared" ref="V438:V460" si="52">C86</f>
        <v xml:space="preserve">   50W Cobra LED</v>
      </c>
      <c r="Y438" s="159">
        <f t="shared" ref="Y438:Y459" si="53">F86</f>
        <v>0</v>
      </c>
      <c r="Z438" s="1"/>
      <c r="AA438" s="159">
        <f t="shared" ref="AA438:AA459" si="54">H86</f>
        <v>0</v>
      </c>
      <c r="AB438" s="159"/>
      <c r="AC438" s="238">
        <v>4.17</v>
      </c>
      <c r="AD438" s="238">
        <v>2.9</v>
      </c>
      <c r="AE438" s="3">
        <f t="shared" si="45"/>
        <v>0</v>
      </c>
      <c r="AF438" s="3"/>
      <c r="AG438" s="175">
        <f t="shared" ref="AG438:AG459" si="55">ROUND((AE438/AE$692)*100,1)</f>
        <v>0</v>
      </c>
      <c r="AH438" s="4"/>
      <c r="AI438" s="3">
        <f t="shared" ref="AI438:AI459" si="56">L86-AE438</f>
        <v>0</v>
      </c>
      <c r="AJ438" s="3"/>
      <c r="AK438" s="181" t="str">
        <f t="shared" si="46"/>
        <v xml:space="preserve">0.0 </v>
      </c>
      <c r="AL438" s="6"/>
      <c r="AM438" s="3"/>
      <c r="AN438" s="3"/>
      <c r="AO438" s="3">
        <f t="shared" si="47"/>
        <v>0</v>
      </c>
      <c r="AP438" s="3"/>
      <c r="AQ438" s="181" t="str">
        <f t="shared" si="48"/>
        <v xml:space="preserve">0.0 </v>
      </c>
      <c r="AS438" s="123"/>
      <c r="AW438" s="184"/>
    </row>
    <row r="439" spans="12:49" x14ac:dyDescent="0.3">
      <c r="L439" s="42"/>
      <c r="M439" s="42"/>
      <c r="T439" s="282">
        <f t="shared" si="51"/>
        <v>48</v>
      </c>
      <c r="V439" s="45" t="str">
        <f t="shared" si="52"/>
        <v xml:space="preserve">   70W Cobra LED</v>
      </c>
      <c r="Y439" s="159">
        <f t="shared" si="53"/>
        <v>12</v>
      </c>
      <c r="Z439" s="1"/>
      <c r="AA439" s="159">
        <f t="shared" si="54"/>
        <v>204</v>
      </c>
      <c r="AB439" s="159"/>
      <c r="AC439" s="238">
        <v>4.33</v>
      </c>
      <c r="AD439" s="238">
        <v>2.9</v>
      </c>
      <c r="AE439" s="3">
        <f t="shared" si="45"/>
        <v>87</v>
      </c>
      <c r="AF439" s="3"/>
      <c r="AG439" s="175">
        <f t="shared" si="55"/>
        <v>0.4</v>
      </c>
      <c r="AH439" s="4"/>
      <c r="AI439" s="3">
        <f t="shared" si="56"/>
        <v>12</v>
      </c>
      <c r="AJ439" s="3"/>
      <c r="AK439" s="181">
        <f t="shared" si="46"/>
        <v>13.8</v>
      </c>
      <c r="AL439" s="6"/>
      <c r="AM439" s="3"/>
      <c r="AN439" s="3"/>
      <c r="AO439" s="3">
        <f t="shared" si="47"/>
        <v>87</v>
      </c>
      <c r="AP439" s="3"/>
      <c r="AQ439" s="181">
        <f t="shared" si="48"/>
        <v>13.8</v>
      </c>
      <c r="AS439" s="123"/>
      <c r="AW439" s="184"/>
    </row>
    <row r="440" spans="12:49" x14ac:dyDescent="0.3">
      <c r="L440" s="42"/>
      <c r="M440" s="42"/>
      <c r="T440" s="282">
        <f t="shared" si="51"/>
        <v>49</v>
      </c>
      <c r="V440" s="45" t="str">
        <f t="shared" si="52"/>
        <v xml:space="preserve">   30W Granville Acorn LED</v>
      </c>
      <c r="Y440" s="159">
        <f t="shared" si="53"/>
        <v>0</v>
      </c>
      <c r="Z440" s="1"/>
      <c r="AA440" s="159">
        <f t="shared" si="54"/>
        <v>0</v>
      </c>
      <c r="AB440" s="159"/>
      <c r="AC440" s="238"/>
      <c r="AD440" s="238"/>
      <c r="AE440" s="3">
        <f t="shared" si="45"/>
        <v>0</v>
      </c>
      <c r="AF440" s="3"/>
      <c r="AG440" s="175">
        <f t="shared" si="55"/>
        <v>0</v>
      </c>
      <c r="AH440" s="4"/>
      <c r="AI440" s="3">
        <f t="shared" si="56"/>
        <v>0</v>
      </c>
      <c r="AJ440" s="3"/>
      <c r="AK440" s="181" t="str">
        <f t="shared" si="46"/>
        <v xml:space="preserve">0.0 </v>
      </c>
      <c r="AL440" s="6"/>
      <c r="AM440" s="3"/>
      <c r="AN440" s="3"/>
      <c r="AO440" s="3">
        <f t="shared" si="47"/>
        <v>0</v>
      </c>
      <c r="AP440" s="3"/>
      <c r="AQ440" s="181" t="str">
        <f t="shared" si="48"/>
        <v xml:space="preserve">0.0 </v>
      </c>
      <c r="AS440" s="123"/>
      <c r="AW440" s="184"/>
    </row>
    <row r="441" spans="12:49" x14ac:dyDescent="0.3">
      <c r="L441" s="42"/>
      <c r="M441" s="42"/>
      <c r="T441" s="282">
        <f t="shared" si="51"/>
        <v>50</v>
      </c>
      <c r="V441" s="45" t="str">
        <f t="shared" si="52"/>
        <v xml:space="preserve">   30W Style B Bollard LED</v>
      </c>
      <c r="Y441" s="159">
        <f t="shared" si="53"/>
        <v>0</v>
      </c>
      <c r="Z441" s="1"/>
      <c r="AA441" s="159">
        <f t="shared" si="54"/>
        <v>0</v>
      </c>
      <c r="AB441" s="159"/>
      <c r="AC441" s="238"/>
      <c r="AD441" s="238"/>
      <c r="AE441" s="3">
        <f t="shared" si="45"/>
        <v>0</v>
      </c>
      <c r="AF441" s="3"/>
      <c r="AG441" s="175">
        <f t="shared" si="55"/>
        <v>0</v>
      </c>
      <c r="AH441" s="4"/>
      <c r="AI441" s="3">
        <f t="shared" si="56"/>
        <v>0</v>
      </c>
      <c r="AJ441" s="3"/>
      <c r="AK441" s="181" t="str">
        <f t="shared" si="46"/>
        <v xml:space="preserve">0.0 </v>
      </c>
      <c r="AL441" s="6"/>
      <c r="AM441" s="3"/>
      <c r="AN441" s="3"/>
      <c r="AO441" s="3">
        <f t="shared" si="47"/>
        <v>0</v>
      </c>
      <c r="AP441" s="3"/>
      <c r="AQ441" s="181" t="str">
        <f t="shared" si="48"/>
        <v xml:space="preserve">0.0 </v>
      </c>
      <c r="AS441" s="123"/>
      <c r="AW441" s="184"/>
    </row>
    <row r="442" spans="12:49" x14ac:dyDescent="0.3">
      <c r="L442" s="42"/>
      <c r="M442" s="42"/>
      <c r="T442" s="282">
        <f t="shared" si="51"/>
        <v>51</v>
      </c>
      <c r="V442" s="45" t="str">
        <f t="shared" si="52"/>
        <v xml:space="preserve">   30W Style C Bollard LED</v>
      </c>
      <c r="Y442" s="159">
        <f t="shared" si="53"/>
        <v>0</v>
      </c>
      <c r="Z442" s="1"/>
      <c r="AA442" s="159">
        <f t="shared" si="54"/>
        <v>0</v>
      </c>
      <c r="AB442" s="159"/>
      <c r="AC442" s="238"/>
      <c r="AD442" s="238"/>
      <c r="AE442" s="3">
        <f t="shared" si="45"/>
        <v>0</v>
      </c>
      <c r="AF442" s="3"/>
      <c r="AG442" s="175">
        <f t="shared" si="55"/>
        <v>0</v>
      </c>
      <c r="AH442" s="4"/>
      <c r="AI442" s="3">
        <f t="shared" si="56"/>
        <v>0</v>
      </c>
      <c r="AJ442" s="3"/>
      <c r="AK442" s="181" t="str">
        <f t="shared" si="46"/>
        <v xml:space="preserve">0.0 </v>
      </c>
      <c r="AL442" s="6"/>
      <c r="AM442" s="3"/>
      <c r="AN442" s="3"/>
      <c r="AO442" s="3">
        <f t="shared" si="47"/>
        <v>0</v>
      </c>
      <c r="AP442" s="3"/>
      <c r="AQ442" s="181" t="str">
        <f t="shared" si="48"/>
        <v xml:space="preserve">0.0 </v>
      </c>
      <c r="AS442" s="123"/>
      <c r="AW442" s="184"/>
    </row>
    <row r="443" spans="12:49" x14ac:dyDescent="0.3">
      <c r="L443" s="42"/>
      <c r="M443" s="42"/>
      <c r="T443" s="282">
        <f t="shared" si="51"/>
        <v>52</v>
      </c>
      <c r="V443" s="45" t="str">
        <f t="shared" si="52"/>
        <v xml:space="preserve">   30W Style D Bollard LED</v>
      </c>
      <c r="Y443" s="159">
        <f t="shared" si="53"/>
        <v>0</v>
      </c>
      <c r="Z443" s="1"/>
      <c r="AA443" s="159">
        <f t="shared" si="54"/>
        <v>0</v>
      </c>
      <c r="AB443" s="159"/>
      <c r="AC443" s="238"/>
      <c r="AD443" s="238"/>
      <c r="AE443" s="3">
        <f t="shared" si="45"/>
        <v>0</v>
      </c>
      <c r="AF443" s="3"/>
      <c r="AG443" s="175">
        <f t="shared" si="55"/>
        <v>0</v>
      </c>
      <c r="AH443" s="4"/>
      <c r="AI443" s="3">
        <f t="shared" si="56"/>
        <v>0</v>
      </c>
      <c r="AJ443" s="3"/>
      <c r="AK443" s="181" t="str">
        <f t="shared" si="46"/>
        <v xml:space="preserve">0.0 </v>
      </c>
      <c r="AL443" s="6"/>
      <c r="AM443" s="3"/>
      <c r="AN443" s="3"/>
      <c r="AO443" s="3">
        <f t="shared" si="47"/>
        <v>0</v>
      </c>
      <c r="AP443" s="3"/>
      <c r="AQ443" s="181" t="str">
        <f t="shared" si="48"/>
        <v xml:space="preserve">0.0 </v>
      </c>
      <c r="AS443" s="123"/>
      <c r="AW443" s="184"/>
    </row>
    <row r="444" spans="12:49" x14ac:dyDescent="0.3">
      <c r="L444" s="42"/>
      <c r="M444" s="42"/>
      <c r="T444" s="282">
        <f t="shared" si="51"/>
        <v>53</v>
      </c>
      <c r="V444" s="45" t="str">
        <f t="shared" si="52"/>
        <v xml:space="preserve">   30W Style E Bollard LED</v>
      </c>
      <c r="Y444" s="159">
        <f t="shared" si="53"/>
        <v>0</v>
      </c>
      <c r="Z444" s="1"/>
      <c r="AA444" s="159">
        <f t="shared" si="54"/>
        <v>0</v>
      </c>
      <c r="AB444" s="159"/>
      <c r="AC444" s="238"/>
      <c r="AD444" s="238"/>
      <c r="AE444" s="3">
        <f t="shared" si="45"/>
        <v>0</v>
      </c>
      <c r="AF444" s="3"/>
      <c r="AG444" s="175">
        <f t="shared" si="55"/>
        <v>0</v>
      </c>
      <c r="AH444" s="4"/>
      <c r="AI444" s="3">
        <f t="shared" si="56"/>
        <v>0</v>
      </c>
      <c r="AJ444" s="3"/>
      <c r="AK444" s="181" t="str">
        <f t="shared" si="46"/>
        <v xml:space="preserve">0.0 </v>
      </c>
      <c r="AL444" s="6"/>
      <c r="AM444" s="3"/>
      <c r="AN444" s="3"/>
      <c r="AO444" s="3">
        <f t="shared" si="47"/>
        <v>0</v>
      </c>
      <c r="AP444" s="3"/>
      <c r="AQ444" s="181" t="str">
        <f t="shared" si="48"/>
        <v xml:space="preserve">0.0 </v>
      </c>
      <c r="AS444" s="123"/>
      <c r="AW444" s="184"/>
    </row>
    <row r="445" spans="12:49" x14ac:dyDescent="0.3">
      <c r="L445" s="42"/>
      <c r="M445" s="42"/>
      <c r="T445" s="282">
        <f t="shared" si="51"/>
        <v>54</v>
      </c>
      <c r="V445" s="45" t="str">
        <f t="shared" si="52"/>
        <v xml:space="preserve">   40W Colonial Bollard LED</v>
      </c>
      <c r="Y445" s="159">
        <f t="shared" si="53"/>
        <v>0</v>
      </c>
      <c r="Z445" s="1"/>
      <c r="AA445" s="159">
        <f t="shared" si="54"/>
        <v>0</v>
      </c>
      <c r="AB445" s="159"/>
      <c r="AC445" s="238"/>
      <c r="AD445" s="238"/>
      <c r="AE445" s="3">
        <f t="shared" si="45"/>
        <v>0</v>
      </c>
      <c r="AF445" s="3"/>
      <c r="AG445" s="175">
        <f t="shared" si="55"/>
        <v>0</v>
      </c>
      <c r="AH445" s="4"/>
      <c r="AI445" s="3">
        <f t="shared" si="56"/>
        <v>0</v>
      </c>
      <c r="AJ445" s="3"/>
      <c r="AK445" s="181" t="str">
        <f t="shared" si="46"/>
        <v xml:space="preserve">0.0 </v>
      </c>
      <c r="AL445" s="6"/>
      <c r="AM445" s="3"/>
      <c r="AN445" s="3"/>
      <c r="AO445" s="3">
        <f t="shared" si="47"/>
        <v>0</v>
      </c>
      <c r="AP445" s="3"/>
      <c r="AQ445" s="181" t="str">
        <f t="shared" si="48"/>
        <v xml:space="preserve">0.0 </v>
      </c>
      <c r="AS445" s="123"/>
      <c r="AW445" s="184"/>
    </row>
    <row r="446" spans="12:49" x14ac:dyDescent="0.3">
      <c r="L446" s="42"/>
      <c r="M446" s="42"/>
      <c r="T446" s="282">
        <f t="shared" si="51"/>
        <v>55</v>
      </c>
      <c r="V446" s="45" t="str">
        <f t="shared" si="52"/>
        <v xml:space="preserve">   40W Washington Bollard LED</v>
      </c>
      <c r="Y446" s="159">
        <f t="shared" si="53"/>
        <v>0</v>
      </c>
      <c r="Z446" s="1"/>
      <c r="AA446" s="159">
        <f t="shared" si="54"/>
        <v>0</v>
      </c>
      <c r="AB446" s="159"/>
      <c r="AC446" s="238"/>
      <c r="AD446" s="238"/>
      <c r="AE446" s="3">
        <f t="shared" si="45"/>
        <v>0</v>
      </c>
      <c r="AF446" s="3"/>
      <c r="AG446" s="175">
        <f t="shared" si="55"/>
        <v>0</v>
      </c>
      <c r="AH446" s="4"/>
      <c r="AI446" s="3">
        <f t="shared" si="56"/>
        <v>0</v>
      </c>
      <c r="AJ446" s="3"/>
      <c r="AK446" s="181" t="str">
        <f t="shared" si="46"/>
        <v xml:space="preserve">0.0 </v>
      </c>
      <c r="AL446" s="6"/>
      <c r="AM446" s="3"/>
      <c r="AN446" s="3"/>
      <c r="AO446" s="3">
        <f t="shared" si="47"/>
        <v>0</v>
      </c>
      <c r="AP446" s="3"/>
      <c r="AQ446" s="181" t="str">
        <f t="shared" si="48"/>
        <v xml:space="preserve">0.0 </v>
      </c>
      <c r="AS446" s="123"/>
      <c r="AW446" s="184"/>
    </row>
    <row r="447" spans="12:49" x14ac:dyDescent="0.3">
      <c r="L447" s="42"/>
      <c r="M447" s="42"/>
      <c r="T447" s="282">
        <f t="shared" si="51"/>
        <v>56</v>
      </c>
      <c r="V447" s="45" t="str">
        <f t="shared" si="52"/>
        <v xml:space="preserve">   26W Holiday Riser Receptacle LED</v>
      </c>
      <c r="Y447" s="159">
        <f t="shared" si="53"/>
        <v>0</v>
      </c>
      <c r="Z447" s="1"/>
      <c r="AA447" s="159">
        <f t="shared" si="54"/>
        <v>0</v>
      </c>
      <c r="AB447" s="159"/>
      <c r="AC447" s="238"/>
      <c r="AD447" s="238"/>
      <c r="AE447" s="3">
        <f t="shared" si="45"/>
        <v>0</v>
      </c>
      <c r="AF447" s="3"/>
      <c r="AG447" s="175">
        <f t="shared" si="55"/>
        <v>0</v>
      </c>
      <c r="AH447" s="4"/>
      <c r="AI447" s="3">
        <f t="shared" si="56"/>
        <v>0</v>
      </c>
      <c r="AJ447" s="3"/>
      <c r="AK447" s="181" t="str">
        <f t="shared" si="46"/>
        <v xml:space="preserve">0.0 </v>
      </c>
      <c r="AL447" s="6"/>
      <c r="AM447" s="3"/>
      <c r="AN447" s="3"/>
      <c r="AO447" s="3">
        <f t="shared" si="47"/>
        <v>0</v>
      </c>
      <c r="AP447" s="3"/>
      <c r="AQ447" s="181" t="str">
        <f t="shared" si="48"/>
        <v xml:space="preserve">0.0 </v>
      </c>
      <c r="AS447" s="123"/>
      <c r="AW447" s="184"/>
    </row>
    <row r="448" spans="12:49" x14ac:dyDescent="0.3">
      <c r="L448" s="42"/>
      <c r="M448" s="42"/>
      <c r="T448" s="282">
        <f t="shared" si="51"/>
        <v>57</v>
      </c>
      <c r="V448" s="45" t="str">
        <f t="shared" si="52"/>
        <v xml:space="preserve">   26W Holiday Bracket Top Receptacle LED</v>
      </c>
      <c r="Y448" s="159">
        <f t="shared" si="53"/>
        <v>0</v>
      </c>
      <c r="Z448" s="1"/>
      <c r="AA448" s="159">
        <f t="shared" si="54"/>
        <v>0</v>
      </c>
      <c r="AB448" s="159"/>
      <c r="AC448" s="238"/>
      <c r="AD448" s="238"/>
      <c r="AE448" s="3">
        <f t="shared" si="45"/>
        <v>0</v>
      </c>
      <c r="AF448" s="3"/>
      <c r="AG448" s="175">
        <f t="shared" si="55"/>
        <v>0</v>
      </c>
      <c r="AH448" s="4"/>
      <c r="AI448" s="3">
        <f t="shared" si="56"/>
        <v>0</v>
      </c>
      <c r="AJ448" s="3"/>
      <c r="AK448" s="181" t="str">
        <f t="shared" si="46"/>
        <v xml:space="preserve">0.0 </v>
      </c>
      <c r="AL448" s="6"/>
      <c r="AM448" s="3"/>
      <c r="AN448" s="3"/>
      <c r="AO448" s="3">
        <f t="shared" si="47"/>
        <v>0</v>
      </c>
      <c r="AP448" s="3"/>
      <c r="AQ448" s="181" t="str">
        <f t="shared" si="48"/>
        <v xml:space="preserve">0.0 </v>
      </c>
      <c r="AS448" s="123"/>
      <c r="AW448" s="184"/>
    </row>
    <row r="449" spans="3:49" x14ac:dyDescent="0.3">
      <c r="L449" s="42"/>
      <c r="M449" s="42"/>
      <c r="T449" s="282">
        <f t="shared" si="51"/>
        <v>58</v>
      </c>
      <c r="V449" s="45" t="str">
        <f t="shared" si="52"/>
        <v xml:space="preserve">   26W Holiday Festoon Receptacle LED</v>
      </c>
      <c r="Y449" s="159">
        <f t="shared" si="53"/>
        <v>0</v>
      </c>
      <c r="Z449" s="1"/>
      <c r="AA449" s="159">
        <f t="shared" si="54"/>
        <v>0</v>
      </c>
      <c r="AB449" s="159"/>
      <c r="AC449" s="238"/>
      <c r="AD449" s="238"/>
      <c r="AE449" s="3">
        <f t="shared" si="45"/>
        <v>0</v>
      </c>
      <c r="AF449" s="3"/>
      <c r="AG449" s="175">
        <f t="shared" si="55"/>
        <v>0</v>
      </c>
      <c r="AH449" s="4"/>
      <c r="AI449" s="3">
        <f t="shared" si="56"/>
        <v>0</v>
      </c>
      <c r="AJ449" s="3"/>
      <c r="AK449" s="181" t="str">
        <f t="shared" si="46"/>
        <v xml:space="preserve">0.0 </v>
      </c>
      <c r="AL449" s="6"/>
      <c r="AM449" s="3"/>
      <c r="AN449" s="3"/>
      <c r="AO449" s="3">
        <f t="shared" si="47"/>
        <v>0</v>
      </c>
      <c r="AP449" s="3"/>
      <c r="AQ449" s="181" t="str">
        <f t="shared" si="48"/>
        <v xml:space="preserve">0.0 </v>
      </c>
      <c r="AS449" s="123"/>
      <c r="AW449" s="184"/>
    </row>
    <row r="450" spans="3:49" x14ac:dyDescent="0.3">
      <c r="L450" s="42"/>
      <c r="M450" s="42"/>
      <c r="T450" s="282">
        <f t="shared" si="51"/>
        <v>59</v>
      </c>
      <c r="V450" s="45" t="str">
        <f t="shared" si="52"/>
        <v xml:space="preserve">   26W Holiday Post Top Receptacle LED</v>
      </c>
      <c r="Y450" s="159">
        <f t="shared" si="53"/>
        <v>0</v>
      </c>
      <c r="Z450" s="1"/>
      <c r="AA450" s="159">
        <f t="shared" si="54"/>
        <v>0</v>
      </c>
      <c r="AB450" s="159"/>
      <c r="AC450" s="238"/>
      <c r="AD450" s="238"/>
      <c r="AE450" s="3">
        <f t="shared" si="45"/>
        <v>0</v>
      </c>
      <c r="AF450" s="3"/>
      <c r="AG450" s="175">
        <f t="shared" si="55"/>
        <v>0</v>
      </c>
      <c r="AH450" s="4"/>
      <c r="AI450" s="3">
        <f t="shared" si="56"/>
        <v>0</v>
      </c>
      <c r="AJ450" s="3"/>
      <c r="AK450" s="181" t="str">
        <f t="shared" si="46"/>
        <v xml:space="preserve">0.0 </v>
      </c>
      <c r="AL450" s="6"/>
      <c r="AM450" s="3"/>
      <c r="AN450" s="3"/>
      <c r="AO450" s="3">
        <f t="shared" si="47"/>
        <v>0</v>
      </c>
      <c r="AP450" s="3"/>
      <c r="AQ450" s="181" t="str">
        <f t="shared" si="48"/>
        <v xml:space="preserve">0.0 </v>
      </c>
      <c r="AS450" s="123"/>
      <c r="AW450" s="184"/>
    </row>
    <row r="451" spans="3:49" x14ac:dyDescent="0.3">
      <c r="L451" s="42"/>
      <c r="M451" s="42"/>
      <c r="T451" s="282">
        <f t="shared" si="51"/>
        <v>60</v>
      </c>
      <c r="V451" s="45" t="str">
        <f t="shared" si="52"/>
        <v xml:space="preserve">   26W Holiday Post Top with Adapter Receptacle LED</v>
      </c>
      <c r="Y451" s="159">
        <f t="shared" si="53"/>
        <v>0</v>
      </c>
      <c r="Z451" s="1"/>
      <c r="AA451" s="159">
        <f t="shared" si="54"/>
        <v>0</v>
      </c>
      <c r="AB451" s="159"/>
      <c r="AC451" s="238"/>
      <c r="AD451" s="238"/>
      <c r="AE451" s="3">
        <f t="shared" si="45"/>
        <v>0</v>
      </c>
      <c r="AF451" s="3"/>
      <c r="AG451" s="175">
        <f t="shared" si="55"/>
        <v>0</v>
      </c>
      <c r="AH451" s="4"/>
      <c r="AI451" s="3">
        <f t="shared" si="56"/>
        <v>0</v>
      </c>
      <c r="AJ451" s="3"/>
      <c r="AK451" s="181" t="str">
        <f t="shared" si="46"/>
        <v xml:space="preserve">0.0 </v>
      </c>
      <c r="AL451" s="6"/>
      <c r="AM451" s="3"/>
      <c r="AN451" s="3"/>
      <c r="AO451" s="3">
        <f t="shared" si="47"/>
        <v>0</v>
      </c>
      <c r="AP451" s="3"/>
      <c r="AQ451" s="181" t="str">
        <f t="shared" si="48"/>
        <v xml:space="preserve">0.0 </v>
      </c>
      <c r="AS451" s="123"/>
      <c r="AW451" s="184"/>
    </row>
    <row r="452" spans="3:49" x14ac:dyDescent="0.3">
      <c r="L452" s="42"/>
      <c r="M452" s="42"/>
      <c r="T452" s="282">
        <f t="shared" si="51"/>
        <v>61</v>
      </c>
      <c r="V452" s="45" t="str">
        <f t="shared" si="52"/>
        <v xml:space="preserve">   26W Dual Post Top Receptacle LED</v>
      </c>
      <c r="Y452" s="159">
        <f t="shared" si="53"/>
        <v>0</v>
      </c>
      <c r="Z452" s="1"/>
      <c r="AA452" s="159">
        <f t="shared" si="54"/>
        <v>0</v>
      </c>
      <c r="AB452" s="159"/>
      <c r="AC452" s="238"/>
      <c r="AD452" s="238"/>
      <c r="AE452" s="3">
        <f t="shared" si="45"/>
        <v>0</v>
      </c>
      <c r="AF452" s="3"/>
      <c r="AG452" s="175">
        <f t="shared" si="55"/>
        <v>0</v>
      </c>
      <c r="AH452" s="4"/>
      <c r="AI452" s="3">
        <f t="shared" si="56"/>
        <v>0</v>
      </c>
      <c r="AJ452" s="3"/>
      <c r="AK452" s="181" t="str">
        <f t="shared" si="46"/>
        <v xml:space="preserve">0.0 </v>
      </c>
      <c r="AL452" s="6"/>
      <c r="AM452" s="3"/>
      <c r="AN452" s="3"/>
      <c r="AO452" s="3">
        <f t="shared" si="47"/>
        <v>0</v>
      </c>
      <c r="AP452" s="3"/>
      <c r="AQ452" s="181" t="str">
        <f t="shared" si="48"/>
        <v xml:space="preserve">0.0 </v>
      </c>
      <c r="AS452" s="123"/>
      <c r="AW452" s="184"/>
    </row>
    <row r="453" spans="3:49" x14ac:dyDescent="0.3">
      <c r="L453" s="42"/>
      <c r="M453" s="42"/>
      <c r="T453" s="282">
        <f t="shared" si="51"/>
        <v>62</v>
      </c>
      <c r="V453" s="45" t="str">
        <f t="shared" si="52"/>
        <v xml:space="preserve">   26W Dual Post Top with Adapter Receptacle LED</v>
      </c>
      <c r="Y453" s="159">
        <f t="shared" si="53"/>
        <v>0</v>
      </c>
      <c r="Z453" s="1"/>
      <c r="AA453" s="159">
        <f t="shared" si="54"/>
        <v>0</v>
      </c>
      <c r="AB453" s="159"/>
      <c r="AC453" s="238"/>
      <c r="AD453" s="238"/>
      <c r="AE453" s="3">
        <f t="shared" si="45"/>
        <v>0</v>
      </c>
      <c r="AF453" s="3"/>
      <c r="AG453" s="175">
        <f t="shared" si="55"/>
        <v>0</v>
      </c>
      <c r="AH453" s="4"/>
      <c r="AI453" s="3">
        <f t="shared" si="56"/>
        <v>0</v>
      </c>
      <c r="AJ453" s="3"/>
      <c r="AK453" s="181" t="str">
        <f t="shared" si="46"/>
        <v xml:space="preserve">0.0 </v>
      </c>
      <c r="AL453" s="6"/>
      <c r="AM453" s="3"/>
      <c r="AN453" s="3"/>
      <c r="AO453" s="3">
        <f t="shared" si="47"/>
        <v>0</v>
      </c>
      <c r="AP453" s="3"/>
      <c r="AQ453" s="181" t="str">
        <f t="shared" si="48"/>
        <v xml:space="preserve">0.0 </v>
      </c>
      <c r="AS453" s="123"/>
      <c r="AW453" s="184"/>
    </row>
    <row r="454" spans="3:49" x14ac:dyDescent="0.3">
      <c r="L454" s="42"/>
      <c r="M454" s="42"/>
      <c r="T454" s="282">
        <f t="shared" si="51"/>
        <v>63</v>
      </c>
      <c r="V454" s="45" t="str">
        <f t="shared" si="52"/>
        <v xml:space="preserve">   26W Dual Bracket Top Receptacle LED</v>
      </c>
      <c r="Y454" s="159">
        <f t="shared" si="53"/>
        <v>0</v>
      </c>
      <c r="Z454" s="1"/>
      <c r="AA454" s="159">
        <f t="shared" si="54"/>
        <v>0</v>
      </c>
      <c r="AB454" s="159"/>
      <c r="AC454" s="238"/>
      <c r="AD454" s="238"/>
      <c r="AE454" s="3">
        <f t="shared" si="45"/>
        <v>0</v>
      </c>
      <c r="AF454" s="3"/>
      <c r="AG454" s="175">
        <f t="shared" si="55"/>
        <v>0</v>
      </c>
      <c r="AH454" s="4"/>
      <c r="AI454" s="3">
        <f t="shared" si="56"/>
        <v>0</v>
      </c>
      <c r="AJ454" s="3"/>
      <c r="AK454" s="181" t="str">
        <f t="shared" si="46"/>
        <v xml:space="preserve">0.0 </v>
      </c>
      <c r="AL454" s="6"/>
      <c r="AM454" s="3"/>
      <c r="AN454" s="3"/>
      <c r="AO454" s="3">
        <f t="shared" si="47"/>
        <v>0</v>
      </c>
      <c r="AP454" s="3"/>
      <c r="AQ454" s="181" t="str">
        <f t="shared" si="48"/>
        <v xml:space="preserve">0.0 </v>
      </c>
      <c r="AS454" s="123"/>
      <c r="AW454" s="184"/>
    </row>
    <row r="455" spans="3:49" x14ac:dyDescent="0.3">
      <c r="L455" s="42"/>
      <c r="M455" s="42"/>
      <c r="T455" s="282">
        <f t="shared" si="51"/>
        <v>64</v>
      </c>
      <c r="V455" s="45" t="str">
        <f t="shared" si="52"/>
        <v xml:space="preserve">   50W Senoia LED</v>
      </c>
      <c r="Y455" s="159">
        <f t="shared" si="53"/>
        <v>0</v>
      </c>
      <c r="Z455" s="1"/>
      <c r="AA455" s="159">
        <f t="shared" si="54"/>
        <v>0</v>
      </c>
      <c r="AB455" s="159"/>
      <c r="AC455" s="238"/>
      <c r="AD455" s="238"/>
      <c r="AE455" s="3">
        <f t="shared" si="45"/>
        <v>0</v>
      </c>
      <c r="AF455" s="3"/>
      <c r="AG455" s="175">
        <f t="shared" si="55"/>
        <v>0</v>
      </c>
      <c r="AH455" s="4"/>
      <c r="AI455" s="3">
        <f t="shared" si="56"/>
        <v>0</v>
      </c>
      <c r="AJ455" s="3"/>
      <c r="AK455" s="181" t="str">
        <f t="shared" si="46"/>
        <v xml:space="preserve">0.0 </v>
      </c>
      <c r="AL455" s="6"/>
      <c r="AM455" s="3"/>
      <c r="AN455" s="3"/>
      <c r="AO455" s="3">
        <f t="shared" si="47"/>
        <v>0</v>
      </c>
      <c r="AP455" s="3"/>
      <c r="AQ455" s="181" t="str">
        <f t="shared" si="48"/>
        <v xml:space="preserve">0.0 </v>
      </c>
      <c r="AS455" s="123"/>
      <c r="AW455" s="184"/>
    </row>
    <row r="456" spans="3:49" x14ac:dyDescent="0.3">
      <c r="L456" s="42"/>
      <c r="M456" s="42"/>
      <c r="T456" s="282">
        <f t="shared" si="51"/>
        <v>65</v>
      </c>
      <c r="V456" s="45" t="str">
        <f t="shared" si="52"/>
        <v xml:space="preserve">   50W Halo LED</v>
      </c>
      <c r="Y456" s="159">
        <f t="shared" si="53"/>
        <v>0</v>
      </c>
      <c r="Z456" s="1"/>
      <c r="AA456" s="159">
        <f t="shared" si="54"/>
        <v>0</v>
      </c>
      <c r="AB456" s="159"/>
      <c r="AC456" s="238"/>
      <c r="AD456" s="238"/>
      <c r="AE456" s="3">
        <f t="shared" si="45"/>
        <v>0</v>
      </c>
      <c r="AF456" s="3"/>
      <c r="AG456" s="175">
        <f t="shared" si="55"/>
        <v>0</v>
      </c>
      <c r="AH456" s="4"/>
      <c r="AI456" s="3">
        <f t="shared" si="56"/>
        <v>0</v>
      </c>
      <c r="AJ456" s="3"/>
      <c r="AK456" s="181" t="str">
        <f t="shared" si="46"/>
        <v xml:space="preserve">0.0 </v>
      </c>
      <c r="AL456" s="6"/>
      <c r="AM456" s="3"/>
      <c r="AN456" s="3"/>
      <c r="AO456" s="3">
        <f t="shared" si="47"/>
        <v>0</v>
      </c>
      <c r="AP456" s="3"/>
      <c r="AQ456" s="181" t="str">
        <f t="shared" si="48"/>
        <v xml:space="preserve">0.0 </v>
      </c>
      <c r="AS456" s="123"/>
      <c r="AW456" s="184"/>
    </row>
    <row r="457" spans="3:49" x14ac:dyDescent="0.3">
      <c r="L457" s="42"/>
      <c r="M457" s="42"/>
      <c r="T457" s="282">
        <f t="shared" si="51"/>
        <v>66</v>
      </c>
      <c r="V457" s="45" t="str">
        <f t="shared" si="52"/>
        <v xml:space="preserve">   30W Standard LED</v>
      </c>
      <c r="Y457" s="159">
        <f t="shared" si="53"/>
        <v>0</v>
      </c>
      <c r="Z457" s="1"/>
      <c r="AA457" s="159">
        <f t="shared" si="54"/>
        <v>0</v>
      </c>
      <c r="AB457" s="159"/>
      <c r="AC457" s="238"/>
      <c r="AD457" s="238"/>
      <c r="AE457" s="3">
        <f t="shared" si="45"/>
        <v>0</v>
      </c>
      <c r="AF457" s="3"/>
      <c r="AG457" s="175">
        <f t="shared" si="55"/>
        <v>0</v>
      </c>
      <c r="AH457" s="4"/>
      <c r="AI457" s="3">
        <f t="shared" si="56"/>
        <v>0</v>
      </c>
      <c r="AJ457" s="3"/>
      <c r="AK457" s="181" t="str">
        <f t="shared" si="46"/>
        <v xml:space="preserve">0.0 </v>
      </c>
      <c r="AL457" s="6"/>
      <c r="AM457" s="3"/>
      <c r="AN457" s="3"/>
      <c r="AO457" s="3">
        <f t="shared" si="47"/>
        <v>0</v>
      </c>
      <c r="AP457" s="3"/>
      <c r="AQ457" s="181" t="str">
        <f t="shared" si="48"/>
        <v xml:space="preserve">0.0 </v>
      </c>
      <c r="AS457" s="123"/>
      <c r="AW457" s="184"/>
    </row>
    <row r="458" spans="3:49" x14ac:dyDescent="0.3">
      <c r="L458" s="42"/>
      <c r="M458" s="42"/>
      <c r="T458" s="282">
        <f t="shared" si="51"/>
        <v>67</v>
      </c>
      <c r="V458" s="45" t="str">
        <f t="shared" si="52"/>
        <v xml:space="preserve">   40W Standard LED</v>
      </c>
      <c r="Y458" s="159">
        <f t="shared" si="53"/>
        <v>0</v>
      </c>
      <c r="Z458" s="1"/>
      <c r="AA458" s="159">
        <f t="shared" si="54"/>
        <v>0</v>
      </c>
      <c r="AB458" s="159"/>
      <c r="AC458" s="238"/>
      <c r="AD458" s="238"/>
      <c r="AE458" s="3">
        <f t="shared" si="45"/>
        <v>0</v>
      </c>
      <c r="AF458" s="3"/>
      <c r="AG458" s="175">
        <f t="shared" si="55"/>
        <v>0</v>
      </c>
      <c r="AH458" s="4"/>
      <c r="AI458" s="3">
        <f t="shared" si="56"/>
        <v>0</v>
      </c>
      <c r="AJ458" s="3"/>
      <c r="AK458" s="181" t="str">
        <f t="shared" si="46"/>
        <v xml:space="preserve">0.0 </v>
      </c>
      <c r="AL458" s="6"/>
      <c r="AM458" s="3"/>
      <c r="AN458" s="3"/>
      <c r="AO458" s="3">
        <f t="shared" si="47"/>
        <v>0</v>
      </c>
      <c r="AP458" s="3"/>
      <c r="AQ458" s="181" t="str">
        <f t="shared" si="48"/>
        <v xml:space="preserve">0.0 </v>
      </c>
      <c r="AS458" s="123"/>
      <c r="AW458" s="184"/>
    </row>
    <row r="459" spans="3:49" x14ac:dyDescent="0.3">
      <c r="L459" s="42"/>
      <c r="M459" s="42"/>
      <c r="T459" s="282">
        <f t="shared" si="51"/>
        <v>68</v>
      </c>
      <c r="V459" s="45" t="str">
        <f t="shared" si="52"/>
        <v xml:space="preserve">   30W Open Bottom LED</v>
      </c>
      <c r="Y459" s="159">
        <f t="shared" si="53"/>
        <v>0</v>
      </c>
      <c r="Z459" s="1"/>
      <c r="AA459" s="159">
        <f t="shared" si="54"/>
        <v>0</v>
      </c>
      <c r="AB459" s="159"/>
      <c r="AC459" s="238"/>
      <c r="AD459" s="238"/>
      <c r="AE459" s="3">
        <f>ROUND((Y459*(AC459+AD459)),0)</f>
        <v>0</v>
      </c>
      <c r="AF459" s="3"/>
      <c r="AG459" s="175">
        <f t="shared" si="55"/>
        <v>0</v>
      </c>
      <c r="AH459" s="4"/>
      <c r="AI459" s="3">
        <f t="shared" si="56"/>
        <v>0</v>
      </c>
      <c r="AJ459" s="3"/>
      <c r="AK459" s="181" t="str">
        <f>IF(AE459=0,"0.0 ",ROUND((AI459/AE459)*100,1))</f>
        <v xml:space="preserve">0.0 </v>
      </c>
      <c r="AL459" s="6"/>
      <c r="AM459" s="3"/>
      <c r="AN459" s="3"/>
      <c r="AO459" s="3">
        <f>AM459+AE459</f>
        <v>0</v>
      </c>
      <c r="AP459" s="3"/>
      <c r="AQ459" s="181" t="str">
        <f>IF(AO459=0,"0.0 ",ROUND((AI459/AO459)*100,1))</f>
        <v xml:space="preserve">0.0 </v>
      </c>
      <c r="AS459" s="123"/>
      <c r="AW459" s="184"/>
    </row>
    <row r="460" spans="3:49" x14ac:dyDescent="0.3">
      <c r="R460" s="42"/>
      <c r="T460" s="282">
        <f t="shared" si="51"/>
        <v>69</v>
      </c>
      <c r="V460" s="45" t="str">
        <f t="shared" si="52"/>
        <v>TOTAL LED FIXTURES</v>
      </c>
      <c r="Y460" s="145">
        <f>SUM(Y371:Y459)</f>
        <v>1928</v>
      </c>
      <c r="Z460" s="1"/>
      <c r="AA460" s="145">
        <f>SUM(AA371:AA459)</f>
        <v>42161</v>
      </c>
      <c r="AB460" s="3"/>
      <c r="AC460" s="5"/>
      <c r="AD460" s="5"/>
      <c r="AE460" s="145">
        <f>SUM(AE371:AE459)</f>
        <v>15991</v>
      </c>
      <c r="AG460" s="347">
        <f>SUM(AG371:AG459)</f>
        <v>80.2</v>
      </c>
      <c r="AI460" s="145">
        <f>SUM(AI371:AI459)</f>
        <v>2280</v>
      </c>
      <c r="AK460" s="181">
        <f>IF(AE460=0,"0.0 ",ROUND((AI460/AE460)*100,1))</f>
        <v>14.3</v>
      </c>
      <c r="AM460" s="145"/>
      <c r="AO460" s="145">
        <f>SUM(AO371:AO459)</f>
        <v>15991</v>
      </c>
      <c r="AQ460" s="224">
        <f>IF(AO460=0,"0.0 ",ROUND((AI460/AO460)*100,1))</f>
        <v>14.3</v>
      </c>
      <c r="AS460" s="123"/>
      <c r="AW460" s="184"/>
    </row>
    <row r="461" spans="3:49" x14ac:dyDescent="0.3">
      <c r="R461" s="42"/>
      <c r="T461" s="282"/>
      <c r="V461" s="45"/>
      <c r="Y461" s="159"/>
      <c r="Z461" s="1"/>
      <c r="AA461" s="159"/>
      <c r="AB461" s="159"/>
      <c r="AC461" s="238"/>
      <c r="AD461" s="238"/>
      <c r="AE461" s="3"/>
      <c r="AF461" s="3"/>
      <c r="AG461" s="175"/>
      <c r="AH461" s="4"/>
      <c r="AI461" s="3"/>
      <c r="AJ461" s="3"/>
      <c r="AK461" s="181"/>
      <c r="AL461" s="6"/>
      <c r="AM461" s="3"/>
      <c r="AN461" s="3"/>
      <c r="AO461" s="3"/>
      <c r="AP461" s="3"/>
      <c r="AQ461" s="181"/>
      <c r="AS461" s="123"/>
      <c r="AW461" s="184"/>
    </row>
    <row r="462" spans="3:49" x14ac:dyDescent="0.3">
      <c r="R462" s="42"/>
      <c r="T462" s="282">
        <f>A110</f>
        <v>70</v>
      </c>
      <c r="V462" s="45" t="str">
        <f>C110</f>
        <v>ENERGY CHARGE (1A)</v>
      </c>
      <c r="Y462" s="159"/>
      <c r="Z462" s="1"/>
      <c r="AA462" s="145">
        <f>AA460</f>
        <v>42161</v>
      </c>
      <c r="AB462" s="294"/>
      <c r="AC462" s="198">
        <v>6.9217000000000001E-2</v>
      </c>
      <c r="AD462" s="294"/>
      <c r="AE462" s="145">
        <f>ROUND(AA462*AC462,0)</f>
        <v>2918</v>
      </c>
      <c r="AF462" s="294"/>
      <c r="AG462" s="180">
        <f>ROUND((AE462/AE$692)*100,1)</f>
        <v>14.6</v>
      </c>
      <c r="AH462" s="294"/>
      <c r="AI462" s="145">
        <f>L110-AE462</f>
        <v>416.42916800000012</v>
      </c>
      <c r="AJ462" s="294"/>
      <c r="AK462" s="181">
        <f>IF(AE462=0,"0.0 ",ROUND((AI462/AE462)*100,1))</f>
        <v>14.3</v>
      </c>
      <c r="AL462" s="294"/>
      <c r="AM462" s="145">
        <f>ROUND(AA462*CUR_FAC,0)</f>
        <v>147</v>
      </c>
      <c r="AN462" s="308"/>
      <c r="AO462" s="145">
        <f>AE462+AM462</f>
        <v>3065</v>
      </c>
      <c r="AP462" s="308"/>
      <c r="AQ462" s="224">
        <f>IF(AO462=0,"0.0 ",ROUND((AI462/AO462)*100,1))</f>
        <v>13.6</v>
      </c>
      <c r="AS462" s="123"/>
      <c r="AW462" s="184"/>
    </row>
    <row r="463" spans="3:49" x14ac:dyDescent="0.3">
      <c r="R463" s="42"/>
      <c r="T463" s="282"/>
      <c r="V463" s="45"/>
      <c r="Y463" s="159"/>
      <c r="Z463" s="1"/>
      <c r="AA463" s="159"/>
      <c r="AB463" s="159"/>
      <c r="AC463" s="238"/>
      <c r="AD463" s="238"/>
      <c r="AE463" s="3"/>
      <c r="AF463" s="3"/>
      <c r="AG463" s="175"/>
      <c r="AH463" s="4"/>
      <c r="AI463" s="3"/>
      <c r="AJ463" s="3"/>
      <c r="AK463" s="181"/>
      <c r="AL463" s="6"/>
      <c r="AM463" s="3"/>
      <c r="AN463" s="3"/>
      <c r="AO463" s="3"/>
      <c r="AP463" s="3"/>
      <c r="AQ463" s="181"/>
      <c r="AS463" s="123"/>
      <c r="AW463" s="184"/>
    </row>
    <row r="464" spans="3:49" x14ac:dyDescent="0.3">
      <c r="C464" s="42"/>
      <c r="D464" s="42"/>
      <c r="E464" s="42"/>
      <c r="T464" s="282">
        <f t="shared" ref="T464:T483" si="57">A112</f>
        <v>71</v>
      </c>
      <c r="V464" s="45" t="str">
        <f t="shared" ref="V464:V483" si="58">C112</f>
        <v>POLES</v>
      </c>
      <c r="W464" s="45"/>
      <c r="X464" s="42"/>
      <c r="Y464" s="1"/>
      <c r="Z464" s="1"/>
      <c r="AA464" s="1"/>
      <c r="AB464" s="1"/>
      <c r="AC464" s="1"/>
      <c r="AD464" s="1"/>
      <c r="AE464" s="1"/>
      <c r="AF464" s="1"/>
      <c r="AG464" s="175"/>
      <c r="AH464" s="1"/>
      <c r="AI464" s="1"/>
      <c r="AJ464" s="1"/>
      <c r="AK464" s="175"/>
      <c r="AL464" s="1"/>
      <c r="AM464" s="1"/>
      <c r="AN464" s="1"/>
      <c r="AO464" s="1"/>
      <c r="AP464" s="1"/>
      <c r="AQ464" s="181"/>
      <c r="AS464" s="123"/>
      <c r="AW464" s="135"/>
    </row>
    <row r="465" spans="1:49" x14ac:dyDescent="0.3">
      <c r="C465" s="42"/>
      <c r="D465" s="42"/>
      <c r="E465" s="42"/>
      <c r="T465" s="282">
        <f t="shared" si="57"/>
        <v>72</v>
      </c>
      <c r="V465" s="45" t="str">
        <f t="shared" si="58"/>
        <v xml:space="preserve">   Style A 12 Ft Long Anchor Base Top Tenon Aluminum</v>
      </c>
      <c r="Y465" s="159">
        <f t="shared" ref="Y465:Y483" si="59">F113</f>
        <v>0</v>
      </c>
      <c r="Z465" s="1"/>
      <c r="AA465" s="159"/>
      <c r="AB465" s="159"/>
      <c r="AC465" s="238">
        <v>9.34</v>
      </c>
      <c r="AD465" s="238"/>
      <c r="AE465" s="3">
        <f t="shared" ref="AE465:AE472" si="60">ROUND((Y465*(AC465+AD465)),0)</f>
        <v>0</v>
      </c>
      <c r="AF465" s="3"/>
      <c r="AG465" s="175">
        <f t="shared" ref="AG465:AG483" si="61">ROUND((AE465/AE$692)*100,1)</f>
        <v>0</v>
      </c>
      <c r="AH465" s="4"/>
      <c r="AI465" s="3">
        <f t="shared" ref="AI465:AI483" si="62">L113-AE465</f>
        <v>0</v>
      </c>
      <c r="AJ465" s="3"/>
      <c r="AK465" s="181" t="str">
        <f t="shared" ref="AK465:AK472" si="63">IF(AE465=0,"0.0 ",ROUND((AI465/AE465)*100,1))</f>
        <v xml:space="preserve">0.0 </v>
      </c>
      <c r="AL465" s="6"/>
      <c r="AM465" s="3"/>
      <c r="AN465" s="3"/>
      <c r="AO465" s="3">
        <f t="shared" ref="AO465:AO472" si="64">AM465+AE465</f>
        <v>0</v>
      </c>
      <c r="AP465" s="3"/>
      <c r="AQ465" s="181" t="str">
        <f t="shared" ref="AQ465:AQ472" si="65">IF(AO465=0,"0.0 ",ROUND((AI465/AO465)*100,1))</f>
        <v xml:space="preserve">0.0 </v>
      </c>
      <c r="AS465" s="123"/>
      <c r="AW465" s="135"/>
    </row>
    <row r="466" spans="1:49" x14ac:dyDescent="0.3">
      <c r="C466" s="42"/>
      <c r="D466" s="42"/>
      <c r="E466" s="42"/>
      <c r="T466" s="282">
        <f t="shared" si="57"/>
        <v>73</v>
      </c>
      <c r="V466" s="45" t="str">
        <f t="shared" si="58"/>
        <v xml:space="preserve">   Style A 15 Ft Long Direct Buried Top Tenon Aluminum</v>
      </c>
      <c r="Y466" s="159">
        <f t="shared" si="59"/>
        <v>0</v>
      </c>
      <c r="Z466" s="1"/>
      <c r="AA466" s="159"/>
      <c r="AB466" s="159"/>
      <c r="AC466" s="238">
        <v>8.69</v>
      </c>
      <c r="AD466" s="238"/>
      <c r="AE466" s="3">
        <f t="shared" si="60"/>
        <v>0</v>
      </c>
      <c r="AF466" s="3"/>
      <c r="AG466" s="175">
        <f t="shared" si="61"/>
        <v>0</v>
      </c>
      <c r="AH466" s="4"/>
      <c r="AI466" s="3">
        <f t="shared" si="62"/>
        <v>0</v>
      </c>
      <c r="AJ466" s="3"/>
      <c r="AK466" s="181" t="str">
        <f t="shared" si="63"/>
        <v xml:space="preserve">0.0 </v>
      </c>
      <c r="AL466" s="6"/>
      <c r="AM466" s="3"/>
      <c r="AN466" s="3"/>
      <c r="AO466" s="3">
        <f t="shared" si="64"/>
        <v>0</v>
      </c>
      <c r="AP466" s="3"/>
      <c r="AQ466" s="181" t="str">
        <f t="shared" si="65"/>
        <v xml:space="preserve">0.0 </v>
      </c>
      <c r="AS466" s="123"/>
      <c r="AW466" s="135"/>
    </row>
    <row r="467" spans="1:49" x14ac:dyDescent="0.3">
      <c r="C467" s="42"/>
      <c r="D467" s="42"/>
      <c r="E467" s="42"/>
      <c r="T467" s="282">
        <f t="shared" si="57"/>
        <v>74</v>
      </c>
      <c r="V467" s="45" t="str">
        <f t="shared" si="58"/>
        <v xml:space="preserve">   Style A 15 Ft Long Anchor Base Top Tenon Aluminum</v>
      </c>
      <c r="Y467" s="159">
        <f t="shared" si="59"/>
        <v>0</v>
      </c>
      <c r="Z467" s="1"/>
      <c r="AA467" s="159"/>
      <c r="AB467" s="159"/>
      <c r="AC467" s="238">
        <v>10.83</v>
      </c>
      <c r="AD467" s="238"/>
      <c r="AE467" s="3">
        <f t="shared" si="60"/>
        <v>0</v>
      </c>
      <c r="AF467" s="1"/>
      <c r="AG467" s="175">
        <f t="shared" si="61"/>
        <v>0</v>
      </c>
      <c r="AH467" s="4"/>
      <c r="AI467" s="3">
        <f t="shared" si="62"/>
        <v>0</v>
      </c>
      <c r="AJ467" s="3"/>
      <c r="AK467" s="181" t="str">
        <f t="shared" si="63"/>
        <v xml:space="preserve">0.0 </v>
      </c>
      <c r="AL467" s="6"/>
      <c r="AM467" s="3"/>
      <c r="AN467" s="3"/>
      <c r="AO467" s="3">
        <f t="shared" si="64"/>
        <v>0</v>
      </c>
      <c r="AP467" s="3"/>
      <c r="AQ467" s="181" t="str">
        <f t="shared" si="65"/>
        <v xml:space="preserve">0.0 </v>
      </c>
      <c r="AS467" s="123"/>
      <c r="AW467" s="135"/>
    </row>
    <row r="468" spans="1:49" x14ac:dyDescent="0.3">
      <c r="C468" s="42"/>
      <c r="D468" s="42"/>
      <c r="E468" s="42"/>
      <c r="T468" s="282">
        <f t="shared" si="57"/>
        <v>75</v>
      </c>
      <c r="V468" s="45" t="str">
        <f t="shared" si="58"/>
        <v xml:space="preserve">   Style A 18 Ft Long Direct Buried Top Tenon Aluminum</v>
      </c>
      <c r="Y468" s="159">
        <f t="shared" si="59"/>
        <v>0</v>
      </c>
      <c r="Z468" s="1"/>
      <c r="AA468" s="159"/>
      <c r="AB468" s="159"/>
      <c r="AC468" s="238">
        <v>8.9</v>
      </c>
      <c r="AD468" s="238"/>
      <c r="AE468" s="3">
        <f t="shared" si="60"/>
        <v>0</v>
      </c>
      <c r="AF468" s="1"/>
      <c r="AG468" s="175">
        <f t="shared" si="61"/>
        <v>0</v>
      </c>
      <c r="AH468" s="4"/>
      <c r="AI468" s="3">
        <f t="shared" si="62"/>
        <v>0</v>
      </c>
      <c r="AJ468" s="3"/>
      <c r="AK468" s="181" t="str">
        <f t="shared" si="63"/>
        <v xml:space="preserve">0.0 </v>
      </c>
      <c r="AL468" s="6"/>
      <c r="AM468" s="3"/>
      <c r="AN468" s="3"/>
      <c r="AO468" s="3">
        <f t="shared" si="64"/>
        <v>0</v>
      </c>
      <c r="AP468" s="3"/>
      <c r="AQ468" s="181" t="str">
        <f t="shared" si="65"/>
        <v xml:space="preserve">0.0 </v>
      </c>
      <c r="AS468" s="123"/>
      <c r="AW468" s="135"/>
    </row>
    <row r="469" spans="1:49" x14ac:dyDescent="0.3">
      <c r="C469" s="42"/>
      <c r="D469" s="42"/>
      <c r="E469" s="42"/>
      <c r="T469" s="282">
        <f t="shared" si="57"/>
        <v>76</v>
      </c>
      <c r="V469" s="45" t="str">
        <f t="shared" si="58"/>
        <v xml:space="preserve">   Style A 17 Ft Long Anchor Base Top Tenon Aluminum</v>
      </c>
      <c r="Y469" s="159">
        <f t="shared" si="59"/>
        <v>0</v>
      </c>
      <c r="Z469" s="1"/>
      <c r="AA469" s="159"/>
      <c r="AB469" s="159"/>
      <c r="AC469" s="238">
        <v>11.55</v>
      </c>
      <c r="AD469" s="238"/>
      <c r="AE469" s="3">
        <f t="shared" si="60"/>
        <v>0</v>
      </c>
      <c r="AF469" s="1"/>
      <c r="AG469" s="175">
        <f t="shared" si="61"/>
        <v>0</v>
      </c>
      <c r="AH469" s="4"/>
      <c r="AI469" s="3">
        <f t="shared" si="62"/>
        <v>0</v>
      </c>
      <c r="AJ469" s="3"/>
      <c r="AK469" s="181" t="str">
        <f t="shared" si="63"/>
        <v xml:space="preserve">0.0 </v>
      </c>
      <c r="AL469" s="6"/>
      <c r="AM469" s="3"/>
      <c r="AN469" s="3"/>
      <c r="AO469" s="3">
        <f t="shared" si="64"/>
        <v>0</v>
      </c>
      <c r="AP469" s="3"/>
      <c r="AQ469" s="181" t="str">
        <f t="shared" si="65"/>
        <v xml:space="preserve">0.0 </v>
      </c>
      <c r="AS469" s="123"/>
      <c r="AW469" s="135"/>
    </row>
    <row r="470" spans="1:49" x14ac:dyDescent="0.3">
      <c r="C470" s="42"/>
      <c r="D470" s="42"/>
      <c r="E470" s="42"/>
      <c r="T470" s="282">
        <f t="shared" si="57"/>
        <v>77</v>
      </c>
      <c r="V470" s="45" t="str">
        <f t="shared" si="58"/>
        <v xml:space="preserve">   Style A 25 Ft Long Direct Buried Top Tenon Aluminum</v>
      </c>
      <c r="Y470" s="159">
        <f t="shared" si="59"/>
        <v>0</v>
      </c>
      <c r="Z470" s="1"/>
      <c r="AA470" s="159"/>
      <c r="AB470" s="159"/>
      <c r="AC470" s="238">
        <v>11.75</v>
      </c>
      <c r="AD470" s="238"/>
      <c r="AE470" s="3">
        <f t="shared" si="60"/>
        <v>0</v>
      </c>
      <c r="AF470" s="1"/>
      <c r="AG470" s="175">
        <f t="shared" si="61"/>
        <v>0</v>
      </c>
      <c r="AH470" s="4"/>
      <c r="AI470" s="3">
        <f t="shared" si="62"/>
        <v>0</v>
      </c>
      <c r="AJ470" s="3"/>
      <c r="AK470" s="181" t="str">
        <f t="shared" si="63"/>
        <v xml:space="preserve">0.0 </v>
      </c>
      <c r="AL470" s="6"/>
      <c r="AM470" s="3"/>
      <c r="AN470" s="3"/>
      <c r="AO470" s="3">
        <f t="shared" si="64"/>
        <v>0</v>
      </c>
      <c r="AP470" s="3"/>
      <c r="AQ470" s="181" t="str">
        <f t="shared" si="65"/>
        <v xml:space="preserve">0.0 </v>
      </c>
      <c r="AS470" s="123"/>
      <c r="AW470" s="135"/>
    </row>
    <row r="471" spans="1:49" x14ac:dyDescent="0.3">
      <c r="C471" s="42"/>
      <c r="D471" s="42"/>
      <c r="E471" s="42"/>
      <c r="T471" s="282">
        <f t="shared" si="57"/>
        <v>78</v>
      </c>
      <c r="V471" s="45" t="str">
        <f t="shared" si="58"/>
        <v xml:space="preserve">   Style A 22 Ft Long Anchor Base Top Tenon Aluminum</v>
      </c>
      <c r="Y471" s="159">
        <f t="shared" si="59"/>
        <v>0</v>
      </c>
      <c r="Z471" s="1"/>
      <c r="AA471" s="159"/>
      <c r="AB471" s="159"/>
      <c r="AC471" s="238">
        <v>14.57</v>
      </c>
      <c r="AD471" s="238"/>
      <c r="AE471" s="3">
        <f t="shared" si="60"/>
        <v>0</v>
      </c>
      <c r="AF471" s="1"/>
      <c r="AG471" s="175">
        <f t="shared" si="61"/>
        <v>0</v>
      </c>
      <c r="AH471" s="4"/>
      <c r="AI471" s="3">
        <f t="shared" si="62"/>
        <v>0</v>
      </c>
      <c r="AJ471" s="3"/>
      <c r="AK471" s="181" t="str">
        <f t="shared" si="63"/>
        <v xml:space="preserve">0.0 </v>
      </c>
      <c r="AL471" s="6"/>
      <c r="AM471" s="3"/>
      <c r="AN471" s="3"/>
      <c r="AO471" s="3">
        <f t="shared" si="64"/>
        <v>0</v>
      </c>
      <c r="AP471" s="3"/>
      <c r="AQ471" s="181" t="str">
        <f t="shared" si="65"/>
        <v xml:space="preserve">0.0 </v>
      </c>
      <c r="AS471" s="123"/>
      <c r="AW471" s="135"/>
    </row>
    <row r="472" spans="1:49" x14ac:dyDescent="0.3">
      <c r="C472" s="42"/>
      <c r="D472" s="42"/>
      <c r="E472" s="42"/>
      <c r="T472" s="282">
        <f t="shared" si="57"/>
        <v>79</v>
      </c>
      <c r="V472" s="45" t="str">
        <f t="shared" si="58"/>
        <v xml:space="preserve">   Style A 30 Ft Long Direct Buried Top Tenon Aluminum</v>
      </c>
      <c r="Y472" s="159">
        <f t="shared" si="59"/>
        <v>0</v>
      </c>
      <c r="Z472" s="1"/>
      <c r="AA472" s="159"/>
      <c r="AB472" s="159"/>
      <c r="AC472" s="238">
        <v>13.35</v>
      </c>
      <c r="AD472" s="238"/>
      <c r="AE472" s="3">
        <f t="shared" si="60"/>
        <v>0</v>
      </c>
      <c r="AF472" s="1"/>
      <c r="AG472" s="175">
        <f t="shared" si="61"/>
        <v>0</v>
      </c>
      <c r="AH472" s="4"/>
      <c r="AI472" s="3">
        <f t="shared" si="62"/>
        <v>0</v>
      </c>
      <c r="AJ472" s="3"/>
      <c r="AK472" s="181" t="str">
        <f t="shared" si="63"/>
        <v xml:space="preserve">0.0 </v>
      </c>
      <c r="AL472" s="6"/>
      <c r="AM472" s="3"/>
      <c r="AN472" s="3"/>
      <c r="AO472" s="3">
        <f t="shared" si="64"/>
        <v>0</v>
      </c>
      <c r="AP472" s="3"/>
      <c r="AQ472" s="181" t="str">
        <f t="shared" si="65"/>
        <v xml:space="preserve">0.0 </v>
      </c>
      <c r="AS472" s="123"/>
      <c r="AW472" s="135"/>
    </row>
    <row r="473" spans="1:49" x14ac:dyDescent="0.3">
      <c r="A473" s="135"/>
      <c r="B473" s="135"/>
      <c r="C473" s="135"/>
      <c r="D473" s="135"/>
      <c r="E473" s="135"/>
      <c r="F473" s="135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T473" s="282">
        <f t="shared" si="57"/>
        <v>80</v>
      </c>
      <c r="U473" s="191"/>
      <c r="V473" s="45" t="str">
        <f t="shared" si="58"/>
        <v xml:space="preserve">   Style A 27 Ft Long Anchor Base  Top Tenon Aluminum</v>
      </c>
      <c r="W473" s="45"/>
      <c r="X473" s="42"/>
      <c r="Y473" s="159">
        <f t="shared" si="59"/>
        <v>0</v>
      </c>
      <c r="Z473" s="1"/>
      <c r="AA473" s="1"/>
      <c r="AB473" s="1"/>
      <c r="AC473" s="238">
        <v>19.48</v>
      </c>
      <c r="AD473" s="1"/>
      <c r="AE473" s="3">
        <f t="shared" ref="AE473:AE579" si="66">ROUND((Y473*(AC473+AD473)),0)</f>
        <v>0</v>
      </c>
      <c r="AF473" s="1"/>
      <c r="AG473" s="175">
        <f t="shared" si="61"/>
        <v>0</v>
      </c>
      <c r="AH473" s="4"/>
      <c r="AI473" s="3">
        <f t="shared" si="62"/>
        <v>0</v>
      </c>
      <c r="AJ473" s="3"/>
      <c r="AK473" s="181" t="str">
        <f t="shared" ref="AK473:AK579" si="67">IF(AE473=0,"0.0 ",ROUND((AI473/AE473)*100,1))</f>
        <v xml:space="preserve">0.0 </v>
      </c>
      <c r="AL473" s="6"/>
      <c r="AM473" s="3"/>
      <c r="AN473" s="3"/>
      <c r="AO473" s="3">
        <f t="shared" ref="AO473:AO579" si="68">AM473+AE473</f>
        <v>0</v>
      </c>
      <c r="AP473" s="3"/>
      <c r="AQ473" s="181" t="str">
        <f t="shared" ref="AQ473:AQ521" si="69">IF(AO473=0,"0.0 ",ROUND((AI473/AO473)*100,1))</f>
        <v xml:space="preserve">0.0 </v>
      </c>
      <c r="AS473" s="123"/>
      <c r="AW473" s="135"/>
    </row>
    <row r="474" spans="1:49" x14ac:dyDescent="0.3">
      <c r="A474" s="135"/>
      <c r="B474" s="135"/>
      <c r="C474" s="135"/>
      <c r="D474" s="135"/>
      <c r="E474" s="135"/>
      <c r="F474" s="135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T474" s="282">
        <f t="shared" si="57"/>
        <v>81</v>
      </c>
      <c r="V474" s="45" t="str">
        <f t="shared" si="58"/>
        <v xml:space="preserve">   Style A 35 Ft Long Direct Buried Top Tenon Aluminum</v>
      </c>
      <c r="Y474" s="159">
        <f t="shared" si="59"/>
        <v>0</v>
      </c>
      <c r="Z474" s="1"/>
      <c r="AA474" s="159"/>
      <c r="AB474" s="159"/>
      <c r="AC474" s="238">
        <v>15.49</v>
      </c>
      <c r="AD474" s="5"/>
      <c r="AE474" s="3">
        <f t="shared" si="66"/>
        <v>0</v>
      </c>
      <c r="AF474" s="1"/>
      <c r="AG474" s="175">
        <f t="shared" si="61"/>
        <v>0</v>
      </c>
      <c r="AH474" s="4"/>
      <c r="AI474" s="3">
        <f t="shared" si="62"/>
        <v>0</v>
      </c>
      <c r="AJ474" s="3"/>
      <c r="AK474" s="181" t="str">
        <f t="shared" si="67"/>
        <v xml:space="preserve">0.0 </v>
      </c>
      <c r="AL474" s="6"/>
      <c r="AM474" s="3"/>
      <c r="AN474" s="3"/>
      <c r="AO474" s="3">
        <f t="shared" si="68"/>
        <v>0</v>
      </c>
      <c r="AP474" s="3"/>
      <c r="AQ474" s="181" t="str">
        <f t="shared" si="69"/>
        <v xml:space="preserve">0.0 </v>
      </c>
      <c r="AS474" s="123"/>
      <c r="AW474" s="135"/>
    </row>
    <row r="475" spans="1:49" x14ac:dyDescent="0.3">
      <c r="A475" s="135"/>
      <c r="B475" s="135"/>
      <c r="C475" s="135"/>
      <c r="D475" s="135"/>
      <c r="E475" s="135"/>
      <c r="F475" s="135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T475" s="282">
        <f t="shared" si="57"/>
        <v>82</v>
      </c>
      <c r="V475" s="45" t="str">
        <f t="shared" si="58"/>
        <v xml:space="preserve">   Style A 32 Ft Long Anchor Base  Top Tenon Aluminum</v>
      </c>
      <c r="Y475" s="159">
        <f t="shared" si="59"/>
        <v>0</v>
      </c>
      <c r="Z475" s="1"/>
      <c r="AA475" s="159"/>
      <c r="AB475" s="159"/>
      <c r="AC475" s="238">
        <v>19.989999999999998</v>
      </c>
      <c r="AD475" s="5"/>
      <c r="AE475" s="3">
        <f t="shared" si="66"/>
        <v>0</v>
      </c>
      <c r="AF475" s="1"/>
      <c r="AG475" s="175">
        <f t="shared" si="61"/>
        <v>0</v>
      </c>
      <c r="AH475" s="4"/>
      <c r="AI475" s="3">
        <f t="shared" si="62"/>
        <v>0</v>
      </c>
      <c r="AJ475" s="3"/>
      <c r="AK475" s="181" t="str">
        <f t="shared" si="67"/>
        <v xml:space="preserve">0.0 </v>
      </c>
      <c r="AL475" s="6"/>
      <c r="AM475" s="3"/>
      <c r="AN475" s="3"/>
      <c r="AO475" s="3">
        <f t="shared" si="68"/>
        <v>0</v>
      </c>
      <c r="AP475" s="3"/>
      <c r="AQ475" s="181" t="str">
        <f t="shared" si="69"/>
        <v xml:space="preserve">0.0 </v>
      </c>
      <c r="AS475" s="123"/>
      <c r="AW475" s="135"/>
    </row>
    <row r="476" spans="1:49" x14ac:dyDescent="0.3"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T476" s="282">
        <f t="shared" si="57"/>
        <v>83</v>
      </c>
      <c r="V476" s="45" t="str">
        <f t="shared" si="58"/>
        <v xml:space="preserve">   Style A 41 Ft Long Direct Buried Top Tenon Aluminum</v>
      </c>
      <c r="Y476" s="159">
        <f t="shared" si="59"/>
        <v>0</v>
      </c>
      <c r="Z476" s="1"/>
      <c r="AA476" s="159"/>
      <c r="AB476" s="159"/>
      <c r="AC476" s="238">
        <v>18.98</v>
      </c>
      <c r="AD476" s="258"/>
      <c r="AE476" s="3">
        <f t="shared" si="66"/>
        <v>0</v>
      </c>
      <c r="AF476" s="1"/>
      <c r="AG476" s="175">
        <f t="shared" si="61"/>
        <v>0</v>
      </c>
      <c r="AH476" s="4"/>
      <c r="AI476" s="3">
        <f t="shared" si="62"/>
        <v>0</v>
      </c>
      <c r="AJ476" s="3"/>
      <c r="AK476" s="181" t="str">
        <f t="shared" si="67"/>
        <v xml:space="preserve">0.0 </v>
      </c>
      <c r="AL476" s="6"/>
      <c r="AM476" s="3"/>
      <c r="AN476" s="3"/>
      <c r="AO476" s="3">
        <f t="shared" si="68"/>
        <v>0</v>
      </c>
      <c r="AP476" s="3"/>
      <c r="AQ476" s="181" t="str">
        <f t="shared" si="69"/>
        <v xml:space="preserve">0.0 </v>
      </c>
      <c r="AS476" s="123"/>
      <c r="AW476" s="135"/>
    </row>
    <row r="477" spans="1:49" x14ac:dyDescent="0.3"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T477" s="282">
        <f t="shared" si="57"/>
        <v>84</v>
      </c>
      <c r="V477" s="45" t="str">
        <f t="shared" si="58"/>
        <v xml:space="preserve">   Style B 12 Ft Long Anchor Base Post Top Aluminum</v>
      </c>
      <c r="Y477" s="159">
        <f t="shared" si="59"/>
        <v>0</v>
      </c>
      <c r="Z477" s="1"/>
      <c r="AA477" s="159"/>
      <c r="AB477" s="159"/>
      <c r="AC477" s="238">
        <v>10.61</v>
      </c>
      <c r="AD477" s="258"/>
      <c r="AE477" s="3">
        <f t="shared" si="66"/>
        <v>0</v>
      </c>
      <c r="AF477" s="1"/>
      <c r="AG477" s="175">
        <f t="shared" si="61"/>
        <v>0</v>
      </c>
      <c r="AH477" s="4"/>
      <c r="AI477" s="3">
        <f t="shared" si="62"/>
        <v>0</v>
      </c>
      <c r="AJ477" s="3"/>
      <c r="AK477" s="181" t="str">
        <f t="shared" si="67"/>
        <v xml:space="preserve">0.0 </v>
      </c>
      <c r="AL477" s="6"/>
      <c r="AM477" s="3"/>
      <c r="AN477" s="3"/>
      <c r="AO477" s="3">
        <f t="shared" si="68"/>
        <v>0</v>
      </c>
      <c r="AP477" s="3"/>
      <c r="AQ477" s="181" t="str">
        <f t="shared" si="69"/>
        <v xml:space="preserve">0.0 </v>
      </c>
      <c r="AS477" s="123"/>
      <c r="AW477" s="135"/>
    </row>
    <row r="478" spans="1:49" x14ac:dyDescent="0.3"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T478" s="282">
        <f t="shared" si="57"/>
        <v>85</v>
      </c>
      <c r="V478" s="45" t="str">
        <f t="shared" si="58"/>
        <v xml:space="preserve">   Style C 12 Ft Long Anchor Base Post Top Aluminum</v>
      </c>
      <c r="Y478" s="159">
        <f t="shared" si="59"/>
        <v>0</v>
      </c>
      <c r="Z478" s="1"/>
      <c r="AA478" s="159"/>
      <c r="AB478" s="159"/>
      <c r="AC478" s="238">
        <v>12.91</v>
      </c>
      <c r="AD478" s="258"/>
      <c r="AE478" s="3">
        <f t="shared" si="66"/>
        <v>0</v>
      </c>
      <c r="AF478" s="1"/>
      <c r="AG478" s="175">
        <f t="shared" si="61"/>
        <v>0</v>
      </c>
      <c r="AH478" s="4"/>
      <c r="AI478" s="3">
        <f t="shared" si="62"/>
        <v>0</v>
      </c>
      <c r="AJ478" s="3"/>
      <c r="AK478" s="181" t="str">
        <f t="shared" si="67"/>
        <v xml:space="preserve">0.0 </v>
      </c>
      <c r="AL478" s="6"/>
      <c r="AM478" s="3"/>
      <c r="AN478" s="3"/>
      <c r="AO478" s="3">
        <f t="shared" si="68"/>
        <v>0</v>
      </c>
      <c r="AP478" s="3"/>
      <c r="AQ478" s="181" t="str">
        <f t="shared" si="69"/>
        <v xml:space="preserve">0.0 </v>
      </c>
      <c r="AS478" s="123"/>
      <c r="AW478" s="135"/>
    </row>
    <row r="479" spans="1:49" x14ac:dyDescent="0.3">
      <c r="C479" s="42"/>
      <c r="D479" s="42"/>
      <c r="E479" s="42"/>
      <c r="T479" s="282">
        <f t="shared" si="57"/>
        <v>86</v>
      </c>
      <c r="V479" s="45" t="str">
        <f t="shared" si="58"/>
        <v xml:space="preserve">   Style C 12 Ft Long Anchor Base Davit Steel</v>
      </c>
      <c r="Y479" s="159">
        <f t="shared" si="59"/>
        <v>0</v>
      </c>
      <c r="Z479" s="1"/>
      <c r="AA479" s="159"/>
      <c r="AB479" s="159"/>
      <c r="AC479" s="238">
        <v>15.64</v>
      </c>
      <c r="AD479" s="258"/>
      <c r="AE479" s="3">
        <f t="shared" si="66"/>
        <v>0</v>
      </c>
      <c r="AF479" s="1"/>
      <c r="AG479" s="175">
        <f t="shared" si="61"/>
        <v>0</v>
      </c>
      <c r="AH479" s="4"/>
      <c r="AI479" s="3">
        <f t="shared" si="62"/>
        <v>0</v>
      </c>
      <c r="AJ479" s="3"/>
      <c r="AK479" s="181" t="str">
        <f t="shared" si="67"/>
        <v xml:space="preserve">0.0 </v>
      </c>
      <c r="AL479" s="6"/>
      <c r="AM479" s="3"/>
      <c r="AN479" s="3"/>
      <c r="AO479" s="3">
        <f t="shared" si="68"/>
        <v>0</v>
      </c>
      <c r="AP479" s="3"/>
      <c r="AQ479" s="181" t="str">
        <f t="shared" si="69"/>
        <v xml:space="preserve">0.0 </v>
      </c>
      <c r="AS479" s="123"/>
      <c r="AW479" s="135"/>
    </row>
    <row r="480" spans="1:49" x14ac:dyDescent="0.3">
      <c r="C480" s="42"/>
      <c r="D480" s="42"/>
      <c r="E480" s="42"/>
      <c r="T480" s="282">
        <f t="shared" si="57"/>
        <v>87</v>
      </c>
      <c r="V480" s="45" t="str">
        <f t="shared" si="58"/>
        <v xml:space="preserve">   Style C 14 Ft Long Anchor Base Top Tenon Steel</v>
      </c>
      <c r="Y480" s="159">
        <f t="shared" si="59"/>
        <v>0</v>
      </c>
      <c r="Z480" s="1"/>
      <c r="AA480" s="159"/>
      <c r="AB480" s="159"/>
      <c r="AC480" s="238">
        <v>14.75</v>
      </c>
      <c r="AD480" s="258"/>
      <c r="AE480" s="3">
        <f t="shared" si="66"/>
        <v>0</v>
      </c>
      <c r="AF480" s="1"/>
      <c r="AG480" s="175">
        <f t="shared" si="61"/>
        <v>0</v>
      </c>
      <c r="AH480" s="4"/>
      <c r="AI480" s="3">
        <f t="shared" si="62"/>
        <v>0</v>
      </c>
      <c r="AJ480" s="3"/>
      <c r="AK480" s="181" t="str">
        <f t="shared" si="67"/>
        <v xml:space="preserve">0.0 </v>
      </c>
      <c r="AL480" s="6"/>
      <c r="AM480" s="3"/>
      <c r="AN480" s="3"/>
      <c r="AO480" s="3">
        <f t="shared" si="68"/>
        <v>0</v>
      </c>
      <c r="AP480" s="3"/>
      <c r="AQ480" s="181" t="str">
        <f t="shared" si="69"/>
        <v xml:space="preserve">0.0 </v>
      </c>
      <c r="AS480" s="123"/>
      <c r="AW480" s="135"/>
    </row>
    <row r="481" spans="3:49" ht="20.100000000000001" customHeight="1" x14ac:dyDescent="0.3">
      <c r="C481" s="42"/>
      <c r="D481" s="42"/>
      <c r="E481" s="42"/>
      <c r="T481" s="282">
        <f t="shared" si="57"/>
        <v>88</v>
      </c>
      <c r="V481" s="45" t="str">
        <f t="shared" si="58"/>
        <v xml:space="preserve">   Style C 21 Ft Long Anchor Base Davit Steel</v>
      </c>
      <c r="Y481" s="159">
        <f t="shared" si="59"/>
        <v>0</v>
      </c>
      <c r="Z481" s="1"/>
      <c r="AA481" s="159"/>
      <c r="AB481" s="159"/>
      <c r="AC481" s="238">
        <v>32.96</v>
      </c>
      <c r="AD481" s="258"/>
      <c r="AE481" s="3">
        <f t="shared" si="66"/>
        <v>0</v>
      </c>
      <c r="AF481" s="1"/>
      <c r="AG481" s="175">
        <f t="shared" si="61"/>
        <v>0</v>
      </c>
      <c r="AH481" s="4"/>
      <c r="AI481" s="3">
        <f t="shared" si="62"/>
        <v>0</v>
      </c>
      <c r="AJ481" s="3"/>
      <c r="AK481" s="181" t="str">
        <f t="shared" si="67"/>
        <v xml:space="preserve">0.0 </v>
      </c>
      <c r="AL481" s="6"/>
      <c r="AM481" s="3"/>
      <c r="AN481" s="3"/>
      <c r="AO481" s="3">
        <f t="shared" si="68"/>
        <v>0</v>
      </c>
      <c r="AP481" s="3"/>
      <c r="AQ481" s="181" t="str">
        <f t="shared" si="69"/>
        <v xml:space="preserve">0.0 </v>
      </c>
      <c r="AS481" s="123"/>
      <c r="AW481" s="135"/>
    </row>
    <row r="482" spans="3:49" x14ac:dyDescent="0.3">
      <c r="C482" s="42"/>
      <c r="D482" s="42"/>
      <c r="E482" s="42"/>
      <c r="T482" s="282">
        <f t="shared" si="57"/>
        <v>89</v>
      </c>
      <c r="V482" s="45" t="str">
        <f t="shared" si="58"/>
        <v xml:space="preserve">   Style C 23 Ft Long Anchor Base Boston Harbor Steel</v>
      </c>
      <c r="Y482" s="159">
        <f t="shared" si="59"/>
        <v>0</v>
      </c>
      <c r="Z482" s="1"/>
      <c r="AA482" s="159"/>
      <c r="AB482" s="3"/>
      <c r="AC482" s="238">
        <v>38.270000000000003</v>
      </c>
      <c r="AD482" s="258"/>
      <c r="AE482" s="3">
        <f t="shared" si="66"/>
        <v>0</v>
      </c>
      <c r="AF482" s="1"/>
      <c r="AG482" s="175">
        <f t="shared" si="61"/>
        <v>0</v>
      </c>
      <c r="AH482" s="4"/>
      <c r="AI482" s="3">
        <f t="shared" si="62"/>
        <v>0</v>
      </c>
      <c r="AJ482" s="3"/>
      <c r="AK482" s="181" t="str">
        <f t="shared" si="67"/>
        <v xml:space="preserve">0.0 </v>
      </c>
      <c r="AL482" s="6"/>
      <c r="AM482" s="3"/>
      <c r="AN482" s="3"/>
      <c r="AO482" s="3">
        <f t="shared" si="68"/>
        <v>0</v>
      </c>
      <c r="AP482" s="3"/>
      <c r="AQ482" s="181" t="str">
        <f t="shared" si="69"/>
        <v xml:space="preserve">0.0 </v>
      </c>
      <c r="AS482" s="123"/>
      <c r="AW482" s="135"/>
    </row>
    <row r="483" spans="3:49" x14ac:dyDescent="0.3">
      <c r="D483" s="42"/>
      <c r="E483" s="42"/>
      <c r="T483" s="282">
        <f t="shared" si="57"/>
        <v>90</v>
      </c>
      <c r="V483" s="45" t="str">
        <f t="shared" si="58"/>
        <v xml:space="preserve">   Style D 12 Ft Long Anchor Base Breakaway Aluminum</v>
      </c>
      <c r="W483" s="178"/>
      <c r="X483" s="42"/>
      <c r="Y483" s="159">
        <f t="shared" si="59"/>
        <v>0</v>
      </c>
      <c r="Z483" s="1"/>
      <c r="AA483" s="159"/>
      <c r="AB483" s="1"/>
      <c r="AC483" s="238">
        <v>12.32</v>
      </c>
      <c r="AD483" s="1"/>
      <c r="AE483" s="3">
        <f t="shared" si="66"/>
        <v>0</v>
      </c>
      <c r="AF483" s="1"/>
      <c r="AG483" s="175">
        <f t="shared" si="61"/>
        <v>0</v>
      </c>
      <c r="AH483" s="4"/>
      <c r="AI483" s="3">
        <f t="shared" si="62"/>
        <v>0</v>
      </c>
      <c r="AJ483" s="3"/>
      <c r="AK483" s="181" t="str">
        <f t="shared" si="67"/>
        <v xml:space="preserve">0.0 </v>
      </c>
      <c r="AL483" s="6"/>
      <c r="AM483" s="3"/>
      <c r="AN483" s="3"/>
      <c r="AO483" s="3">
        <f t="shared" si="68"/>
        <v>0</v>
      </c>
      <c r="AP483" s="3"/>
      <c r="AQ483" s="181" t="str">
        <f t="shared" si="69"/>
        <v xml:space="preserve">0.0 </v>
      </c>
      <c r="AS483" s="123"/>
      <c r="AW483" s="135"/>
    </row>
    <row r="484" spans="3:49" x14ac:dyDescent="0.3">
      <c r="D484" s="42"/>
      <c r="E484" s="42"/>
      <c r="T484" s="282"/>
      <c r="V484" s="45"/>
      <c r="W484" s="178"/>
      <c r="X484" s="42"/>
      <c r="Y484" s="159"/>
      <c r="Z484" s="1"/>
      <c r="AA484" s="159"/>
      <c r="AB484" s="1"/>
      <c r="AC484" s="238"/>
      <c r="AD484" s="1"/>
      <c r="AE484" s="3"/>
      <c r="AF484" s="1"/>
      <c r="AG484" s="175"/>
      <c r="AH484" s="4"/>
      <c r="AI484" s="3"/>
      <c r="AJ484" s="3"/>
      <c r="AK484" s="181"/>
      <c r="AL484" s="6"/>
      <c r="AM484" s="3"/>
      <c r="AN484" s="3"/>
      <c r="AO484" s="3"/>
      <c r="AP484" s="3"/>
      <c r="AQ484" s="181"/>
      <c r="AS484" s="123"/>
      <c r="AW484" s="135"/>
    </row>
    <row r="485" spans="3:49" x14ac:dyDescent="0.3">
      <c r="D485" s="42"/>
      <c r="E485" s="42"/>
      <c r="T485" s="202" t="s">
        <v>76</v>
      </c>
      <c r="V485" s="45"/>
      <c r="Y485" s="159"/>
      <c r="Z485" s="1"/>
      <c r="AA485" s="159"/>
      <c r="AB485" s="159"/>
      <c r="AC485" s="238"/>
      <c r="AD485" s="238"/>
      <c r="AE485" s="3"/>
      <c r="AF485" s="3"/>
      <c r="AG485" s="175"/>
      <c r="AH485" s="4"/>
      <c r="AI485" s="3"/>
      <c r="AJ485" s="3"/>
      <c r="AK485" s="181"/>
      <c r="AL485" s="6"/>
      <c r="AM485" s="3"/>
      <c r="AN485" s="3"/>
      <c r="AO485" s="3"/>
      <c r="AP485" s="3"/>
      <c r="AQ485" s="181"/>
      <c r="AS485" s="123"/>
      <c r="AW485" s="135"/>
    </row>
    <row r="486" spans="3:49" x14ac:dyDescent="0.3">
      <c r="D486" s="42"/>
      <c r="E486" s="42"/>
      <c r="T486" s="202" t="str">
        <f>"(1A) REFLECTS FUEL COST RECOVERY INCLUDED IN BASE RATES OF "&amp;TEXT(CUR_BASE_FUEL,"$0.000000;($0.000000)")&amp;"  PER KWH."</f>
        <v>(1A) REFLECTS FUEL COST RECOVERY INCLUDED IN BASE RATES OF $0.033780  PER KWH.</v>
      </c>
      <c r="V486" s="45"/>
      <c r="Y486" s="159"/>
      <c r="Z486" s="1"/>
      <c r="AA486" s="159"/>
      <c r="AB486" s="159"/>
      <c r="AC486" s="238"/>
      <c r="AD486" s="238"/>
      <c r="AE486" s="3"/>
      <c r="AF486" s="3"/>
      <c r="AG486" s="175"/>
      <c r="AH486" s="4"/>
      <c r="AI486" s="3"/>
      <c r="AJ486" s="3"/>
      <c r="AK486" s="181"/>
      <c r="AL486" s="6"/>
      <c r="AM486" s="3"/>
      <c r="AN486" s="3"/>
      <c r="AO486" s="3"/>
      <c r="AP486" s="3"/>
      <c r="AQ486" s="181"/>
      <c r="AS486" s="123"/>
      <c r="AW486" s="135"/>
    </row>
    <row r="487" spans="3:49" x14ac:dyDescent="0.3">
      <c r="D487" s="42"/>
      <c r="E487" s="42"/>
      <c r="T487" s="202" t="str">
        <f>"(2) REFLECTS FUEL COMPONENT OF "&amp;TEXT(CUR_FAC,"$0.000000;($0.000000)")&amp;"  PER KWH."</f>
        <v>(2) REFLECTS FUEL COMPONENT OF $0.003487  PER KWH.</v>
      </c>
      <c r="V487" s="45"/>
      <c r="Y487" s="159"/>
      <c r="Z487" s="1"/>
      <c r="AA487" s="159"/>
      <c r="AB487" s="159"/>
      <c r="AC487" s="238"/>
      <c r="AD487" s="238"/>
      <c r="AE487" s="3"/>
      <c r="AF487" s="3"/>
      <c r="AG487" s="175"/>
      <c r="AH487" s="4"/>
      <c r="AI487" s="3"/>
      <c r="AJ487" s="3"/>
      <c r="AK487" s="181"/>
      <c r="AL487" s="6"/>
      <c r="AM487" s="3"/>
      <c r="AN487" s="3"/>
      <c r="AO487" s="3"/>
      <c r="AP487" s="3"/>
      <c r="AQ487" s="181"/>
      <c r="AS487" s="123"/>
      <c r="AW487" s="135"/>
    </row>
    <row r="488" spans="3:49" x14ac:dyDescent="0.3">
      <c r="D488" s="42"/>
      <c r="E488" s="42"/>
      <c r="T488" s="282"/>
      <c r="V488" s="45"/>
      <c r="Y488" s="159"/>
      <c r="Z488" s="1"/>
      <c r="AA488" s="159"/>
      <c r="AB488" s="159"/>
      <c r="AC488" s="238"/>
      <c r="AD488" s="238"/>
      <c r="AE488" s="3"/>
      <c r="AF488" s="3"/>
      <c r="AG488" s="175"/>
      <c r="AH488" s="4"/>
      <c r="AI488" s="3"/>
      <c r="AJ488" s="3"/>
      <c r="AK488" s="181"/>
      <c r="AL488" s="6"/>
      <c r="AM488" s="3"/>
      <c r="AN488" s="3"/>
      <c r="AO488" s="3"/>
      <c r="AP488" s="3"/>
      <c r="AQ488" s="181"/>
      <c r="AS488" s="123"/>
      <c r="AW488" s="135"/>
    </row>
    <row r="489" spans="3:49" x14ac:dyDescent="0.3">
      <c r="D489" s="42"/>
      <c r="E489" s="42"/>
      <c r="T489" s="469" t="str">
        <f>NAME</f>
        <v>DUKE ENERGY KENTUCKY, INC.</v>
      </c>
      <c r="U489" s="469"/>
      <c r="V489" s="469"/>
      <c r="W489" s="469"/>
      <c r="X489" s="469"/>
      <c r="Y489" s="469"/>
      <c r="Z489" s="469"/>
      <c r="AA489" s="469"/>
      <c r="AB489" s="469"/>
      <c r="AC489" s="469"/>
      <c r="AD489" s="469"/>
      <c r="AE489" s="469"/>
      <c r="AF489" s="469"/>
      <c r="AG489" s="469"/>
      <c r="AH489" s="469"/>
      <c r="AI489" s="469"/>
      <c r="AJ489" s="469"/>
      <c r="AK489" s="469"/>
      <c r="AL489" s="469"/>
      <c r="AM489" s="469"/>
      <c r="AN489" s="469"/>
      <c r="AO489" s="469"/>
      <c r="AP489" s="469"/>
      <c r="AQ489" s="469"/>
      <c r="AS489" s="123"/>
      <c r="AW489" s="135"/>
    </row>
    <row r="490" spans="3:49" x14ac:dyDescent="0.3">
      <c r="D490" s="42"/>
      <c r="E490" s="42"/>
      <c r="T490" s="40" t="str">
        <f>CASE_NO</f>
        <v>CASE NO.   2024-00354</v>
      </c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S490" s="123"/>
      <c r="AW490" s="135"/>
    </row>
    <row r="491" spans="3:49" x14ac:dyDescent="0.3">
      <c r="D491" s="42"/>
      <c r="E491" s="42"/>
      <c r="T491" s="40" t="str">
        <f>TITLE</f>
        <v>ANNUALIZED TEST YEAR REVENUES AT REHEARING ORDER CALCULATED VS. MOST CURRENT RATES</v>
      </c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S491" s="123"/>
      <c r="AW491" s="135"/>
    </row>
    <row r="492" spans="3:49" x14ac:dyDescent="0.3">
      <c r="D492" s="42"/>
      <c r="E492" s="42"/>
      <c r="T492" s="40" t="str">
        <f>DATE</f>
        <v>FOR THE TWELVE MONTHS ENDED June 30, 2026</v>
      </c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S492" s="123"/>
      <c r="AW492" s="135"/>
    </row>
    <row r="493" spans="3:49" x14ac:dyDescent="0.3">
      <c r="D493" s="42"/>
      <c r="E493" s="42"/>
      <c r="T493" s="40" t="str">
        <f>SERVICE</f>
        <v>(ELECTRIC SERVICE)</v>
      </c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S493" s="123"/>
      <c r="AW493" s="135"/>
    </row>
    <row r="494" spans="3:49" x14ac:dyDescent="0.3">
      <c r="D494" s="42"/>
      <c r="E494" s="42"/>
      <c r="T494" s="41" t="str">
        <f>DATA_PERIOD</f>
        <v>DATA: ____ BASE PERIOD   __X__FORECASTED PERIOD</v>
      </c>
      <c r="AG494" s="41"/>
      <c r="AK494" s="41"/>
      <c r="AO494" s="42" t="s">
        <v>158</v>
      </c>
      <c r="AQ494" s="41"/>
      <c r="AS494" s="123"/>
      <c r="AW494" s="135"/>
    </row>
    <row r="495" spans="3:49" x14ac:dyDescent="0.3">
      <c r="D495" s="42"/>
      <c r="E495" s="42"/>
      <c r="T495" s="41" t="str">
        <f>TYPE</f>
        <v>TYPE OF FILING: _X_ ORIGINAL   ___UPDATED  ___ REVISED</v>
      </c>
      <c r="AG495" s="41"/>
      <c r="AK495" s="41"/>
      <c r="AO495" s="45" t="str">
        <f>"PAGE 22 OF "&amp;TEXT(Page_Num_2.2,"00")</f>
        <v>PAGE 22 OF 24</v>
      </c>
      <c r="AQ495" s="41"/>
      <c r="AS495" s="123"/>
      <c r="AW495" s="135"/>
    </row>
    <row r="496" spans="3:49" x14ac:dyDescent="0.3">
      <c r="D496" s="42"/>
      <c r="E496" s="42"/>
      <c r="T496" s="42" t="s">
        <v>171</v>
      </c>
      <c r="AO496" s="42" t="s">
        <v>4</v>
      </c>
      <c r="AP496" s="42"/>
      <c r="AS496" s="123"/>
      <c r="AW496" s="135"/>
    </row>
    <row r="497" spans="3:49" x14ac:dyDescent="0.3">
      <c r="D497" s="42"/>
      <c r="E497" s="42"/>
      <c r="T497" s="153" t="str">
        <f>TIME</f>
        <v>12 Months Projected with Riders</v>
      </c>
      <c r="AF497" s="42"/>
      <c r="AO497" s="123" t="str">
        <f>WIT</f>
        <v>B. L. Sailers</v>
      </c>
      <c r="AS497" s="123"/>
      <c r="AW497" s="135"/>
    </row>
    <row r="498" spans="3:49" x14ac:dyDescent="0.3">
      <c r="D498" s="42"/>
      <c r="E498" s="42"/>
      <c r="T498" s="40" t="s">
        <v>131</v>
      </c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166"/>
      <c r="AH498" s="40"/>
      <c r="AI498" s="40"/>
      <c r="AJ498" s="40"/>
      <c r="AK498" s="166"/>
      <c r="AL498" s="40"/>
      <c r="AM498" s="40"/>
      <c r="AN498" s="40"/>
      <c r="AO498" s="40"/>
      <c r="AP498" s="40"/>
      <c r="AS498" s="123"/>
      <c r="AW498" s="135"/>
    </row>
    <row r="499" spans="3:49" x14ac:dyDescent="0.3">
      <c r="D499" s="42"/>
      <c r="E499" s="42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43"/>
      <c r="AF499" s="43"/>
      <c r="AG499" s="167"/>
      <c r="AH499" s="43"/>
      <c r="AI499" s="43"/>
      <c r="AJ499" s="43"/>
      <c r="AK499" s="167"/>
      <c r="AL499" s="43"/>
      <c r="AM499" s="43"/>
      <c r="AN499" s="135"/>
      <c r="AO499" s="135"/>
      <c r="AP499" s="135"/>
      <c r="AS499" s="123"/>
      <c r="AW499" s="135"/>
    </row>
    <row r="500" spans="3:49" x14ac:dyDescent="0.3">
      <c r="D500" s="42"/>
      <c r="E500" s="42"/>
      <c r="T500" s="191"/>
      <c r="U500" s="191"/>
      <c r="V500" s="191"/>
      <c r="W500" s="191"/>
      <c r="X500" s="191"/>
      <c r="Y500" s="191"/>
      <c r="Z500" s="191"/>
      <c r="AA500" s="191"/>
      <c r="AB500" s="191"/>
      <c r="AC500" s="191"/>
      <c r="AD500" s="191"/>
      <c r="AE500" s="44" t="s">
        <v>8</v>
      </c>
      <c r="AF500" s="44"/>
      <c r="AG500" s="168" t="s">
        <v>7</v>
      </c>
      <c r="AH500" s="44"/>
      <c r="AI500" s="44" t="s">
        <v>9</v>
      </c>
      <c r="AJ500" s="44"/>
      <c r="AK500" s="168" t="s">
        <v>10</v>
      </c>
      <c r="AL500" s="44"/>
      <c r="AN500" s="191"/>
      <c r="AO500" s="272" t="s">
        <v>8</v>
      </c>
      <c r="AP500" s="272"/>
      <c r="AQ500" s="273" t="s">
        <v>11</v>
      </c>
      <c r="AS500" s="123"/>
      <c r="AW500" s="135"/>
    </row>
    <row r="501" spans="3:49" x14ac:dyDescent="0.3">
      <c r="D501" s="42"/>
      <c r="E501" s="42"/>
      <c r="AC501" s="346" t="s">
        <v>812</v>
      </c>
      <c r="AD501" s="40"/>
      <c r="AE501" s="44" t="s">
        <v>12</v>
      </c>
      <c r="AF501" s="44"/>
      <c r="AG501" s="168" t="s">
        <v>13</v>
      </c>
      <c r="AH501" s="44"/>
      <c r="AI501" s="44" t="s">
        <v>15</v>
      </c>
      <c r="AJ501" s="44"/>
      <c r="AK501" s="168" t="s">
        <v>16</v>
      </c>
      <c r="AL501" s="44"/>
      <c r="AO501" s="44" t="s">
        <v>11</v>
      </c>
      <c r="AP501" s="44"/>
      <c r="AQ501" s="168" t="s">
        <v>9</v>
      </c>
      <c r="AS501" s="123"/>
      <c r="AW501" s="135"/>
    </row>
    <row r="502" spans="3:49" x14ac:dyDescent="0.3">
      <c r="D502" s="42"/>
      <c r="E502" s="42"/>
      <c r="T502" s="44" t="s">
        <v>17</v>
      </c>
      <c r="V502" s="44" t="s">
        <v>18</v>
      </c>
      <c r="W502" s="44" t="s">
        <v>19</v>
      </c>
      <c r="X502" s="44"/>
      <c r="Y502" s="44" t="s">
        <v>20</v>
      </c>
      <c r="AC502" s="44" t="s">
        <v>808</v>
      </c>
      <c r="AD502" s="44" t="s">
        <v>809</v>
      </c>
      <c r="AE502" s="44" t="s">
        <v>842</v>
      </c>
      <c r="AF502" s="44"/>
      <c r="AG502" s="168" t="s">
        <v>842</v>
      </c>
      <c r="AH502" s="44"/>
      <c r="AI502" s="46" t="s">
        <v>965</v>
      </c>
      <c r="AJ502" s="44"/>
      <c r="AK502" s="169" t="s">
        <v>965</v>
      </c>
      <c r="AL502" s="44"/>
      <c r="AM502" s="44" t="s">
        <v>842</v>
      </c>
      <c r="AN502" s="44"/>
      <c r="AO502" s="44" t="s">
        <v>9</v>
      </c>
      <c r="AP502" s="44"/>
      <c r="AQ502" s="168" t="s">
        <v>21</v>
      </c>
      <c r="AS502" s="123"/>
      <c r="AW502" s="135"/>
    </row>
    <row r="503" spans="3:49" x14ac:dyDescent="0.3">
      <c r="D503" s="42"/>
      <c r="E503" s="42"/>
      <c r="T503" s="44" t="s">
        <v>22</v>
      </c>
      <c r="V503" s="44" t="s">
        <v>23</v>
      </c>
      <c r="W503" s="44" t="s">
        <v>24</v>
      </c>
      <c r="X503" s="44"/>
      <c r="Y503" s="44" t="s">
        <v>25</v>
      </c>
      <c r="AA503" s="44" t="s">
        <v>26</v>
      </c>
      <c r="AB503" s="44"/>
      <c r="AC503" s="46" t="s">
        <v>27</v>
      </c>
      <c r="AD503" s="46" t="s">
        <v>27</v>
      </c>
      <c r="AE503" s="44" t="s">
        <v>9</v>
      </c>
      <c r="AF503" s="44"/>
      <c r="AG503" s="168" t="s">
        <v>9</v>
      </c>
      <c r="AH503" s="44"/>
      <c r="AI503" s="141" t="s">
        <v>29</v>
      </c>
      <c r="AJ503" s="141"/>
      <c r="AK503" s="170" t="s">
        <v>30</v>
      </c>
      <c r="AL503" s="44"/>
      <c r="AM503" s="44" t="s">
        <v>324</v>
      </c>
      <c r="AN503" s="44"/>
      <c r="AO503" s="141" t="s">
        <v>31</v>
      </c>
      <c r="AP503" s="141"/>
      <c r="AQ503" s="170" t="s">
        <v>32</v>
      </c>
      <c r="AS503" s="123"/>
      <c r="AW503" s="135"/>
    </row>
    <row r="504" spans="3:49" x14ac:dyDescent="0.3">
      <c r="D504" s="42"/>
      <c r="E504" s="42"/>
      <c r="V504" s="141" t="s">
        <v>33</v>
      </c>
      <c r="W504" s="141" t="s">
        <v>34</v>
      </c>
      <c r="X504" s="141"/>
      <c r="Y504" s="141" t="s">
        <v>35</v>
      </c>
      <c r="Z504" s="153"/>
      <c r="AA504" s="141" t="s">
        <v>36</v>
      </c>
      <c r="AB504" s="141"/>
      <c r="AC504" s="156" t="s">
        <v>814</v>
      </c>
      <c r="AD504" s="156" t="s">
        <v>813</v>
      </c>
      <c r="AE504" s="141" t="s">
        <v>43</v>
      </c>
      <c r="AF504" s="141"/>
      <c r="AG504" s="170" t="s">
        <v>44</v>
      </c>
      <c r="AH504" s="141"/>
      <c r="AI504" s="141" t="s">
        <v>45</v>
      </c>
      <c r="AJ504" s="141"/>
      <c r="AK504" s="170" t="s">
        <v>46</v>
      </c>
      <c r="AL504" s="141"/>
      <c r="AM504" s="141" t="s">
        <v>40</v>
      </c>
      <c r="AN504" s="141"/>
      <c r="AO504" s="141" t="s">
        <v>47</v>
      </c>
      <c r="AP504" s="141"/>
      <c r="AQ504" s="170" t="s">
        <v>48</v>
      </c>
      <c r="AS504" s="123"/>
      <c r="AW504" s="135"/>
    </row>
    <row r="505" spans="3:49" x14ac:dyDescent="0.3">
      <c r="D505" s="42"/>
      <c r="E505" s="42"/>
      <c r="T505" s="191"/>
      <c r="U505" s="191"/>
      <c r="V505" s="191"/>
      <c r="W505" s="191"/>
      <c r="X505" s="191"/>
      <c r="Y505" s="191"/>
      <c r="Z505" s="191"/>
      <c r="AA505" s="271" t="s">
        <v>49</v>
      </c>
      <c r="AB505" s="271"/>
      <c r="AC505" s="270" t="s">
        <v>69</v>
      </c>
      <c r="AD505" s="271"/>
      <c r="AE505" s="271" t="s">
        <v>50</v>
      </c>
      <c r="AF505" s="271"/>
      <c r="AG505" s="274" t="s">
        <v>51</v>
      </c>
      <c r="AH505" s="271"/>
      <c r="AI505" s="271" t="s">
        <v>50</v>
      </c>
      <c r="AJ505" s="271"/>
      <c r="AK505" s="274" t="s">
        <v>51</v>
      </c>
      <c r="AL505" s="271"/>
      <c r="AM505" s="271" t="s">
        <v>50</v>
      </c>
      <c r="AN505" s="271"/>
      <c r="AO505" s="271" t="s">
        <v>50</v>
      </c>
      <c r="AP505" s="271"/>
      <c r="AQ505" s="274" t="s">
        <v>51</v>
      </c>
      <c r="AS505" s="123"/>
      <c r="AW505" s="135"/>
    </row>
    <row r="506" spans="3:49" x14ac:dyDescent="0.3">
      <c r="D506" s="42"/>
      <c r="E506" s="42"/>
      <c r="T506" s="282">
        <f t="shared" ref="T506" si="70">A154</f>
        <v>91</v>
      </c>
      <c r="V506" s="45" t="str">
        <f t="shared" ref="V506:W506" si="71">C154</f>
        <v>LED</v>
      </c>
      <c r="W506" s="45" t="str">
        <f t="shared" si="71"/>
        <v>STREET LIGHTING -- LED (CONT'D)</v>
      </c>
      <c r="Y506" s="159"/>
      <c r="Z506" s="1"/>
      <c r="AA506" s="159"/>
      <c r="AB506" s="159"/>
      <c r="AC506" s="238"/>
      <c r="AD506" s="238"/>
      <c r="AE506" s="3"/>
      <c r="AF506" s="3"/>
      <c r="AG506" s="175"/>
      <c r="AH506" s="4"/>
      <c r="AI506" s="3"/>
      <c r="AJ506" s="3"/>
      <c r="AK506" s="181"/>
      <c r="AL506" s="6"/>
      <c r="AM506" s="3"/>
      <c r="AN506" s="3"/>
      <c r="AO506" s="3"/>
      <c r="AP506" s="3"/>
      <c r="AQ506" s="181"/>
      <c r="AS506" s="123"/>
      <c r="AW506" s="135"/>
    </row>
    <row r="507" spans="3:49" x14ac:dyDescent="0.3">
      <c r="D507" s="42"/>
      <c r="E507" s="42"/>
      <c r="T507" s="282">
        <f t="shared" ref="T507" si="72">A155</f>
        <v>92</v>
      </c>
      <c r="V507" s="45" t="str">
        <f t="shared" ref="V507" si="73">C155</f>
        <v>POLES (CONT'D)</v>
      </c>
      <c r="W507" s="45"/>
      <c r="Y507" s="159"/>
      <c r="Z507" s="1"/>
      <c r="AA507" s="159"/>
      <c r="AB507" s="159"/>
      <c r="AC507" s="238"/>
      <c r="AD507" s="238"/>
      <c r="AE507" s="3"/>
      <c r="AF507" s="3"/>
      <c r="AG507" s="175"/>
      <c r="AH507" s="4"/>
      <c r="AI507" s="3"/>
      <c r="AJ507" s="3"/>
      <c r="AK507" s="181"/>
      <c r="AL507" s="6"/>
      <c r="AM507" s="3"/>
      <c r="AN507" s="3"/>
      <c r="AO507" s="3"/>
      <c r="AP507" s="3"/>
      <c r="AQ507" s="181"/>
      <c r="AS507" s="123"/>
      <c r="AW507" s="135"/>
    </row>
    <row r="508" spans="3:49" x14ac:dyDescent="0.3">
      <c r="D508" s="42"/>
      <c r="E508" s="42"/>
      <c r="T508" s="282">
        <f t="shared" ref="T508:T549" si="74">A156</f>
        <v>93</v>
      </c>
      <c r="V508" s="45" t="str">
        <f t="shared" ref="V508:V549" si="75">C156</f>
        <v xml:space="preserve">   Style E 12 Ft Long Anchor Base Post Top Aluminum</v>
      </c>
      <c r="W508" s="153"/>
      <c r="Y508" s="159">
        <f t="shared" ref="Y508:Y549" si="76">F156</f>
        <v>0</v>
      </c>
      <c r="Z508" s="1"/>
      <c r="AA508" s="159"/>
      <c r="AB508" s="1"/>
      <c r="AC508" s="238">
        <v>12.91</v>
      </c>
      <c r="AD508" s="258"/>
      <c r="AE508" s="3">
        <f t="shared" si="66"/>
        <v>0</v>
      </c>
      <c r="AF508" s="1"/>
      <c r="AG508" s="175">
        <f t="shared" ref="AG508:AG549" si="77">ROUND((AE508/AE$692)*100,1)</f>
        <v>0</v>
      </c>
      <c r="AH508" s="4"/>
      <c r="AI508" s="3">
        <f t="shared" ref="AI508:AI549" si="78">L156-AE508</f>
        <v>0</v>
      </c>
      <c r="AJ508" s="3"/>
      <c r="AK508" s="181" t="str">
        <f t="shared" si="67"/>
        <v xml:space="preserve">0.0 </v>
      </c>
      <c r="AL508" s="6"/>
      <c r="AM508" s="3"/>
      <c r="AN508" s="3"/>
      <c r="AO508" s="3">
        <f t="shared" si="68"/>
        <v>0</v>
      </c>
      <c r="AP508" s="3"/>
      <c r="AQ508" s="181" t="str">
        <f t="shared" si="69"/>
        <v xml:space="preserve">0.0 </v>
      </c>
      <c r="AS508" s="123"/>
      <c r="AW508" s="135"/>
    </row>
    <row r="509" spans="3:49" x14ac:dyDescent="0.3">
      <c r="T509" s="282">
        <f t="shared" si="74"/>
        <v>94</v>
      </c>
      <c r="V509" s="45" t="str">
        <f t="shared" si="75"/>
        <v xml:space="preserve">   Style F 12 Ft Long Anchor Base Post Top Aluminum</v>
      </c>
      <c r="W509" s="153"/>
      <c r="Y509" s="159">
        <f t="shared" si="76"/>
        <v>0</v>
      </c>
      <c r="Z509" s="1"/>
      <c r="AA509" s="159"/>
      <c r="AB509" s="1"/>
      <c r="AC509" s="238">
        <v>15.74</v>
      </c>
      <c r="AD509" s="258"/>
      <c r="AE509" s="3">
        <f t="shared" si="66"/>
        <v>0</v>
      </c>
      <c r="AF509" s="1"/>
      <c r="AG509" s="175">
        <f t="shared" si="77"/>
        <v>0</v>
      </c>
      <c r="AH509" s="4"/>
      <c r="AI509" s="3">
        <f t="shared" si="78"/>
        <v>0</v>
      </c>
      <c r="AJ509" s="3"/>
      <c r="AK509" s="181" t="str">
        <f t="shared" si="67"/>
        <v xml:space="preserve">0.0 </v>
      </c>
      <c r="AL509" s="6"/>
      <c r="AM509" s="3"/>
      <c r="AN509" s="3"/>
      <c r="AO509" s="3">
        <f t="shared" si="68"/>
        <v>0</v>
      </c>
      <c r="AP509" s="3"/>
      <c r="AQ509" s="181" t="str">
        <f t="shared" si="69"/>
        <v xml:space="preserve">0.0 </v>
      </c>
      <c r="AS509" s="123"/>
      <c r="AW509" s="135"/>
    </row>
    <row r="510" spans="3:49" x14ac:dyDescent="0.3">
      <c r="T510" s="282">
        <f t="shared" si="74"/>
        <v>95</v>
      </c>
      <c r="V510" s="45" t="str">
        <f t="shared" si="75"/>
        <v xml:space="preserve">   Legacy Style 39 Ft Direct Buried Single or Twin Side Mount Aluminum Satin Finish</v>
      </c>
      <c r="Y510" s="159">
        <f t="shared" si="76"/>
        <v>0</v>
      </c>
      <c r="Z510" s="1"/>
      <c r="AA510" s="159"/>
      <c r="AB510" s="159"/>
      <c r="AC510" s="238">
        <v>20.92</v>
      </c>
      <c r="AD510" s="258"/>
      <c r="AE510" s="3">
        <f t="shared" si="66"/>
        <v>0</v>
      </c>
      <c r="AF510" s="1"/>
      <c r="AG510" s="175">
        <f t="shared" si="77"/>
        <v>0</v>
      </c>
      <c r="AH510" s="4"/>
      <c r="AI510" s="3">
        <f t="shared" si="78"/>
        <v>0</v>
      </c>
      <c r="AJ510" s="3"/>
      <c r="AK510" s="181" t="str">
        <f t="shared" si="67"/>
        <v xml:space="preserve">0.0 </v>
      </c>
      <c r="AL510" s="6"/>
      <c r="AM510" s="3"/>
      <c r="AN510" s="3"/>
      <c r="AO510" s="3">
        <f t="shared" si="68"/>
        <v>0</v>
      </c>
      <c r="AP510" s="3"/>
      <c r="AQ510" s="181" t="str">
        <f t="shared" si="69"/>
        <v xml:space="preserve">0.0 </v>
      </c>
      <c r="AS510" s="123"/>
      <c r="AW510" s="135"/>
    </row>
    <row r="511" spans="3:49" x14ac:dyDescent="0.3">
      <c r="T511" s="282">
        <f t="shared" si="74"/>
        <v>96</v>
      </c>
      <c r="V511" s="45" t="str">
        <f t="shared" si="75"/>
        <v xml:space="preserve">   Legacy Style 27 Ft Long Anchor Base Side Mount Aluminum Pole Satin Finish Breakaway</v>
      </c>
      <c r="Y511" s="159">
        <f t="shared" si="76"/>
        <v>0</v>
      </c>
      <c r="Z511" s="1"/>
      <c r="AA511" s="159"/>
      <c r="AB511" s="159"/>
      <c r="AC511" s="238">
        <v>20.45</v>
      </c>
      <c r="AD511" s="258"/>
      <c r="AE511" s="3">
        <f t="shared" si="66"/>
        <v>0</v>
      </c>
      <c r="AF511" s="1"/>
      <c r="AG511" s="175">
        <f t="shared" si="77"/>
        <v>0</v>
      </c>
      <c r="AH511" s="4"/>
      <c r="AI511" s="3">
        <f t="shared" si="78"/>
        <v>0</v>
      </c>
      <c r="AJ511" s="3"/>
      <c r="AK511" s="181" t="str">
        <f t="shared" si="67"/>
        <v xml:space="preserve">0.0 </v>
      </c>
      <c r="AL511" s="6"/>
      <c r="AM511" s="3"/>
      <c r="AN511" s="3"/>
      <c r="AO511" s="3">
        <f t="shared" si="68"/>
        <v>0</v>
      </c>
      <c r="AP511" s="3"/>
      <c r="AQ511" s="181" t="str">
        <f t="shared" si="69"/>
        <v xml:space="preserve">0.0 </v>
      </c>
      <c r="AS511" s="123"/>
      <c r="AW511" s="135"/>
    </row>
    <row r="512" spans="3:49" x14ac:dyDescent="0.3">
      <c r="C512" s="42"/>
      <c r="F512" s="184"/>
      <c r="H512" s="184"/>
      <c r="I512" s="184"/>
      <c r="J512" s="193"/>
      <c r="K512" s="193"/>
      <c r="L512" s="123"/>
      <c r="M512" s="123"/>
      <c r="N512" s="160"/>
      <c r="O512" s="160"/>
      <c r="R512" s="123"/>
      <c r="T512" s="282">
        <f t="shared" si="74"/>
        <v>97</v>
      </c>
      <c r="V512" s="45" t="str">
        <f t="shared" si="75"/>
        <v xml:space="preserve">   Legacy Style 33 Ft Long Anchor Base Side Mount Aluminum Pole Satin Finish Breakaway</v>
      </c>
      <c r="Y512" s="159">
        <f t="shared" si="76"/>
        <v>0</v>
      </c>
      <c r="Z512" s="1"/>
      <c r="AA512" s="159"/>
      <c r="AB512" s="159"/>
      <c r="AC512" s="238">
        <v>21.38</v>
      </c>
      <c r="AD512" s="258"/>
      <c r="AE512" s="3">
        <f t="shared" si="66"/>
        <v>0</v>
      </c>
      <c r="AF512" s="1"/>
      <c r="AG512" s="175">
        <f t="shared" si="77"/>
        <v>0</v>
      </c>
      <c r="AH512" s="4"/>
      <c r="AI512" s="3">
        <f t="shared" si="78"/>
        <v>0</v>
      </c>
      <c r="AJ512" s="3"/>
      <c r="AK512" s="181" t="str">
        <f t="shared" si="67"/>
        <v xml:space="preserve">0.0 </v>
      </c>
      <c r="AL512" s="6"/>
      <c r="AM512" s="3"/>
      <c r="AN512" s="3"/>
      <c r="AO512" s="3">
        <f t="shared" si="68"/>
        <v>0</v>
      </c>
      <c r="AP512" s="3"/>
      <c r="AQ512" s="181" t="str">
        <f t="shared" si="69"/>
        <v xml:space="preserve">0.0 </v>
      </c>
      <c r="AS512" s="123"/>
      <c r="AW512" s="135"/>
    </row>
    <row r="513" spans="3:49" x14ac:dyDescent="0.3">
      <c r="C513" s="42"/>
      <c r="F513" s="184"/>
      <c r="H513" s="184"/>
      <c r="I513" s="184"/>
      <c r="J513" s="193"/>
      <c r="K513" s="193"/>
      <c r="L513" s="123"/>
      <c r="M513" s="123"/>
      <c r="N513" s="160"/>
      <c r="O513" s="160"/>
      <c r="R513" s="123"/>
      <c r="T513" s="282">
        <f t="shared" si="74"/>
        <v>98</v>
      </c>
      <c r="V513" s="45" t="str">
        <f t="shared" si="75"/>
        <v xml:space="preserve">   Legacy Style 37 Ft Long Anchor Base Side Mount Aluminum Pole Satin Finish</v>
      </c>
      <c r="Y513" s="159">
        <f t="shared" si="76"/>
        <v>0</v>
      </c>
      <c r="Z513" s="1"/>
      <c r="AA513" s="159"/>
      <c r="AB513" s="159"/>
      <c r="AC513" s="238">
        <v>23.61</v>
      </c>
      <c r="AD513" s="258"/>
      <c r="AE513" s="3">
        <f t="shared" si="66"/>
        <v>0</v>
      </c>
      <c r="AF513" s="1"/>
      <c r="AG513" s="175">
        <f t="shared" si="77"/>
        <v>0</v>
      </c>
      <c r="AH513" s="4"/>
      <c r="AI513" s="3">
        <f t="shared" si="78"/>
        <v>0</v>
      </c>
      <c r="AJ513" s="3"/>
      <c r="AK513" s="181" t="str">
        <f t="shared" si="67"/>
        <v xml:space="preserve">0.0 </v>
      </c>
      <c r="AL513" s="6"/>
      <c r="AM513" s="3"/>
      <c r="AN513" s="3"/>
      <c r="AO513" s="3">
        <f t="shared" si="68"/>
        <v>0</v>
      </c>
      <c r="AP513" s="3"/>
      <c r="AQ513" s="181" t="str">
        <f t="shared" si="69"/>
        <v xml:space="preserve">0.0 </v>
      </c>
      <c r="AS513" s="123"/>
      <c r="AW513" s="135"/>
    </row>
    <row r="514" spans="3:49" x14ac:dyDescent="0.3">
      <c r="F514" s="210"/>
      <c r="H514" s="123"/>
      <c r="I514" s="123"/>
      <c r="J514" s="213"/>
      <c r="K514" s="213"/>
      <c r="L514" s="210"/>
      <c r="M514" s="210"/>
      <c r="N514" s="210"/>
      <c r="O514" s="210"/>
      <c r="P514" s="210"/>
      <c r="Q514" s="210"/>
      <c r="R514" s="210"/>
      <c r="T514" s="282">
        <f t="shared" si="74"/>
        <v>99</v>
      </c>
      <c r="V514" s="45" t="str">
        <f t="shared" si="75"/>
        <v xml:space="preserve">   30' Class 7 Wood Pole</v>
      </c>
      <c r="Y514" s="159">
        <f t="shared" si="76"/>
        <v>0</v>
      </c>
      <c r="Z514" s="1"/>
      <c r="AA514" s="159"/>
      <c r="AB514" s="159"/>
      <c r="AC514" s="238">
        <v>6.48</v>
      </c>
      <c r="AD514" s="258"/>
      <c r="AE514" s="3">
        <f t="shared" si="66"/>
        <v>0</v>
      </c>
      <c r="AF514" s="1"/>
      <c r="AG514" s="175">
        <f t="shared" si="77"/>
        <v>0</v>
      </c>
      <c r="AH514" s="4"/>
      <c r="AI514" s="3">
        <f t="shared" si="78"/>
        <v>0</v>
      </c>
      <c r="AJ514" s="3"/>
      <c r="AK514" s="181" t="str">
        <f t="shared" si="67"/>
        <v xml:space="preserve">0.0 </v>
      </c>
      <c r="AL514" s="6"/>
      <c r="AM514" s="3"/>
      <c r="AN514" s="3"/>
      <c r="AO514" s="3">
        <f t="shared" si="68"/>
        <v>0</v>
      </c>
      <c r="AP514" s="3"/>
      <c r="AQ514" s="181" t="str">
        <f t="shared" si="69"/>
        <v xml:space="preserve">0.0 </v>
      </c>
      <c r="AS514" s="123"/>
      <c r="AW514" s="135"/>
    </row>
    <row r="515" spans="3:49" x14ac:dyDescent="0.3">
      <c r="C515" s="42"/>
      <c r="F515" s="123"/>
      <c r="H515" s="123"/>
      <c r="I515" s="123"/>
      <c r="J515" s="213"/>
      <c r="K515" s="213"/>
      <c r="L515" s="123"/>
      <c r="M515" s="123"/>
      <c r="N515" s="160"/>
      <c r="O515" s="160"/>
      <c r="P515" s="123"/>
      <c r="Q515" s="123"/>
      <c r="R515" s="123"/>
      <c r="T515" s="282">
        <f t="shared" si="74"/>
        <v>100</v>
      </c>
      <c r="V515" s="45" t="str">
        <f t="shared" si="75"/>
        <v xml:space="preserve">   35' Class 5 Wood Pole</v>
      </c>
      <c r="Y515" s="159">
        <f t="shared" si="76"/>
        <v>9</v>
      </c>
      <c r="Z515" s="1"/>
      <c r="AA515" s="159"/>
      <c r="AB515" s="159"/>
      <c r="AC515" s="238">
        <v>7.24</v>
      </c>
      <c r="AD515" s="258"/>
      <c r="AE515" s="3">
        <f t="shared" si="66"/>
        <v>65</v>
      </c>
      <c r="AF515" s="1"/>
      <c r="AG515" s="175">
        <f t="shared" si="77"/>
        <v>0.3</v>
      </c>
      <c r="AH515" s="4"/>
      <c r="AI515" s="3">
        <f t="shared" si="78"/>
        <v>9</v>
      </c>
      <c r="AJ515" s="3"/>
      <c r="AK515" s="181">
        <f t="shared" si="67"/>
        <v>13.8</v>
      </c>
      <c r="AL515" s="6"/>
      <c r="AM515" s="3"/>
      <c r="AN515" s="3"/>
      <c r="AO515" s="3">
        <f t="shared" si="68"/>
        <v>65</v>
      </c>
      <c r="AP515" s="3"/>
      <c r="AQ515" s="181">
        <f t="shared" si="69"/>
        <v>13.8</v>
      </c>
      <c r="AS515" s="123"/>
      <c r="AW515" s="135"/>
    </row>
    <row r="516" spans="3:49" x14ac:dyDescent="0.3">
      <c r="F516" s="210"/>
      <c r="H516" s="123"/>
      <c r="I516" s="123"/>
      <c r="J516" s="213"/>
      <c r="K516" s="213"/>
      <c r="L516" s="210"/>
      <c r="M516" s="210"/>
      <c r="N516" s="210"/>
      <c r="O516" s="210"/>
      <c r="P516" s="210"/>
      <c r="Q516" s="210"/>
      <c r="R516" s="210"/>
      <c r="T516" s="282">
        <f t="shared" si="74"/>
        <v>101</v>
      </c>
      <c r="V516" s="45" t="str">
        <f t="shared" si="75"/>
        <v xml:space="preserve">   40' Class 4 Wood Pole</v>
      </c>
      <c r="Y516" s="159">
        <f t="shared" si="76"/>
        <v>0</v>
      </c>
      <c r="Z516" s="1"/>
      <c r="AA516" s="159"/>
      <c r="AB516" s="159"/>
      <c r="AC516" s="238">
        <v>8.2100000000000009</v>
      </c>
      <c r="AD516" s="5"/>
      <c r="AE516" s="3">
        <f t="shared" si="66"/>
        <v>0</v>
      </c>
      <c r="AF516" s="1"/>
      <c r="AG516" s="175">
        <f t="shared" si="77"/>
        <v>0</v>
      </c>
      <c r="AH516" s="4"/>
      <c r="AI516" s="3">
        <f t="shared" si="78"/>
        <v>0</v>
      </c>
      <c r="AJ516" s="3"/>
      <c r="AK516" s="181" t="str">
        <f t="shared" si="67"/>
        <v xml:space="preserve">0.0 </v>
      </c>
      <c r="AL516" s="6"/>
      <c r="AM516" s="3"/>
      <c r="AN516" s="3"/>
      <c r="AO516" s="3">
        <f t="shared" si="68"/>
        <v>0</v>
      </c>
      <c r="AP516" s="3"/>
      <c r="AQ516" s="181" t="str">
        <f t="shared" si="69"/>
        <v xml:space="preserve">0.0 </v>
      </c>
      <c r="AS516" s="123"/>
      <c r="AW516" s="135"/>
    </row>
    <row r="517" spans="3:49" x14ac:dyDescent="0.3">
      <c r="F517" s="123"/>
      <c r="H517" s="123"/>
      <c r="I517" s="123"/>
      <c r="J517" s="213"/>
      <c r="K517" s="213"/>
      <c r="L517" s="123"/>
      <c r="M517" s="123"/>
      <c r="N517" s="160"/>
      <c r="O517" s="160"/>
      <c r="P517" s="123"/>
      <c r="Q517" s="123"/>
      <c r="R517" s="123"/>
      <c r="T517" s="282">
        <f t="shared" si="74"/>
        <v>102</v>
      </c>
      <c r="V517" s="45" t="str">
        <f t="shared" si="75"/>
        <v xml:space="preserve">   45' Class 4 Wood Pole</v>
      </c>
      <c r="Y517" s="159">
        <f t="shared" si="76"/>
        <v>0</v>
      </c>
      <c r="Z517" s="1"/>
      <c r="AA517" s="159"/>
      <c r="AB517" s="159"/>
      <c r="AC517" s="238">
        <v>8.5500000000000007</v>
      </c>
      <c r="AD517" s="258"/>
      <c r="AE517" s="3">
        <f t="shared" si="66"/>
        <v>0</v>
      </c>
      <c r="AF517" s="1"/>
      <c r="AG517" s="175">
        <f t="shared" si="77"/>
        <v>0</v>
      </c>
      <c r="AH517" s="4"/>
      <c r="AI517" s="3">
        <f t="shared" si="78"/>
        <v>0</v>
      </c>
      <c r="AJ517" s="3"/>
      <c r="AK517" s="181" t="str">
        <f t="shared" si="67"/>
        <v xml:space="preserve">0.0 </v>
      </c>
      <c r="AL517" s="6"/>
      <c r="AM517" s="3"/>
      <c r="AN517" s="3"/>
      <c r="AO517" s="3">
        <f t="shared" si="68"/>
        <v>0</v>
      </c>
      <c r="AP517" s="3"/>
      <c r="AQ517" s="181" t="str">
        <f t="shared" si="69"/>
        <v xml:space="preserve">0.0 </v>
      </c>
      <c r="AS517" s="123"/>
      <c r="AW517" s="135"/>
    </row>
    <row r="518" spans="3:49" x14ac:dyDescent="0.3">
      <c r="C518" s="42"/>
      <c r="F518" s="184"/>
      <c r="H518" s="184"/>
      <c r="I518" s="184"/>
      <c r="J518" s="193"/>
      <c r="K518" s="193"/>
      <c r="L518" s="123"/>
      <c r="M518" s="123"/>
      <c r="N518" s="160"/>
      <c r="O518" s="160"/>
      <c r="P518" s="123"/>
      <c r="Q518" s="123"/>
      <c r="R518" s="123"/>
      <c r="T518" s="282">
        <f t="shared" si="74"/>
        <v>103</v>
      </c>
      <c r="V518" s="45" t="str">
        <f t="shared" si="75"/>
        <v xml:space="preserve">   15' Style A - Fluted - for Shroud - Aluminum Direct Buried Pole </v>
      </c>
      <c r="Y518" s="159">
        <f t="shared" si="76"/>
        <v>0</v>
      </c>
      <c r="Z518" s="1"/>
      <c r="AA518" s="159"/>
      <c r="AB518" s="159"/>
      <c r="AC518" s="238">
        <v>10.050000000000001</v>
      </c>
      <c r="AD518" s="258"/>
      <c r="AE518" s="3">
        <f t="shared" si="66"/>
        <v>0</v>
      </c>
      <c r="AF518" s="1"/>
      <c r="AG518" s="175">
        <f t="shared" si="77"/>
        <v>0</v>
      </c>
      <c r="AH518" s="4"/>
      <c r="AI518" s="3">
        <f t="shared" si="78"/>
        <v>0</v>
      </c>
      <c r="AJ518" s="3"/>
      <c r="AK518" s="181" t="str">
        <f t="shared" si="67"/>
        <v xml:space="preserve">0.0 </v>
      </c>
      <c r="AL518" s="6"/>
      <c r="AM518" s="3"/>
      <c r="AN518" s="3"/>
      <c r="AO518" s="3">
        <f t="shared" si="68"/>
        <v>0</v>
      </c>
      <c r="AP518" s="3"/>
      <c r="AQ518" s="181" t="str">
        <f t="shared" si="69"/>
        <v xml:space="preserve">0.0 </v>
      </c>
      <c r="AS518" s="123"/>
      <c r="AW518" s="135"/>
    </row>
    <row r="519" spans="3:49" x14ac:dyDescent="0.3">
      <c r="C519" s="42"/>
      <c r="F519" s="184"/>
      <c r="H519" s="184"/>
      <c r="I519" s="184"/>
      <c r="J519" s="193"/>
      <c r="K519" s="193"/>
      <c r="L519" s="123"/>
      <c r="M519" s="123"/>
      <c r="N519" s="160"/>
      <c r="O519" s="160"/>
      <c r="P519" s="123"/>
      <c r="Q519" s="123"/>
      <c r="R519" s="123"/>
      <c r="T519" s="282">
        <f t="shared" si="74"/>
        <v>104</v>
      </c>
      <c r="V519" s="45" t="str">
        <f t="shared" si="75"/>
        <v xml:space="preserve">   20' Style A - Fluted - for Shroud - Aluminum Direct Buried Pole </v>
      </c>
      <c r="Y519" s="159">
        <f t="shared" si="76"/>
        <v>0</v>
      </c>
      <c r="Z519" s="1"/>
      <c r="AA519" s="159"/>
      <c r="AB519" s="159"/>
      <c r="AC519" s="238">
        <v>10.54</v>
      </c>
      <c r="AD519" s="258"/>
      <c r="AE519" s="3">
        <f t="shared" si="66"/>
        <v>0</v>
      </c>
      <c r="AF519" s="1"/>
      <c r="AG519" s="175">
        <f t="shared" si="77"/>
        <v>0</v>
      </c>
      <c r="AH519" s="4"/>
      <c r="AI519" s="3">
        <f t="shared" si="78"/>
        <v>0</v>
      </c>
      <c r="AJ519" s="3"/>
      <c r="AK519" s="181" t="str">
        <f t="shared" si="67"/>
        <v xml:space="preserve">0.0 </v>
      </c>
      <c r="AL519" s="6"/>
      <c r="AM519" s="3"/>
      <c r="AN519" s="3"/>
      <c r="AO519" s="3">
        <f t="shared" si="68"/>
        <v>0</v>
      </c>
      <c r="AP519" s="3"/>
      <c r="AQ519" s="181" t="str">
        <f t="shared" si="69"/>
        <v xml:space="preserve">0.0 </v>
      </c>
      <c r="AS519" s="123"/>
      <c r="AW519" s="135"/>
    </row>
    <row r="520" spans="3:49" x14ac:dyDescent="0.3">
      <c r="C520" s="42"/>
      <c r="F520" s="184"/>
      <c r="H520" s="184"/>
      <c r="I520" s="184"/>
      <c r="J520" s="193"/>
      <c r="K520" s="193"/>
      <c r="L520" s="123"/>
      <c r="M520" s="123"/>
      <c r="N520" s="160"/>
      <c r="O520" s="160"/>
      <c r="P520" s="123"/>
      <c r="Q520" s="123"/>
      <c r="R520" s="123"/>
      <c r="T520" s="282">
        <f t="shared" si="74"/>
        <v>105</v>
      </c>
      <c r="V520" s="45" t="str">
        <f t="shared" si="75"/>
        <v xml:space="preserve">   15' Style A - Smooth - for Shroud - Aluminum Direct Buried Pole </v>
      </c>
      <c r="Y520" s="159">
        <f t="shared" si="76"/>
        <v>8</v>
      </c>
      <c r="Z520" s="1"/>
      <c r="AA520" s="159"/>
      <c r="AB520" s="159"/>
      <c r="AC520" s="238">
        <v>8.69</v>
      </c>
      <c r="AD520" s="258"/>
      <c r="AE520" s="3">
        <f t="shared" si="66"/>
        <v>70</v>
      </c>
      <c r="AF520" s="1"/>
      <c r="AG520" s="175">
        <f t="shared" si="77"/>
        <v>0.4</v>
      </c>
      <c r="AH520" s="4"/>
      <c r="AI520" s="3">
        <f t="shared" si="78"/>
        <v>9</v>
      </c>
      <c r="AJ520" s="3"/>
      <c r="AK520" s="181">
        <f t="shared" si="67"/>
        <v>12.9</v>
      </c>
      <c r="AL520" s="6"/>
      <c r="AM520" s="3"/>
      <c r="AN520" s="3"/>
      <c r="AO520" s="3">
        <f t="shared" si="68"/>
        <v>70</v>
      </c>
      <c r="AP520" s="3"/>
      <c r="AQ520" s="181">
        <f t="shared" si="69"/>
        <v>12.9</v>
      </c>
      <c r="AS520" s="123"/>
      <c r="AW520" s="135"/>
    </row>
    <row r="521" spans="3:49" x14ac:dyDescent="0.3">
      <c r="C521" s="42"/>
      <c r="F521" s="184"/>
      <c r="H521" s="184"/>
      <c r="I521" s="184"/>
      <c r="J521" s="193"/>
      <c r="K521" s="193"/>
      <c r="L521" s="123"/>
      <c r="M521" s="123"/>
      <c r="N521" s="160"/>
      <c r="O521" s="160"/>
      <c r="P521" s="123"/>
      <c r="Q521" s="123"/>
      <c r="R521" s="123"/>
      <c r="T521" s="282">
        <f t="shared" si="74"/>
        <v>106</v>
      </c>
      <c r="V521" s="45" t="str">
        <f t="shared" si="75"/>
        <v xml:space="preserve">   20' Style A - Smooth - for Shroud - Aluminum Direct Buried Pole </v>
      </c>
      <c r="Y521" s="159">
        <f t="shared" si="76"/>
        <v>0</v>
      </c>
      <c r="Z521" s="1"/>
      <c r="AA521" s="159"/>
      <c r="AB521" s="159"/>
      <c r="AC521" s="238">
        <v>10.26</v>
      </c>
      <c r="AD521" s="258"/>
      <c r="AE521" s="3">
        <f t="shared" si="66"/>
        <v>0</v>
      </c>
      <c r="AF521" s="1"/>
      <c r="AG521" s="175">
        <f t="shared" si="77"/>
        <v>0</v>
      </c>
      <c r="AH521" s="4"/>
      <c r="AI521" s="3">
        <f t="shared" si="78"/>
        <v>0</v>
      </c>
      <c r="AJ521" s="3"/>
      <c r="AK521" s="181" t="str">
        <f t="shared" si="67"/>
        <v xml:space="preserve">0.0 </v>
      </c>
      <c r="AL521" s="6"/>
      <c r="AM521" s="3"/>
      <c r="AN521" s="3"/>
      <c r="AO521" s="3">
        <f t="shared" si="68"/>
        <v>0</v>
      </c>
      <c r="AP521" s="3"/>
      <c r="AQ521" s="181" t="str">
        <f t="shared" si="69"/>
        <v xml:space="preserve">0.0 </v>
      </c>
      <c r="AS521" s="123"/>
      <c r="AW521" s="135"/>
    </row>
    <row r="522" spans="3:49" x14ac:dyDescent="0.3">
      <c r="C522" s="42"/>
      <c r="F522" s="184"/>
      <c r="H522" s="184"/>
      <c r="I522" s="184"/>
      <c r="J522" s="193"/>
      <c r="K522" s="193"/>
      <c r="L522" s="123"/>
      <c r="M522" s="123"/>
      <c r="N522" s="160"/>
      <c r="O522" s="160"/>
      <c r="P522" s="123"/>
      <c r="Q522" s="123"/>
      <c r="R522" s="123"/>
      <c r="T522" s="282">
        <f t="shared" si="74"/>
        <v>107</v>
      </c>
      <c r="V522" s="45" t="str">
        <f t="shared" si="75"/>
        <v xml:space="preserve">   21' Style A - Fluted - Direct Buried</v>
      </c>
      <c r="Y522" s="159">
        <f t="shared" si="76"/>
        <v>0</v>
      </c>
      <c r="Z522" s="1"/>
      <c r="AA522" s="159"/>
      <c r="AB522" s="159"/>
      <c r="AC522" s="238">
        <v>14.37</v>
      </c>
      <c r="AD522" s="258"/>
      <c r="AE522" s="3">
        <f t="shared" ref="AE522:AE538" si="79">ROUND((Y522*(AC522+AD522)),0)</f>
        <v>0</v>
      </c>
      <c r="AF522" s="1"/>
      <c r="AG522" s="175">
        <f t="shared" si="77"/>
        <v>0</v>
      </c>
      <c r="AH522" s="4"/>
      <c r="AI522" s="3">
        <f t="shared" si="78"/>
        <v>0</v>
      </c>
      <c r="AJ522" s="3"/>
      <c r="AK522" s="181" t="str">
        <f t="shared" ref="AK522:AK538" si="80">IF(AE522=0,"0.0 ",ROUND((AI522/AE522)*100,1))</f>
        <v xml:space="preserve">0.0 </v>
      </c>
      <c r="AL522" s="6"/>
      <c r="AM522" s="3"/>
      <c r="AN522" s="3"/>
      <c r="AO522" s="3">
        <f t="shared" ref="AO522:AO538" si="81">AM522+AE522</f>
        <v>0</v>
      </c>
      <c r="AP522" s="3"/>
      <c r="AQ522" s="181" t="str">
        <f t="shared" ref="AQ522:AQ538" si="82">IF(AO522=0,"0.0 ",ROUND((AI522/AO522)*100,1))</f>
        <v xml:space="preserve">0.0 </v>
      </c>
      <c r="AS522" s="123"/>
      <c r="AW522" s="135"/>
    </row>
    <row r="523" spans="3:49" x14ac:dyDescent="0.3">
      <c r="C523" s="42"/>
      <c r="F523" s="184"/>
      <c r="H523" s="184"/>
      <c r="I523" s="184"/>
      <c r="J523" s="193"/>
      <c r="K523" s="193"/>
      <c r="L523" s="123"/>
      <c r="M523" s="123"/>
      <c r="N523" s="160"/>
      <c r="O523" s="160"/>
      <c r="P523" s="123"/>
      <c r="Q523" s="123"/>
      <c r="R523" s="123"/>
      <c r="T523" s="282">
        <f t="shared" si="74"/>
        <v>108</v>
      </c>
      <c r="V523" s="45" t="str">
        <f t="shared" si="75"/>
        <v xml:space="preserve">   30' Style A - Transformer Base - Anchor Base</v>
      </c>
      <c r="Y523" s="159">
        <f t="shared" si="76"/>
        <v>0</v>
      </c>
      <c r="Z523" s="1"/>
      <c r="AA523" s="159"/>
      <c r="AB523" s="159"/>
      <c r="AC523" s="238">
        <v>21.78</v>
      </c>
      <c r="AD523" s="258"/>
      <c r="AE523" s="3">
        <f t="shared" si="79"/>
        <v>0</v>
      </c>
      <c r="AF523" s="1"/>
      <c r="AG523" s="175">
        <f t="shared" si="77"/>
        <v>0</v>
      </c>
      <c r="AH523" s="4"/>
      <c r="AI523" s="3">
        <f t="shared" si="78"/>
        <v>0</v>
      </c>
      <c r="AJ523" s="3"/>
      <c r="AK523" s="181" t="str">
        <f t="shared" si="80"/>
        <v xml:space="preserve">0.0 </v>
      </c>
      <c r="AL523" s="6"/>
      <c r="AM523" s="3"/>
      <c r="AN523" s="3"/>
      <c r="AO523" s="3">
        <f t="shared" si="81"/>
        <v>0</v>
      </c>
      <c r="AP523" s="3"/>
      <c r="AQ523" s="181" t="str">
        <f t="shared" si="82"/>
        <v xml:space="preserve">0.0 </v>
      </c>
      <c r="AS523" s="123"/>
      <c r="AW523" s="135"/>
    </row>
    <row r="524" spans="3:49" x14ac:dyDescent="0.3">
      <c r="C524" s="42"/>
      <c r="F524" s="184"/>
      <c r="H524" s="184"/>
      <c r="I524" s="184"/>
      <c r="J524" s="193"/>
      <c r="K524" s="193"/>
      <c r="L524" s="123"/>
      <c r="M524" s="123"/>
      <c r="N524" s="160"/>
      <c r="O524" s="160"/>
      <c r="P524" s="123"/>
      <c r="Q524" s="123"/>
      <c r="R524" s="123"/>
      <c r="T524" s="282">
        <f t="shared" si="74"/>
        <v>109</v>
      </c>
      <c r="V524" s="45" t="str">
        <f t="shared" si="75"/>
        <v xml:space="preserve">   35' Style A - Transformer Base - Anchor Base</v>
      </c>
      <c r="Y524" s="159">
        <f t="shared" si="76"/>
        <v>0</v>
      </c>
      <c r="Z524" s="1"/>
      <c r="AA524" s="159"/>
      <c r="AB524" s="159"/>
      <c r="AC524" s="238">
        <v>24.53</v>
      </c>
      <c r="AD524" s="258"/>
      <c r="AE524" s="3">
        <f t="shared" si="79"/>
        <v>0</v>
      </c>
      <c r="AF524" s="1"/>
      <c r="AG524" s="175">
        <f t="shared" si="77"/>
        <v>0</v>
      </c>
      <c r="AH524" s="4"/>
      <c r="AI524" s="3">
        <f t="shared" si="78"/>
        <v>0</v>
      </c>
      <c r="AJ524" s="3"/>
      <c r="AK524" s="181" t="str">
        <f t="shared" si="80"/>
        <v xml:space="preserve">0.0 </v>
      </c>
      <c r="AL524" s="6"/>
      <c r="AM524" s="3"/>
      <c r="AN524" s="3"/>
      <c r="AO524" s="3">
        <f t="shared" si="81"/>
        <v>0</v>
      </c>
      <c r="AP524" s="3"/>
      <c r="AQ524" s="181" t="str">
        <f t="shared" si="82"/>
        <v xml:space="preserve">0.0 </v>
      </c>
      <c r="AS524" s="123"/>
      <c r="AW524" s="135"/>
    </row>
    <row r="525" spans="3:49" x14ac:dyDescent="0.3">
      <c r="C525" s="42"/>
      <c r="F525" s="184"/>
      <c r="H525" s="184"/>
      <c r="I525" s="184"/>
      <c r="J525" s="193"/>
      <c r="K525" s="193"/>
      <c r="L525" s="123"/>
      <c r="M525" s="123"/>
      <c r="N525" s="160"/>
      <c r="O525" s="160"/>
      <c r="P525" s="123"/>
      <c r="Q525" s="123"/>
      <c r="R525" s="123"/>
      <c r="T525" s="282">
        <f t="shared" si="74"/>
        <v>110</v>
      </c>
      <c r="V525" s="45" t="str">
        <f t="shared" si="75"/>
        <v xml:space="preserve">   19' Style A - Breakaway - Direct Buried</v>
      </c>
      <c r="Y525" s="159">
        <f t="shared" si="76"/>
        <v>0</v>
      </c>
      <c r="Z525" s="1"/>
      <c r="AA525" s="159"/>
      <c r="AB525" s="159"/>
      <c r="AC525" s="238">
        <v>19.55</v>
      </c>
      <c r="AD525" s="258"/>
      <c r="AE525" s="3">
        <f t="shared" si="79"/>
        <v>0</v>
      </c>
      <c r="AF525" s="1"/>
      <c r="AG525" s="175">
        <f t="shared" si="77"/>
        <v>0</v>
      </c>
      <c r="AH525" s="4"/>
      <c r="AI525" s="3">
        <f t="shared" si="78"/>
        <v>0</v>
      </c>
      <c r="AJ525" s="3"/>
      <c r="AK525" s="181" t="str">
        <f t="shared" si="80"/>
        <v xml:space="preserve">0.0 </v>
      </c>
      <c r="AL525" s="6"/>
      <c r="AM525" s="3"/>
      <c r="AN525" s="3"/>
      <c r="AO525" s="3">
        <f t="shared" si="81"/>
        <v>0</v>
      </c>
      <c r="AP525" s="3"/>
      <c r="AQ525" s="181" t="str">
        <f t="shared" si="82"/>
        <v xml:space="preserve">0.0 </v>
      </c>
      <c r="AS525" s="123"/>
      <c r="AW525" s="135"/>
    </row>
    <row r="526" spans="3:49" x14ac:dyDescent="0.3">
      <c r="C526" s="42"/>
      <c r="F526" s="184"/>
      <c r="H526" s="184"/>
      <c r="I526" s="184"/>
      <c r="J526" s="193"/>
      <c r="K526" s="193"/>
      <c r="L526" s="123"/>
      <c r="M526" s="123"/>
      <c r="N526" s="160"/>
      <c r="O526" s="160"/>
      <c r="P526" s="123"/>
      <c r="Q526" s="123"/>
      <c r="R526" s="123"/>
      <c r="T526" s="282">
        <f t="shared" si="74"/>
        <v>111</v>
      </c>
      <c r="V526" s="45" t="str">
        <f t="shared" si="75"/>
        <v xml:space="preserve">   24' Style A - Breakaway - Direct Buried</v>
      </c>
      <c r="Y526" s="159">
        <f t="shared" si="76"/>
        <v>0</v>
      </c>
      <c r="Z526" s="1"/>
      <c r="AA526" s="159"/>
      <c r="AB526" s="159"/>
      <c r="AC526" s="238">
        <v>20.69</v>
      </c>
      <c r="AD526" s="258"/>
      <c r="AE526" s="3">
        <f t="shared" si="79"/>
        <v>0</v>
      </c>
      <c r="AF526" s="1"/>
      <c r="AG526" s="175">
        <f t="shared" si="77"/>
        <v>0</v>
      </c>
      <c r="AH526" s="4"/>
      <c r="AI526" s="3">
        <f t="shared" si="78"/>
        <v>0</v>
      </c>
      <c r="AJ526" s="3"/>
      <c r="AK526" s="181" t="str">
        <f t="shared" si="80"/>
        <v xml:space="preserve">0.0 </v>
      </c>
      <c r="AL526" s="6"/>
      <c r="AM526" s="3"/>
      <c r="AN526" s="3"/>
      <c r="AO526" s="3">
        <f t="shared" si="81"/>
        <v>0</v>
      </c>
      <c r="AP526" s="3"/>
      <c r="AQ526" s="181" t="str">
        <f t="shared" si="82"/>
        <v xml:space="preserve">0.0 </v>
      </c>
      <c r="AS526" s="123"/>
      <c r="AW526" s="135"/>
    </row>
    <row r="527" spans="3:49" x14ac:dyDescent="0.3">
      <c r="C527" s="42"/>
      <c r="F527" s="184"/>
      <c r="H527" s="184"/>
      <c r="I527" s="184"/>
      <c r="J527" s="193"/>
      <c r="K527" s="193"/>
      <c r="L527" s="123"/>
      <c r="M527" s="123"/>
      <c r="N527" s="160"/>
      <c r="O527" s="160"/>
      <c r="P527" s="123"/>
      <c r="Q527" s="123"/>
      <c r="R527" s="123"/>
      <c r="T527" s="282">
        <f t="shared" si="74"/>
        <v>112</v>
      </c>
      <c r="V527" s="45" t="str">
        <f t="shared" si="75"/>
        <v xml:space="preserve">   27' Style A - Breakaway - Direct Buried</v>
      </c>
      <c r="Y527" s="159">
        <f t="shared" si="76"/>
        <v>0</v>
      </c>
      <c r="Z527" s="1"/>
      <c r="AA527" s="159"/>
      <c r="AB527" s="159"/>
      <c r="AC527" s="238">
        <v>19.79</v>
      </c>
      <c r="AD527" s="258"/>
      <c r="AE527" s="3">
        <f t="shared" si="79"/>
        <v>0</v>
      </c>
      <c r="AF527" s="1"/>
      <c r="AG527" s="175">
        <f t="shared" si="77"/>
        <v>0</v>
      </c>
      <c r="AH527" s="4"/>
      <c r="AI527" s="3">
        <f t="shared" si="78"/>
        <v>0</v>
      </c>
      <c r="AJ527" s="3"/>
      <c r="AK527" s="181" t="str">
        <f t="shared" si="80"/>
        <v xml:space="preserve">0.0 </v>
      </c>
      <c r="AL527" s="6"/>
      <c r="AM527" s="3"/>
      <c r="AN527" s="3"/>
      <c r="AO527" s="3">
        <f t="shared" si="81"/>
        <v>0</v>
      </c>
      <c r="AP527" s="3"/>
      <c r="AQ527" s="181" t="str">
        <f t="shared" si="82"/>
        <v xml:space="preserve">0.0 </v>
      </c>
      <c r="AS527" s="123"/>
      <c r="AW527" s="135"/>
    </row>
    <row r="528" spans="3:49" x14ac:dyDescent="0.3">
      <c r="C528" s="42"/>
      <c r="F528" s="184"/>
      <c r="H528" s="184"/>
      <c r="I528" s="184"/>
      <c r="J528" s="193"/>
      <c r="K528" s="193"/>
      <c r="L528" s="123"/>
      <c r="M528" s="123"/>
      <c r="N528" s="160"/>
      <c r="O528" s="160"/>
      <c r="P528" s="123"/>
      <c r="Q528" s="123"/>
      <c r="R528" s="123"/>
      <c r="T528" s="282">
        <f t="shared" si="74"/>
        <v>113</v>
      </c>
      <c r="V528" s="45" t="str">
        <f t="shared" si="75"/>
        <v xml:space="preserve">   32' Style A - Breakaway - Direct Buried</v>
      </c>
      <c r="Y528" s="159">
        <f t="shared" si="76"/>
        <v>0</v>
      </c>
      <c r="Z528" s="1"/>
      <c r="AA528" s="159"/>
      <c r="AB528" s="159"/>
      <c r="AC528" s="238">
        <v>20.260000000000002</v>
      </c>
      <c r="AD528" s="258"/>
      <c r="AE528" s="3">
        <f t="shared" si="79"/>
        <v>0</v>
      </c>
      <c r="AF528" s="1"/>
      <c r="AG528" s="175">
        <f t="shared" si="77"/>
        <v>0</v>
      </c>
      <c r="AH528" s="4"/>
      <c r="AI528" s="3">
        <f t="shared" si="78"/>
        <v>0</v>
      </c>
      <c r="AJ528" s="3"/>
      <c r="AK528" s="181" t="str">
        <f t="shared" si="80"/>
        <v xml:space="preserve">0.0 </v>
      </c>
      <c r="AL528" s="6"/>
      <c r="AM528" s="3"/>
      <c r="AN528" s="3"/>
      <c r="AO528" s="3">
        <f t="shared" si="81"/>
        <v>0</v>
      </c>
      <c r="AP528" s="3"/>
      <c r="AQ528" s="181" t="str">
        <f t="shared" si="82"/>
        <v xml:space="preserve">0.0 </v>
      </c>
      <c r="AS528" s="123"/>
      <c r="AW528" s="135"/>
    </row>
    <row r="529" spans="3:49" x14ac:dyDescent="0.3">
      <c r="C529" s="42"/>
      <c r="F529" s="184"/>
      <c r="H529" s="184"/>
      <c r="I529" s="184"/>
      <c r="J529" s="193"/>
      <c r="K529" s="193"/>
      <c r="L529" s="123"/>
      <c r="M529" s="123"/>
      <c r="N529" s="160"/>
      <c r="O529" s="160"/>
      <c r="P529" s="123"/>
      <c r="Q529" s="123"/>
      <c r="R529" s="123"/>
      <c r="T529" s="282">
        <f t="shared" si="74"/>
        <v>114</v>
      </c>
      <c r="V529" s="45" t="str">
        <f t="shared" si="75"/>
        <v xml:space="preserve">   37' Style A - Breakaway - Direct Buried</v>
      </c>
      <c r="Y529" s="159">
        <f t="shared" si="76"/>
        <v>0</v>
      </c>
      <c r="Z529" s="1"/>
      <c r="AA529" s="159"/>
      <c r="AB529" s="159"/>
      <c r="AC529" s="238">
        <v>21.56</v>
      </c>
      <c r="AD529" s="258"/>
      <c r="AE529" s="3">
        <f t="shared" si="79"/>
        <v>0</v>
      </c>
      <c r="AF529" s="1"/>
      <c r="AG529" s="175">
        <f t="shared" si="77"/>
        <v>0</v>
      </c>
      <c r="AH529" s="4"/>
      <c r="AI529" s="3">
        <f t="shared" si="78"/>
        <v>0</v>
      </c>
      <c r="AJ529" s="3"/>
      <c r="AK529" s="181" t="str">
        <f t="shared" si="80"/>
        <v xml:space="preserve">0.0 </v>
      </c>
      <c r="AL529" s="6"/>
      <c r="AM529" s="3"/>
      <c r="AN529" s="3"/>
      <c r="AO529" s="3">
        <f t="shared" si="81"/>
        <v>0</v>
      </c>
      <c r="AP529" s="3"/>
      <c r="AQ529" s="181" t="str">
        <f t="shared" si="82"/>
        <v xml:space="preserve">0.0 </v>
      </c>
      <c r="AS529" s="123"/>
      <c r="AW529" s="135"/>
    </row>
    <row r="530" spans="3:49" x14ac:dyDescent="0.3">
      <c r="C530" s="42"/>
      <c r="F530" s="184"/>
      <c r="H530" s="184"/>
      <c r="I530" s="184"/>
      <c r="J530" s="193"/>
      <c r="K530" s="193"/>
      <c r="L530" s="123"/>
      <c r="M530" s="123"/>
      <c r="N530" s="160"/>
      <c r="O530" s="160"/>
      <c r="P530" s="123"/>
      <c r="Q530" s="123"/>
      <c r="R530" s="123"/>
      <c r="T530" s="282">
        <f t="shared" si="74"/>
        <v>115</v>
      </c>
      <c r="V530" s="45" t="str">
        <f t="shared" si="75"/>
        <v xml:space="preserve">   42' Style A - Breakaway - Direct Buried</v>
      </c>
      <c r="Y530" s="159">
        <f t="shared" si="76"/>
        <v>0</v>
      </c>
      <c r="Z530" s="1"/>
      <c r="AA530" s="159"/>
      <c r="AB530" s="159"/>
      <c r="AC530" s="238">
        <v>22.29</v>
      </c>
      <c r="AD530" s="258"/>
      <c r="AE530" s="3">
        <f t="shared" si="79"/>
        <v>0</v>
      </c>
      <c r="AF530" s="1"/>
      <c r="AG530" s="175">
        <f t="shared" si="77"/>
        <v>0</v>
      </c>
      <c r="AH530" s="4"/>
      <c r="AI530" s="3">
        <f t="shared" si="78"/>
        <v>0</v>
      </c>
      <c r="AJ530" s="3"/>
      <c r="AK530" s="181" t="str">
        <f t="shared" si="80"/>
        <v xml:space="preserve">0.0 </v>
      </c>
      <c r="AL530" s="6"/>
      <c r="AM530" s="3"/>
      <c r="AN530" s="3"/>
      <c r="AO530" s="3">
        <f t="shared" si="81"/>
        <v>0</v>
      </c>
      <c r="AP530" s="3"/>
      <c r="AQ530" s="181" t="str">
        <f t="shared" si="82"/>
        <v xml:space="preserve">0.0 </v>
      </c>
      <c r="AS530" s="123"/>
      <c r="AW530" s="135"/>
    </row>
    <row r="531" spans="3:49" x14ac:dyDescent="0.3">
      <c r="C531" s="42"/>
      <c r="F531" s="184"/>
      <c r="H531" s="184"/>
      <c r="I531" s="184"/>
      <c r="J531" s="193"/>
      <c r="K531" s="193"/>
      <c r="L531" s="123"/>
      <c r="M531" s="123"/>
      <c r="N531" s="160"/>
      <c r="O531" s="160"/>
      <c r="P531" s="123"/>
      <c r="Q531" s="123"/>
      <c r="R531" s="123"/>
      <c r="T531" s="282">
        <f t="shared" si="74"/>
        <v>116</v>
      </c>
      <c r="V531" s="45" t="str">
        <f t="shared" si="75"/>
        <v xml:space="preserve">   17' Style B - Anchor Base</v>
      </c>
      <c r="Y531" s="159">
        <f t="shared" si="76"/>
        <v>0</v>
      </c>
      <c r="Z531" s="1"/>
      <c r="AA531" s="159"/>
      <c r="AB531" s="159"/>
      <c r="AC531" s="238">
        <v>15.04</v>
      </c>
      <c r="AD531" s="258"/>
      <c r="AE531" s="3">
        <f t="shared" si="79"/>
        <v>0</v>
      </c>
      <c r="AF531" s="1"/>
      <c r="AG531" s="175">
        <f t="shared" si="77"/>
        <v>0</v>
      </c>
      <c r="AH531" s="4"/>
      <c r="AI531" s="3">
        <f t="shared" si="78"/>
        <v>0</v>
      </c>
      <c r="AJ531" s="3"/>
      <c r="AK531" s="181" t="str">
        <f t="shared" si="80"/>
        <v xml:space="preserve">0.0 </v>
      </c>
      <c r="AL531" s="6"/>
      <c r="AM531" s="3"/>
      <c r="AN531" s="3"/>
      <c r="AO531" s="3">
        <f t="shared" si="81"/>
        <v>0</v>
      </c>
      <c r="AP531" s="3"/>
      <c r="AQ531" s="181" t="str">
        <f t="shared" si="82"/>
        <v xml:space="preserve">0.0 </v>
      </c>
      <c r="AS531" s="123"/>
      <c r="AW531" s="135"/>
    </row>
    <row r="532" spans="3:49" x14ac:dyDescent="0.3">
      <c r="C532" s="42"/>
      <c r="F532" s="184"/>
      <c r="H532" s="184"/>
      <c r="I532" s="184"/>
      <c r="J532" s="193"/>
      <c r="K532" s="193"/>
      <c r="L532" s="123"/>
      <c r="M532" s="123"/>
      <c r="N532" s="160"/>
      <c r="O532" s="160"/>
      <c r="P532" s="123"/>
      <c r="Q532" s="123"/>
      <c r="R532" s="123"/>
      <c r="T532" s="282">
        <f t="shared" si="74"/>
        <v>117</v>
      </c>
      <c r="V532" s="45" t="str">
        <f t="shared" si="75"/>
        <v xml:space="preserve">   17' Style C - Post Top - Anchor Base</v>
      </c>
      <c r="Y532" s="159">
        <f t="shared" si="76"/>
        <v>0</v>
      </c>
      <c r="Z532" s="1"/>
      <c r="AA532" s="159"/>
      <c r="AB532" s="159"/>
      <c r="AC532" s="238">
        <v>16.22</v>
      </c>
      <c r="AD532" s="258"/>
      <c r="AE532" s="3">
        <f t="shared" si="79"/>
        <v>0</v>
      </c>
      <c r="AF532" s="1"/>
      <c r="AG532" s="175">
        <f t="shared" si="77"/>
        <v>0</v>
      </c>
      <c r="AH532" s="4"/>
      <c r="AI532" s="3">
        <f t="shared" si="78"/>
        <v>0</v>
      </c>
      <c r="AJ532" s="3"/>
      <c r="AK532" s="181" t="str">
        <f t="shared" si="80"/>
        <v xml:space="preserve">0.0 </v>
      </c>
      <c r="AL532" s="6"/>
      <c r="AM532" s="3"/>
      <c r="AN532" s="3"/>
      <c r="AO532" s="3">
        <f t="shared" si="81"/>
        <v>0</v>
      </c>
      <c r="AP532" s="3"/>
      <c r="AQ532" s="181" t="str">
        <f t="shared" si="82"/>
        <v xml:space="preserve">0.0 </v>
      </c>
      <c r="AS532" s="123"/>
      <c r="AW532" s="135"/>
    </row>
    <row r="533" spans="3:49" x14ac:dyDescent="0.3">
      <c r="C533" s="42"/>
      <c r="F533" s="184"/>
      <c r="H533" s="184"/>
      <c r="I533" s="184"/>
      <c r="J533" s="193"/>
      <c r="K533" s="193"/>
      <c r="L533" s="123"/>
      <c r="M533" s="123"/>
      <c r="N533" s="160"/>
      <c r="O533" s="160"/>
      <c r="P533" s="123"/>
      <c r="Q533" s="123"/>
      <c r="R533" s="123"/>
      <c r="T533" s="282">
        <f t="shared" si="74"/>
        <v>118</v>
      </c>
      <c r="V533" s="45" t="str">
        <f t="shared" si="75"/>
        <v xml:space="preserve">   17' Style C - Davit - Anchor Base</v>
      </c>
      <c r="Y533" s="159">
        <f t="shared" si="76"/>
        <v>0</v>
      </c>
      <c r="Z533" s="1"/>
      <c r="AA533" s="159"/>
      <c r="AB533" s="159"/>
      <c r="AC533" s="238">
        <v>25.65</v>
      </c>
      <c r="AD533" s="258"/>
      <c r="AE533" s="3">
        <f t="shared" si="79"/>
        <v>0</v>
      </c>
      <c r="AF533" s="1"/>
      <c r="AG533" s="175">
        <f t="shared" si="77"/>
        <v>0</v>
      </c>
      <c r="AH533" s="4"/>
      <c r="AI533" s="3">
        <f t="shared" si="78"/>
        <v>0</v>
      </c>
      <c r="AJ533" s="3"/>
      <c r="AK533" s="181" t="str">
        <f t="shared" si="80"/>
        <v xml:space="preserve">0.0 </v>
      </c>
      <c r="AL533" s="6"/>
      <c r="AM533" s="3"/>
      <c r="AN533" s="3"/>
      <c r="AO533" s="3">
        <f t="shared" si="81"/>
        <v>0</v>
      </c>
      <c r="AP533" s="3"/>
      <c r="AQ533" s="181" t="str">
        <f t="shared" si="82"/>
        <v xml:space="preserve">0.0 </v>
      </c>
      <c r="AS533" s="123"/>
      <c r="AW533" s="135"/>
    </row>
    <row r="534" spans="3:49" x14ac:dyDescent="0.3">
      <c r="C534" s="42"/>
      <c r="F534" s="184"/>
      <c r="H534" s="184"/>
      <c r="I534" s="184"/>
      <c r="J534" s="193"/>
      <c r="K534" s="193"/>
      <c r="L534" s="123"/>
      <c r="M534" s="123"/>
      <c r="N534" s="160"/>
      <c r="O534" s="160"/>
      <c r="P534" s="123"/>
      <c r="Q534" s="123"/>
      <c r="R534" s="123"/>
      <c r="T534" s="282">
        <f t="shared" si="74"/>
        <v>119</v>
      </c>
      <c r="V534" s="45" t="str">
        <f t="shared" si="75"/>
        <v xml:space="preserve">   17' Style C - Boston Harbor - Anchor Base</v>
      </c>
      <c r="Y534" s="159">
        <f t="shared" si="76"/>
        <v>0</v>
      </c>
      <c r="Z534" s="1"/>
      <c r="AA534" s="159"/>
      <c r="AB534" s="159"/>
      <c r="AC534" s="238">
        <v>25.02</v>
      </c>
      <c r="AD534" s="258"/>
      <c r="AE534" s="3">
        <f t="shared" si="79"/>
        <v>0</v>
      </c>
      <c r="AF534" s="1"/>
      <c r="AG534" s="175">
        <f t="shared" si="77"/>
        <v>0</v>
      </c>
      <c r="AH534" s="4"/>
      <c r="AI534" s="3">
        <f t="shared" si="78"/>
        <v>0</v>
      </c>
      <c r="AJ534" s="3"/>
      <c r="AK534" s="181" t="str">
        <f t="shared" si="80"/>
        <v xml:space="preserve">0.0 </v>
      </c>
      <c r="AL534" s="6"/>
      <c r="AM534" s="3"/>
      <c r="AN534" s="3"/>
      <c r="AO534" s="3">
        <f t="shared" si="81"/>
        <v>0</v>
      </c>
      <c r="AP534" s="3"/>
      <c r="AQ534" s="181" t="str">
        <f t="shared" si="82"/>
        <v xml:space="preserve">0.0 </v>
      </c>
      <c r="AS534" s="123"/>
      <c r="AW534" s="135"/>
    </row>
    <row r="535" spans="3:49" x14ac:dyDescent="0.3">
      <c r="C535" s="42"/>
      <c r="F535" s="184"/>
      <c r="H535" s="184"/>
      <c r="I535" s="184"/>
      <c r="J535" s="193"/>
      <c r="K535" s="193"/>
      <c r="L535" s="123"/>
      <c r="M535" s="123"/>
      <c r="N535" s="160"/>
      <c r="O535" s="160"/>
      <c r="P535" s="123"/>
      <c r="Q535" s="123"/>
      <c r="R535" s="123"/>
      <c r="T535" s="282">
        <f t="shared" si="74"/>
        <v>120</v>
      </c>
      <c r="V535" s="45" t="str">
        <f t="shared" si="75"/>
        <v xml:space="preserve">   25' Style D - Boston Harbor - Anchor Base</v>
      </c>
      <c r="Y535" s="159">
        <f t="shared" si="76"/>
        <v>0</v>
      </c>
      <c r="Z535" s="1"/>
      <c r="AA535" s="159"/>
      <c r="AB535" s="159"/>
      <c r="AC535" s="238">
        <v>29.17</v>
      </c>
      <c r="AD535" s="258"/>
      <c r="AE535" s="3">
        <f t="shared" si="79"/>
        <v>0</v>
      </c>
      <c r="AF535" s="1"/>
      <c r="AG535" s="175">
        <f t="shared" si="77"/>
        <v>0</v>
      </c>
      <c r="AH535" s="4"/>
      <c r="AI535" s="3">
        <f t="shared" si="78"/>
        <v>0</v>
      </c>
      <c r="AJ535" s="3"/>
      <c r="AK535" s="181" t="str">
        <f t="shared" si="80"/>
        <v xml:space="preserve">0.0 </v>
      </c>
      <c r="AL535" s="6"/>
      <c r="AM535" s="3"/>
      <c r="AN535" s="3"/>
      <c r="AO535" s="3">
        <f t="shared" si="81"/>
        <v>0</v>
      </c>
      <c r="AP535" s="3"/>
      <c r="AQ535" s="181" t="str">
        <f t="shared" si="82"/>
        <v xml:space="preserve">0.0 </v>
      </c>
      <c r="AS535" s="123"/>
      <c r="AW535" s="135"/>
    </row>
    <row r="536" spans="3:49" x14ac:dyDescent="0.3">
      <c r="C536" s="42"/>
      <c r="F536" s="184"/>
      <c r="H536" s="184"/>
      <c r="I536" s="184"/>
      <c r="J536" s="193"/>
      <c r="K536" s="193"/>
      <c r="L536" s="123"/>
      <c r="M536" s="123"/>
      <c r="N536" s="160"/>
      <c r="O536" s="160"/>
      <c r="P536" s="123"/>
      <c r="Q536" s="123"/>
      <c r="R536" s="123"/>
      <c r="T536" s="282">
        <f t="shared" si="74"/>
        <v>121</v>
      </c>
      <c r="V536" s="45" t="str">
        <f t="shared" si="75"/>
        <v xml:space="preserve">   50' Wood - Direct Buried</v>
      </c>
      <c r="Y536" s="159">
        <f t="shared" si="76"/>
        <v>0</v>
      </c>
      <c r="Z536" s="1"/>
      <c r="AA536" s="159"/>
      <c r="AB536" s="159"/>
      <c r="AC536" s="238">
        <v>10.64</v>
      </c>
      <c r="AD536" s="258"/>
      <c r="AE536" s="3">
        <f t="shared" si="79"/>
        <v>0</v>
      </c>
      <c r="AF536" s="1"/>
      <c r="AG536" s="175">
        <f t="shared" si="77"/>
        <v>0</v>
      </c>
      <c r="AH536" s="4"/>
      <c r="AI536" s="3">
        <f t="shared" si="78"/>
        <v>0</v>
      </c>
      <c r="AJ536" s="3"/>
      <c r="AK536" s="181" t="str">
        <f t="shared" si="80"/>
        <v xml:space="preserve">0.0 </v>
      </c>
      <c r="AL536" s="6"/>
      <c r="AM536" s="3"/>
      <c r="AN536" s="3"/>
      <c r="AO536" s="3">
        <f t="shared" si="81"/>
        <v>0</v>
      </c>
      <c r="AP536" s="3"/>
      <c r="AQ536" s="181" t="str">
        <f t="shared" si="82"/>
        <v xml:space="preserve">0.0 </v>
      </c>
      <c r="AS536" s="123"/>
      <c r="AW536" s="135"/>
    </row>
    <row r="537" spans="3:49" x14ac:dyDescent="0.3">
      <c r="C537" s="42"/>
      <c r="F537" s="184"/>
      <c r="H537" s="184"/>
      <c r="I537" s="184"/>
      <c r="J537" s="193"/>
      <c r="K537" s="193"/>
      <c r="L537" s="123"/>
      <c r="M537" s="123"/>
      <c r="N537" s="160"/>
      <c r="O537" s="160"/>
      <c r="P537" s="123"/>
      <c r="Q537" s="123"/>
      <c r="R537" s="123"/>
      <c r="T537" s="282">
        <f t="shared" si="74"/>
        <v>122</v>
      </c>
      <c r="V537" s="45" t="str">
        <f t="shared" si="75"/>
        <v xml:space="preserve">   55' Wood - Direct Buried</v>
      </c>
      <c r="Y537" s="159">
        <f t="shared" si="76"/>
        <v>0</v>
      </c>
      <c r="Z537" s="1"/>
      <c r="AA537" s="159"/>
      <c r="AB537" s="159"/>
      <c r="AC537" s="238">
        <v>11.21</v>
      </c>
      <c r="AD537" s="258"/>
      <c r="AE537" s="3">
        <f t="shared" si="79"/>
        <v>0</v>
      </c>
      <c r="AF537" s="1"/>
      <c r="AG537" s="175">
        <f t="shared" si="77"/>
        <v>0</v>
      </c>
      <c r="AH537" s="4"/>
      <c r="AI537" s="3">
        <f t="shared" si="78"/>
        <v>0</v>
      </c>
      <c r="AJ537" s="3"/>
      <c r="AK537" s="181" t="str">
        <f t="shared" si="80"/>
        <v xml:space="preserve">0.0 </v>
      </c>
      <c r="AL537" s="6"/>
      <c r="AM537" s="3"/>
      <c r="AN537" s="3"/>
      <c r="AO537" s="3">
        <f t="shared" si="81"/>
        <v>0</v>
      </c>
      <c r="AP537" s="3"/>
      <c r="AQ537" s="181" t="str">
        <f t="shared" si="82"/>
        <v xml:space="preserve">0.0 </v>
      </c>
      <c r="AS537" s="123"/>
      <c r="AW537" s="135"/>
    </row>
    <row r="538" spans="3:49" x14ac:dyDescent="0.3">
      <c r="C538" s="42"/>
      <c r="F538" s="184"/>
      <c r="H538" s="184"/>
      <c r="I538" s="184"/>
      <c r="J538" s="193"/>
      <c r="K538" s="193"/>
      <c r="L538" s="123"/>
      <c r="M538" s="123"/>
      <c r="N538" s="160"/>
      <c r="O538" s="160"/>
      <c r="P538" s="123"/>
      <c r="Q538" s="123"/>
      <c r="R538" s="123"/>
      <c r="T538" s="282">
        <f t="shared" si="74"/>
        <v>123</v>
      </c>
      <c r="V538" s="45" t="str">
        <f t="shared" si="75"/>
        <v xml:space="preserve">   18' Style C - Breakaway - Direct Buried</v>
      </c>
      <c r="Y538" s="159">
        <f t="shared" si="76"/>
        <v>0</v>
      </c>
      <c r="Z538" s="1"/>
      <c r="AA538" s="159"/>
      <c r="AB538" s="159"/>
      <c r="AC538" s="238">
        <v>22.18</v>
      </c>
      <c r="AD538" s="258"/>
      <c r="AE538" s="3">
        <f t="shared" si="79"/>
        <v>0</v>
      </c>
      <c r="AF538" s="1"/>
      <c r="AG538" s="175">
        <f t="shared" si="77"/>
        <v>0</v>
      </c>
      <c r="AH538" s="4"/>
      <c r="AI538" s="3">
        <f t="shared" si="78"/>
        <v>0</v>
      </c>
      <c r="AJ538" s="3"/>
      <c r="AK538" s="181" t="str">
        <f t="shared" si="80"/>
        <v xml:space="preserve">0.0 </v>
      </c>
      <c r="AL538" s="6"/>
      <c r="AM538" s="3"/>
      <c r="AN538" s="3"/>
      <c r="AO538" s="3">
        <f t="shared" si="81"/>
        <v>0</v>
      </c>
      <c r="AP538" s="3"/>
      <c r="AQ538" s="181" t="str">
        <f t="shared" si="82"/>
        <v xml:space="preserve">0.0 </v>
      </c>
      <c r="AS538" s="123"/>
      <c r="AW538" s="135"/>
    </row>
    <row r="539" spans="3:49" x14ac:dyDescent="0.3">
      <c r="C539" s="42"/>
      <c r="F539" s="184"/>
      <c r="H539" s="184"/>
      <c r="I539" s="184"/>
      <c r="J539" s="193"/>
      <c r="K539" s="193"/>
      <c r="L539" s="123"/>
      <c r="M539" s="123"/>
      <c r="N539" s="160"/>
      <c r="O539" s="160"/>
      <c r="P539" s="123"/>
      <c r="Q539" s="123"/>
      <c r="R539" s="123"/>
      <c r="T539" s="282">
        <f t="shared" si="74"/>
        <v>124</v>
      </c>
      <c r="V539" s="45" t="str">
        <f t="shared" si="75"/>
        <v xml:space="preserve">   17' Wood Laminated</v>
      </c>
      <c r="Y539" s="159">
        <f t="shared" si="76"/>
        <v>0</v>
      </c>
      <c r="Z539" s="1"/>
      <c r="AA539" s="159"/>
      <c r="AB539" s="159"/>
      <c r="AC539" s="238">
        <v>6.25</v>
      </c>
      <c r="AD539" s="258"/>
      <c r="AE539" s="3">
        <f t="shared" ref="AE539:AE549" si="83">ROUND((Y539*(AC539+AD539)),0)</f>
        <v>0</v>
      </c>
      <c r="AF539" s="1"/>
      <c r="AG539" s="175">
        <f t="shared" si="77"/>
        <v>0</v>
      </c>
      <c r="AH539" s="4"/>
      <c r="AI539" s="3">
        <f t="shared" si="78"/>
        <v>0</v>
      </c>
      <c r="AJ539" s="3"/>
      <c r="AK539" s="181" t="str">
        <f t="shared" ref="AK539:AK549" si="84">IF(AE539=0,"0.0 ",ROUND((AI539/AE539)*100,1))</f>
        <v xml:space="preserve">0.0 </v>
      </c>
      <c r="AL539" s="6"/>
      <c r="AM539" s="3"/>
      <c r="AN539" s="3"/>
      <c r="AO539" s="3">
        <f t="shared" ref="AO539:AO549" si="85">AM539+AE539</f>
        <v>0</v>
      </c>
      <c r="AP539" s="3"/>
      <c r="AQ539" s="181" t="str">
        <f t="shared" ref="AQ539:AQ549" si="86">IF(AO539=0,"0.0 ",ROUND((AI539/AO539)*100,1))</f>
        <v xml:space="preserve">0.0 </v>
      </c>
      <c r="AS539" s="123"/>
      <c r="AW539" s="135"/>
    </row>
    <row r="540" spans="3:49" x14ac:dyDescent="0.3">
      <c r="C540" s="42"/>
      <c r="F540" s="184"/>
      <c r="H540" s="184"/>
      <c r="I540" s="184"/>
      <c r="J540" s="193"/>
      <c r="K540" s="193"/>
      <c r="L540" s="123"/>
      <c r="M540" s="123"/>
      <c r="N540" s="160"/>
      <c r="O540" s="160"/>
      <c r="P540" s="123"/>
      <c r="Q540" s="123"/>
      <c r="R540" s="123"/>
      <c r="T540" s="282">
        <f t="shared" si="74"/>
        <v>125</v>
      </c>
      <c r="V540" s="45" t="str">
        <f t="shared" si="75"/>
        <v xml:space="preserve">   12' Aluminum (decorative)</v>
      </c>
      <c r="Y540" s="159">
        <f t="shared" si="76"/>
        <v>0</v>
      </c>
      <c r="Z540" s="1"/>
      <c r="AA540" s="159"/>
      <c r="AB540" s="159"/>
      <c r="AC540" s="238">
        <v>16.98</v>
      </c>
      <c r="AD540" s="258"/>
      <c r="AE540" s="3">
        <f t="shared" si="83"/>
        <v>0</v>
      </c>
      <c r="AF540" s="1"/>
      <c r="AG540" s="175">
        <f t="shared" si="77"/>
        <v>0</v>
      </c>
      <c r="AH540" s="4"/>
      <c r="AI540" s="3">
        <f t="shared" si="78"/>
        <v>0</v>
      </c>
      <c r="AJ540" s="3"/>
      <c r="AK540" s="181" t="str">
        <f t="shared" si="84"/>
        <v xml:space="preserve">0.0 </v>
      </c>
      <c r="AL540" s="6"/>
      <c r="AM540" s="3"/>
      <c r="AN540" s="3"/>
      <c r="AO540" s="3">
        <f t="shared" si="85"/>
        <v>0</v>
      </c>
      <c r="AP540" s="3"/>
      <c r="AQ540" s="181" t="str">
        <f t="shared" si="86"/>
        <v xml:space="preserve">0.0 </v>
      </c>
      <c r="AS540" s="123"/>
      <c r="AW540" s="135"/>
    </row>
    <row r="541" spans="3:49" x14ac:dyDescent="0.3">
      <c r="C541" s="42"/>
      <c r="F541" s="184"/>
      <c r="H541" s="184"/>
      <c r="I541" s="184"/>
      <c r="J541" s="193"/>
      <c r="K541" s="193"/>
      <c r="L541" s="123"/>
      <c r="M541" s="123"/>
      <c r="N541" s="160"/>
      <c r="O541" s="160"/>
      <c r="P541" s="123"/>
      <c r="Q541" s="123"/>
      <c r="R541" s="123"/>
      <c r="T541" s="282">
        <f t="shared" si="74"/>
        <v>126</v>
      </c>
      <c r="V541" s="45" t="str">
        <f t="shared" si="75"/>
        <v xml:space="preserve">   28' Aluminum</v>
      </c>
      <c r="Y541" s="159">
        <f t="shared" si="76"/>
        <v>0</v>
      </c>
      <c r="Z541" s="1"/>
      <c r="AA541" s="159"/>
      <c r="AB541" s="159"/>
      <c r="AC541" s="238">
        <v>9.84</v>
      </c>
      <c r="AD541" s="258"/>
      <c r="AE541" s="3">
        <f t="shared" si="83"/>
        <v>0</v>
      </c>
      <c r="AF541" s="1"/>
      <c r="AG541" s="175">
        <f t="shared" si="77"/>
        <v>0</v>
      </c>
      <c r="AH541" s="4"/>
      <c r="AI541" s="3">
        <f t="shared" si="78"/>
        <v>0</v>
      </c>
      <c r="AJ541" s="3"/>
      <c r="AK541" s="181" t="str">
        <f t="shared" si="84"/>
        <v xml:space="preserve">0.0 </v>
      </c>
      <c r="AL541" s="6"/>
      <c r="AM541" s="3"/>
      <c r="AN541" s="3"/>
      <c r="AO541" s="3">
        <f t="shared" si="85"/>
        <v>0</v>
      </c>
      <c r="AP541" s="3"/>
      <c r="AQ541" s="181" t="str">
        <f t="shared" si="86"/>
        <v xml:space="preserve">0.0 </v>
      </c>
      <c r="AS541" s="123"/>
      <c r="AW541" s="135"/>
    </row>
    <row r="542" spans="3:49" x14ac:dyDescent="0.3">
      <c r="C542" s="42"/>
      <c r="F542" s="184"/>
      <c r="H542" s="184"/>
      <c r="I542" s="184"/>
      <c r="J542" s="193"/>
      <c r="K542" s="193"/>
      <c r="L542" s="123"/>
      <c r="M542" s="123"/>
      <c r="N542" s="160"/>
      <c r="O542" s="160"/>
      <c r="P542" s="123"/>
      <c r="Q542" s="123"/>
      <c r="R542" s="123"/>
      <c r="T542" s="282">
        <f t="shared" si="74"/>
        <v>127</v>
      </c>
      <c r="V542" s="45" t="str">
        <f t="shared" si="75"/>
        <v xml:space="preserve">   28' Aluminum - Heavy Duty</v>
      </c>
      <c r="Y542" s="159">
        <f t="shared" si="76"/>
        <v>0</v>
      </c>
      <c r="Z542" s="1"/>
      <c r="AA542" s="159"/>
      <c r="AB542" s="159"/>
      <c r="AC542" s="238">
        <v>9.9499999999999993</v>
      </c>
      <c r="AD542" s="258"/>
      <c r="AE542" s="3">
        <f t="shared" si="83"/>
        <v>0</v>
      </c>
      <c r="AF542" s="1"/>
      <c r="AG542" s="175">
        <f t="shared" si="77"/>
        <v>0</v>
      </c>
      <c r="AH542" s="4"/>
      <c r="AI542" s="3">
        <f t="shared" si="78"/>
        <v>0</v>
      </c>
      <c r="AJ542" s="3"/>
      <c r="AK542" s="181" t="str">
        <f t="shared" si="84"/>
        <v xml:space="preserve">0.0 </v>
      </c>
      <c r="AL542" s="6"/>
      <c r="AM542" s="3"/>
      <c r="AN542" s="3"/>
      <c r="AO542" s="3">
        <f t="shared" si="85"/>
        <v>0</v>
      </c>
      <c r="AP542" s="3"/>
      <c r="AQ542" s="181" t="str">
        <f t="shared" si="86"/>
        <v xml:space="preserve">0.0 </v>
      </c>
      <c r="AS542" s="123"/>
      <c r="AW542" s="135"/>
    </row>
    <row r="543" spans="3:49" x14ac:dyDescent="0.3">
      <c r="C543" s="42"/>
      <c r="F543" s="184"/>
      <c r="H543" s="184"/>
      <c r="I543" s="184"/>
      <c r="J543" s="193"/>
      <c r="K543" s="193"/>
      <c r="L543" s="123"/>
      <c r="M543" s="123"/>
      <c r="N543" s="160"/>
      <c r="O543" s="160"/>
      <c r="P543" s="123"/>
      <c r="Q543" s="123"/>
      <c r="R543" s="123"/>
      <c r="T543" s="282">
        <f t="shared" si="74"/>
        <v>128</v>
      </c>
      <c r="V543" s="45" t="str">
        <f t="shared" si="75"/>
        <v xml:space="preserve">   30' Aluminum - Anchor Base</v>
      </c>
      <c r="Y543" s="159">
        <f t="shared" si="76"/>
        <v>0</v>
      </c>
      <c r="Z543" s="1"/>
      <c r="AA543" s="159"/>
      <c r="AB543" s="159"/>
      <c r="AC543" s="238">
        <v>19.66</v>
      </c>
      <c r="AD543" s="258"/>
      <c r="AE543" s="3">
        <f t="shared" si="83"/>
        <v>0</v>
      </c>
      <c r="AF543" s="1"/>
      <c r="AG543" s="175">
        <f t="shared" si="77"/>
        <v>0</v>
      </c>
      <c r="AH543" s="4"/>
      <c r="AI543" s="3">
        <f t="shared" si="78"/>
        <v>0</v>
      </c>
      <c r="AJ543" s="3"/>
      <c r="AK543" s="181" t="str">
        <f t="shared" si="84"/>
        <v xml:space="preserve">0.0 </v>
      </c>
      <c r="AL543" s="6"/>
      <c r="AM543" s="3"/>
      <c r="AN543" s="3"/>
      <c r="AO543" s="3">
        <f t="shared" si="85"/>
        <v>0</v>
      </c>
      <c r="AP543" s="3"/>
      <c r="AQ543" s="181" t="str">
        <f t="shared" si="86"/>
        <v xml:space="preserve">0.0 </v>
      </c>
      <c r="AS543" s="123"/>
      <c r="AW543" s="135"/>
    </row>
    <row r="544" spans="3:49" x14ac:dyDescent="0.3">
      <c r="C544" s="42"/>
      <c r="F544" s="184"/>
      <c r="H544" s="184"/>
      <c r="I544" s="184"/>
      <c r="J544" s="193"/>
      <c r="K544" s="193"/>
      <c r="L544" s="123"/>
      <c r="M544" s="123"/>
      <c r="N544" s="160"/>
      <c r="O544" s="160"/>
      <c r="P544" s="123"/>
      <c r="Q544" s="123"/>
      <c r="R544" s="123"/>
      <c r="T544" s="282">
        <f t="shared" si="74"/>
        <v>129</v>
      </c>
      <c r="V544" s="45" t="str">
        <f t="shared" si="75"/>
        <v xml:space="preserve">   17' Fiberglass</v>
      </c>
      <c r="Y544" s="159">
        <f t="shared" si="76"/>
        <v>0</v>
      </c>
      <c r="Z544" s="1"/>
      <c r="AA544" s="159"/>
      <c r="AB544" s="159"/>
      <c r="AC544" s="238">
        <v>6.25</v>
      </c>
      <c r="AD544" s="258"/>
      <c r="AE544" s="3">
        <f t="shared" si="83"/>
        <v>0</v>
      </c>
      <c r="AF544" s="1"/>
      <c r="AG544" s="175">
        <f t="shared" si="77"/>
        <v>0</v>
      </c>
      <c r="AH544" s="4"/>
      <c r="AI544" s="3">
        <f t="shared" si="78"/>
        <v>0</v>
      </c>
      <c r="AJ544" s="3"/>
      <c r="AK544" s="181" t="str">
        <f t="shared" si="84"/>
        <v xml:space="preserve">0.0 </v>
      </c>
      <c r="AL544" s="6"/>
      <c r="AM544" s="3"/>
      <c r="AN544" s="3"/>
      <c r="AO544" s="3">
        <f t="shared" si="85"/>
        <v>0</v>
      </c>
      <c r="AP544" s="3"/>
      <c r="AQ544" s="181" t="str">
        <f t="shared" si="86"/>
        <v xml:space="preserve">0.0 </v>
      </c>
      <c r="AS544" s="123"/>
      <c r="AW544" s="135"/>
    </row>
    <row r="545" spans="3:49" x14ac:dyDescent="0.3">
      <c r="C545" s="42"/>
      <c r="F545" s="184"/>
      <c r="H545" s="184"/>
      <c r="I545" s="184"/>
      <c r="J545" s="193"/>
      <c r="K545" s="193"/>
      <c r="L545" s="123"/>
      <c r="M545" s="123"/>
      <c r="N545" s="160"/>
      <c r="O545" s="160"/>
      <c r="P545" s="123"/>
      <c r="Q545" s="123"/>
      <c r="R545" s="123"/>
      <c r="T545" s="282">
        <f t="shared" si="74"/>
        <v>130</v>
      </c>
      <c r="V545" s="45" t="str">
        <f t="shared" si="75"/>
        <v xml:space="preserve">   12' Fiberglass - Decorative</v>
      </c>
      <c r="Y545" s="159">
        <f t="shared" si="76"/>
        <v>0</v>
      </c>
      <c r="Z545" s="1"/>
      <c r="AA545" s="159"/>
      <c r="AB545" s="159"/>
      <c r="AC545" s="238">
        <v>18.260000000000002</v>
      </c>
      <c r="AD545" s="258"/>
      <c r="AE545" s="3">
        <f t="shared" si="83"/>
        <v>0</v>
      </c>
      <c r="AF545" s="1"/>
      <c r="AG545" s="175">
        <f t="shared" si="77"/>
        <v>0</v>
      </c>
      <c r="AH545" s="4"/>
      <c r="AI545" s="3">
        <f t="shared" si="78"/>
        <v>0</v>
      </c>
      <c r="AJ545" s="3"/>
      <c r="AK545" s="181" t="str">
        <f t="shared" si="84"/>
        <v xml:space="preserve">0.0 </v>
      </c>
      <c r="AL545" s="6"/>
      <c r="AM545" s="3"/>
      <c r="AN545" s="3"/>
      <c r="AO545" s="3">
        <f t="shared" si="85"/>
        <v>0</v>
      </c>
      <c r="AP545" s="3"/>
      <c r="AQ545" s="181" t="str">
        <f t="shared" si="86"/>
        <v xml:space="preserve">0.0 </v>
      </c>
      <c r="AS545" s="123"/>
      <c r="AW545" s="135"/>
    </row>
    <row r="546" spans="3:49" x14ac:dyDescent="0.3">
      <c r="C546" s="42"/>
      <c r="F546" s="184"/>
      <c r="H546" s="184"/>
      <c r="I546" s="184"/>
      <c r="J546" s="193"/>
      <c r="K546" s="193"/>
      <c r="L546" s="123"/>
      <c r="M546" s="123"/>
      <c r="N546" s="160"/>
      <c r="O546" s="160"/>
      <c r="P546" s="123"/>
      <c r="Q546" s="123"/>
      <c r="R546" s="123"/>
      <c r="T546" s="282">
        <f t="shared" si="74"/>
        <v>131</v>
      </c>
      <c r="V546" s="45" t="str">
        <f t="shared" si="75"/>
        <v xml:space="preserve">   30'  Fiberglass (Bronze)</v>
      </c>
      <c r="Y546" s="159">
        <f t="shared" si="76"/>
        <v>0</v>
      </c>
      <c r="Z546" s="1"/>
      <c r="AA546" s="159"/>
      <c r="AB546" s="159"/>
      <c r="AC546" s="238">
        <v>11.88</v>
      </c>
      <c r="AD546" s="258"/>
      <c r="AE546" s="3">
        <f t="shared" si="83"/>
        <v>0</v>
      </c>
      <c r="AF546" s="1"/>
      <c r="AG546" s="175">
        <f t="shared" si="77"/>
        <v>0</v>
      </c>
      <c r="AH546" s="4"/>
      <c r="AI546" s="3">
        <f t="shared" si="78"/>
        <v>0</v>
      </c>
      <c r="AJ546" s="3"/>
      <c r="AK546" s="181" t="str">
        <f t="shared" si="84"/>
        <v xml:space="preserve">0.0 </v>
      </c>
      <c r="AL546" s="6"/>
      <c r="AM546" s="3"/>
      <c r="AN546" s="3"/>
      <c r="AO546" s="3">
        <f t="shared" si="85"/>
        <v>0</v>
      </c>
      <c r="AP546" s="3"/>
      <c r="AQ546" s="181" t="str">
        <f t="shared" si="86"/>
        <v xml:space="preserve">0.0 </v>
      </c>
      <c r="AS546" s="123"/>
      <c r="AW546" s="135"/>
    </row>
    <row r="547" spans="3:49" x14ac:dyDescent="0.3">
      <c r="C547" s="42"/>
      <c r="F547" s="184"/>
      <c r="H547" s="184"/>
      <c r="I547" s="184"/>
      <c r="J547" s="193"/>
      <c r="K547" s="193"/>
      <c r="L547" s="123"/>
      <c r="M547" s="123"/>
      <c r="N547" s="160"/>
      <c r="O547" s="160"/>
      <c r="P547" s="123"/>
      <c r="Q547" s="123"/>
      <c r="R547" s="123"/>
      <c r="T547" s="282">
        <f t="shared" si="74"/>
        <v>132</v>
      </c>
      <c r="V547" s="45" t="str">
        <f t="shared" si="75"/>
        <v xml:space="preserve">   35'  Fiberglass (Bronze)</v>
      </c>
      <c r="Y547" s="159">
        <f t="shared" si="76"/>
        <v>0</v>
      </c>
      <c r="Z547" s="1"/>
      <c r="AA547" s="159"/>
      <c r="AB547" s="159"/>
      <c r="AC547" s="238">
        <v>12.21</v>
      </c>
      <c r="AD547" s="258"/>
      <c r="AE547" s="3">
        <f t="shared" si="83"/>
        <v>0</v>
      </c>
      <c r="AF547" s="1"/>
      <c r="AG547" s="175">
        <f t="shared" si="77"/>
        <v>0</v>
      </c>
      <c r="AH547" s="4"/>
      <c r="AI547" s="3">
        <f t="shared" si="78"/>
        <v>0</v>
      </c>
      <c r="AJ547" s="3"/>
      <c r="AK547" s="181" t="str">
        <f t="shared" si="84"/>
        <v xml:space="preserve">0.0 </v>
      </c>
      <c r="AL547" s="6"/>
      <c r="AM547" s="3"/>
      <c r="AN547" s="3"/>
      <c r="AO547" s="3">
        <f t="shared" si="85"/>
        <v>0</v>
      </c>
      <c r="AP547" s="3"/>
      <c r="AQ547" s="181" t="str">
        <f t="shared" si="86"/>
        <v xml:space="preserve">0.0 </v>
      </c>
      <c r="AS547" s="123"/>
      <c r="AW547" s="135"/>
    </row>
    <row r="548" spans="3:49" x14ac:dyDescent="0.3">
      <c r="C548" s="42"/>
      <c r="F548" s="184"/>
      <c r="H548" s="184"/>
      <c r="I548" s="184"/>
      <c r="J548" s="193"/>
      <c r="K548" s="193"/>
      <c r="L548" s="123"/>
      <c r="M548" s="123"/>
      <c r="N548" s="160"/>
      <c r="O548" s="160"/>
      <c r="P548" s="123"/>
      <c r="Q548" s="123"/>
      <c r="R548" s="123"/>
      <c r="T548" s="282">
        <f t="shared" si="74"/>
        <v>133</v>
      </c>
      <c r="V548" s="45" t="str">
        <f t="shared" si="75"/>
        <v xml:space="preserve">   27' Steel (11 gauge)</v>
      </c>
      <c r="Y548" s="159">
        <f t="shared" si="76"/>
        <v>0</v>
      </c>
      <c r="Z548" s="1"/>
      <c r="AA548" s="159"/>
      <c r="AB548" s="159"/>
      <c r="AC548" s="238">
        <v>16.05</v>
      </c>
      <c r="AD548" s="258"/>
      <c r="AE548" s="3">
        <f t="shared" si="83"/>
        <v>0</v>
      </c>
      <c r="AF548" s="1"/>
      <c r="AG548" s="175">
        <f t="shared" si="77"/>
        <v>0</v>
      </c>
      <c r="AH548" s="4"/>
      <c r="AI548" s="3">
        <f t="shared" si="78"/>
        <v>0</v>
      </c>
      <c r="AJ548" s="3"/>
      <c r="AK548" s="181" t="str">
        <f t="shared" si="84"/>
        <v xml:space="preserve">0.0 </v>
      </c>
      <c r="AL548" s="6"/>
      <c r="AM548" s="3"/>
      <c r="AN548" s="3"/>
      <c r="AO548" s="3">
        <f t="shared" si="85"/>
        <v>0</v>
      </c>
      <c r="AP548" s="3"/>
      <c r="AQ548" s="181" t="str">
        <f t="shared" si="86"/>
        <v xml:space="preserve">0.0 </v>
      </c>
      <c r="AS548" s="123"/>
      <c r="AW548" s="135"/>
    </row>
    <row r="549" spans="3:49" x14ac:dyDescent="0.3">
      <c r="C549" s="42"/>
      <c r="F549" s="184"/>
      <c r="H549" s="184"/>
      <c r="I549" s="184"/>
      <c r="J549" s="193"/>
      <c r="K549" s="193"/>
      <c r="L549" s="123"/>
      <c r="M549" s="123"/>
      <c r="N549" s="160"/>
      <c r="O549" s="160"/>
      <c r="P549" s="123"/>
      <c r="Q549" s="123"/>
      <c r="R549" s="123"/>
      <c r="T549" s="282">
        <f t="shared" si="74"/>
        <v>134</v>
      </c>
      <c r="V549" s="45" t="str">
        <f t="shared" si="75"/>
        <v xml:space="preserve">   27' Steel (3 gauge)</v>
      </c>
      <c r="Y549" s="159">
        <f t="shared" si="76"/>
        <v>0</v>
      </c>
      <c r="Z549" s="1"/>
      <c r="AA549" s="159"/>
      <c r="AB549" s="159"/>
      <c r="AC549" s="238">
        <v>23.69</v>
      </c>
      <c r="AD549" s="258"/>
      <c r="AE549" s="3">
        <f t="shared" si="83"/>
        <v>0</v>
      </c>
      <c r="AF549" s="1"/>
      <c r="AG549" s="175">
        <f t="shared" si="77"/>
        <v>0</v>
      </c>
      <c r="AH549" s="4"/>
      <c r="AI549" s="3">
        <f t="shared" si="78"/>
        <v>0</v>
      </c>
      <c r="AJ549" s="3"/>
      <c r="AK549" s="181" t="str">
        <f t="shared" si="84"/>
        <v xml:space="preserve">0.0 </v>
      </c>
      <c r="AL549" s="6"/>
      <c r="AM549" s="3"/>
      <c r="AN549" s="3"/>
      <c r="AO549" s="3">
        <f t="shared" si="85"/>
        <v>0</v>
      </c>
      <c r="AP549" s="3"/>
      <c r="AQ549" s="181" t="str">
        <f t="shared" si="86"/>
        <v xml:space="preserve">0.0 </v>
      </c>
      <c r="AS549" s="123"/>
      <c r="AW549" s="135"/>
    </row>
    <row r="550" spans="3:49" x14ac:dyDescent="0.3">
      <c r="C550" s="42"/>
      <c r="F550" s="184"/>
      <c r="H550" s="184"/>
      <c r="I550" s="184"/>
      <c r="J550" s="193"/>
      <c r="K550" s="193"/>
      <c r="L550" s="123"/>
      <c r="M550" s="123"/>
      <c r="N550" s="160"/>
      <c r="O550" s="160"/>
      <c r="P550" s="123"/>
      <c r="Q550" s="123"/>
      <c r="R550" s="123"/>
      <c r="T550" s="282"/>
      <c r="V550" s="45"/>
      <c r="Y550" s="159"/>
      <c r="Z550" s="1"/>
      <c r="AA550" s="159"/>
      <c r="AB550" s="159"/>
      <c r="AC550" s="238"/>
      <c r="AD550" s="258"/>
      <c r="AE550" s="3"/>
      <c r="AF550" s="1"/>
      <c r="AG550" s="175"/>
      <c r="AH550" s="4"/>
      <c r="AI550" s="3"/>
      <c r="AJ550" s="3"/>
      <c r="AK550" s="181"/>
      <c r="AL550" s="6"/>
      <c r="AM550" s="3"/>
      <c r="AN550" s="3"/>
      <c r="AO550" s="3"/>
      <c r="AP550" s="3"/>
      <c r="AQ550" s="181"/>
      <c r="AS550" s="123"/>
      <c r="AW550" s="135"/>
    </row>
    <row r="551" spans="3:49" x14ac:dyDescent="0.3">
      <c r="C551" s="42"/>
      <c r="F551" s="184"/>
      <c r="H551" s="184"/>
      <c r="I551" s="184"/>
      <c r="J551" s="193"/>
      <c r="K551" s="193"/>
      <c r="L551" s="123"/>
      <c r="M551" s="123"/>
      <c r="N551" s="160"/>
      <c r="O551" s="160"/>
      <c r="P551" s="123"/>
      <c r="Q551" s="123"/>
      <c r="R551" s="123"/>
      <c r="T551" s="202" t="s">
        <v>76</v>
      </c>
      <c r="V551" s="45"/>
      <c r="Y551" s="159"/>
      <c r="Z551" s="1"/>
      <c r="AA551" s="159"/>
      <c r="AB551" s="159"/>
      <c r="AC551" s="238"/>
      <c r="AD551" s="238"/>
      <c r="AE551" s="3"/>
      <c r="AF551" s="3"/>
      <c r="AG551" s="175"/>
      <c r="AH551" s="4"/>
      <c r="AI551" s="3"/>
      <c r="AJ551" s="3"/>
      <c r="AK551" s="181"/>
      <c r="AL551" s="6"/>
      <c r="AM551" s="3"/>
      <c r="AN551" s="3"/>
      <c r="AO551" s="3"/>
      <c r="AP551" s="3"/>
      <c r="AQ551" s="181"/>
      <c r="AS551" s="123"/>
      <c r="AW551" s="135"/>
    </row>
    <row r="552" spans="3:49" x14ac:dyDescent="0.3">
      <c r="C552" s="42"/>
      <c r="F552" s="184"/>
      <c r="H552" s="184"/>
      <c r="I552" s="184"/>
      <c r="J552" s="193"/>
      <c r="K552" s="193"/>
      <c r="L552" s="123"/>
      <c r="M552" s="123"/>
      <c r="N552" s="160"/>
      <c r="O552" s="160"/>
      <c r="P552" s="123"/>
      <c r="Q552" s="123"/>
      <c r="R552" s="123"/>
      <c r="T552" s="202" t="str">
        <f>"(1A) REFLECTS FUEL COST RECOVERY INCLUDED IN BASE RATES OF "&amp;TEXT(CUR_BASE_FUEL,"$0.000000;($0.000000)")&amp;"  PER KWH."</f>
        <v>(1A) REFLECTS FUEL COST RECOVERY INCLUDED IN BASE RATES OF $0.033780  PER KWH.</v>
      </c>
      <c r="V552" s="45"/>
      <c r="Y552" s="159"/>
      <c r="Z552" s="1"/>
      <c r="AA552" s="159"/>
      <c r="AB552" s="159"/>
      <c r="AC552" s="238"/>
      <c r="AD552" s="238"/>
      <c r="AE552" s="3"/>
      <c r="AF552" s="3"/>
      <c r="AG552" s="175"/>
      <c r="AH552" s="4"/>
      <c r="AI552" s="3"/>
      <c r="AJ552" s="3"/>
      <c r="AK552" s="181"/>
      <c r="AL552" s="6"/>
      <c r="AM552" s="3"/>
      <c r="AN552" s="3"/>
      <c r="AO552" s="3"/>
      <c r="AP552" s="3"/>
      <c r="AQ552" s="181"/>
      <c r="AS552" s="123"/>
      <c r="AW552" s="135"/>
    </row>
    <row r="553" spans="3:49" x14ac:dyDescent="0.3">
      <c r="C553" s="42"/>
      <c r="F553" s="184"/>
      <c r="H553" s="184"/>
      <c r="I553" s="184"/>
      <c r="J553" s="193"/>
      <c r="K553" s="193"/>
      <c r="L553" s="123"/>
      <c r="M553" s="123"/>
      <c r="N553" s="160"/>
      <c r="O553" s="160"/>
      <c r="P553" s="123"/>
      <c r="Q553" s="123"/>
      <c r="R553" s="123"/>
      <c r="T553" s="202" t="str">
        <f>"(2) REFLECTS FUEL COMPONENT OF "&amp;TEXT(CUR_FAC,"$0.000000;($0.000000)")&amp;"  PER KWH."</f>
        <v>(2) REFLECTS FUEL COMPONENT OF $0.003487  PER KWH.</v>
      </c>
      <c r="V553" s="45"/>
      <c r="Y553" s="159"/>
      <c r="Z553" s="1"/>
      <c r="AA553" s="159"/>
      <c r="AB553" s="159"/>
      <c r="AC553" s="238"/>
      <c r="AD553" s="238"/>
      <c r="AE553" s="3"/>
      <c r="AF553" s="3"/>
      <c r="AG553" s="175"/>
      <c r="AH553" s="4"/>
      <c r="AI553" s="3"/>
      <c r="AJ553" s="3"/>
      <c r="AK553" s="181"/>
      <c r="AL553" s="6"/>
      <c r="AM553" s="3"/>
      <c r="AN553" s="3"/>
      <c r="AO553" s="3"/>
      <c r="AP553" s="3"/>
      <c r="AQ553" s="181"/>
      <c r="AS553" s="123"/>
      <c r="AW553" s="135"/>
    </row>
    <row r="554" spans="3:49" x14ac:dyDescent="0.3">
      <c r="C554" s="42"/>
      <c r="F554" s="184"/>
      <c r="H554" s="184"/>
      <c r="I554" s="184"/>
      <c r="J554" s="193"/>
      <c r="K554" s="193"/>
      <c r="L554" s="123"/>
      <c r="M554" s="123"/>
      <c r="N554" s="160"/>
      <c r="O554" s="160"/>
      <c r="P554" s="123"/>
      <c r="Q554" s="123"/>
      <c r="R554" s="123"/>
      <c r="T554" s="282"/>
      <c r="V554" s="45"/>
      <c r="Y554" s="159"/>
      <c r="Z554" s="1"/>
      <c r="AA554" s="159"/>
      <c r="AB554" s="159"/>
      <c r="AC554" s="238"/>
      <c r="AD554" s="238"/>
      <c r="AE554" s="3"/>
      <c r="AF554" s="3"/>
      <c r="AG554" s="175"/>
      <c r="AH554" s="4"/>
      <c r="AI554" s="3"/>
      <c r="AJ554" s="3"/>
      <c r="AK554" s="181"/>
      <c r="AL554" s="6"/>
      <c r="AM554" s="3"/>
      <c r="AN554" s="3"/>
      <c r="AO554" s="3"/>
      <c r="AP554" s="3"/>
      <c r="AQ554" s="181"/>
      <c r="AS554" s="123"/>
      <c r="AW554" s="135"/>
    </row>
    <row r="555" spans="3:49" x14ac:dyDescent="0.3">
      <c r="C555" s="42"/>
      <c r="F555" s="184"/>
      <c r="H555" s="184"/>
      <c r="I555" s="184"/>
      <c r="J555" s="193"/>
      <c r="K555" s="193"/>
      <c r="L555" s="123"/>
      <c r="M555" s="123"/>
      <c r="N555" s="160"/>
      <c r="O555" s="160"/>
      <c r="P555" s="123"/>
      <c r="Q555" s="123"/>
      <c r="R555" s="123"/>
      <c r="T555" s="469" t="str">
        <f>NAME</f>
        <v>DUKE ENERGY KENTUCKY, INC.</v>
      </c>
      <c r="U555" s="469"/>
      <c r="V555" s="469"/>
      <c r="W555" s="469"/>
      <c r="X555" s="469"/>
      <c r="Y555" s="469"/>
      <c r="Z555" s="469"/>
      <c r="AA555" s="469"/>
      <c r="AB555" s="469"/>
      <c r="AC555" s="469"/>
      <c r="AD555" s="469"/>
      <c r="AE555" s="469"/>
      <c r="AF555" s="469"/>
      <c r="AG555" s="469"/>
      <c r="AH555" s="469"/>
      <c r="AI555" s="469"/>
      <c r="AJ555" s="469"/>
      <c r="AK555" s="469"/>
      <c r="AL555" s="469"/>
      <c r="AM555" s="469"/>
      <c r="AN555" s="469"/>
      <c r="AO555" s="469"/>
      <c r="AP555" s="469"/>
      <c r="AQ555" s="469"/>
      <c r="AS555" s="123"/>
      <c r="AW555" s="135"/>
    </row>
    <row r="556" spans="3:49" x14ac:dyDescent="0.3">
      <c r="C556" s="42"/>
      <c r="F556" s="184"/>
      <c r="H556" s="184"/>
      <c r="I556" s="184"/>
      <c r="J556" s="193"/>
      <c r="K556" s="193"/>
      <c r="L556" s="123"/>
      <c r="M556" s="123"/>
      <c r="N556" s="160"/>
      <c r="O556" s="160"/>
      <c r="P556" s="123"/>
      <c r="Q556" s="123"/>
      <c r="R556" s="123"/>
      <c r="T556" s="40" t="str">
        <f>CASE_NO</f>
        <v>CASE NO.   2024-00354</v>
      </c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S556" s="123"/>
      <c r="AW556" s="135"/>
    </row>
    <row r="557" spans="3:49" x14ac:dyDescent="0.3">
      <c r="C557" s="42"/>
      <c r="F557" s="184"/>
      <c r="H557" s="184"/>
      <c r="I557" s="184"/>
      <c r="J557" s="193"/>
      <c r="K557" s="193"/>
      <c r="L557" s="123"/>
      <c r="M557" s="123"/>
      <c r="N557" s="160"/>
      <c r="O557" s="160"/>
      <c r="P557" s="123"/>
      <c r="Q557" s="123"/>
      <c r="R557" s="123"/>
      <c r="T557" s="40" t="str">
        <f>TITLE</f>
        <v>ANNUALIZED TEST YEAR REVENUES AT REHEARING ORDER CALCULATED VS. MOST CURRENT RATES</v>
      </c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S557" s="123"/>
      <c r="AW557" s="135"/>
    </row>
    <row r="558" spans="3:49" x14ac:dyDescent="0.3">
      <c r="C558" s="42"/>
      <c r="F558" s="184"/>
      <c r="H558" s="184"/>
      <c r="I558" s="184"/>
      <c r="J558" s="193"/>
      <c r="K558" s="193"/>
      <c r="L558" s="123"/>
      <c r="M558" s="123"/>
      <c r="N558" s="160"/>
      <c r="O558" s="160"/>
      <c r="P558" s="123"/>
      <c r="Q558" s="123"/>
      <c r="R558" s="123"/>
      <c r="T558" s="40" t="str">
        <f>DATE</f>
        <v>FOR THE TWELVE MONTHS ENDED June 30, 2026</v>
      </c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S558" s="123"/>
      <c r="AW558" s="135"/>
    </row>
    <row r="559" spans="3:49" x14ac:dyDescent="0.3">
      <c r="C559" s="42"/>
      <c r="F559" s="184"/>
      <c r="H559" s="184"/>
      <c r="I559" s="184"/>
      <c r="J559" s="193"/>
      <c r="K559" s="193"/>
      <c r="L559" s="123"/>
      <c r="M559" s="123"/>
      <c r="N559" s="160"/>
      <c r="O559" s="160"/>
      <c r="P559" s="123"/>
      <c r="Q559" s="123"/>
      <c r="R559" s="123"/>
      <c r="T559" s="40" t="str">
        <f>SERVICE</f>
        <v>(ELECTRIC SERVICE)</v>
      </c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S559" s="123"/>
      <c r="AW559" s="135"/>
    </row>
    <row r="560" spans="3:49" x14ac:dyDescent="0.3">
      <c r="C560" s="42"/>
      <c r="F560" s="184"/>
      <c r="H560" s="184"/>
      <c r="I560" s="184"/>
      <c r="J560" s="193"/>
      <c r="K560" s="193"/>
      <c r="L560" s="123"/>
      <c r="M560" s="123"/>
      <c r="N560" s="160"/>
      <c r="O560" s="160"/>
      <c r="P560" s="123"/>
      <c r="Q560" s="123"/>
      <c r="R560" s="123"/>
      <c r="T560" s="41" t="str">
        <f>DATA_PERIOD</f>
        <v>DATA: ____ BASE PERIOD   __X__FORECASTED PERIOD</v>
      </c>
      <c r="AG560" s="41"/>
      <c r="AK560" s="41"/>
      <c r="AO560" s="42" t="s">
        <v>158</v>
      </c>
      <c r="AQ560" s="41"/>
      <c r="AS560" s="123"/>
      <c r="AW560" s="135"/>
    </row>
    <row r="561" spans="3:49" x14ac:dyDescent="0.3">
      <c r="C561" s="42"/>
      <c r="F561" s="184"/>
      <c r="H561" s="184"/>
      <c r="I561" s="184"/>
      <c r="J561" s="193"/>
      <c r="K561" s="193"/>
      <c r="L561" s="123"/>
      <c r="M561" s="123"/>
      <c r="N561" s="160"/>
      <c r="O561" s="160"/>
      <c r="P561" s="123"/>
      <c r="Q561" s="123"/>
      <c r="R561" s="123"/>
      <c r="T561" s="41" t="str">
        <f>TYPE</f>
        <v>TYPE OF FILING: _X_ ORIGINAL   ___UPDATED  ___ REVISED</v>
      </c>
      <c r="AG561" s="41"/>
      <c r="AK561" s="41"/>
      <c r="AO561" s="45" t="str">
        <f>"PAGE 23 OF "&amp;TEXT(Page_Num_2.2,"00")</f>
        <v>PAGE 23 OF 24</v>
      </c>
      <c r="AQ561" s="41"/>
      <c r="AS561" s="123"/>
      <c r="AW561" s="135"/>
    </row>
    <row r="562" spans="3:49" x14ac:dyDescent="0.3">
      <c r="C562" s="42"/>
      <c r="F562" s="184"/>
      <c r="H562" s="184"/>
      <c r="I562" s="184"/>
      <c r="J562" s="193"/>
      <c r="K562" s="193"/>
      <c r="L562" s="123"/>
      <c r="M562" s="123"/>
      <c r="N562" s="160"/>
      <c r="O562" s="160"/>
      <c r="P562" s="123"/>
      <c r="Q562" s="123"/>
      <c r="R562" s="123"/>
      <c r="T562" s="42" t="s">
        <v>171</v>
      </c>
      <c r="AO562" s="42" t="s">
        <v>4</v>
      </c>
      <c r="AP562" s="42"/>
      <c r="AS562" s="123"/>
      <c r="AW562" s="135"/>
    </row>
    <row r="563" spans="3:49" x14ac:dyDescent="0.3">
      <c r="C563" s="42"/>
      <c r="F563" s="184"/>
      <c r="H563" s="184"/>
      <c r="I563" s="184"/>
      <c r="J563" s="193"/>
      <c r="K563" s="193"/>
      <c r="L563" s="123"/>
      <c r="M563" s="123"/>
      <c r="N563" s="160"/>
      <c r="O563" s="160"/>
      <c r="P563" s="123"/>
      <c r="Q563" s="123"/>
      <c r="R563" s="123"/>
      <c r="T563" s="153" t="str">
        <f>TIME</f>
        <v>12 Months Projected with Riders</v>
      </c>
      <c r="AF563" s="42"/>
      <c r="AO563" s="123" t="str">
        <f>WIT</f>
        <v>B. L. Sailers</v>
      </c>
      <c r="AS563" s="123"/>
      <c r="AW563" s="135"/>
    </row>
    <row r="564" spans="3:49" x14ac:dyDescent="0.3">
      <c r="C564" s="42"/>
      <c r="F564" s="184"/>
      <c r="H564" s="184"/>
      <c r="I564" s="184"/>
      <c r="J564" s="193"/>
      <c r="K564" s="193"/>
      <c r="L564" s="123"/>
      <c r="M564" s="123"/>
      <c r="N564" s="160"/>
      <c r="O564" s="160"/>
      <c r="P564" s="123"/>
      <c r="Q564" s="123"/>
      <c r="R564" s="123"/>
      <c r="T564" s="40" t="s">
        <v>131</v>
      </c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166"/>
      <c r="AH564" s="40"/>
      <c r="AI564" s="40"/>
      <c r="AJ564" s="40"/>
      <c r="AK564" s="166"/>
      <c r="AL564" s="40"/>
      <c r="AM564" s="40"/>
      <c r="AN564" s="40"/>
      <c r="AO564" s="40"/>
      <c r="AP564" s="40"/>
      <c r="AS564" s="123"/>
      <c r="AW564" s="135"/>
    </row>
    <row r="565" spans="3:49" x14ac:dyDescent="0.3">
      <c r="C565" s="42"/>
      <c r="F565" s="184"/>
      <c r="H565" s="184"/>
      <c r="I565" s="184"/>
      <c r="J565" s="193"/>
      <c r="K565" s="193"/>
      <c r="L565" s="123"/>
      <c r="M565" s="123"/>
      <c r="N565" s="160"/>
      <c r="O565" s="160"/>
      <c r="P565" s="123"/>
      <c r="Q565" s="123"/>
      <c r="R565" s="123"/>
      <c r="T565" s="135"/>
      <c r="U565" s="135"/>
      <c r="V565" s="135"/>
      <c r="W565" s="135"/>
      <c r="X565" s="135"/>
      <c r="Y565" s="135"/>
      <c r="Z565" s="135"/>
      <c r="AA565" s="135"/>
      <c r="AB565" s="135"/>
      <c r="AC565" s="135"/>
      <c r="AD565" s="135"/>
      <c r="AE565" s="43"/>
      <c r="AF565" s="43"/>
      <c r="AG565" s="167"/>
      <c r="AH565" s="43"/>
      <c r="AI565" s="43"/>
      <c r="AJ565" s="43"/>
      <c r="AK565" s="167"/>
      <c r="AL565" s="43"/>
      <c r="AM565" s="43"/>
      <c r="AN565" s="135"/>
      <c r="AO565" s="135"/>
      <c r="AP565" s="135"/>
      <c r="AS565" s="123"/>
      <c r="AW565" s="135"/>
    </row>
    <row r="566" spans="3:49" x14ac:dyDescent="0.3">
      <c r="C566" s="42"/>
      <c r="F566" s="184"/>
      <c r="H566" s="184"/>
      <c r="I566" s="184"/>
      <c r="J566" s="193"/>
      <c r="K566" s="193"/>
      <c r="L566" s="123"/>
      <c r="M566" s="123"/>
      <c r="N566" s="160"/>
      <c r="O566" s="160"/>
      <c r="P566" s="123"/>
      <c r="Q566" s="123"/>
      <c r="R566" s="123"/>
      <c r="T566" s="191"/>
      <c r="U566" s="191"/>
      <c r="V566" s="191"/>
      <c r="W566" s="191"/>
      <c r="X566" s="191"/>
      <c r="Y566" s="191"/>
      <c r="Z566" s="191"/>
      <c r="AA566" s="191"/>
      <c r="AB566" s="191"/>
      <c r="AC566" s="191"/>
      <c r="AD566" s="191"/>
      <c r="AE566" s="44" t="s">
        <v>8</v>
      </c>
      <c r="AF566" s="44"/>
      <c r="AG566" s="168" t="s">
        <v>7</v>
      </c>
      <c r="AH566" s="44"/>
      <c r="AI566" s="44" t="s">
        <v>9</v>
      </c>
      <c r="AJ566" s="44"/>
      <c r="AK566" s="168" t="s">
        <v>10</v>
      </c>
      <c r="AL566" s="44"/>
      <c r="AN566" s="191"/>
      <c r="AO566" s="272" t="s">
        <v>8</v>
      </c>
      <c r="AP566" s="272"/>
      <c r="AQ566" s="273" t="s">
        <v>11</v>
      </c>
      <c r="AS566" s="123"/>
      <c r="AW566" s="135"/>
    </row>
    <row r="567" spans="3:49" x14ac:dyDescent="0.3">
      <c r="C567" s="42"/>
      <c r="F567" s="184"/>
      <c r="H567" s="184"/>
      <c r="I567" s="184"/>
      <c r="J567" s="193"/>
      <c r="K567" s="193"/>
      <c r="L567" s="123"/>
      <c r="M567" s="123"/>
      <c r="N567" s="160"/>
      <c r="O567" s="160"/>
      <c r="P567" s="123"/>
      <c r="Q567" s="123"/>
      <c r="R567" s="123"/>
      <c r="AC567" s="346" t="s">
        <v>812</v>
      </c>
      <c r="AD567" s="40"/>
      <c r="AE567" s="44" t="s">
        <v>12</v>
      </c>
      <c r="AF567" s="44"/>
      <c r="AG567" s="168" t="s">
        <v>13</v>
      </c>
      <c r="AH567" s="44"/>
      <c r="AI567" s="44" t="s">
        <v>15</v>
      </c>
      <c r="AJ567" s="44"/>
      <c r="AK567" s="168" t="s">
        <v>16</v>
      </c>
      <c r="AL567" s="44"/>
      <c r="AO567" s="44" t="s">
        <v>11</v>
      </c>
      <c r="AP567" s="44"/>
      <c r="AQ567" s="168" t="s">
        <v>9</v>
      </c>
      <c r="AS567" s="123"/>
      <c r="AW567" s="135"/>
    </row>
    <row r="568" spans="3:49" x14ac:dyDescent="0.3">
      <c r="C568" s="42"/>
      <c r="F568" s="184"/>
      <c r="H568" s="184"/>
      <c r="I568" s="184"/>
      <c r="J568" s="193"/>
      <c r="K568" s="193"/>
      <c r="L568" s="123"/>
      <c r="M568" s="123"/>
      <c r="N568" s="160"/>
      <c r="O568" s="160"/>
      <c r="P568" s="123"/>
      <c r="Q568" s="123"/>
      <c r="R568" s="123"/>
      <c r="T568" s="44" t="s">
        <v>17</v>
      </c>
      <c r="V568" s="44" t="s">
        <v>18</v>
      </c>
      <c r="W568" s="44" t="s">
        <v>19</v>
      </c>
      <c r="X568" s="44"/>
      <c r="Y568" s="44" t="s">
        <v>20</v>
      </c>
      <c r="AC568" s="44" t="s">
        <v>808</v>
      </c>
      <c r="AD568" s="44" t="s">
        <v>809</v>
      </c>
      <c r="AE568" s="44" t="s">
        <v>842</v>
      </c>
      <c r="AF568" s="44"/>
      <c r="AG568" s="168" t="s">
        <v>842</v>
      </c>
      <c r="AH568" s="44"/>
      <c r="AI568" s="46" t="s">
        <v>965</v>
      </c>
      <c r="AJ568" s="44"/>
      <c r="AK568" s="169" t="s">
        <v>965</v>
      </c>
      <c r="AL568" s="44"/>
      <c r="AM568" s="44" t="s">
        <v>842</v>
      </c>
      <c r="AN568" s="44"/>
      <c r="AO568" s="44" t="s">
        <v>9</v>
      </c>
      <c r="AP568" s="44"/>
      <c r="AQ568" s="168" t="s">
        <v>21</v>
      </c>
      <c r="AS568" s="123"/>
      <c r="AW568" s="135"/>
    </row>
    <row r="569" spans="3:49" x14ac:dyDescent="0.3">
      <c r="C569" s="42"/>
      <c r="F569" s="184"/>
      <c r="H569" s="184"/>
      <c r="I569" s="184"/>
      <c r="J569" s="193"/>
      <c r="K569" s="193"/>
      <c r="L569" s="123"/>
      <c r="M569" s="123"/>
      <c r="N569" s="160"/>
      <c r="O569" s="160"/>
      <c r="P569" s="123"/>
      <c r="Q569" s="123"/>
      <c r="R569" s="123"/>
      <c r="T569" s="44" t="s">
        <v>22</v>
      </c>
      <c r="V569" s="44" t="s">
        <v>23</v>
      </c>
      <c r="W569" s="44" t="s">
        <v>24</v>
      </c>
      <c r="X569" s="44"/>
      <c r="Y569" s="44" t="s">
        <v>25</v>
      </c>
      <c r="AA569" s="44" t="s">
        <v>26</v>
      </c>
      <c r="AB569" s="44"/>
      <c r="AC569" s="46" t="s">
        <v>27</v>
      </c>
      <c r="AD569" s="46" t="s">
        <v>27</v>
      </c>
      <c r="AE569" s="44" t="s">
        <v>9</v>
      </c>
      <c r="AF569" s="44"/>
      <c r="AG569" s="168" t="s">
        <v>9</v>
      </c>
      <c r="AH569" s="44"/>
      <c r="AI569" s="141" t="s">
        <v>29</v>
      </c>
      <c r="AJ569" s="141"/>
      <c r="AK569" s="170" t="s">
        <v>30</v>
      </c>
      <c r="AL569" s="44"/>
      <c r="AM569" s="44" t="s">
        <v>324</v>
      </c>
      <c r="AN569" s="44"/>
      <c r="AO569" s="141" t="s">
        <v>31</v>
      </c>
      <c r="AP569" s="141"/>
      <c r="AQ569" s="170" t="s">
        <v>32</v>
      </c>
      <c r="AS569" s="123"/>
      <c r="AW569" s="135"/>
    </row>
    <row r="570" spans="3:49" x14ac:dyDescent="0.3">
      <c r="C570" s="42"/>
      <c r="F570" s="184"/>
      <c r="H570" s="184"/>
      <c r="I570" s="184"/>
      <c r="J570" s="193"/>
      <c r="K570" s="193"/>
      <c r="L570" s="123"/>
      <c r="M570" s="123"/>
      <c r="N570" s="160"/>
      <c r="O570" s="160"/>
      <c r="P570" s="123"/>
      <c r="Q570" s="123"/>
      <c r="R570" s="123"/>
      <c r="V570" s="141" t="s">
        <v>33</v>
      </c>
      <c r="W570" s="141" t="s">
        <v>34</v>
      </c>
      <c r="X570" s="141"/>
      <c r="Y570" s="141" t="s">
        <v>35</v>
      </c>
      <c r="Z570" s="153"/>
      <c r="AA570" s="141" t="s">
        <v>36</v>
      </c>
      <c r="AB570" s="141"/>
      <c r="AC570" s="156" t="s">
        <v>814</v>
      </c>
      <c r="AD570" s="156" t="s">
        <v>813</v>
      </c>
      <c r="AE570" s="141" t="s">
        <v>43</v>
      </c>
      <c r="AF570" s="141"/>
      <c r="AG570" s="170" t="s">
        <v>44</v>
      </c>
      <c r="AH570" s="141"/>
      <c r="AI570" s="141" t="s">
        <v>45</v>
      </c>
      <c r="AJ570" s="141"/>
      <c r="AK570" s="170" t="s">
        <v>46</v>
      </c>
      <c r="AL570" s="141"/>
      <c r="AM570" s="141" t="s">
        <v>40</v>
      </c>
      <c r="AN570" s="141"/>
      <c r="AO570" s="141" t="s">
        <v>47</v>
      </c>
      <c r="AP570" s="141"/>
      <c r="AQ570" s="170" t="s">
        <v>48</v>
      </c>
      <c r="AS570" s="123"/>
      <c r="AW570" s="135"/>
    </row>
    <row r="571" spans="3:49" x14ac:dyDescent="0.3">
      <c r="C571" s="42"/>
      <c r="F571" s="184"/>
      <c r="H571" s="184"/>
      <c r="I571" s="184"/>
      <c r="J571" s="193"/>
      <c r="K571" s="193"/>
      <c r="L571" s="123"/>
      <c r="M571" s="123"/>
      <c r="N571" s="160"/>
      <c r="O571" s="160"/>
      <c r="P571" s="123"/>
      <c r="Q571" s="123"/>
      <c r="R571" s="123"/>
      <c r="T571" s="191"/>
      <c r="U571" s="191"/>
      <c r="V571" s="191"/>
      <c r="W571" s="191"/>
      <c r="X571" s="191"/>
      <c r="Y571" s="191"/>
      <c r="Z571" s="191"/>
      <c r="AA571" s="271" t="s">
        <v>49</v>
      </c>
      <c r="AB571" s="271"/>
      <c r="AC571" s="270" t="s">
        <v>69</v>
      </c>
      <c r="AD571" s="271"/>
      <c r="AE571" s="271" t="s">
        <v>50</v>
      </c>
      <c r="AF571" s="271"/>
      <c r="AG571" s="274" t="s">
        <v>51</v>
      </c>
      <c r="AH571" s="271"/>
      <c r="AI571" s="271" t="s">
        <v>50</v>
      </c>
      <c r="AJ571" s="271"/>
      <c r="AK571" s="274" t="s">
        <v>51</v>
      </c>
      <c r="AL571" s="271"/>
      <c r="AM571" s="271" t="s">
        <v>50</v>
      </c>
      <c r="AN571" s="271"/>
      <c r="AO571" s="271" t="s">
        <v>50</v>
      </c>
      <c r="AP571" s="271"/>
      <c r="AQ571" s="274" t="s">
        <v>51</v>
      </c>
      <c r="AS571" s="123"/>
      <c r="AW571" s="135"/>
    </row>
    <row r="572" spans="3:49" x14ac:dyDescent="0.3">
      <c r="C572" s="42"/>
      <c r="F572" s="184"/>
      <c r="H572" s="184"/>
      <c r="I572" s="184"/>
      <c r="J572" s="193"/>
      <c r="K572" s="193"/>
      <c r="L572" s="123"/>
      <c r="M572" s="123"/>
      <c r="N572" s="160"/>
      <c r="O572" s="160"/>
      <c r="P572" s="123"/>
      <c r="Q572" s="123"/>
      <c r="R572" s="123"/>
      <c r="T572" s="282">
        <f t="shared" ref="T572:T573" si="87">A220</f>
        <v>135</v>
      </c>
      <c r="V572" s="45" t="str">
        <f t="shared" ref="V572:V573" si="88">C220</f>
        <v>LED</v>
      </c>
      <c r="W572" s="45" t="str">
        <f t="shared" ref="W572" si="89">D220</f>
        <v>STREET LIGHTING -- LED (CONT'D)</v>
      </c>
      <c r="Y572" s="159"/>
      <c r="Z572" s="1"/>
      <c r="AA572" s="159"/>
      <c r="AB572" s="159"/>
      <c r="AC572" s="238"/>
      <c r="AD572" s="238"/>
      <c r="AE572" s="3"/>
      <c r="AF572" s="3"/>
      <c r="AG572" s="175"/>
      <c r="AH572" s="4"/>
      <c r="AI572" s="3"/>
      <c r="AJ572" s="3"/>
      <c r="AK572" s="181"/>
      <c r="AL572" s="6"/>
      <c r="AM572" s="3"/>
      <c r="AN572" s="3"/>
      <c r="AO572" s="3"/>
      <c r="AP572" s="3"/>
      <c r="AQ572" s="181"/>
      <c r="AS572" s="123"/>
      <c r="AW572" s="135"/>
    </row>
    <row r="573" spans="3:49" x14ac:dyDescent="0.3">
      <c r="C573" s="42"/>
      <c r="F573" s="184"/>
      <c r="H573" s="184"/>
      <c r="I573" s="184"/>
      <c r="J573" s="193"/>
      <c r="K573" s="193"/>
      <c r="L573" s="123"/>
      <c r="M573" s="123"/>
      <c r="N573" s="160"/>
      <c r="O573" s="160"/>
      <c r="P573" s="123"/>
      <c r="Q573" s="123"/>
      <c r="R573" s="123"/>
      <c r="T573" s="282">
        <f t="shared" si="87"/>
        <v>136</v>
      </c>
      <c r="V573" s="45" t="str">
        <f t="shared" si="88"/>
        <v>POLES (CONT'D)</v>
      </c>
      <c r="W573" s="45"/>
      <c r="Y573" s="159"/>
      <c r="Z573" s="1"/>
      <c r="AA573" s="159"/>
      <c r="AB573" s="159"/>
      <c r="AC573" s="238"/>
      <c r="AD573" s="238"/>
      <c r="AE573" s="3"/>
      <c r="AF573" s="3"/>
      <c r="AG573" s="175"/>
      <c r="AH573" s="4"/>
      <c r="AI573" s="3"/>
      <c r="AJ573" s="3"/>
      <c r="AK573" s="181"/>
      <c r="AL573" s="6"/>
      <c r="AM573" s="3"/>
      <c r="AN573" s="3"/>
      <c r="AO573" s="3"/>
      <c r="AP573" s="3"/>
      <c r="AQ573" s="181"/>
      <c r="AS573" s="123"/>
      <c r="AW573" s="135"/>
    </row>
    <row r="574" spans="3:49" x14ac:dyDescent="0.3">
      <c r="C574" s="42"/>
      <c r="F574" s="184"/>
      <c r="H574" s="184"/>
      <c r="I574" s="184"/>
      <c r="J574" s="193"/>
      <c r="K574" s="193"/>
      <c r="L574" s="123"/>
      <c r="M574" s="123"/>
      <c r="N574" s="160"/>
      <c r="O574" s="160"/>
      <c r="P574" s="123"/>
      <c r="Q574" s="123"/>
      <c r="R574" s="123"/>
      <c r="T574" s="282">
        <f t="shared" ref="T574:T585" si="90">A222</f>
        <v>137</v>
      </c>
      <c r="V574" s="45"/>
      <c r="Y574" s="159"/>
      <c r="Z574" s="1"/>
      <c r="AA574" s="159"/>
      <c r="AB574" s="159"/>
      <c r="AC574" s="238"/>
      <c r="AD574" s="258"/>
      <c r="AE574" s="3"/>
      <c r="AF574" s="1"/>
      <c r="AG574" s="175"/>
      <c r="AH574" s="4"/>
      <c r="AI574" s="3"/>
      <c r="AJ574" s="3"/>
      <c r="AK574" s="181"/>
      <c r="AL574" s="6"/>
      <c r="AM574" s="3"/>
      <c r="AN574" s="3"/>
      <c r="AO574" s="3"/>
      <c r="AP574" s="3"/>
      <c r="AQ574" s="181"/>
      <c r="AS574" s="123"/>
      <c r="AW574" s="135"/>
    </row>
    <row r="575" spans="3:49" x14ac:dyDescent="0.3">
      <c r="C575" s="42"/>
      <c r="F575" s="184"/>
      <c r="H575" s="184"/>
      <c r="I575" s="184"/>
      <c r="J575" s="193"/>
      <c r="K575" s="193"/>
      <c r="L575" s="123"/>
      <c r="M575" s="123"/>
      <c r="N575" s="160"/>
      <c r="O575" s="160"/>
      <c r="P575" s="123"/>
      <c r="Q575" s="123"/>
      <c r="R575" s="123"/>
      <c r="T575" s="282">
        <f t="shared" si="90"/>
        <v>138</v>
      </c>
      <c r="V575" s="45"/>
      <c r="Y575" s="159"/>
      <c r="Z575" s="1"/>
      <c r="AA575" s="159"/>
      <c r="AB575" s="159"/>
      <c r="AC575" s="238"/>
      <c r="AD575" s="258"/>
      <c r="AE575" s="3"/>
      <c r="AF575" s="1"/>
      <c r="AG575" s="175"/>
      <c r="AH575" s="4"/>
      <c r="AI575" s="3"/>
      <c r="AJ575" s="3"/>
      <c r="AK575" s="181"/>
      <c r="AL575" s="6"/>
      <c r="AM575" s="3"/>
      <c r="AN575" s="3"/>
      <c r="AO575" s="3"/>
      <c r="AP575" s="3"/>
      <c r="AQ575" s="181"/>
      <c r="AS575" s="123"/>
      <c r="AW575" s="135"/>
    </row>
    <row r="576" spans="3:49" x14ac:dyDescent="0.3">
      <c r="C576" s="42"/>
      <c r="F576" s="184"/>
      <c r="H576" s="184"/>
      <c r="I576" s="184"/>
      <c r="J576" s="193"/>
      <c r="K576" s="193"/>
      <c r="L576" s="123"/>
      <c r="M576" s="123"/>
      <c r="N576" s="160"/>
      <c r="O576" s="160"/>
      <c r="P576" s="123"/>
      <c r="Q576" s="123"/>
      <c r="R576" s="123"/>
      <c r="T576" s="282">
        <f t="shared" si="90"/>
        <v>139</v>
      </c>
      <c r="V576" s="45" t="str">
        <f t="shared" ref="V576:V585" si="91">C224</f>
        <v xml:space="preserve">   Shroud - Standard Style for anchor base poles</v>
      </c>
      <c r="Y576" s="159">
        <f t="shared" ref="Y576:Y584" si="92">F224</f>
        <v>0</v>
      </c>
      <c r="Z576" s="1"/>
      <c r="AA576" s="159"/>
      <c r="AB576" s="159"/>
      <c r="AC576" s="238">
        <v>2.71</v>
      </c>
      <c r="AD576" s="258"/>
      <c r="AE576" s="3">
        <f t="shared" si="66"/>
        <v>0</v>
      </c>
      <c r="AF576" s="1"/>
      <c r="AG576" s="175">
        <f t="shared" ref="AG576:AG584" si="93">ROUND((AE576/AE$692)*100,1)</f>
        <v>0</v>
      </c>
      <c r="AH576" s="4"/>
      <c r="AI576" s="3">
        <f t="shared" ref="AI576:AI584" si="94">L224-AE576</f>
        <v>0</v>
      </c>
      <c r="AJ576" s="3"/>
      <c r="AK576" s="181" t="str">
        <f t="shared" si="67"/>
        <v xml:space="preserve">0.0 </v>
      </c>
      <c r="AL576" s="6"/>
      <c r="AM576" s="3"/>
      <c r="AN576" s="3"/>
      <c r="AO576" s="3">
        <f t="shared" si="68"/>
        <v>0</v>
      </c>
      <c r="AP576" s="3"/>
      <c r="AQ576" s="181" t="str">
        <f t="shared" ref="AQ576:AQ585" si="95">IF(AO576=0,"0.0 ",ROUND((AI576/AO576)*100,1))</f>
        <v xml:space="preserve">0.0 </v>
      </c>
      <c r="AS576" s="123"/>
      <c r="AW576" s="135"/>
    </row>
    <row r="577" spans="3:49" x14ac:dyDescent="0.3">
      <c r="C577" s="42"/>
      <c r="F577" s="184"/>
      <c r="H577" s="184"/>
      <c r="I577" s="184"/>
      <c r="J577" s="193"/>
      <c r="K577" s="193"/>
      <c r="L577" s="123"/>
      <c r="M577" s="123"/>
      <c r="N577" s="160"/>
      <c r="O577" s="160"/>
      <c r="P577" s="123"/>
      <c r="Q577" s="123"/>
      <c r="R577" s="123"/>
      <c r="T577" s="282">
        <f t="shared" si="90"/>
        <v>140</v>
      </c>
      <c r="V577" s="45" t="str">
        <f t="shared" si="91"/>
        <v xml:space="preserve">   Shroud - Style B Pole for smooth and fluted poles</v>
      </c>
      <c r="Y577" s="159">
        <f t="shared" si="92"/>
        <v>0</v>
      </c>
      <c r="Z577" s="1"/>
      <c r="AA577" s="159"/>
      <c r="AB577" s="159"/>
      <c r="AC577" s="238">
        <v>6.44</v>
      </c>
      <c r="AD577" s="258"/>
      <c r="AE577" s="3">
        <f t="shared" si="66"/>
        <v>0</v>
      </c>
      <c r="AF577" s="1"/>
      <c r="AG577" s="175">
        <f t="shared" si="93"/>
        <v>0</v>
      </c>
      <c r="AH577" s="4"/>
      <c r="AI577" s="3">
        <f t="shared" si="94"/>
        <v>0</v>
      </c>
      <c r="AJ577" s="3"/>
      <c r="AK577" s="181" t="str">
        <f t="shared" si="67"/>
        <v xml:space="preserve">0.0 </v>
      </c>
      <c r="AL577" s="6"/>
      <c r="AM577" s="3"/>
      <c r="AN577" s="3"/>
      <c r="AO577" s="3">
        <f t="shared" si="68"/>
        <v>0</v>
      </c>
      <c r="AP577" s="3"/>
      <c r="AQ577" s="181" t="str">
        <f t="shared" si="95"/>
        <v xml:space="preserve">0.0 </v>
      </c>
      <c r="AS577" s="123"/>
      <c r="AW577" s="135"/>
    </row>
    <row r="578" spans="3:49" x14ac:dyDescent="0.3">
      <c r="C578" s="42"/>
      <c r="F578" s="184"/>
      <c r="H578" s="184"/>
      <c r="I578" s="184"/>
      <c r="J578" s="193"/>
      <c r="K578" s="193"/>
      <c r="L578" s="123"/>
      <c r="M578" s="123"/>
      <c r="N578" s="160"/>
      <c r="O578" s="160"/>
      <c r="P578" s="123"/>
      <c r="Q578" s="123"/>
      <c r="R578" s="123"/>
      <c r="T578" s="282">
        <f t="shared" si="90"/>
        <v>141</v>
      </c>
      <c r="V578" s="45" t="str">
        <f t="shared" si="91"/>
        <v xml:space="preserve">   Shroud - Style C Pole for smooth and fluted poles</v>
      </c>
      <c r="Y578" s="159">
        <f t="shared" si="92"/>
        <v>0</v>
      </c>
      <c r="Z578" s="1"/>
      <c r="AA578" s="159"/>
      <c r="AB578" s="1"/>
      <c r="AC578" s="238">
        <v>8.0500000000000007</v>
      </c>
      <c r="AD578" s="258"/>
      <c r="AE578" s="3">
        <f t="shared" si="66"/>
        <v>0</v>
      </c>
      <c r="AF578" s="1"/>
      <c r="AG578" s="175">
        <f t="shared" si="93"/>
        <v>0</v>
      </c>
      <c r="AH578" s="4"/>
      <c r="AI578" s="3">
        <f t="shared" si="94"/>
        <v>0</v>
      </c>
      <c r="AJ578" s="3"/>
      <c r="AK578" s="181" t="str">
        <f t="shared" si="67"/>
        <v xml:space="preserve">0.0 </v>
      </c>
      <c r="AL578" s="6"/>
      <c r="AM578" s="3"/>
      <c r="AN578" s="3"/>
      <c r="AO578" s="3">
        <f t="shared" si="68"/>
        <v>0</v>
      </c>
      <c r="AP578" s="3"/>
      <c r="AQ578" s="181" t="str">
        <f t="shared" si="95"/>
        <v xml:space="preserve">0.0 </v>
      </c>
      <c r="AS578" s="123"/>
      <c r="AW578" s="135"/>
    </row>
    <row r="579" spans="3:49" x14ac:dyDescent="0.3">
      <c r="C579" s="42"/>
      <c r="F579" s="184"/>
      <c r="H579" s="184"/>
      <c r="I579" s="184"/>
      <c r="J579" s="193"/>
      <c r="K579" s="193"/>
      <c r="L579" s="123"/>
      <c r="M579" s="123"/>
      <c r="N579" s="160"/>
      <c r="O579" s="160"/>
      <c r="P579" s="123"/>
      <c r="Q579" s="123"/>
      <c r="R579" s="123"/>
      <c r="T579" s="282">
        <f t="shared" si="90"/>
        <v>142</v>
      </c>
      <c r="V579" s="45" t="str">
        <f t="shared" si="91"/>
        <v xml:space="preserve">   Shroud - Style D Pole for smooth and fluted poles </v>
      </c>
      <c r="Y579" s="159">
        <f t="shared" si="92"/>
        <v>0</v>
      </c>
      <c r="Z579" s="1"/>
      <c r="AA579" s="159"/>
      <c r="AB579" s="159"/>
      <c r="AC579" s="238">
        <v>9.93</v>
      </c>
      <c r="AD579" s="258"/>
      <c r="AE579" s="3">
        <f t="shared" si="66"/>
        <v>0</v>
      </c>
      <c r="AF579" s="1"/>
      <c r="AG579" s="175">
        <f t="shared" si="93"/>
        <v>0</v>
      </c>
      <c r="AH579" s="4"/>
      <c r="AI579" s="3">
        <f t="shared" si="94"/>
        <v>0</v>
      </c>
      <c r="AJ579" s="3"/>
      <c r="AK579" s="181" t="str">
        <f t="shared" si="67"/>
        <v xml:space="preserve">0.0 </v>
      </c>
      <c r="AL579" s="6"/>
      <c r="AM579" s="3"/>
      <c r="AN579" s="3"/>
      <c r="AO579" s="3">
        <f t="shared" si="68"/>
        <v>0</v>
      </c>
      <c r="AP579" s="3"/>
      <c r="AQ579" s="181" t="str">
        <f t="shared" si="95"/>
        <v xml:space="preserve">0.0 </v>
      </c>
      <c r="AS579" s="123"/>
      <c r="AW579" s="135"/>
    </row>
    <row r="580" spans="3:49" x14ac:dyDescent="0.3">
      <c r="C580" s="42"/>
      <c r="F580" s="184"/>
      <c r="H580" s="184"/>
      <c r="I580" s="184"/>
      <c r="J580" s="193"/>
      <c r="K580" s="193"/>
      <c r="L580" s="123"/>
      <c r="M580" s="123"/>
      <c r="N580" s="160"/>
      <c r="O580" s="160"/>
      <c r="P580" s="123"/>
      <c r="Q580" s="123"/>
      <c r="R580" s="123"/>
      <c r="T580" s="282">
        <f t="shared" si="90"/>
        <v>143</v>
      </c>
      <c r="V580" s="45" t="str">
        <f t="shared" si="91"/>
        <v xml:space="preserve">   Shroud - Style B - Assembly</v>
      </c>
      <c r="Y580" s="159">
        <f t="shared" si="92"/>
        <v>0</v>
      </c>
      <c r="Z580" s="1"/>
      <c r="AA580" s="159"/>
      <c r="AB580" s="159"/>
      <c r="AC580" s="238">
        <v>8.42</v>
      </c>
      <c r="AD580" s="258"/>
      <c r="AE580" s="3">
        <f>ROUND((Y580*(AC580+AD580)),0)</f>
        <v>0</v>
      </c>
      <c r="AF580" s="1"/>
      <c r="AG580" s="175">
        <f t="shared" si="93"/>
        <v>0</v>
      </c>
      <c r="AH580" s="4"/>
      <c r="AI580" s="3">
        <f t="shared" si="94"/>
        <v>0</v>
      </c>
      <c r="AJ580" s="3"/>
      <c r="AK580" s="181" t="str">
        <f>IF(AE580=0,"0.0 ",ROUND((AI580/AE580)*100,1))</f>
        <v xml:space="preserve">0.0 </v>
      </c>
      <c r="AL580" s="6"/>
      <c r="AM580" s="3"/>
      <c r="AN580" s="3"/>
      <c r="AO580" s="3">
        <f>AM580+AE580</f>
        <v>0</v>
      </c>
      <c r="AP580" s="3"/>
      <c r="AQ580" s="181" t="str">
        <f t="shared" si="95"/>
        <v xml:space="preserve">0.0 </v>
      </c>
      <c r="AS580" s="123"/>
      <c r="AW580" s="135"/>
    </row>
    <row r="581" spans="3:49" x14ac:dyDescent="0.3">
      <c r="C581" s="42"/>
      <c r="F581" s="184"/>
      <c r="H581" s="184"/>
      <c r="I581" s="184"/>
      <c r="J581" s="193"/>
      <c r="K581" s="193"/>
      <c r="L581" s="123"/>
      <c r="M581" s="123"/>
      <c r="N581" s="160"/>
      <c r="O581" s="160"/>
      <c r="P581" s="123"/>
      <c r="Q581" s="123"/>
      <c r="R581" s="123"/>
      <c r="T581" s="282">
        <f t="shared" si="90"/>
        <v>144</v>
      </c>
      <c r="V581" s="45" t="str">
        <f t="shared" si="91"/>
        <v xml:space="preserve">   Shroud - Style C - Assembly</v>
      </c>
      <c r="Y581" s="159">
        <f t="shared" si="92"/>
        <v>0</v>
      </c>
      <c r="Z581" s="1"/>
      <c r="AA581" s="159"/>
      <c r="AB581" s="159"/>
      <c r="AC581" s="238">
        <v>9.89</v>
      </c>
      <c r="AD581" s="258"/>
      <c r="AE581" s="3">
        <f>ROUND((Y581*(AC581+AD581)),0)</f>
        <v>0</v>
      </c>
      <c r="AF581" s="1"/>
      <c r="AG581" s="175">
        <f t="shared" si="93"/>
        <v>0</v>
      </c>
      <c r="AH581" s="4"/>
      <c r="AI581" s="3">
        <f t="shared" si="94"/>
        <v>0</v>
      </c>
      <c r="AJ581" s="3"/>
      <c r="AK581" s="181" t="str">
        <f>IF(AE581=0,"0.0 ",ROUND((AI581/AE581)*100,1))</f>
        <v xml:space="preserve">0.0 </v>
      </c>
      <c r="AL581" s="6"/>
      <c r="AM581" s="3"/>
      <c r="AN581" s="3"/>
      <c r="AO581" s="3">
        <f>AM581+AE581</f>
        <v>0</v>
      </c>
      <c r="AP581" s="3"/>
      <c r="AQ581" s="181" t="str">
        <f t="shared" si="95"/>
        <v xml:space="preserve">0.0 </v>
      </c>
      <c r="AS581" s="123"/>
      <c r="AW581" s="135"/>
    </row>
    <row r="582" spans="3:49" x14ac:dyDescent="0.3">
      <c r="C582" s="42"/>
      <c r="F582" s="184"/>
      <c r="H582" s="184"/>
      <c r="I582" s="184"/>
      <c r="J582" s="193"/>
      <c r="K582" s="193"/>
      <c r="L582" s="123"/>
      <c r="M582" s="123"/>
      <c r="N582" s="160"/>
      <c r="O582" s="160"/>
      <c r="P582" s="123"/>
      <c r="Q582" s="123"/>
      <c r="R582" s="123"/>
      <c r="T582" s="282">
        <f t="shared" si="90"/>
        <v>145</v>
      </c>
      <c r="V582" s="45" t="str">
        <f t="shared" si="91"/>
        <v xml:space="preserve">   Shroud - Style D - Assembly</v>
      </c>
      <c r="Y582" s="159">
        <f t="shared" si="92"/>
        <v>0</v>
      </c>
      <c r="Z582" s="1"/>
      <c r="AA582" s="159"/>
      <c r="AB582" s="159"/>
      <c r="AC582" s="238">
        <v>12.06</v>
      </c>
      <c r="AD582" s="258"/>
      <c r="AE582" s="3">
        <f>ROUND((Y582*(AC582+AD582)),0)</f>
        <v>0</v>
      </c>
      <c r="AF582" s="1"/>
      <c r="AG582" s="175">
        <f t="shared" si="93"/>
        <v>0</v>
      </c>
      <c r="AH582" s="4"/>
      <c r="AI582" s="3">
        <f t="shared" si="94"/>
        <v>0</v>
      </c>
      <c r="AJ582" s="3"/>
      <c r="AK582" s="181" t="str">
        <f>IF(AE582=0,"0.0 ",ROUND((AI582/AE582)*100,1))</f>
        <v xml:space="preserve">0.0 </v>
      </c>
      <c r="AL582" s="6"/>
      <c r="AM582" s="3"/>
      <c r="AN582" s="3"/>
      <c r="AO582" s="3">
        <f>AM582+AE582</f>
        <v>0</v>
      </c>
      <c r="AP582" s="3"/>
      <c r="AQ582" s="181" t="str">
        <f t="shared" si="95"/>
        <v xml:space="preserve">0.0 </v>
      </c>
      <c r="AS582" s="123"/>
      <c r="AW582" s="135"/>
    </row>
    <row r="583" spans="3:49" x14ac:dyDescent="0.3">
      <c r="C583" s="42"/>
      <c r="F583" s="184"/>
      <c r="H583" s="184"/>
      <c r="I583" s="184"/>
      <c r="J583" s="193"/>
      <c r="K583" s="193"/>
      <c r="L583" s="123"/>
      <c r="M583" s="123"/>
      <c r="N583" s="160"/>
      <c r="O583" s="160"/>
      <c r="P583" s="123"/>
      <c r="Q583" s="123"/>
      <c r="R583" s="123"/>
      <c r="T583" s="282">
        <f t="shared" si="90"/>
        <v>146</v>
      </c>
      <c r="V583" s="45" t="str">
        <f t="shared" si="91"/>
        <v xml:space="preserve">   Shroud - Style Standard - Assembly 6"/15"</v>
      </c>
      <c r="Y583" s="159">
        <f t="shared" si="92"/>
        <v>0</v>
      </c>
      <c r="Z583" s="1"/>
      <c r="AA583" s="159"/>
      <c r="AB583" s="159"/>
      <c r="AC583" s="238">
        <v>4.71</v>
      </c>
      <c r="AD583" s="258"/>
      <c r="AE583" s="3">
        <f>ROUND((Y583*(AC583+AD583)),0)</f>
        <v>0</v>
      </c>
      <c r="AF583" s="1"/>
      <c r="AG583" s="175">
        <f t="shared" si="93"/>
        <v>0</v>
      </c>
      <c r="AH583" s="4"/>
      <c r="AI583" s="3">
        <f t="shared" si="94"/>
        <v>0</v>
      </c>
      <c r="AJ583" s="3"/>
      <c r="AK583" s="181" t="str">
        <f>IF(AE583=0,"0.0 ",ROUND((AI583/AE583)*100,1))</f>
        <v xml:space="preserve">0.0 </v>
      </c>
      <c r="AL583" s="6"/>
      <c r="AM583" s="3"/>
      <c r="AN583" s="3"/>
      <c r="AO583" s="3">
        <f>AM583+AE583</f>
        <v>0</v>
      </c>
      <c r="AP583" s="3"/>
      <c r="AQ583" s="181" t="str">
        <f t="shared" si="95"/>
        <v xml:space="preserve">0.0 </v>
      </c>
      <c r="AS583" s="123"/>
      <c r="AW583" s="135"/>
    </row>
    <row r="584" spans="3:49" x14ac:dyDescent="0.3">
      <c r="C584" s="42"/>
      <c r="F584" s="184"/>
      <c r="H584" s="184"/>
      <c r="I584" s="184"/>
      <c r="J584" s="193"/>
      <c r="K584" s="193"/>
      <c r="L584" s="123"/>
      <c r="M584" s="123"/>
      <c r="N584" s="160"/>
      <c r="O584" s="160"/>
      <c r="P584" s="123"/>
      <c r="Q584" s="123"/>
      <c r="R584" s="123"/>
      <c r="T584" s="282">
        <f t="shared" si="90"/>
        <v>147</v>
      </c>
      <c r="V584" s="45" t="str">
        <f t="shared" si="91"/>
        <v xml:space="preserve">   Shroud - Style Standard - Assembly 6"/18"</v>
      </c>
      <c r="Y584" s="159">
        <f t="shared" si="92"/>
        <v>0</v>
      </c>
      <c r="Z584" s="1"/>
      <c r="AA584" s="159"/>
      <c r="AB584" s="159"/>
      <c r="AC584" s="238">
        <v>5.12</v>
      </c>
      <c r="AD584" s="258"/>
      <c r="AE584" s="3">
        <f>ROUND((Y584*(AC584+AD584)),0)</f>
        <v>0</v>
      </c>
      <c r="AF584" s="1"/>
      <c r="AG584" s="175">
        <f t="shared" si="93"/>
        <v>0</v>
      </c>
      <c r="AH584" s="4"/>
      <c r="AI584" s="3">
        <f t="shared" si="94"/>
        <v>0</v>
      </c>
      <c r="AJ584" s="3"/>
      <c r="AK584" s="181" t="str">
        <f>IF(AE584=0,"0.0 ",ROUND((AI584/AE584)*100,1))</f>
        <v xml:space="preserve">0.0 </v>
      </c>
      <c r="AL584" s="6"/>
      <c r="AM584" s="3"/>
      <c r="AN584" s="3"/>
      <c r="AO584" s="3">
        <f>AM584+AE584</f>
        <v>0</v>
      </c>
      <c r="AP584" s="3"/>
      <c r="AQ584" s="181" t="str">
        <f t="shared" si="95"/>
        <v xml:space="preserve">0.0 </v>
      </c>
      <c r="AS584" s="123"/>
      <c r="AW584" s="135"/>
    </row>
    <row r="585" spans="3:49" x14ac:dyDescent="0.3">
      <c r="C585" s="42"/>
      <c r="F585" s="184"/>
      <c r="H585" s="184"/>
      <c r="I585" s="184"/>
      <c r="J585" s="193"/>
      <c r="K585" s="193"/>
      <c r="L585" s="123"/>
      <c r="M585" s="123"/>
      <c r="N585" s="160"/>
      <c r="O585" s="160"/>
      <c r="P585" s="123"/>
      <c r="Q585" s="123"/>
      <c r="R585" s="123"/>
      <c r="T585" s="282">
        <f t="shared" si="90"/>
        <v>148</v>
      </c>
      <c r="U585" s="312"/>
      <c r="V585" s="45" t="str">
        <f t="shared" si="91"/>
        <v>TOTAL LED POLES</v>
      </c>
      <c r="W585" s="312"/>
      <c r="Y585" s="262">
        <f>SUM(Y465:Y584)</f>
        <v>17</v>
      </c>
      <c r="Z585" s="1"/>
      <c r="AA585" s="159"/>
      <c r="AB585" s="159"/>
      <c r="AC585" s="238"/>
      <c r="AD585" s="258"/>
      <c r="AE585" s="262">
        <f>SUM(AE465:AE584)</f>
        <v>135</v>
      </c>
      <c r="AG585" s="347">
        <f>SUM(AG465:AG584)</f>
        <v>0.7</v>
      </c>
      <c r="AI585" s="262">
        <f>SUM(AI465:AI584)</f>
        <v>18</v>
      </c>
      <c r="AK585" s="347">
        <f>SUM(AK465:AK584)</f>
        <v>26.700000000000003</v>
      </c>
      <c r="AM585" s="262">
        <f>SUM(AM465:AM584)</f>
        <v>0</v>
      </c>
      <c r="AO585" s="262">
        <f>SUM(AO465:AO584)</f>
        <v>135</v>
      </c>
      <c r="AQ585" s="224">
        <f t="shared" si="95"/>
        <v>13.3</v>
      </c>
      <c r="AS585" s="123"/>
      <c r="AW585" s="135"/>
    </row>
    <row r="586" spans="3:49" x14ac:dyDescent="0.3">
      <c r="C586" s="42"/>
      <c r="F586" s="184"/>
      <c r="H586" s="184"/>
      <c r="I586" s="184"/>
      <c r="J586" s="193"/>
      <c r="K586" s="193"/>
      <c r="L586" s="123"/>
      <c r="M586" s="123"/>
      <c r="N586" s="160"/>
      <c r="O586" s="160"/>
      <c r="P586" s="123"/>
      <c r="Q586" s="123"/>
      <c r="R586" s="123"/>
      <c r="T586" s="282"/>
      <c r="V586" s="45"/>
      <c r="Y586" s="159"/>
      <c r="Z586" s="1"/>
      <c r="AA586" s="159"/>
      <c r="AB586" s="159"/>
      <c r="AC586" s="238"/>
      <c r="AD586" s="258"/>
      <c r="AE586" s="3"/>
      <c r="AF586" s="3"/>
      <c r="AG586" s="175"/>
      <c r="AH586" s="4"/>
      <c r="AI586" s="3"/>
      <c r="AJ586" s="3"/>
      <c r="AK586" s="181"/>
      <c r="AL586" s="6"/>
      <c r="AM586" s="1"/>
      <c r="AN586" s="3"/>
      <c r="AO586" s="3"/>
      <c r="AP586" s="3"/>
      <c r="AQ586" s="181"/>
      <c r="AS586" s="123"/>
      <c r="AW586" s="135"/>
    </row>
    <row r="587" spans="3:49" x14ac:dyDescent="0.3">
      <c r="C587" s="42"/>
      <c r="F587" s="184"/>
      <c r="H587" s="184"/>
      <c r="I587" s="184"/>
      <c r="J587" s="193"/>
      <c r="K587" s="193"/>
      <c r="L587" s="123"/>
      <c r="M587" s="123"/>
      <c r="N587" s="160"/>
      <c r="O587" s="160"/>
      <c r="P587" s="123"/>
      <c r="Q587" s="123"/>
      <c r="R587" s="123"/>
      <c r="T587" s="282">
        <f t="shared" ref="T587:T601" si="96">A235</f>
        <v>149</v>
      </c>
      <c r="U587" s="313"/>
      <c r="V587" s="45" t="str">
        <f t="shared" ref="V587:V601" si="97">C235</f>
        <v>POLE FOUNDATIONS</v>
      </c>
      <c r="W587" s="313"/>
      <c r="Y587" s="159"/>
      <c r="Z587" s="1"/>
      <c r="AA587" s="159"/>
      <c r="AB587" s="159"/>
      <c r="AC587" s="238"/>
      <c r="AD587" s="258"/>
      <c r="AE587" s="3"/>
      <c r="AF587" s="3"/>
      <c r="AG587" s="175"/>
      <c r="AH587" s="4"/>
      <c r="AI587" s="3"/>
      <c r="AJ587" s="3"/>
      <c r="AK587" s="181"/>
      <c r="AL587" s="6"/>
      <c r="AM587" s="1"/>
      <c r="AN587" s="3"/>
      <c r="AO587" s="3"/>
      <c r="AP587" s="3"/>
      <c r="AQ587" s="181"/>
      <c r="AS587" s="123"/>
      <c r="AW587" s="135"/>
    </row>
    <row r="588" spans="3:49" x14ac:dyDescent="0.3">
      <c r="C588" s="42"/>
      <c r="F588" s="184"/>
      <c r="H588" s="184"/>
      <c r="I588" s="184"/>
      <c r="J588" s="193"/>
      <c r="K588" s="193"/>
      <c r="L588" s="123"/>
      <c r="M588" s="123"/>
      <c r="N588" s="160"/>
      <c r="O588" s="160"/>
      <c r="P588" s="123"/>
      <c r="Q588" s="123"/>
      <c r="R588" s="123"/>
      <c r="T588" s="282">
        <f t="shared" si="96"/>
        <v>150</v>
      </c>
      <c r="U588" s="313"/>
      <c r="V588" s="45" t="str">
        <f t="shared" si="97"/>
        <v xml:space="preserve">   Flush - Pre-fabricated - Style A Pole</v>
      </c>
      <c r="W588" s="313"/>
      <c r="Y588" s="159">
        <f t="shared" ref="Y588:Y600" si="98">F236</f>
        <v>0</v>
      </c>
      <c r="Z588" s="1"/>
      <c r="AA588" s="159"/>
      <c r="AB588" s="159"/>
      <c r="AC588" s="238">
        <v>13.3</v>
      </c>
      <c r="AD588" s="258"/>
      <c r="AE588" s="3">
        <f t="shared" ref="AE588:AE600" si="99">ROUND((Y588*(AC588+AD588)),0)</f>
        <v>0</v>
      </c>
      <c r="AF588" s="1"/>
      <c r="AG588" s="175">
        <f t="shared" ref="AG588:AG600" si="100">ROUND((AE588/AE$692)*100,1)</f>
        <v>0</v>
      </c>
      <c r="AH588" s="4"/>
      <c r="AI588" s="3">
        <f t="shared" ref="AI588:AI600" si="101">L236-AE588</f>
        <v>0</v>
      </c>
      <c r="AJ588" s="3"/>
      <c r="AK588" s="181" t="str">
        <f t="shared" ref="AK588:AK601" si="102">IF(AE588=0,"0.0 ",ROUND((AI588/AE588)*100,1))</f>
        <v xml:space="preserve">0.0 </v>
      </c>
      <c r="AL588" s="6"/>
      <c r="AM588" s="3"/>
      <c r="AN588" s="3"/>
      <c r="AO588" s="3">
        <f t="shared" ref="AO588:AO600" si="103">AM588+AE588</f>
        <v>0</v>
      </c>
      <c r="AP588" s="3"/>
      <c r="AQ588" s="181" t="str">
        <f t="shared" ref="AQ588:AQ601" si="104">IF(AO588=0,"0.0 ",ROUND((AI588/AO588)*100,1))</f>
        <v xml:space="preserve">0.0 </v>
      </c>
      <c r="AS588" s="123"/>
      <c r="AW588" s="135"/>
    </row>
    <row r="589" spans="3:49" x14ac:dyDescent="0.3">
      <c r="C589" s="42"/>
      <c r="F589" s="184"/>
      <c r="H589" s="184"/>
      <c r="I589" s="184"/>
      <c r="J589" s="193"/>
      <c r="K589" s="193"/>
      <c r="L589" s="123"/>
      <c r="M589" s="123"/>
      <c r="N589" s="160"/>
      <c r="O589" s="160"/>
      <c r="P589" s="123"/>
      <c r="Q589" s="123"/>
      <c r="R589" s="123"/>
      <c r="T589" s="282">
        <f t="shared" si="96"/>
        <v>151</v>
      </c>
      <c r="V589" s="45" t="str">
        <f t="shared" si="97"/>
        <v xml:space="preserve">   Flush - Pre-fabricated - Style B Pole</v>
      </c>
      <c r="Y589" s="159">
        <f t="shared" si="98"/>
        <v>0</v>
      </c>
      <c r="Z589" s="1"/>
      <c r="AA589" s="159"/>
      <c r="AB589" s="159"/>
      <c r="AC589" s="238">
        <v>12.28</v>
      </c>
      <c r="AD589" s="258"/>
      <c r="AE589" s="3">
        <f t="shared" si="99"/>
        <v>0</v>
      </c>
      <c r="AF589" s="1"/>
      <c r="AG589" s="175">
        <f t="shared" si="100"/>
        <v>0</v>
      </c>
      <c r="AH589" s="4"/>
      <c r="AI589" s="3">
        <f t="shared" si="101"/>
        <v>0</v>
      </c>
      <c r="AJ589" s="3"/>
      <c r="AK589" s="181" t="str">
        <f t="shared" si="102"/>
        <v xml:space="preserve">0.0 </v>
      </c>
      <c r="AL589" s="6"/>
      <c r="AM589" s="3"/>
      <c r="AN589" s="3"/>
      <c r="AO589" s="3">
        <f t="shared" si="103"/>
        <v>0</v>
      </c>
      <c r="AP589" s="3"/>
      <c r="AQ589" s="181" t="str">
        <f t="shared" si="104"/>
        <v xml:space="preserve">0.0 </v>
      </c>
      <c r="AS589" s="123"/>
      <c r="AW589" s="135"/>
    </row>
    <row r="590" spans="3:49" x14ac:dyDescent="0.3">
      <c r="C590" s="42"/>
      <c r="F590" s="184"/>
      <c r="H590" s="184"/>
      <c r="I590" s="184"/>
      <c r="J590" s="193"/>
      <c r="K590" s="193"/>
      <c r="L590" s="123"/>
      <c r="M590" s="123"/>
      <c r="N590" s="160"/>
      <c r="O590" s="160"/>
      <c r="P590" s="123"/>
      <c r="Q590" s="123"/>
      <c r="R590" s="123"/>
      <c r="T590" s="282">
        <f t="shared" si="96"/>
        <v>152</v>
      </c>
      <c r="V590" s="45" t="str">
        <f t="shared" si="97"/>
        <v xml:space="preserve">   Flush - Pre-fabricated - Style C Pole</v>
      </c>
      <c r="Y590" s="159">
        <f t="shared" si="98"/>
        <v>0</v>
      </c>
      <c r="Z590" s="1"/>
      <c r="AA590" s="159"/>
      <c r="AB590" s="159"/>
      <c r="AC590" s="238">
        <v>13.17</v>
      </c>
      <c r="AD590" s="258"/>
      <c r="AE590" s="3">
        <f t="shared" si="99"/>
        <v>0</v>
      </c>
      <c r="AF590" s="1"/>
      <c r="AG590" s="175">
        <f t="shared" si="100"/>
        <v>0</v>
      </c>
      <c r="AH590" s="4"/>
      <c r="AI590" s="3">
        <f t="shared" si="101"/>
        <v>0</v>
      </c>
      <c r="AJ590" s="3"/>
      <c r="AK590" s="181" t="str">
        <f t="shared" si="102"/>
        <v xml:space="preserve">0.0 </v>
      </c>
      <c r="AL590" s="6"/>
      <c r="AM590" s="3"/>
      <c r="AN590" s="3"/>
      <c r="AO590" s="3">
        <f t="shared" si="103"/>
        <v>0</v>
      </c>
      <c r="AP590" s="3"/>
      <c r="AQ590" s="181" t="str">
        <f t="shared" si="104"/>
        <v xml:space="preserve">0.0 </v>
      </c>
      <c r="AS590" s="123"/>
      <c r="AW590" s="135"/>
    </row>
    <row r="591" spans="3:49" x14ac:dyDescent="0.3">
      <c r="C591" s="42"/>
      <c r="F591" s="184"/>
      <c r="H591" s="184"/>
      <c r="I591" s="184"/>
      <c r="J591" s="193"/>
      <c r="K591" s="193"/>
      <c r="L591" s="123"/>
      <c r="M591" s="123"/>
      <c r="N591" s="160"/>
      <c r="O591" s="160"/>
      <c r="P591" s="123"/>
      <c r="Q591" s="123"/>
      <c r="R591" s="123"/>
      <c r="T591" s="282">
        <f t="shared" si="96"/>
        <v>153</v>
      </c>
      <c r="U591" s="314"/>
      <c r="V591" s="45" t="str">
        <f t="shared" si="97"/>
        <v xml:space="preserve">   Flush - Pre-fabricated - Style E Pole</v>
      </c>
      <c r="W591" s="314"/>
      <c r="Y591" s="159">
        <f t="shared" si="98"/>
        <v>0</v>
      </c>
      <c r="Z591" s="1"/>
      <c r="AA591" s="159"/>
      <c r="AB591" s="159"/>
      <c r="AC591" s="238">
        <v>12.28</v>
      </c>
      <c r="AD591" s="258"/>
      <c r="AE591" s="3">
        <f t="shared" si="99"/>
        <v>0</v>
      </c>
      <c r="AF591" s="1"/>
      <c r="AG591" s="175">
        <f t="shared" si="100"/>
        <v>0</v>
      </c>
      <c r="AH591" s="4"/>
      <c r="AI591" s="3">
        <f t="shared" si="101"/>
        <v>0</v>
      </c>
      <c r="AJ591" s="3"/>
      <c r="AK591" s="181" t="str">
        <f t="shared" si="102"/>
        <v xml:space="preserve">0.0 </v>
      </c>
      <c r="AL591" s="6"/>
      <c r="AM591" s="3"/>
      <c r="AN591" s="3"/>
      <c r="AO591" s="3">
        <f t="shared" si="103"/>
        <v>0</v>
      </c>
      <c r="AP591" s="3"/>
      <c r="AQ591" s="181" t="str">
        <f t="shared" si="104"/>
        <v xml:space="preserve">0.0 </v>
      </c>
      <c r="AS591" s="123"/>
      <c r="AW591" s="135"/>
    </row>
    <row r="592" spans="3:49" x14ac:dyDescent="0.3">
      <c r="F592" s="123"/>
      <c r="H592" s="210"/>
      <c r="I592" s="210"/>
      <c r="J592" s="213"/>
      <c r="K592" s="213"/>
      <c r="L592" s="210"/>
      <c r="M592" s="210"/>
      <c r="N592" s="210"/>
      <c r="O592" s="210"/>
      <c r="P592" s="210"/>
      <c r="Q592" s="210"/>
      <c r="R592" s="210"/>
      <c r="T592" s="282">
        <f t="shared" si="96"/>
        <v>154</v>
      </c>
      <c r="V592" s="45" t="str">
        <f t="shared" si="97"/>
        <v xml:space="preserve">   Flush - Pre-fabricated - Style F Pole</v>
      </c>
      <c r="Y592" s="159">
        <f t="shared" si="98"/>
        <v>0</v>
      </c>
      <c r="Z592" s="1"/>
      <c r="AA592" s="159"/>
      <c r="AB592" s="159"/>
      <c r="AC592" s="238">
        <v>12.28</v>
      </c>
      <c r="AD592" s="258"/>
      <c r="AE592" s="3">
        <f t="shared" si="99"/>
        <v>0</v>
      </c>
      <c r="AF592" s="1"/>
      <c r="AG592" s="175">
        <f t="shared" si="100"/>
        <v>0</v>
      </c>
      <c r="AH592" s="4"/>
      <c r="AI592" s="3">
        <f t="shared" si="101"/>
        <v>0</v>
      </c>
      <c r="AJ592" s="3"/>
      <c r="AK592" s="181" t="str">
        <f t="shared" si="102"/>
        <v xml:space="preserve">0.0 </v>
      </c>
      <c r="AL592" s="6"/>
      <c r="AM592" s="3"/>
      <c r="AN592" s="3"/>
      <c r="AO592" s="3">
        <f t="shared" si="103"/>
        <v>0</v>
      </c>
      <c r="AP592" s="3"/>
      <c r="AQ592" s="181" t="str">
        <f t="shared" si="104"/>
        <v xml:space="preserve">0.0 </v>
      </c>
      <c r="AS592" s="123"/>
      <c r="AW592" s="135"/>
    </row>
    <row r="593" spans="3:49" x14ac:dyDescent="0.3">
      <c r="F593" s="123"/>
      <c r="H593" s="210"/>
      <c r="I593" s="210"/>
      <c r="J593" s="213"/>
      <c r="K593" s="213"/>
      <c r="L593" s="210"/>
      <c r="M593" s="210"/>
      <c r="N593" s="210"/>
      <c r="O593" s="210"/>
      <c r="P593" s="210"/>
      <c r="Q593" s="210"/>
      <c r="R593" s="210"/>
      <c r="T593" s="282">
        <f t="shared" si="96"/>
        <v>155</v>
      </c>
      <c r="V593" s="45" t="str">
        <f t="shared" si="97"/>
        <v xml:space="preserve">   Flush - Pre-fabricated - Style D Pole</v>
      </c>
      <c r="Y593" s="159">
        <f t="shared" si="98"/>
        <v>0</v>
      </c>
      <c r="Z593" s="1"/>
      <c r="AA593" s="159"/>
      <c r="AB593" s="159"/>
      <c r="AC593" s="238">
        <v>12.28</v>
      </c>
      <c r="AD593" s="5"/>
      <c r="AE593" s="3">
        <f t="shared" si="99"/>
        <v>0</v>
      </c>
      <c r="AF593" s="1"/>
      <c r="AG593" s="175">
        <f t="shared" si="100"/>
        <v>0</v>
      </c>
      <c r="AH593" s="4"/>
      <c r="AI593" s="3">
        <f t="shared" si="101"/>
        <v>0</v>
      </c>
      <c r="AJ593" s="3"/>
      <c r="AK593" s="181" t="str">
        <f t="shared" si="102"/>
        <v xml:space="preserve">0.0 </v>
      </c>
      <c r="AL593" s="6"/>
      <c r="AM593" s="3"/>
      <c r="AN593" s="3"/>
      <c r="AO593" s="3">
        <f t="shared" si="103"/>
        <v>0</v>
      </c>
      <c r="AP593" s="3"/>
      <c r="AQ593" s="181" t="str">
        <f t="shared" si="104"/>
        <v xml:space="preserve">0.0 </v>
      </c>
      <c r="AS593" s="123"/>
      <c r="AW593" s="135"/>
    </row>
    <row r="594" spans="3:49" x14ac:dyDescent="0.3">
      <c r="F594" s="123"/>
      <c r="H594" s="210"/>
      <c r="I594" s="210"/>
      <c r="J594" s="213"/>
      <c r="K594" s="213"/>
      <c r="L594" s="210"/>
      <c r="M594" s="210"/>
      <c r="N594" s="210"/>
      <c r="O594" s="210"/>
      <c r="P594" s="210"/>
      <c r="Q594" s="210"/>
      <c r="R594" s="210"/>
      <c r="T594" s="282">
        <f t="shared" si="96"/>
        <v>156</v>
      </c>
      <c r="V594" s="45" t="str">
        <f t="shared" si="97"/>
        <v xml:space="preserve">   Reveal - Pre-fabricated - Style A Pole</v>
      </c>
      <c r="Y594" s="159">
        <f t="shared" si="98"/>
        <v>0</v>
      </c>
      <c r="Z594" s="1"/>
      <c r="AA594" s="159"/>
      <c r="AB594" s="159"/>
      <c r="AC594" s="238">
        <v>18.73</v>
      </c>
      <c r="AD594" s="5"/>
      <c r="AE594" s="3">
        <f t="shared" si="99"/>
        <v>0</v>
      </c>
      <c r="AF594" s="1"/>
      <c r="AG594" s="175">
        <f t="shared" si="100"/>
        <v>0</v>
      </c>
      <c r="AH594" s="4"/>
      <c r="AI594" s="3">
        <f t="shared" si="101"/>
        <v>0</v>
      </c>
      <c r="AJ594" s="3"/>
      <c r="AK594" s="181" t="str">
        <f t="shared" si="102"/>
        <v xml:space="preserve">0.0 </v>
      </c>
      <c r="AL594" s="6"/>
      <c r="AM594" s="3"/>
      <c r="AN594" s="3"/>
      <c r="AO594" s="3">
        <f t="shared" si="103"/>
        <v>0</v>
      </c>
      <c r="AP594" s="3"/>
      <c r="AQ594" s="181" t="str">
        <f t="shared" si="104"/>
        <v xml:space="preserve">0.0 </v>
      </c>
      <c r="AS594" s="123"/>
      <c r="AW594" s="135"/>
    </row>
    <row r="595" spans="3:49" x14ac:dyDescent="0.3">
      <c r="F595" s="123"/>
      <c r="H595" s="210"/>
      <c r="I595" s="210"/>
      <c r="J595" s="213"/>
      <c r="K595" s="213"/>
      <c r="L595" s="210"/>
      <c r="M595" s="210"/>
      <c r="N595" s="210"/>
      <c r="O595" s="210"/>
      <c r="P595" s="210"/>
      <c r="Q595" s="210"/>
      <c r="R595" s="210"/>
      <c r="T595" s="282">
        <f t="shared" si="96"/>
        <v>157</v>
      </c>
      <c r="V595" s="45" t="str">
        <f t="shared" si="97"/>
        <v xml:space="preserve">   Reveal - Pre-fabricated - Style B Pole</v>
      </c>
      <c r="Y595" s="159">
        <f t="shared" si="98"/>
        <v>0</v>
      </c>
      <c r="Z595" s="1"/>
      <c r="AA595" s="159"/>
      <c r="AB595" s="159"/>
      <c r="AC595" s="238">
        <v>14.9</v>
      </c>
      <c r="AD595" s="5"/>
      <c r="AE595" s="3">
        <f t="shared" si="99"/>
        <v>0</v>
      </c>
      <c r="AF595" s="1"/>
      <c r="AG595" s="175">
        <f t="shared" si="100"/>
        <v>0</v>
      </c>
      <c r="AH595" s="4"/>
      <c r="AI595" s="3">
        <f t="shared" si="101"/>
        <v>0</v>
      </c>
      <c r="AJ595" s="3"/>
      <c r="AK595" s="181" t="str">
        <f t="shared" si="102"/>
        <v xml:space="preserve">0.0 </v>
      </c>
      <c r="AL595" s="6"/>
      <c r="AM595" s="3"/>
      <c r="AN595" s="3"/>
      <c r="AO595" s="3">
        <f t="shared" si="103"/>
        <v>0</v>
      </c>
      <c r="AP595" s="3"/>
      <c r="AQ595" s="181" t="str">
        <f t="shared" si="104"/>
        <v xml:space="preserve">0.0 </v>
      </c>
      <c r="AS595" s="123"/>
      <c r="AW595" s="135"/>
    </row>
    <row r="596" spans="3:49" x14ac:dyDescent="0.3">
      <c r="F596" s="123"/>
      <c r="H596" s="210"/>
      <c r="I596" s="210"/>
      <c r="J596" s="213"/>
      <c r="K596" s="213"/>
      <c r="L596" s="210"/>
      <c r="M596" s="210"/>
      <c r="N596" s="210"/>
      <c r="O596" s="210"/>
      <c r="P596" s="210"/>
      <c r="Q596" s="210"/>
      <c r="R596" s="210"/>
      <c r="T596" s="282">
        <f t="shared" si="96"/>
        <v>158</v>
      </c>
      <c r="U596" s="307"/>
      <c r="V596" s="45" t="str">
        <f t="shared" si="97"/>
        <v xml:space="preserve">   Reveal - Pre-fabricated - Style C Pole</v>
      </c>
      <c r="W596" s="307"/>
      <c r="Y596" s="159">
        <f t="shared" si="98"/>
        <v>0</v>
      </c>
      <c r="Z596" s="1"/>
      <c r="AA596" s="159"/>
      <c r="AB596" s="159"/>
      <c r="AC596" s="238">
        <v>15.46</v>
      </c>
      <c r="AD596" s="5"/>
      <c r="AE596" s="3">
        <f t="shared" si="99"/>
        <v>0</v>
      </c>
      <c r="AF596" s="1"/>
      <c r="AG596" s="175">
        <f t="shared" si="100"/>
        <v>0</v>
      </c>
      <c r="AH596" s="4"/>
      <c r="AI596" s="3">
        <f t="shared" si="101"/>
        <v>0</v>
      </c>
      <c r="AJ596" s="3"/>
      <c r="AK596" s="181" t="str">
        <f t="shared" si="102"/>
        <v xml:space="preserve">0.0 </v>
      </c>
      <c r="AL596" s="6"/>
      <c r="AM596" s="3"/>
      <c r="AN596" s="3"/>
      <c r="AO596" s="3">
        <f t="shared" si="103"/>
        <v>0</v>
      </c>
      <c r="AP596" s="3"/>
      <c r="AQ596" s="181" t="str">
        <f t="shared" si="104"/>
        <v xml:space="preserve">0.0 </v>
      </c>
      <c r="AS596" s="123"/>
      <c r="AW596" s="135"/>
    </row>
    <row r="597" spans="3:49" x14ac:dyDescent="0.3">
      <c r="C597" s="42"/>
      <c r="F597" s="123"/>
      <c r="H597" s="123"/>
      <c r="I597" s="123"/>
      <c r="J597" s="213"/>
      <c r="K597" s="213"/>
      <c r="L597" s="123"/>
      <c r="M597" s="123"/>
      <c r="N597" s="160"/>
      <c r="O597" s="160"/>
      <c r="P597" s="123"/>
      <c r="Q597" s="123"/>
      <c r="R597" s="123"/>
      <c r="T597" s="282">
        <f t="shared" si="96"/>
        <v>159</v>
      </c>
      <c r="U597" s="307"/>
      <c r="V597" s="45" t="str">
        <f t="shared" si="97"/>
        <v xml:space="preserve">   Reveal - Pre-fabricated - Style D Pole</v>
      </c>
      <c r="W597" s="307"/>
      <c r="Y597" s="159">
        <f t="shared" si="98"/>
        <v>0</v>
      </c>
      <c r="Z597" s="1"/>
      <c r="AA597" s="159"/>
      <c r="AB597" s="159"/>
      <c r="AC597" s="238">
        <v>15.46</v>
      </c>
      <c r="AD597" s="5"/>
      <c r="AE597" s="3">
        <f t="shared" si="99"/>
        <v>0</v>
      </c>
      <c r="AF597" s="1"/>
      <c r="AG597" s="175">
        <f t="shared" si="100"/>
        <v>0</v>
      </c>
      <c r="AH597" s="4"/>
      <c r="AI597" s="3">
        <f t="shared" si="101"/>
        <v>0</v>
      </c>
      <c r="AJ597" s="3"/>
      <c r="AK597" s="181" t="str">
        <f t="shared" si="102"/>
        <v xml:space="preserve">0.0 </v>
      </c>
      <c r="AL597" s="6"/>
      <c r="AM597" s="3"/>
      <c r="AN597" s="3"/>
      <c r="AO597" s="3">
        <f t="shared" si="103"/>
        <v>0</v>
      </c>
      <c r="AP597" s="3"/>
      <c r="AQ597" s="181" t="str">
        <f t="shared" si="104"/>
        <v xml:space="preserve">0.0 </v>
      </c>
      <c r="AS597" s="123"/>
      <c r="AW597" s="135"/>
    </row>
    <row r="598" spans="3:49" x14ac:dyDescent="0.3">
      <c r="C598" s="42"/>
      <c r="F598" s="123"/>
      <c r="H598" s="123"/>
      <c r="I598" s="123"/>
      <c r="J598" s="213"/>
      <c r="K598" s="213"/>
      <c r="L598" s="123"/>
      <c r="M598" s="123"/>
      <c r="N598" s="160"/>
      <c r="O598" s="160"/>
      <c r="P598" s="123"/>
      <c r="Q598" s="123"/>
      <c r="R598" s="123"/>
      <c r="T598" s="282">
        <f t="shared" si="96"/>
        <v>160</v>
      </c>
      <c r="V598" s="45" t="str">
        <f t="shared" si="97"/>
        <v xml:space="preserve">   Reveal - Pre-fabricated - Style E Pole</v>
      </c>
      <c r="Y598" s="159">
        <f t="shared" si="98"/>
        <v>0</v>
      </c>
      <c r="Z598" s="1"/>
      <c r="AA598" s="159"/>
      <c r="AB598" s="159"/>
      <c r="AC598" s="238">
        <v>15.46</v>
      </c>
      <c r="AD598" s="258"/>
      <c r="AE598" s="3">
        <f t="shared" si="99"/>
        <v>0</v>
      </c>
      <c r="AF598" s="1"/>
      <c r="AG598" s="175">
        <f t="shared" si="100"/>
        <v>0</v>
      </c>
      <c r="AH598" s="4"/>
      <c r="AI598" s="3">
        <f t="shared" si="101"/>
        <v>0</v>
      </c>
      <c r="AJ598" s="3"/>
      <c r="AK598" s="181" t="str">
        <f t="shared" si="102"/>
        <v xml:space="preserve">0.0 </v>
      </c>
      <c r="AL598" s="6"/>
      <c r="AM598" s="3"/>
      <c r="AN598" s="3"/>
      <c r="AO598" s="3">
        <f t="shared" si="103"/>
        <v>0</v>
      </c>
      <c r="AP598" s="3"/>
      <c r="AQ598" s="181" t="str">
        <f t="shared" si="104"/>
        <v xml:space="preserve">0.0 </v>
      </c>
      <c r="AS598" s="123"/>
      <c r="AW598" s="135"/>
    </row>
    <row r="599" spans="3:49" x14ac:dyDescent="0.3">
      <c r="C599" s="42"/>
      <c r="F599" s="123"/>
      <c r="H599" s="123"/>
      <c r="I599" s="123"/>
      <c r="J599" s="213"/>
      <c r="K599" s="213"/>
      <c r="L599" s="123"/>
      <c r="M599" s="123"/>
      <c r="N599" s="160"/>
      <c r="O599" s="160"/>
      <c r="P599" s="123"/>
      <c r="Q599" s="123"/>
      <c r="R599" s="123"/>
      <c r="T599" s="282">
        <f t="shared" si="96"/>
        <v>161</v>
      </c>
      <c r="V599" s="45" t="str">
        <f t="shared" si="97"/>
        <v xml:space="preserve">   Reveal - Pre-fabricated - Style F Pole</v>
      </c>
      <c r="Y599" s="159">
        <f t="shared" si="98"/>
        <v>0</v>
      </c>
      <c r="Z599" s="1"/>
      <c r="AA599" s="159"/>
      <c r="AB599" s="159"/>
      <c r="AC599" s="238">
        <v>15.46</v>
      </c>
      <c r="AD599" s="258"/>
      <c r="AE599" s="3">
        <f t="shared" si="99"/>
        <v>0</v>
      </c>
      <c r="AF599" s="1"/>
      <c r="AG599" s="175">
        <f t="shared" si="100"/>
        <v>0</v>
      </c>
      <c r="AH599" s="4"/>
      <c r="AI599" s="3">
        <f t="shared" si="101"/>
        <v>0</v>
      </c>
      <c r="AJ599" s="3"/>
      <c r="AK599" s="181" t="str">
        <f t="shared" si="102"/>
        <v xml:space="preserve">0.0 </v>
      </c>
      <c r="AL599" s="6"/>
      <c r="AM599" s="3"/>
      <c r="AN599" s="3"/>
      <c r="AO599" s="3">
        <f t="shared" si="103"/>
        <v>0</v>
      </c>
      <c r="AP599" s="3"/>
      <c r="AQ599" s="181" t="str">
        <f t="shared" si="104"/>
        <v xml:space="preserve">0.0 </v>
      </c>
      <c r="AS599" s="123"/>
      <c r="AW599" s="135"/>
    </row>
    <row r="600" spans="3:49" x14ac:dyDescent="0.3">
      <c r="F600" s="123"/>
      <c r="H600" s="210"/>
      <c r="I600" s="210"/>
      <c r="J600" s="213"/>
      <c r="K600" s="213"/>
      <c r="L600" s="210"/>
      <c r="M600" s="210"/>
      <c r="N600" s="210"/>
      <c r="O600" s="210"/>
      <c r="P600" s="210"/>
      <c r="Q600" s="210"/>
      <c r="R600" s="210"/>
      <c r="T600" s="282">
        <f t="shared" si="96"/>
        <v>162</v>
      </c>
      <c r="V600" s="45" t="str">
        <f t="shared" si="97"/>
        <v xml:space="preserve">   Screw-in Foundation</v>
      </c>
      <c r="Y600" s="159">
        <f t="shared" si="98"/>
        <v>0</v>
      </c>
      <c r="Z600" s="1"/>
      <c r="AA600" s="159"/>
      <c r="AB600" s="159"/>
      <c r="AC600" s="238">
        <v>7.96</v>
      </c>
      <c r="AD600" s="258"/>
      <c r="AE600" s="3">
        <f t="shared" si="99"/>
        <v>0</v>
      </c>
      <c r="AF600" s="1"/>
      <c r="AG600" s="175">
        <f t="shared" si="100"/>
        <v>0</v>
      </c>
      <c r="AH600" s="4"/>
      <c r="AI600" s="3">
        <f t="shared" si="101"/>
        <v>0</v>
      </c>
      <c r="AJ600" s="3"/>
      <c r="AK600" s="181" t="str">
        <f t="shared" si="102"/>
        <v xml:space="preserve">0.0 </v>
      </c>
      <c r="AL600" s="6"/>
      <c r="AM600" s="3"/>
      <c r="AN600" s="3"/>
      <c r="AO600" s="3">
        <f t="shared" si="103"/>
        <v>0</v>
      </c>
      <c r="AP600" s="3"/>
      <c r="AQ600" s="181" t="str">
        <f t="shared" si="104"/>
        <v xml:space="preserve">0.0 </v>
      </c>
      <c r="AS600" s="123"/>
      <c r="AW600" s="135"/>
    </row>
    <row r="601" spans="3:49" x14ac:dyDescent="0.3">
      <c r="F601" s="123"/>
      <c r="H601" s="123"/>
      <c r="I601" s="123"/>
      <c r="J601" s="213"/>
      <c r="K601" s="213"/>
      <c r="L601" s="123"/>
      <c r="M601" s="123"/>
      <c r="N601" s="123"/>
      <c r="O601" s="123"/>
      <c r="P601" s="123"/>
      <c r="Q601" s="123"/>
      <c r="R601" s="123"/>
      <c r="T601" s="282">
        <f t="shared" si="96"/>
        <v>163</v>
      </c>
      <c r="V601" s="45" t="str">
        <f t="shared" si="97"/>
        <v>TOTAL LED POLE FOUNDATIONS</v>
      </c>
      <c r="Y601" s="262">
        <f>SUM(Y588:Y600)</f>
        <v>0</v>
      </c>
      <c r="Z601" s="1"/>
      <c r="AA601" s="159"/>
      <c r="AB601" s="159"/>
      <c r="AC601" s="238"/>
      <c r="AD601" s="258"/>
      <c r="AE601" s="145">
        <f>SUM(AE588:AE600)</f>
        <v>0</v>
      </c>
      <c r="AG601" s="347">
        <f>SUM(AG588:AG600)</f>
        <v>0</v>
      </c>
      <c r="AI601" s="145">
        <f>SUM(AI588:AI600)</f>
        <v>0</v>
      </c>
      <c r="AK601" s="181" t="str">
        <f t="shared" si="102"/>
        <v xml:space="preserve">0.0 </v>
      </c>
      <c r="AM601" s="145">
        <f>SUM(AM588:AM600)</f>
        <v>0</v>
      </c>
      <c r="AO601" s="145">
        <f>SUM(AO588:AO600)</f>
        <v>0</v>
      </c>
      <c r="AQ601" s="224" t="str">
        <f t="shared" si="104"/>
        <v xml:space="preserve">0.0 </v>
      </c>
      <c r="AS601" s="123"/>
      <c r="AW601" s="135"/>
    </row>
    <row r="602" spans="3:49" x14ac:dyDescent="0.3">
      <c r="F602" s="123"/>
      <c r="H602" s="123"/>
      <c r="I602" s="123"/>
      <c r="J602" s="213"/>
      <c r="K602" s="213"/>
      <c r="L602" s="123"/>
      <c r="M602" s="123"/>
      <c r="N602" s="123"/>
      <c r="O602" s="123"/>
      <c r="P602" s="123"/>
      <c r="Q602" s="123"/>
      <c r="R602" s="123"/>
      <c r="T602" s="282"/>
      <c r="V602" s="45"/>
      <c r="Y602" s="159"/>
      <c r="Z602" s="1"/>
      <c r="AA602" s="159"/>
      <c r="AB602" s="159"/>
      <c r="AC602" s="238"/>
      <c r="AD602" s="258"/>
      <c r="AE602" s="3"/>
      <c r="AG602" s="6"/>
      <c r="AI602" s="3"/>
      <c r="AK602" s="181"/>
      <c r="AM602" s="3"/>
      <c r="AO602" s="3"/>
      <c r="AQ602" s="181"/>
      <c r="AS602" s="123"/>
      <c r="AW602" s="135"/>
    </row>
    <row r="603" spans="3:49" x14ac:dyDescent="0.3">
      <c r="C603" s="42"/>
      <c r="F603" s="184"/>
      <c r="H603" s="222"/>
      <c r="I603" s="222"/>
      <c r="J603" s="193"/>
      <c r="K603" s="193"/>
      <c r="L603" s="123"/>
      <c r="M603" s="123"/>
      <c r="R603" s="123"/>
      <c r="T603" s="282">
        <f t="shared" ref="T603:T616" si="105">A251</f>
        <v>164</v>
      </c>
      <c r="V603" s="45" t="str">
        <f t="shared" ref="V603:V616" si="106">C251</f>
        <v>BRACKETS</v>
      </c>
      <c r="AW603" s="135"/>
    </row>
    <row r="604" spans="3:49" x14ac:dyDescent="0.3">
      <c r="C604" s="42"/>
      <c r="F604" s="184"/>
      <c r="H604" s="184"/>
      <c r="I604" s="184"/>
      <c r="J604" s="227"/>
      <c r="K604" s="227"/>
      <c r="L604" s="123"/>
      <c r="M604" s="123"/>
      <c r="N604" s="160"/>
      <c r="O604" s="160"/>
      <c r="P604" s="184"/>
      <c r="Q604" s="184"/>
      <c r="R604" s="123"/>
      <c r="T604" s="282">
        <f t="shared" si="105"/>
        <v>165</v>
      </c>
      <c r="V604" s="45" t="str">
        <f t="shared" si="106"/>
        <v xml:space="preserve">   14 inch bracket - wood pole - side mount</v>
      </c>
      <c r="Y604" s="123">
        <f t="shared" ref="Y604:Y616" si="107">F252</f>
        <v>0</v>
      </c>
      <c r="AB604" s="222"/>
      <c r="AC604" s="238">
        <v>1.93</v>
      </c>
      <c r="AE604" s="3">
        <f t="shared" ref="AE604:AE653" si="108">ROUND((Y604*(AC604+AD604)),0)</f>
        <v>0</v>
      </c>
      <c r="AF604" s="1"/>
      <c r="AG604" s="175">
        <f t="shared" ref="AG604:AG616" si="109">ROUND((AE604/AE$692)*100,1)</f>
        <v>0</v>
      </c>
      <c r="AH604" s="4"/>
      <c r="AI604" s="3">
        <f t="shared" ref="AI604:AI616" si="110">L252-AE604</f>
        <v>0</v>
      </c>
      <c r="AJ604" s="3"/>
      <c r="AK604" s="181" t="str">
        <f t="shared" ref="AK604:AK666" si="111">IF(AE604=0,"0.0 ",ROUND((AI604/AE604)*100,1))</f>
        <v xml:space="preserve">0.0 </v>
      </c>
      <c r="AL604" s="6"/>
      <c r="AM604" s="3"/>
      <c r="AN604" s="3"/>
      <c r="AO604" s="3">
        <f t="shared" ref="AO604:AO653" si="112">AM604+AE604</f>
        <v>0</v>
      </c>
      <c r="AP604" s="3"/>
      <c r="AQ604" s="181" t="str">
        <f t="shared" ref="AQ604:AQ666" si="113">IF(AO604=0,"0.0 ",ROUND((AI604/AO604)*100,1))</f>
        <v xml:space="preserve">0.0 </v>
      </c>
      <c r="AW604" s="135"/>
    </row>
    <row r="605" spans="3:49" x14ac:dyDescent="0.3">
      <c r="F605" s="210"/>
      <c r="H605" s="210"/>
      <c r="I605" s="210"/>
      <c r="J605" s="213"/>
      <c r="K605" s="213"/>
      <c r="L605" s="210"/>
      <c r="M605" s="210"/>
      <c r="N605" s="210"/>
      <c r="O605" s="210"/>
      <c r="P605" s="210"/>
      <c r="Q605" s="210"/>
      <c r="R605" s="210"/>
      <c r="T605" s="282">
        <f t="shared" si="105"/>
        <v>166</v>
      </c>
      <c r="V605" s="45" t="str">
        <f t="shared" si="106"/>
        <v xml:space="preserve">   4 foot bracket - wood pole - side mount</v>
      </c>
      <c r="Y605" s="123">
        <f t="shared" si="107"/>
        <v>8</v>
      </c>
      <c r="AA605" s="123"/>
      <c r="AB605" s="212"/>
      <c r="AC605" s="238">
        <v>2.16</v>
      </c>
      <c r="AD605" s="123"/>
      <c r="AE605" s="3">
        <f t="shared" si="108"/>
        <v>17</v>
      </c>
      <c r="AF605" s="1"/>
      <c r="AG605" s="175">
        <f t="shared" si="109"/>
        <v>0.1</v>
      </c>
      <c r="AH605" s="4"/>
      <c r="AI605" s="3">
        <f t="shared" si="110"/>
        <v>3</v>
      </c>
      <c r="AJ605" s="3"/>
      <c r="AK605" s="181">
        <f t="shared" si="111"/>
        <v>17.600000000000001</v>
      </c>
      <c r="AL605" s="6"/>
      <c r="AM605" s="3"/>
      <c r="AN605" s="3"/>
      <c r="AO605" s="3">
        <f t="shared" si="112"/>
        <v>17</v>
      </c>
      <c r="AP605" s="3"/>
      <c r="AQ605" s="181">
        <f t="shared" si="113"/>
        <v>17.600000000000001</v>
      </c>
      <c r="AW605" s="135"/>
    </row>
    <row r="606" spans="3:49" x14ac:dyDescent="0.3">
      <c r="D606" s="42"/>
      <c r="E606" s="42"/>
      <c r="F606" s="123"/>
      <c r="H606" s="123"/>
      <c r="I606" s="123"/>
      <c r="J606" s="219"/>
      <c r="K606" s="219"/>
      <c r="L606" s="123"/>
      <c r="M606" s="123"/>
      <c r="N606" s="160"/>
      <c r="O606" s="160"/>
      <c r="P606" s="123"/>
      <c r="Q606" s="123"/>
      <c r="R606" s="123"/>
      <c r="T606" s="282">
        <f t="shared" si="105"/>
        <v>167</v>
      </c>
      <c r="V606" s="45" t="str">
        <f t="shared" si="106"/>
        <v xml:space="preserve">   6 foot bracket - wood pole - side mount</v>
      </c>
      <c r="Y606" s="123">
        <f t="shared" si="107"/>
        <v>0</v>
      </c>
      <c r="AA606" s="210"/>
      <c r="AB606" s="213"/>
      <c r="AC606" s="238">
        <v>2.13</v>
      </c>
      <c r="AD606" s="210"/>
      <c r="AE606" s="3">
        <f t="shared" si="108"/>
        <v>0</v>
      </c>
      <c r="AF606" s="1"/>
      <c r="AG606" s="175">
        <f t="shared" si="109"/>
        <v>0</v>
      </c>
      <c r="AH606" s="4"/>
      <c r="AI606" s="3">
        <f t="shared" si="110"/>
        <v>0</v>
      </c>
      <c r="AJ606" s="3"/>
      <c r="AK606" s="181" t="str">
        <f t="shared" si="111"/>
        <v xml:space="preserve">0.0 </v>
      </c>
      <c r="AL606" s="6"/>
      <c r="AM606" s="3"/>
      <c r="AN606" s="3"/>
      <c r="AO606" s="3">
        <f t="shared" si="112"/>
        <v>0</v>
      </c>
      <c r="AP606" s="3"/>
      <c r="AQ606" s="181" t="str">
        <f t="shared" si="113"/>
        <v xml:space="preserve">0.0 </v>
      </c>
      <c r="AW606" s="135"/>
    </row>
    <row r="607" spans="3:49" x14ac:dyDescent="0.3">
      <c r="F607" s="210"/>
      <c r="H607" s="210"/>
      <c r="I607" s="210"/>
      <c r="J607" s="213"/>
      <c r="K607" s="213"/>
      <c r="L607" s="210"/>
      <c r="M607" s="210"/>
      <c r="N607" s="210"/>
      <c r="O607" s="210"/>
      <c r="P607" s="210"/>
      <c r="Q607" s="210"/>
      <c r="R607" s="210"/>
      <c r="T607" s="282">
        <f t="shared" si="105"/>
        <v>168</v>
      </c>
      <c r="V607" s="45" t="str">
        <f t="shared" si="106"/>
        <v xml:space="preserve">   8 foot bracket - wood pole - side mount</v>
      </c>
      <c r="Y607" s="123">
        <f t="shared" si="107"/>
        <v>5</v>
      </c>
      <c r="AA607" s="123"/>
      <c r="AB607" s="219"/>
      <c r="AC607" s="238">
        <v>2.89</v>
      </c>
      <c r="AD607" s="123"/>
      <c r="AE607" s="3">
        <f t="shared" si="108"/>
        <v>14</v>
      </c>
      <c r="AF607" s="1"/>
      <c r="AG607" s="175">
        <f t="shared" si="109"/>
        <v>0.1</v>
      </c>
      <c r="AH607" s="4"/>
      <c r="AI607" s="3">
        <f t="shared" si="110"/>
        <v>3</v>
      </c>
      <c r="AJ607" s="3"/>
      <c r="AK607" s="181">
        <f t="shared" si="111"/>
        <v>21.4</v>
      </c>
      <c r="AL607" s="6"/>
      <c r="AM607" s="3"/>
      <c r="AN607" s="3"/>
      <c r="AO607" s="3">
        <f t="shared" si="112"/>
        <v>14</v>
      </c>
      <c r="AP607" s="3"/>
      <c r="AQ607" s="181">
        <f t="shared" si="113"/>
        <v>21.4</v>
      </c>
      <c r="AW607" s="135"/>
    </row>
    <row r="608" spans="3:49" x14ac:dyDescent="0.3">
      <c r="R608" s="123"/>
      <c r="T608" s="282">
        <f t="shared" si="105"/>
        <v>169</v>
      </c>
      <c r="V608" s="45" t="str">
        <f t="shared" si="106"/>
        <v xml:space="preserve">   10 foot bracket - wood pole - side mount</v>
      </c>
      <c r="Y608" s="123">
        <f t="shared" si="107"/>
        <v>0</v>
      </c>
      <c r="AA608" s="210"/>
      <c r="AB608" s="213"/>
      <c r="AC608" s="238">
        <v>4.7699999999999996</v>
      </c>
      <c r="AD608" s="210"/>
      <c r="AE608" s="3">
        <f t="shared" si="108"/>
        <v>0</v>
      </c>
      <c r="AF608" s="1"/>
      <c r="AG608" s="175">
        <f t="shared" si="109"/>
        <v>0</v>
      </c>
      <c r="AH608" s="4"/>
      <c r="AI608" s="3">
        <f t="shared" si="110"/>
        <v>0</v>
      </c>
      <c r="AJ608" s="3"/>
      <c r="AK608" s="181" t="str">
        <f t="shared" si="111"/>
        <v xml:space="preserve">0.0 </v>
      </c>
      <c r="AL608" s="6"/>
      <c r="AM608" s="3"/>
      <c r="AN608" s="3"/>
      <c r="AO608" s="3">
        <f t="shared" si="112"/>
        <v>0</v>
      </c>
      <c r="AP608" s="3"/>
      <c r="AQ608" s="181" t="str">
        <f t="shared" si="113"/>
        <v xml:space="preserve">0.0 </v>
      </c>
      <c r="AW608" s="135"/>
    </row>
    <row r="609" spans="3:49" x14ac:dyDescent="0.3">
      <c r="R609" s="123"/>
      <c r="T609" s="282">
        <f t="shared" si="105"/>
        <v>170</v>
      </c>
      <c r="V609" s="45" t="str">
        <f t="shared" si="106"/>
        <v xml:space="preserve">   12 foot bracket - wood pole - side mount</v>
      </c>
      <c r="Y609" s="123">
        <f t="shared" si="107"/>
        <v>0</v>
      </c>
      <c r="AC609" s="238">
        <v>4.34</v>
      </c>
      <c r="AE609" s="3">
        <f t="shared" si="108"/>
        <v>0</v>
      </c>
      <c r="AF609" s="1"/>
      <c r="AG609" s="175">
        <f t="shared" si="109"/>
        <v>0</v>
      </c>
      <c r="AH609" s="4"/>
      <c r="AI609" s="3">
        <f t="shared" si="110"/>
        <v>0</v>
      </c>
      <c r="AJ609" s="3"/>
      <c r="AK609" s="181" t="str">
        <f t="shared" si="111"/>
        <v xml:space="preserve">0.0 </v>
      </c>
      <c r="AL609" s="6"/>
      <c r="AM609" s="3"/>
      <c r="AN609" s="3"/>
      <c r="AO609" s="3">
        <f t="shared" si="112"/>
        <v>0</v>
      </c>
      <c r="AP609" s="3"/>
      <c r="AQ609" s="181" t="str">
        <f t="shared" si="113"/>
        <v xml:space="preserve">0.0 </v>
      </c>
      <c r="AW609" s="135"/>
    </row>
    <row r="610" spans="3:49" x14ac:dyDescent="0.3">
      <c r="R610" s="123"/>
      <c r="T610" s="282">
        <f t="shared" si="105"/>
        <v>171</v>
      </c>
      <c r="V610" s="45" t="str">
        <f t="shared" si="106"/>
        <v xml:space="preserve">   15 foot bracket - wood pole - side mount</v>
      </c>
      <c r="Y610" s="123">
        <f t="shared" si="107"/>
        <v>5</v>
      </c>
      <c r="AC610" s="238">
        <v>5.07</v>
      </c>
      <c r="AE610" s="3">
        <f t="shared" si="108"/>
        <v>25</v>
      </c>
      <c r="AF610" s="1"/>
      <c r="AG610" s="175">
        <f t="shared" si="109"/>
        <v>0.1</v>
      </c>
      <c r="AH610" s="4"/>
      <c r="AI610" s="3">
        <f t="shared" si="110"/>
        <v>4</v>
      </c>
      <c r="AJ610" s="3"/>
      <c r="AK610" s="181">
        <f t="shared" si="111"/>
        <v>16</v>
      </c>
      <c r="AL610" s="6"/>
      <c r="AM610" s="3"/>
      <c r="AN610" s="3"/>
      <c r="AO610" s="3">
        <f t="shared" si="112"/>
        <v>25</v>
      </c>
      <c r="AP610" s="3"/>
      <c r="AQ610" s="181">
        <f t="shared" si="113"/>
        <v>16</v>
      </c>
      <c r="AW610" s="135"/>
    </row>
    <row r="611" spans="3:49" x14ac:dyDescent="0.3">
      <c r="C611" s="42"/>
      <c r="D611" s="42"/>
      <c r="E611" s="42"/>
      <c r="H611" s="123"/>
      <c r="I611" s="123"/>
      <c r="J611" s="219"/>
      <c r="K611" s="219"/>
      <c r="L611" s="123"/>
      <c r="M611" s="123"/>
      <c r="N611" s="160"/>
      <c r="O611" s="160"/>
      <c r="P611" s="123"/>
      <c r="Q611" s="123"/>
      <c r="R611" s="123"/>
      <c r="T611" s="282">
        <f t="shared" si="105"/>
        <v>172</v>
      </c>
      <c r="V611" s="45" t="str">
        <f t="shared" si="106"/>
        <v xml:space="preserve">   4 foot bracket - metal pole - side mount</v>
      </c>
      <c r="Y611" s="123">
        <f t="shared" si="107"/>
        <v>0</v>
      </c>
      <c r="AC611" s="238">
        <v>5.14</v>
      </c>
      <c r="AE611" s="3">
        <f t="shared" si="108"/>
        <v>0</v>
      </c>
      <c r="AF611" s="1"/>
      <c r="AG611" s="175">
        <f t="shared" si="109"/>
        <v>0</v>
      </c>
      <c r="AH611" s="4"/>
      <c r="AI611" s="3">
        <f t="shared" si="110"/>
        <v>0</v>
      </c>
      <c r="AJ611" s="3"/>
      <c r="AK611" s="181" t="str">
        <f t="shared" si="111"/>
        <v xml:space="preserve">0.0 </v>
      </c>
      <c r="AL611" s="6"/>
      <c r="AM611" s="3"/>
      <c r="AN611" s="3"/>
      <c r="AO611" s="3">
        <f t="shared" si="112"/>
        <v>0</v>
      </c>
      <c r="AP611" s="3"/>
      <c r="AQ611" s="181" t="str">
        <f t="shared" si="113"/>
        <v xml:space="preserve">0.0 </v>
      </c>
      <c r="AW611" s="135"/>
    </row>
    <row r="612" spans="3:49" x14ac:dyDescent="0.3">
      <c r="H612" s="123"/>
      <c r="I612" s="123"/>
      <c r="J612" s="219"/>
      <c r="K612" s="219"/>
      <c r="L612" s="123"/>
      <c r="M612" s="123"/>
      <c r="N612" s="160"/>
      <c r="O612" s="160"/>
      <c r="P612" s="123"/>
      <c r="Q612" s="123"/>
      <c r="R612" s="123"/>
      <c r="T612" s="282">
        <f t="shared" si="105"/>
        <v>173</v>
      </c>
      <c r="V612" s="45" t="str">
        <f t="shared" si="106"/>
        <v xml:space="preserve">   6 foot bracket - metal pole - side mount</v>
      </c>
      <c r="Y612" s="123">
        <f t="shared" si="107"/>
        <v>0</v>
      </c>
      <c r="AA612" s="123"/>
      <c r="AB612" s="219"/>
      <c r="AC612" s="238">
        <v>5.21</v>
      </c>
      <c r="AD612" s="123"/>
      <c r="AE612" s="3">
        <f t="shared" si="108"/>
        <v>0</v>
      </c>
      <c r="AF612" s="1"/>
      <c r="AG612" s="175">
        <f t="shared" si="109"/>
        <v>0</v>
      </c>
      <c r="AH612" s="4"/>
      <c r="AI612" s="3">
        <f t="shared" si="110"/>
        <v>0</v>
      </c>
      <c r="AJ612" s="3"/>
      <c r="AK612" s="181" t="str">
        <f t="shared" si="111"/>
        <v xml:space="preserve">0.0 </v>
      </c>
      <c r="AL612" s="6"/>
      <c r="AM612" s="3"/>
      <c r="AN612" s="3"/>
      <c r="AO612" s="3">
        <f t="shared" si="112"/>
        <v>0</v>
      </c>
      <c r="AP612" s="3"/>
      <c r="AQ612" s="181" t="str">
        <f t="shared" si="113"/>
        <v xml:space="preserve">0.0 </v>
      </c>
      <c r="AW612" s="135"/>
    </row>
    <row r="613" spans="3:49" x14ac:dyDescent="0.3">
      <c r="C613" s="42"/>
      <c r="F613" s="184"/>
      <c r="H613" s="184"/>
      <c r="I613" s="184"/>
      <c r="J613" s="240"/>
      <c r="K613" s="240"/>
      <c r="L613" s="184"/>
      <c r="M613" s="184"/>
      <c r="N613" s="160"/>
      <c r="O613" s="160"/>
      <c r="P613" s="123"/>
      <c r="Q613" s="123"/>
      <c r="R613" s="123"/>
      <c r="T613" s="282">
        <f t="shared" si="105"/>
        <v>174</v>
      </c>
      <c r="V613" s="45" t="str">
        <f t="shared" si="106"/>
        <v xml:space="preserve">   8 foot bracket - metal pole - side mount</v>
      </c>
      <c r="Y613" s="123">
        <f t="shared" si="107"/>
        <v>0</v>
      </c>
      <c r="AA613" s="123"/>
      <c r="AB613" s="219"/>
      <c r="AC613" s="238">
        <v>6.47</v>
      </c>
      <c r="AD613" s="123"/>
      <c r="AE613" s="3">
        <f t="shared" si="108"/>
        <v>0</v>
      </c>
      <c r="AF613" s="1"/>
      <c r="AG613" s="175">
        <f t="shared" si="109"/>
        <v>0</v>
      </c>
      <c r="AH613" s="4"/>
      <c r="AI613" s="3">
        <f t="shared" si="110"/>
        <v>0</v>
      </c>
      <c r="AJ613" s="3"/>
      <c r="AK613" s="181" t="str">
        <f t="shared" si="111"/>
        <v xml:space="preserve">0.0 </v>
      </c>
      <c r="AL613" s="6"/>
      <c r="AM613" s="3"/>
      <c r="AN613" s="3"/>
      <c r="AO613" s="3">
        <f t="shared" si="112"/>
        <v>0</v>
      </c>
      <c r="AP613" s="3"/>
      <c r="AQ613" s="181" t="str">
        <f t="shared" si="113"/>
        <v xml:space="preserve">0.0 </v>
      </c>
      <c r="AW613" s="135"/>
    </row>
    <row r="614" spans="3:49" x14ac:dyDescent="0.3">
      <c r="F614" s="184"/>
      <c r="H614" s="222"/>
      <c r="I614" s="222"/>
      <c r="J614" s="222"/>
      <c r="K614" s="222"/>
      <c r="R614" s="123"/>
      <c r="T614" s="282">
        <f t="shared" si="105"/>
        <v>175</v>
      </c>
      <c r="V614" s="45" t="str">
        <f t="shared" si="106"/>
        <v xml:space="preserve">   10 foot bracket - metal pole - side mount</v>
      </c>
      <c r="Y614" s="123">
        <f t="shared" si="107"/>
        <v>0</v>
      </c>
      <c r="AA614" s="123"/>
      <c r="AB614" s="240"/>
      <c r="AC614" s="238">
        <v>6.82</v>
      </c>
      <c r="AD614" s="123"/>
      <c r="AE614" s="3">
        <f t="shared" si="108"/>
        <v>0</v>
      </c>
      <c r="AF614" s="1"/>
      <c r="AG614" s="175">
        <f t="shared" si="109"/>
        <v>0</v>
      </c>
      <c r="AH614" s="4"/>
      <c r="AI614" s="3">
        <f t="shared" si="110"/>
        <v>0</v>
      </c>
      <c r="AJ614" s="3"/>
      <c r="AK614" s="181" t="str">
        <f t="shared" si="111"/>
        <v xml:space="preserve">0.0 </v>
      </c>
      <c r="AL614" s="6"/>
      <c r="AM614" s="3"/>
      <c r="AN614" s="3"/>
      <c r="AO614" s="3">
        <f t="shared" si="112"/>
        <v>0</v>
      </c>
      <c r="AP614" s="3"/>
      <c r="AQ614" s="181" t="str">
        <f t="shared" si="113"/>
        <v xml:space="preserve">0.0 </v>
      </c>
      <c r="AW614" s="135"/>
    </row>
    <row r="615" spans="3:49" x14ac:dyDescent="0.3">
      <c r="C615" s="42"/>
      <c r="F615" s="184"/>
      <c r="H615" s="184"/>
      <c r="I615" s="184"/>
      <c r="J615" s="193"/>
      <c r="K615" s="193"/>
      <c r="L615" s="123"/>
      <c r="M615" s="123"/>
      <c r="N615" s="160"/>
      <c r="O615" s="160"/>
      <c r="P615" s="123"/>
      <c r="Q615" s="123"/>
      <c r="R615" s="123"/>
      <c r="T615" s="282">
        <f t="shared" si="105"/>
        <v>176</v>
      </c>
      <c r="V615" s="45" t="str">
        <f t="shared" si="106"/>
        <v xml:space="preserve">   12 foot bracket - metal pole - side mount</v>
      </c>
      <c r="Y615" s="123">
        <f t="shared" si="107"/>
        <v>0</v>
      </c>
      <c r="AB615" s="222"/>
      <c r="AC615" s="238">
        <v>6.23</v>
      </c>
      <c r="AE615" s="3">
        <f t="shared" si="108"/>
        <v>0</v>
      </c>
      <c r="AF615" s="1"/>
      <c r="AG615" s="175">
        <f t="shared" si="109"/>
        <v>0</v>
      </c>
      <c r="AH615" s="4"/>
      <c r="AI615" s="3">
        <f t="shared" si="110"/>
        <v>0</v>
      </c>
      <c r="AJ615" s="3"/>
      <c r="AK615" s="181" t="str">
        <f t="shared" si="111"/>
        <v xml:space="preserve">0.0 </v>
      </c>
      <c r="AL615" s="6"/>
      <c r="AM615" s="3"/>
      <c r="AN615" s="3"/>
      <c r="AO615" s="3">
        <f t="shared" si="112"/>
        <v>0</v>
      </c>
      <c r="AP615" s="3"/>
      <c r="AQ615" s="181" t="str">
        <f t="shared" si="113"/>
        <v xml:space="preserve">0.0 </v>
      </c>
      <c r="AW615" s="135"/>
    </row>
    <row r="616" spans="3:49" x14ac:dyDescent="0.3">
      <c r="F616" s="184"/>
      <c r="H616" s="222"/>
      <c r="I616" s="222"/>
      <c r="J616" s="222"/>
      <c r="K616" s="222"/>
      <c r="R616" s="123"/>
      <c r="T616" s="282">
        <f t="shared" si="105"/>
        <v>177</v>
      </c>
      <c r="V616" s="45" t="str">
        <f t="shared" si="106"/>
        <v xml:space="preserve">   15 foot bracket - metal pole - side mount</v>
      </c>
      <c r="Y616" s="123">
        <f t="shared" si="107"/>
        <v>0</v>
      </c>
      <c r="AA616" s="123"/>
      <c r="AB616" s="193"/>
      <c r="AC616" s="238">
        <v>7.44</v>
      </c>
      <c r="AD616" s="123"/>
      <c r="AE616" s="3">
        <f t="shared" si="108"/>
        <v>0</v>
      </c>
      <c r="AF616" s="1"/>
      <c r="AG616" s="175">
        <f t="shared" si="109"/>
        <v>0</v>
      </c>
      <c r="AH616" s="4"/>
      <c r="AI616" s="3">
        <f t="shared" si="110"/>
        <v>0</v>
      </c>
      <c r="AJ616" s="3"/>
      <c r="AK616" s="181" t="str">
        <f t="shared" si="111"/>
        <v xml:space="preserve">0.0 </v>
      </c>
      <c r="AL616" s="6"/>
      <c r="AM616" s="3"/>
      <c r="AN616" s="3"/>
      <c r="AO616" s="3">
        <f t="shared" si="112"/>
        <v>0</v>
      </c>
      <c r="AP616" s="3"/>
      <c r="AQ616" s="181" t="str">
        <f t="shared" si="113"/>
        <v xml:space="preserve">0.0 </v>
      </c>
      <c r="AW616" s="135"/>
    </row>
    <row r="617" spans="3:49" x14ac:dyDescent="0.3">
      <c r="F617" s="184"/>
      <c r="H617" s="222"/>
      <c r="I617" s="222"/>
      <c r="J617" s="222"/>
      <c r="K617" s="222"/>
      <c r="R617" s="123"/>
      <c r="T617" s="282"/>
      <c r="V617" s="45"/>
      <c r="Y617" s="123"/>
      <c r="AA617" s="123"/>
      <c r="AB617" s="193"/>
      <c r="AD617" s="123"/>
      <c r="AE617" s="3"/>
      <c r="AF617" s="1"/>
      <c r="AG617" s="175"/>
      <c r="AH617" s="4"/>
      <c r="AI617" s="3"/>
      <c r="AJ617" s="3"/>
      <c r="AK617" s="181"/>
      <c r="AL617" s="6"/>
      <c r="AM617" s="3"/>
      <c r="AN617" s="3"/>
      <c r="AO617" s="3"/>
      <c r="AP617" s="3"/>
      <c r="AQ617" s="181"/>
      <c r="AW617" s="135"/>
    </row>
    <row r="618" spans="3:49" x14ac:dyDescent="0.3">
      <c r="F618" s="184"/>
      <c r="H618" s="222"/>
      <c r="I618" s="222"/>
      <c r="J618" s="222"/>
      <c r="K618" s="222"/>
      <c r="R618" s="123"/>
      <c r="T618" s="202" t="s">
        <v>76</v>
      </c>
      <c r="V618" s="45"/>
      <c r="Y618" s="159"/>
      <c r="Z618" s="1"/>
      <c r="AA618" s="159"/>
      <c r="AB618" s="159"/>
      <c r="AC618" s="238"/>
      <c r="AD618" s="238"/>
      <c r="AE618" s="3"/>
      <c r="AF618" s="3"/>
      <c r="AG618" s="175"/>
      <c r="AH618" s="4"/>
      <c r="AI618" s="3"/>
      <c r="AJ618" s="3"/>
      <c r="AK618" s="181"/>
      <c r="AL618" s="6"/>
      <c r="AM618" s="3"/>
      <c r="AN618" s="3"/>
      <c r="AO618" s="3"/>
      <c r="AP618" s="3"/>
      <c r="AQ618" s="181"/>
      <c r="AW618" s="135"/>
    </row>
    <row r="619" spans="3:49" x14ac:dyDescent="0.3">
      <c r="F619" s="184"/>
      <c r="H619" s="222"/>
      <c r="I619" s="222"/>
      <c r="J619" s="222"/>
      <c r="K619" s="222"/>
      <c r="R619" s="123"/>
      <c r="T619" s="202" t="str">
        <f>"(1A) REFLECTS FUEL COST RECOVERY INCLUDED IN BASE RATES OF "&amp;TEXT(CUR_BASE_FUEL,"$0.000000;($0.000000)")&amp;"  PER KWH."</f>
        <v>(1A) REFLECTS FUEL COST RECOVERY INCLUDED IN BASE RATES OF $0.033780  PER KWH.</v>
      </c>
      <c r="V619" s="45"/>
      <c r="Y619" s="159"/>
      <c r="Z619" s="1"/>
      <c r="AA619" s="159"/>
      <c r="AB619" s="159"/>
      <c r="AC619" s="238"/>
      <c r="AD619" s="238"/>
      <c r="AE619" s="3"/>
      <c r="AF619" s="3"/>
      <c r="AG619" s="175"/>
      <c r="AH619" s="4"/>
      <c r="AI619" s="3"/>
      <c r="AJ619" s="3"/>
      <c r="AK619" s="181"/>
      <c r="AL619" s="6"/>
      <c r="AM619" s="3"/>
      <c r="AN619" s="3"/>
      <c r="AO619" s="3"/>
      <c r="AP619" s="3"/>
      <c r="AQ619" s="181"/>
      <c r="AW619" s="135"/>
    </row>
    <row r="620" spans="3:49" x14ac:dyDescent="0.3">
      <c r="F620" s="184"/>
      <c r="H620" s="222"/>
      <c r="I620" s="222"/>
      <c r="J620" s="222"/>
      <c r="K620" s="222"/>
      <c r="R620" s="123"/>
      <c r="T620" s="202" t="str">
        <f>"(2) REFLECTS FUEL COMPONENT OF "&amp;TEXT(CUR_FAC,"$0.000000;($0.000000)")&amp;"  PER KWH."</f>
        <v>(2) REFLECTS FUEL COMPONENT OF $0.003487  PER KWH.</v>
      </c>
      <c r="V620" s="45"/>
      <c r="Y620" s="159"/>
      <c r="Z620" s="1"/>
      <c r="AA620" s="159"/>
      <c r="AB620" s="159"/>
      <c r="AC620" s="238"/>
      <c r="AD620" s="238"/>
      <c r="AE620" s="3"/>
      <c r="AF620" s="3"/>
      <c r="AG620" s="175"/>
      <c r="AH620" s="4"/>
      <c r="AI620" s="3"/>
      <c r="AJ620" s="3"/>
      <c r="AK620" s="181"/>
      <c r="AL620" s="6"/>
      <c r="AM620" s="3"/>
      <c r="AN620" s="3"/>
      <c r="AO620" s="3"/>
      <c r="AP620" s="3"/>
      <c r="AQ620" s="181"/>
      <c r="AW620" s="135"/>
    </row>
    <row r="621" spans="3:49" x14ac:dyDescent="0.3">
      <c r="F621" s="184"/>
      <c r="H621" s="222"/>
      <c r="I621" s="222"/>
      <c r="J621" s="222"/>
      <c r="K621" s="222"/>
      <c r="R621" s="123"/>
      <c r="T621" s="282"/>
      <c r="V621" s="45"/>
      <c r="Y621" s="159"/>
      <c r="Z621" s="1"/>
      <c r="AA621" s="159"/>
      <c r="AB621" s="159"/>
      <c r="AC621" s="238"/>
      <c r="AD621" s="238"/>
      <c r="AE621" s="3"/>
      <c r="AF621" s="3"/>
      <c r="AG621" s="175"/>
      <c r="AH621" s="4"/>
      <c r="AI621" s="3"/>
      <c r="AJ621" s="3"/>
      <c r="AK621" s="181"/>
      <c r="AL621" s="6"/>
      <c r="AM621" s="3"/>
      <c r="AN621" s="3"/>
      <c r="AO621" s="3"/>
      <c r="AP621" s="3"/>
      <c r="AQ621" s="181"/>
      <c r="AW621" s="135"/>
    </row>
    <row r="622" spans="3:49" x14ac:dyDescent="0.3">
      <c r="F622" s="184"/>
      <c r="H622" s="222"/>
      <c r="I622" s="222"/>
      <c r="J622" s="222"/>
      <c r="K622" s="222"/>
      <c r="R622" s="123"/>
      <c r="T622" s="469" t="str">
        <f>NAME</f>
        <v>DUKE ENERGY KENTUCKY, INC.</v>
      </c>
      <c r="U622" s="469"/>
      <c r="V622" s="469"/>
      <c r="W622" s="469"/>
      <c r="X622" s="469"/>
      <c r="Y622" s="469"/>
      <c r="Z622" s="469"/>
      <c r="AA622" s="469"/>
      <c r="AB622" s="469"/>
      <c r="AC622" s="469"/>
      <c r="AD622" s="469"/>
      <c r="AE622" s="469"/>
      <c r="AF622" s="469"/>
      <c r="AG622" s="469"/>
      <c r="AH622" s="469"/>
      <c r="AI622" s="469"/>
      <c r="AJ622" s="469"/>
      <c r="AK622" s="469"/>
      <c r="AL622" s="469"/>
      <c r="AM622" s="469"/>
      <c r="AN622" s="469"/>
      <c r="AO622" s="469"/>
      <c r="AP622" s="469"/>
      <c r="AQ622" s="469"/>
      <c r="AW622" s="135"/>
    </row>
    <row r="623" spans="3:49" x14ac:dyDescent="0.3">
      <c r="F623" s="184"/>
      <c r="H623" s="222"/>
      <c r="I623" s="222"/>
      <c r="J623" s="222"/>
      <c r="K623" s="222"/>
      <c r="R623" s="123"/>
      <c r="T623" s="40" t="str">
        <f>CASE_NO</f>
        <v>CASE NO.   2024-00354</v>
      </c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W623" s="135"/>
    </row>
    <row r="624" spans="3:49" x14ac:dyDescent="0.3">
      <c r="F624" s="184"/>
      <c r="H624" s="222"/>
      <c r="I624" s="222"/>
      <c r="J624" s="222"/>
      <c r="K624" s="222"/>
      <c r="R624" s="123"/>
      <c r="T624" s="40" t="str">
        <f>TITLE</f>
        <v>ANNUALIZED TEST YEAR REVENUES AT REHEARING ORDER CALCULATED VS. MOST CURRENT RATES</v>
      </c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W624" s="135"/>
    </row>
    <row r="625" spans="6:49" x14ac:dyDescent="0.3">
      <c r="F625" s="184"/>
      <c r="H625" s="222"/>
      <c r="I625" s="222"/>
      <c r="J625" s="222"/>
      <c r="K625" s="222"/>
      <c r="R625" s="123"/>
      <c r="T625" s="40" t="str">
        <f>DATE</f>
        <v>FOR THE TWELVE MONTHS ENDED June 30, 2026</v>
      </c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W625" s="135"/>
    </row>
    <row r="626" spans="6:49" x14ac:dyDescent="0.3">
      <c r="F626" s="184"/>
      <c r="H626" s="222"/>
      <c r="I626" s="222"/>
      <c r="J626" s="222"/>
      <c r="K626" s="222"/>
      <c r="R626" s="123"/>
      <c r="T626" s="40" t="str">
        <f>SERVICE</f>
        <v>(ELECTRIC SERVICE)</v>
      </c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W626" s="135"/>
    </row>
    <row r="627" spans="6:49" x14ac:dyDescent="0.3">
      <c r="F627" s="184"/>
      <c r="H627" s="222"/>
      <c r="I627" s="222"/>
      <c r="J627" s="222"/>
      <c r="K627" s="222"/>
      <c r="R627" s="123"/>
      <c r="T627" s="41" t="str">
        <f>DATA_PERIOD</f>
        <v>DATA: ____ BASE PERIOD   __X__FORECASTED PERIOD</v>
      </c>
      <c r="AG627" s="41"/>
      <c r="AK627" s="41"/>
      <c r="AO627" s="42" t="s">
        <v>158</v>
      </c>
      <c r="AQ627" s="41"/>
      <c r="AW627" s="135"/>
    </row>
    <row r="628" spans="6:49" x14ac:dyDescent="0.3">
      <c r="F628" s="184"/>
      <c r="H628" s="222"/>
      <c r="I628" s="222"/>
      <c r="J628" s="222"/>
      <c r="K628" s="222"/>
      <c r="R628" s="123"/>
      <c r="T628" s="41" t="str">
        <f>TYPE</f>
        <v>TYPE OF FILING: _X_ ORIGINAL   ___UPDATED  ___ REVISED</v>
      </c>
      <c r="AG628" s="41"/>
      <c r="AK628" s="41"/>
      <c r="AO628" s="45" t="str">
        <f>"PAGE 24 OF "&amp;TEXT(Page_Num_2.2,"00")</f>
        <v>PAGE 24 OF 24</v>
      </c>
      <c r="AQ628" s="41"/>
      <c r="AW628" s="135"/>
    </row>
    <row r="629" spans="6:49" x14ac:dyDescent="0.3">
      <c r="F629" s="184"/>
      <c r="H629" s="222"/>
      <c r="I629" s="222"/>
      <c r="J629" s="222"/>
      <c r="K629" s="222"/>
      <c r="R629" s="123"/>
      <c r="T629" s="42" t="s">
        <v>171</v>
      </c>
      <c r="AO629" s="42" t="s">
        <v>4</v>
      </c>
      <c r="AP629" s="42"/>
      <c r="AW629" s="135"/>
    </row>
    <row r="630" spans="6:49" x14ac:dyDescent="0.3">
      <c r="F630" s="184"/>
      <c r="H630" s="222"/>
      <c r="I630" s="222"/>
      <c r="J630" s="222"/>
      <c r="K630" s="222"/>
      <c r="R630" s="123"/>
      <c r="T630" s="153" t="str">
        <f>TIME</f>
        <v>12 Months Projected with Riders</v>
      </c>
      <c r="AF630" s="42"/>
      <c r="AO630" s="123" t="str">
        <f>WIT</f>
        <v>B. L. Sailers</v>
      </c>
      <c r="AW630" s="135"/>
    </row>
    <row r="631" spans="6:49" x14ac:dyDescent="0.3">
      <c r="F631" s="184"/>
      <c r="H631" s="222"/>
      <c r="I631" s="222"/>
      <c r="J631" s="222"/>
      <c r="K631" s="222"/>
      <c r="R631" s="123"/>
      <c r="T631" s="40" t="s">
        <v>131</v>
      </c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166"/>
      <c r="AH631" s="40"/>
      <c r="AI631" s="40"/>
      <c r="AJ631" s="40"/>
      <c r="AK631" s="166"/>
      <c r="AL631" s="40"/>
      <c r="AM631" s="40"/>
      <c r="AN631" s="40"/>
      <c r="AO631" s="40"/>
      <c r="AP631" s="40"/>
      <c r="AW631" s="135"/>
    </row>
    <row r="632" spans="6:49" x14ac:dyDescent="0.3">
      <c r="F632" s="184"/>
      <c r="H632" s="222"/>
      <c r="I632" s="222"/>
      <c r="J632" s="222"/>
      <c r="K632" s="222"/>
      <c r="R632" s="123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43"/>
      <c r="AF632" s="43"/>
      <c r="AG632" s="167"/>
      <c r="AH632" s="43"/>
      <c r="AI632" s="43"/>
      <c r="AJ632" s="43"/>
      <c r="AK632" s="167"/>
      <c r="AL632" s="43"/>
      <c r="AM632" s="43"/>
      <c r="AN632" s="135"/>
      <c r="AO632" s="135"/>
      <c r="AP632" s="135"/>
      <c r="AW632" s="135"/>
    </row>
    <row r="633" spans="6:49" x14ac:dyDescent="0.3">
      <c r="F633" s="184"/>
      <c r="H633" s="222"/>
      <c r="I633" s="222"/>
      <c r="J633" s="222"/>
      <c r="K633" s="222"/>
      <c r="R633" s="123"/>
      <c r="T633" s="191"/>
      <c r="U633" s="191"/>
      <c r="V633" s="191"/>
      <c r="W633" s="191"/>
      <c r="X633" s="191"/>
      <c r="Y633" s="191"/>
      <c r="Z633" s="191"/>
      <c r="AA633" s="191"/>
      <c r="AB633" s="191"/>
      <c r="AC633" s="191"/>
      <c r="AD633" s="191"/>
      <c r="AE633" s="44" t="s">
        <v>8</v>
      </c>
      <c r="AF633" s="44"/>
      <c r="AG633" s="168" t="s">
        <v>7</v>
      </c>
      <c r="AH633" s="44"/>
      <c r="AI633" s="44" t="s">
        <v>9</v>
      </c>
      <c r="AJ633" s="44"/>
      <c r="AK633" s="168" t="s">
        <v>10</v>
      </c>
      <c r="AL633" s="44"/>
      <c r="AN633" s="191"/>
      <c r="AO633" s="272" t="s">
        <v>8</v>
      </c>
      <c r="AP633" s="272"/>
      <c r="AQ633" s="273" t="s">
        <v>11</v>
      </c>
      <c r="AW633" s="135"/>
    </row>
    <row r="634" spans="6:49" x14ac:dyDescent="0.3">
      <c r="F634" s="184"/>
      <c r="H634" s="222"/>
      <c r="I634" s="222"/>
      <c r="J634" s="222"/>
      <c r="K634" s="222"/>
      <c r="R634" s="123"/>
      <c r="AC634" s="346" t="s">
        <v>812</v>
      </c>
      <c r="AD634" s="40"/>
      <c r="AE634" s="44" t="s">
        <v>12</v>
      </c>
      <c r="AF634" s="44"/>
      <c r="AG634" s="168" t="s">
        <v>13</v>
      </c>
      <c r="AH634" s="44"/>
      <c r="AI634" s="44" t="s">
        <v>15</v>
      </c>
      <c r="AJ634" s="44"/>
      <c r="AK634" s="168" t="s">
        <v>16</v>
      </c>
      <c r="AL634" s="44"/>
      <c r="AO634" s="44" t="s">
        <v>11</v>
      </c>
      <c r="AP634" s="44"/>
      <c r="AQ634" s="168" t="s">
        <v>9</v>
      </c>
      <c r="AW634" s="135"/>
    </row>
    <row r="635" spans="6:49" x14ac:dyDescent="0.3">
      <c r="F635" s="184"/>
      <c r="H635" s="222"/>
      <c r="I635" s="222"/>
      <c r="J635" s="222"/>
      <c r="K635" s="222"/>
      <c r="R635" s="123"/>
      <c r="T635" s="44" t="s">
        <v>17</v>
      </c>
      <c r="V635" s="44" t="s">
        <v>18</v>
      </c>
      <c r="W635" s="44" t="s">
        <v>19</v>
      </c>
      <c r="X635" s="44"/>
      <c r="Y635" s="44" t="s">
        <v>20</v>
      </c>
      <c r="AC635" s="44" t="s">
        <v>808</v>
      </c>
      <c r="AD635" s="44" t="s">
        <v>809</v>
      </c>
      <c r="AE635" s="44" t="s">
        <v>842</v>
      </c>
      <c r="AF635" s="44"/>
      <c r="AG635" s="168" t="s">
        <v>842</v>
      </c>
      <c r="AH635" s="44"/>
      <c r="AI635" s="46" t="s">
        <v>965</v>
      </c>
      <c r="AJ635" s="44"/>
      <c r="AK635" s="169" t="s">
        <v>965</v>
      </c>
      <c r="AL635" s="44"/>
      <c r="AM635" s="44" t="s">
        <v>842</v>
      </c>
      <c r="AN635" s="44"/>
      <c r="AO635" s="44" t="s">
        <v>9</v>
      </c>
      <c r="AP635" s="44"/>
      <c r="AQ635" s="168" t="s">
        <v>21</v>
      </c>
      <c r="AW635" s="135"/>
    </row>
    <row r="636" spans="6:49" x14ac:dyDescent="0.3">
      <c r="F636" s="184"/>
      <c r="H636" s="222"/>
      <c r="I636" s="222"/>
      <c r="J636" s="222"/>
      <c r="K636" s="222"/>
      <c r="R636" s="123"/>
      <c r="T636" s="44" t="s">
        <v>22</v>
      </c>
      <c r="V636" s="44" t="s">
        <v>23</v>
      </c>
      <c r="W636" s="44" t="s">
        <v>24</v>
      </c>
      <c r="X636" s="44"/>
      <c r="Y636" s="44" t="s">
        <v>25</v>
      </c>
      <c r="AA636" s="44" t="s">
        <v>26</v>
      </c>
      <c r="AB636" s="44"/>
      <c r="AC636" s="46" t="s">
        <v>27</v>
      </c>
      <c r="AD636" s="46" t="s">
        <v>27</v>
      </c>
      <c r="AE636" s="44" t="s">
        <v>9</v>
      </c>
      <c r="AF636" s="44"/>
      <c r="AG636" s="168" t="s">
        <v>9</v>
      </c>
      <c r="AH636" s="44"/>
      <c r="AI636" s="141" t="s">
        <v>29</v>
      </c>
      <c r="AJ636" s="141"/>
      <c r="AK636" s="170" t="s">
        <v>30</v>
      </c>
      <c r="AL636" s="44"/>
      <c r="AM636" s="44" t="s">
        <v>324</v>
      </c>
      <c r="AN636" s="44"/>
      <c r="AO636" s="141" t="s">
        <v>31</v>
      </c>
      <c r="AP636" s="141"/>
      <c r="AQ636" s="170" t="s">
        <v>32</v>
      </c>
      <c r="AW636" s="135"/>
    </row>
    <row r="637" spans="6:49" x14ac:dyDescent="0.3">
      <c r="F637" s="184"/>
      <c r="H637" s="222"/>
      <c r="I637" s="222"/>
      <c r="J637" s="222"/>
      <c r="K637" s="222"/>
      <c r="R637" s="123"/>
      <c r="V637" s="141" t="s">
        <v>33</v>
      </c>
      <c r="W637" s="141" t="s">
        <v>34</v>
      </c>
      <c r="X637" s="141"/>
      <c r="Y637" s="141" t="s">
        <v>35</v>
      </c>
      <c r="Z637" s="153"/>
      <c r="AA637" s="141" t="s">
        <v>36</v>
      </c>
      <c r="AB637" s="141"/>
      <c r="AC637" s="156" t="s">
        <v>814</v>
      </c>
      <c r="AD637" s="156" t="s">
        <v>813</v>
      </c>
      <c r="AE637" s="141" t="s">
        <v>43</v>
      </c>
      <c r="AF637" s="141"/>
      <c r="AG637" s="170" t="s">
        <v>44</v>
      </c>
      <c r="AH637" s="141"/>
      <c r="AI637" s="141" t="s">
        <v>45</v>
      </c>
      <c r="AJ637" s="141"/>
      <c r="AK637" s="170" t="s">
        <v>46</v>
      </c>
      <c r="AL637" s="141"/>
      <c r="AM637" s="141" t="s">
        <v>40</v>
      </c>
      <c r="AN637" s="141"/>
      <c r="AO637" s="141" t="s">
        <v>47</v>
      </c>
      <c r="AP637" s="141"/>
      <c r="AQ637" s="170" t="s">
        <v>48</v>
      </c>
      <c r="AW637" s="135"/>
    </row>
    <row r="638" spans="6:49" x14ac:dyDescent="0.3">
      <c r="F638" s="184"/>
      <c r="H638" s="222"/>
      <c r="I638" s="222"/>
      <c r="J638" s="222"/>
      <c r="K638" s="222"/>
      <c r="R638" s="123"/>
      <c r="T638" s="191"/>
      <c r="U638" s="191"/>
      <c r="V638" s="191"/>
      <c r="W638" s="191"/>
      <c r="X638" s="191"/>
      <c r="Y638" s="191"/>
      <c r="Z638" s="191"/>
      <c r="AA638" s="271" t="s">
        <v>49</v>
      </c>
      <c r="AB638" s="271"/>
      <c r="AC638" s="270" t="s">
        <v>69</v>
      </c>
      <c r="AD638" s="271"/>
      <c r="AE638" s="271" t="s">
        <v>50</v>
      </c>
      <c r="AF638" s="271"/>
      <c r="AG638" s="274" t="s">
        <v>51</v>
      </c>
      <c r="AH638" s="271"/>
      <c r="AI638" s="271" t="s">
        <v>50</v>
      </c>
      <c r="AJ638" s="271"/>
      <c r="AK638" s="274" t="s">
        <v>51</v>
      </c>
      <c r="AL638" s="271"/>
      <c r="AM638" s="271" t="s">
        <v>50</v>
      </c>
      <c r="AN638" s="271"/>
      <c r="AO638" s="271" t="s">
        <v>50</v>
      </c>
      <c r="AP638" s="271"/>
      <c r="AQ638" s="274" t="s">
        <v>51</v>
      </c>
      <c r="AW638" s="135"/>
    </row>
    <row r="639" spans="6:49" x14ac:dyDescent="0.3">
      <c r="F639" s="184"/>
      <c r="H639" s="222"/>
      <c r="I639" s="222"/>
      <c r="J639" s="222"/>
      <c r="K639" s="222"/>
      <c r="R639" s="123"/>
      <c r="T639" s="282">
        <f t="shared" ref="T639:T640" si="114">A287</f>
        <v>178</v>
      </c>
      <c r="V639" s="45" t="str">
        <f t="shared" ref="V639:V640" si="115">C287</f>
        <v>LED</v>
      </c>
      <c r="W639" s="45" t="str">
        <f t="shared" ref="W639" si="116">D287</f>
        <v>STREET LIGHTING -- LED (CONT'D)</v>
      </c>
      <c r="Y639" s="159"/>
      <c r="Z639" s="1"/>
      <c r="AA639" s="159"/>
      <c r="AB639" s="159"/>
      <c r="AC639" s="238"/>
      <c r="AD639" s="238"/>
      <c r="AE639" s="3"/>
      <c r="AF639" s="3"/>
      <c r="AG639" s="175"/>
      <c r="AH639" s="4"/>
      <c r="AI639" s="3"/>
      <c r="AJ639" s="3"/>
      <c r="AK639" s="181"/>
      <c r="AL639" s="6"/>
      <c r="AM639" s="3"/>
      <c r="AN639" s="3"/>
      <c r="AO639" s="3"/>
      <c r="AP639" s="3"/>
      <c r="AQ639" s="181"/>
      <c r="AW639" s="135"/>
    </row>
    <row r="640" spans="6:49" x14ac:dyDescent="0.3">
      <c r="F640" s="184"/>
      <c r="H640" s="222"/>
      <c r="I640" s="222"/>
      <c r="J640" s="222"/>
      <c r="K640" s="222"/>
      <c r="R640" s="123"/>
      <c r="T640" s="282">
        <f t="shared" si="114"/>
        <v>179</v>
      </c>
      <c r="V640" s="45" t="str">
        <f t="shared" si="115"/>
        <v>BRACKETS (CONT'D)</v>
      </c>
      <c r="W640" s="45"/>
      <c r="Y640" s="159"/>
      <c r="Z640" s="1"/>
      <c r="AA640" s="159"/>
      <c r="AB640" s="159"/>
      <c r="AC640" s="238"/>
      <c r="AD640" s="238"/>
      <c r="AE640" s="3"/>
      <c r="AF640" s="3"/>
      <c r="AG640" s="175"/>
      <c r="AH640" s="4"/>
      <c r="AI640" s="3"/>
      <c r="AJ640" s="3"/>
      <c r="AK640" s="181"/>
      <c r="AL640" s="6"/>
      <c r="AM640" s="3"/>
      <c r="AN640" s="3"/>
      <c r="AO640" s="3"/>
      <c r="AP640" s="3"/>
      <c r="AQ640" s="181"/>
      <c r="AW640" s="135"/>
    </row>
    <row r="641" spans="1:49" x14ac:dyDescent="0.3">
      <c r="C641" s="42"/>
      <c r="F641" s="184"/>
      <c r="H641" s="184"/>
      <c r="I641" s="184"/>
      <c r="J641" s="227"/>
      <c r="K641" s="227"/>
      <c r="L641" s="123"/>
      <c r="M641" s="123"/>
      <c r="N641" s="160"/>
      <c r="O641" s="160"/>
      <c r="P641" s="123"/>
      <c r="Q641" s="123"/>
      <c r="R641" s="123"/>
      <c r="T641" s="282">
        <f t="shared" ref="T641:T666" si="117">A289</f>
        <v>180</v>
      </c>
      <c r="V641" s="45" t="str">
        <f t="shared" ref="V641:V666" si="118">C289</f>
        <v xml:space="preserve">   18 inch bracket - metal pole - double Flood Mount - top mount </v>
      </c>
      <c r="Y641" s="123">
        <f t="shared" ref="Y641:Y665" si="119">F289</f>
        <v>0</v>
      </c>
      <c r="AB641" s="222"/>
      <c r="AC641" s="238">
        <v>2.0699999999999998</v>
      </c>
      <c r="AE641" s="3">
        <f t="shared" si="108"/>
        <v>0</v>
      </c>
      <c r="AF641" s="1"/>
      <c r="AG641" s="175">
        <f t="shared" ref="AG641:AG665" si="120">ROUND((AE641/AE$692)*100,1)</f>
        <v>0</v>
      </c>
      <c r="AH641" s="4"/>
      <c r="AI641" s="3">
        <f t="shared" ref="AI641:AI665" si="121">L289-AE641</f>
        <v>0</v>
      </c>
      <c r="AJ641" s="3"/>
      <c r="AK641" s="181" t="str">
        <f t="shared" si="111"/>
        <v xml:space="preserve">0.0 </v>
      </c>
      <c r="AL641" s="6"/>
      <c r="AM641" s="3"/>
      <c r="AN641" s="3"/>
      <c r="AO641" s="3">
        <f t="shared" si="112"/>
        <v>0</v>
      </c>
      <c r="AP641" s="3"/>
      <c r="AQ641" s="181" t="str">
        <f t="shared" si="113"/>
        <v xml:space="preserve">0.0 </v>
      </c>
      <c r="AW641" s="135"/>
    </row>
    <row r="642" spans="1:49" x14ac:dyDescent="0.3">
      <c r="F642" s="210"/>
      <c r="H642" s="210"/>
      <c r="I642" s="210"/>
      <c r="J642" s="213"/>
      <c r="K642" s="213"/>
      <c r="L642" s="210"/>
      <c r="M642" s="210"/>
      <c r="N642" s="210"/>
      <c r="O642" s="210"/>
      <c r="P642" s="210"/>
      <c r="Q642" s="210"/>
      <c r="R642" s="210"/>
      <c r="S642" s="123"/>
      <c r="T642" s="282">
        <f t="shared" si="117"/>
        <v>181</v>
      </c>
      <c r="V642" s="45" t="str">
        <f t="shared" si="118"/>
        <v xml:space="preserve">   14 inch bracket - metal pole - single mount - top tenon</v>
      </c>
      <c r="Y642" s="123">
        <f t="shared" si="119"/>
        <v>0</v>
      </c>
      <c r="AA642" s="123"/>
      <c r="AB642" s="212"/>
      <c r="AC642" s="238">
        <v>2.19</v>
      </c>
      <c r="AD642" s="123"/>
      <c r="AE642" s="3">
        <f t="shared" si="108"/>
        <v>0</v>
      </c>
      <c r="AF642" s="1"/>
      <c r="AG642" s="175">
        <f t="shared" si="120"/>
        <v>0</v>
      </c>
      <c r="AH642" s="4"/>
      <c r="AI642" s="3">
        <f t="shared" si="121"/>
        <v>0</v>
      </c>
      <c r="AJ642" s="3"/>
      <c r="AK642" s="181" t="str">
        <f t="shared" si="111"/>
        <v xml:space="preserve">0.0 </v>
      </c>
      <c r="AL642" s="6"/>
      <c r="AM642" s="3"/>
      <c r="AN642" s="3"/>
      <c r="AO642" s="3">
        <f t="shared" si="112"/>
        <v>0</v>
      </c>
      <c r="AP642" s="3"/>
      <c r="AQ642" s="181" t="str">
        <f t="shared" si="113"/>
        <v xml:space="preserve">0.0 </v>
      </c>
      <c r="AW642" s="135"/>
    </row>
    <row r="643" spans="1:49" x14ac:dyDescent="0.3">
      <c r="D643" s="42"/>
      <c r="E643" s="42"/>
      <c r="F643" s="123"/>
      <c r="H643" s="123"/>
      <c r="I643" s="123"/>
      <c r="J643" s="219"/>
      <c r="K643" s="219"/>
      <c r="L643" s="123"/>
      <c r="M643" s="123"/>
      <c r="N643" s="160"/>
      <c r="O643" s="160"/>
      <c r="P643" s="184"/>
      <c r="Q643" s="184"/>
      <c r="R643" s="123"/>
      <c r="S643" s="123"/>
      <c r="T643" s="282">
        <f t="shared" si="117"/>
        <v>182</v>
      </c>
      <c r="V643" s="45" t="str">
        <f t="shared" si="118"/>
        <v xml:space="preserve">   14 inch bracket - metal pole - double mount - top tenon</v>
      </c>
      <c r="Y643" s="123">
        <f t="shared" si="119"/>
        <v>0</v>
      </c>
      <c r="AA643" s="210"/>
      <c r="AB643" s="213"/>
      <c r="AC643" s="238">
        <v>2.37</v>
      </c>
      <c r="AD643" s="210"/>
      <c r="AE643" s="3">
        <f t="shared" si="108"/>
        <v>0</v>
      </c>
      <c r="AF643" s="1"/>
      <c r="AG643" s="175">
        <f t="shared" si="120"/>
        <v>0</v>
      </c>
      <c r="AH643" s="4"/>
      <c r="AI643" s="3">
        <f t="shared" si="121"/>
        <v>0</v>
      </c>
      <c r="AJ643" s="3"/>
      <c r="AK643" s="181" t="str">
        <f t="shared" si="111"/>
        <v xml:space="preserve">0.0 </v>
      </c>
      <c r="AL643" s="6"/>
      <c r="AM643" s="3"/>
      <c r="AN643" s="3"/>
      <c r="AO643" s="3">
        <f t="shared" si="112"/>
        <v>0</v>
      </c>
      <c r="AP643" s="3"/>
      <c r="AQ643" s="181" t="str">
        <f t="shared" si="113"/>
        <v xml:space="preserve">0.0 </v>
      </c>
      <c r="AW643" s="135"/>
    </row>
    <row r="644" spans="1:49" x14ac:dyDescent="0.3">
      <c r="F644" s="210"/>
      <c r="H644" s="210"/>
      <c r="I644" s="210"/>
      <c r="J644" s="213"/>
      <c r="K644" s="213"/>
      <c r="L644" s="210"/>
      <c r="M644" s="210"/>
      <c r="N644" s="210"/>
      <c r="O644" s="210"/>
      <c r="P644" s="210"/>
      <c r="Q644" s="210"/>
      <c r="R644" s="210"/>
      <c r="S644" s="123"/>
      <c r="T644" s="282">
        <f t="shared" si="117"/>
        <v>183</v>
      </c>
      <c r="V644" s="45" t="str">
        <f t="shared" si="118"/>
        <v xml:space="preserve">   14 inch bracket - metal pole - triple mount - top tenon</v>
      </c>
      <c r="Y644" s="123">
        <f t="shared" si="119"/>
        <v>0</v>
      </c>
      <c r="AA644" s="123"/>
      <c r="AB644" s="219"/>
      <c r="AC644" s="238">
        <v>2.52</v>
      </c>
      <c r="AD644" s="123"/>
      <c r="AE644" s="3">
        <f t="shared" si="108"/>
        <v>0</v>
      </c>
      <c r="AF644" s="1"/>
      <c r="AG644" s="175">
        <f t="shared" si="120"/>
        <v>0</v>
      </c>
      <c r="AH644" s="4"/>
      <c r="AI644" s="3">
        <f t="shared" si="121"/>
        <v>0</v>
      </c>
      <c r="AJ644" s="3"/>
      <c r="AK644" s="181" t="str">
        <f t="shared" si="111"/>
        <v xml:space="preserve">0.0 </v>
      </c>
      <c r="AL644" s="6"/>
      <c r="AM644" s="3"/>
      <c r="AN644" s="3"/>
      <c r="AO644" s="3">
        <f t="shared" si="112"/>
        <v>0</v>
      </c>
      <c r="AP644" s="3"/>
      <c r="AQ644" s="181" t="str">
        <f t="shared" si="113"/>
        <v xml:space="preserve">0.0 </v>
      </c>
      <c r="AW644" s="135"/>
    </row>
    <row r="645" spans="1:49" x14ac:dyDescent="0.3">
      <c r="R645" s="123"/>
      <c r="T645" s="282">
        <f t="shared" si="117"/>
        <v>184</v>
      </c>
      <c r="V645" s="45" t="str">
        <f t="shared" si="118"/>
        <v xml:space="preserve">   14 inch bracket - metal pole - quad mount - top tenon</v>
      </c>
      <c r="Y645" s="123">
        <f t="shared" si="119"/>
        <v>0</v>
      </c>
      <c r="AA645" s="210"/>
      <c r="AB645" s="213"/>
      <c r="AC645" s="238">
        <v>2.63</v>
      </c>
      <c r="AD645" s="210"/>
      <c r="AE645" s="3">
        <f t="shared" si="108"/>
        <v>0</v>
      </c>
      <c r="AF645" s="1"/>
      <c r="AG645" s="175">
        <f t="shared" si="120"/>
        <v>0</v>
      </c>
      <c r="AH645" s="4"/>
      <c r="AI645" s="3">
        <f t="shared" si="121"/>
        <v>0</v>
      </c>
      <c r="AJ645" s="3"/>
      <c r="AK645" s="181" t="str">
        <f t="shared" si="111"/>
        <v xml:space="preserve">0.0 </v>
      </c>
      <c r="AL645" s="6"/>
      <c r="AM645" s="3"/>
      <c r="AN645" s="3"/>
      <c r="AO645" s="3">
        <f t="shared" si="112"/>
        <v>0</v>
      </c>
      <c r="AP645" s="3"/>
      <c r="AQ645" s="181" t="str">
        <f t="shared" si="113"/>
        <v xml:space="preserve">0.0 </v>
      </c>
      <c r="AW645" s="135"/>
    </row>
    <row r="646" spans="1:49" x14ac:dyDescent="0.3">
      <c r="F646" s="123"/>
      <c r="H646" s="123"/>
      <c r="I646" s="123"/>
      <c r="J646" s="219"/>
      <c r="K646" s="219"/>
      <c r="L646" s="123"/>
      <c r="M646" s="123"/>
      <c r="N646" s="123"/>
      <c r="O646" s="123"/>
      <c r="P646" s="123"/>
      <c r="Q646" s="123"/>
      <c r="R646" s="123"/>
      <c r="T646" s="282">
        <f t="shared" si="117"/>
        <v>185</v>
      </c>
      <c r="V646" s="45" t="str">
        <f t="shared" si="118"/>
        <v xml:space="preserve">   6 foot - metal pole - single - top tenon</v>
      </c>
      <c r="Y646" s="123">
        <f t="shared" si="119"/>
        <v>0</v>
      </c>
      <c r="AC646" s="238">
        <v>4.87</v>
      </c>
      <c r="AE646" s="3">
        <f t="shared" si="108"/>
        <v>0</v>
      </c>
      <c r="AF646" s="1"/>
      <c r="AG646" s="175">
        <f t="shared" si="120"/>
        <v>0</v>
      </c>
      <c r="AH646" s="4"/>
      <c r="AI646" s="3">
        <f t="shared" si="121"/>
        <v>0</v>
      </c>
      <c r="AJ646" s="3"/>
      <c r="AK646" s="181" t="str">
        <f t="shared" si="111"/>
        <v xml:space="preserve">0.0 </v>
      </c>
      <c r="AL646" s="6"/>
      <c r="AM646" s="3"/>
      <c r="AN646" s="3"/>
      <c r="AO646" s="3">
        <f t="shared" si="112"/>
        <v>0</v>
      </c>
      <c r="AP646" s="3"/>
      <c r="AQ646" s="181" t="str">
        <f t="shared" si="113"/>
        <v xml:space="preserve">0.0 </v>
      </c>
      <c r="AW646" s="135"/>
    </row>
    <row r="647" spans="1:49" x14ac:dyDescent="0.3">
      <c r="C647" s="42"/>
      <c r="F647" s="123"/>
      <c r="H647" s="123"/>
      <c r="I647" s="123"/>
      <c r="J647" s="219"/>
      <c r="K647" s="219"/>
      <c r="L647" s="123"/>
      <c r="M647" s="123"/>
      <c r="N647" s="123"/>
      <c r="O647" s="123"/>
      <c r="P647" s="123"/>
      <c r="Q647" s="123"/>
      <c r="R647" s="123"/>
      <c r="T647" s="282">
        <f t="shared" si="117"/>
        <v>186</v>
      </c>
      <c r="V647" s="45" t="str">
        <f t="shared" si="118"/>
        <v xml:space="preserve">   6 foot - metal pole - double - top tenon</v>
      </c>
      <c r="Y647" s="123">
        <f t="shared" si="119"/>
        <v>0</v>
      </c>
      <c r="AA647" s="123"/>
      <c r="AB647" s="219"/>
      <c r="AC647" s="238">
        <v>6.17</v>
      </c>
      <c r="AD647" s="123"/>
      <c r="AE647" s="3">
        <f t="shared" si="108"/>
        <v>0</v>
      </c>
      <c r="AF647" s="1"/>
      <c r="AG647" s="175">
        <f t="shared" si="120"/>
        <v>0</v>
      </c>
      <c r="AH647" s="4"/>
      <c r="AI647" s="3">
        <f t="shared" si="121"/>
        <v>0</v>
      </c>
      <c r="AJ647" s="3"/>
      <c r="AK647" s="181" t="str">
        <f t="shared" si="111"/>
        <v xml:space="preserve">0.0 </v>
      </c>
      <c r="AL647" s="6"/>
      <c r="AM647" s="3"/>
      <c r="AN647" s="3"/>
      <c r="AO647" s="3">
        <f t="shared" si="112"/>
        <v>0</v>
      </c>
      <c r="AP647" s="3"/>
      <c r="AQ647" s="181" t="str">
        <f t="shared" si="113"/>
        <v xml:space="preserve">0.0 </v>
      </c>
      <c r="AW647" s="135"/>
    </row>
    <row r="648" spans="1:49" x14ac:dyDescent="0.3">
      <c r="C648" s="42"/>
      <c r="T648" s="282">
        <f t="shared" si="117"/>
        <v>187</v>
      </c>
      <c r="V648" s="45" t="str">
        <f t="shared" si="118"/>
        <v xml:space="preserve">   4 foot - Boston Harbor - top tenon</v>
      </c>
      <c r="Y648" s="123">
        <f t="shared" si="119"/>
        <v>0</v>
      </c>
      <c r="AA648" s="123"/>
      <c r="AB648" s="219"/>
      <c r="AC648" s="238">
        <v>7.06</v>
      </c>
      <c r="AD648" s="123"/>
      <c r="AE648" s="3">
        <f t="shared" si="108"/>
        <v>0</v>
      </c>
      <c r="AF648" s="1"/>
      <c r="AG648" s="175">
        <f t="shared" si="120"/>
        <v>0</v>
      </c>
      <c r="AH648" s="4"/>
      <c r="AI648" s="3">
        <f t="shared" si="121"/>
        <v>0</v>
      </c>
      <c r="AJ648" s="3"/>
      <c r="AK648" s="181" t="str">
        <f t="shared" si="111"/>
        <v xml:space="preserve">0.0 </v>
      </c>
      <c r="AL648" s="6"/>
      <c r="AM648" s="3"/>
      <c r="AN648" s="3"/>
      <c r="AO648" s="3">
        <f t="shared" si="112"/>
        <v>0</v>
      </c>
      <c r="AP648" s="3"/>
      <c r="AQ648" s="181" t="str">
        <f t="shared" si="113"/>
        <v xml:space="preserve">0.0 </v>
      </c>
      <c r="AW648" s="135"/>
    </row>
    <row r="649" spans="1:49" x14ac:dyDescent="0.3">
      <c r="A649" s="42"/>
      <c r="T649" s="282">
        <f t="shared" si="117"/>
        <v>188</v>
      </c>
      <c r="V649" s="45" t="str">
        <f t="shared" si="118"/>
        <v xml:space="preserve">   6 foot - Boston Harbor - top tenon</v>
      </c>
      <c r="Y649" s="123">
        <f t="shared" si="119"/>
        <v>0</v>
      </c>
      <c r="AC649" s="238">
        <v>7.43</v>
      </c>
      <c r="AE649" s="3">
        <f t="shared" si="108"/>
        <v>0</v>
      </c>
      <c r="AF649" s="1"/>
      <c r="AG649" s="175">
        <f t="shared" si="120"/>
        <v>0</v>
      </c>
      <c r="AH649" s="4"/>
      <c r="AI649" s="3">
        <f t="shared" si="121"/>
        <v>0</v>
      </c>
      <c r="AJ649" s="3"/>
      <c r="AK649" s="181" t="str">
        <f t="shared" si="111"/>
        <v xml:space="preserve">0.0 </v>
      </c>
      <c r="AL649" s="6"/>
      <c r="AM649" s="3"/>
      <c r="AN649" s="3"/>
      <c r="AO649" s="3">
        <f t="shared" si="112"/>
        <v>0</v>
      </c>
      <c r="AP649" s="3"/>
      <c r="AQ649" s="181" t="str">
        <f t="shared" si="113"/>
        <v xml:space="preserve">0.0 </v>
      </c>
      <c r="AW649" s="135"/>
    </row>
    <row r="650" spans="1:49" x14ac:dyDescent="0.3">
      <c r="T650" s="282">
        <f t="shared" si="117"/>
        <v>189</v>
      </c>
      <c r="V650" s="45" t="str">
        <f t="shared" si="118"/>
        <v xml:space="preserve">   12 foot - Boston Harbor Style C pole double mount - top tenon</v>
      </c>
      <c r="Y650" s="123">
        <f t="shared" si="119"/>
        <v>0</v>
      </c>
      <c r="AC650" s="238">
        <v>12.71</v>
      </c>
      <c r="AE650" s="3">
        <f t="shared" si="108"/>
        <v>0</v>
      </c>
      <c r="AF650" s="1"/>
      <c r="AG650" s="175">
        <f t="shared" si="120"/>
        <v>0</v>
      </c>
      <c r="AH650" s="4"/>
      <c r="AI650" s="3">
        <f t="shared" si="121"/>
        <v>0</v>
      </c>
      <c r="AJ650" s="3"/>
      <c r="AK650" s="181" t="str">
        <f t="shared" si="111"/>
        <v xml:space="preserve">0.0 </v>
      </c>
      <c r="AL650" s="6"/>
      <c r="AM650" s="3"/>
      <c r="AN650" s="3"/>
      <c r="AO650" s="3">
        <f t="shared" si="112"/>
        <v>0</v>
      </c>
      <c r="AP650" s="3"/>
      <c r="AQ650" s="181" t="str">
        <f t="shared" si="113"/>
        <v xml:space="preserve">0.0 </v>
      </c>
      <c r="AW650" s="135"/>
    </row>
    <row r="651" spans="1:49" x14ac:dyDescent="0.3">
      <c r="T651" s="282">
        <f t="shared" si="117"/>
        <v>190</v>
      </c>
      <c r="V651" s="45" t="str">
        <f t="shared" si="118"/>
        <v xml:space="preserve">   4 foot - Davit arm - top tenon</v>
      </c>
      <c r="Y651" s="123">
        <f t="shared" si="119"/>
        <v>0</v>
      </c>
      <c r="AC651" s="238">
        <v>6.44</v>
      </c>
      <c r="AE651" s="3">
        <f t="shared" si="108"/>
        <v>0</v>
      </c>
      <c r="AF651" s="1"/>
      <c r="AG651" s="175">
        <f t="shared" si="120"/>
        <v>0</v>
      </c>
      <c r="AH651" s="4"/>
      <c r="AI651" s="3">
        <f t="shared" si="121"/>
        <v>0</v>
      </c>
      <c r="AJ651" s="3"/>
      <c r="AK651" s="181" t="str">
        <f t="shared" si="111"/>
        <v xml:space="preserve">0.0 </v>
      </c>
      <c r="AL651" s="6"/>
      <c r="AM651" s="3"/>
      <c r="AN651" s="3"/>
      <c r="AO651" s="3">
        <f t="shared" si="112"/>
        <v>0</v>
      </c>
      <c r="AP651" s="3"/>
      <c r="AQ651" s="181" t="str">
        <f t="shared" si="113"/>
        <v xml:space="preserve">0.0 </v>
      </c>
      <c r="AW651" s="135"/>
    </row>
    <row r="652" spans="1:49" x14ac:dyDescent="0.3">
      <c r="H652" s="42"/>
      <c r="I652" s="42"/>
      <c r="T652" s="282">
        <f t="shared" si="117"/>
        <v>191</v>
      </c>
      <c r="V652" s="45" t="str">
        <f t="shared" si="118"/>
        <v xml:space="preserve">   18 inch - Cobrahead fixture for wood pole</v>
      </c>
      <c r="Y652" s="123">
        <f t="shared" si="119"/>
        <v>287</v>
      </c>
      <c r="AC652" s="238">
        <v>1.82</v>
      </c>
      <c r="AE652" s="3">
        <f t="shared" si="108"/>
        <v>522</v>
      </c>
      <c r="AF652" s="1"/>
      <c r="AG652" s="175">
        <f t="shared" si="120"/>
        <v>2.6</v>
      </c>
      <c r="AH652" s="4"/>
      <c r="AI652" s="3">
        <f t="shared" si="121"/>
        <v>75</v>
      </c>
      <c r="AJ652" s="3"/>
      <c r="AK652" s="181">
        <f t="shared" si="111"/>
        <v>14.4</v>
      </c>
      <c r="AL652" s="6"/>
      <c r="AM652" s="3"/>
      <c r="AN652" s="3"/>
      <c r="AO652" s="3">
        <f t="shared" si="112"/>
        <v>522</v>
      </c>
      <c r="AP652" s="3"/>
      <c r="AQ652" s="181">
        <f t="shared" si="113"/>
        <v>14.4</v>
      </c>
      <c r="AW652" s="135"/>
    </row>
    <row r="653" spans="1:49" x14ac:dyDescent="0.3">
      <c r="T653" s="282">
        <f t="shared" si="117"/>
        <v>192</v>
      </c>
      <c r="V653" s="45" t="str">
        <f t="shared" si="118"/>
        <v xml:space="preserve">   18 inch - Flood light for wood pole</v>
      </c>
      <c r="Y653" s="123">
        <f t="shared" si="119"/>
        <v>18</v>
      </c>
      <c r="AA653" s="42"/>
      <c r="AC653" s="238">
        <v>2.0099999999999998</v>
      </c>
      <c r="AE653" s="3">
        <f t="shared" si="108"/>
        <v>36</v>
      </c>
      <c r="AF653" s="1"/>
      <c r="AG653" s="175">
        <f t="shared" si="120"/>
        <v>0.2</v>
      </c>
      <c r="AH653" s="4"/>
      <c r="AI653" s="3">
        <f t="shared" si="121"/>
        <v>5</v>
      </c>
      <c r="AJ653" s="3"/>
      <c r="AK653" s="181">
        <f t="shared" si="111"/>
        <v>13.9</v>
      </c>
      <c r="AL653" s="6"/>
      <c r="AM653" s="3"/>
      <c r="AN653" s="3"/>
      <c r="AO653" s="3">
        <f t="shared" si="112"/>
        <v>36</v>
      </c>
      <c r="AP653" s="3"/>
      <c r="AQ653" s="181">
        <f t="shared" si="113"/>
        <v>13.9</v>
      </c>
      <c r="AW653" s="135"/>
    </row>
    <row r="654" spans="1:49" x14ac:dyDescent="0.3">
      <c r="T654" s="282">
        <f t="shared" si="117"/>
        <v>193</v>
      </c>
      <c r="V654" s="45" t="str">
        <f t="shared" si="118"/>
        <v xml:space="preserve">   18" Metal - Flood - Bullhorn - Top Tenon</v>
      </c>
      <c r="Y654" s="123">
        <f t="shared" si="119"/>
        <v>0</v>
      </c>
      <c r="AA654" s="42"/>
      <c r="AC654" s="238">
        <v>2.48</v>
      </c>
      <c r="AE654" s="3">
        <f t="shared" ref="AE654:AE665" si="122">ROUND((Y654*(AC654+AD654)),0)</f>
        <v>0</v>
      </c>
      <c r="AF654" s="1"/>
      <c r="AG654" s="175">
        <f t="shared" si="120"/>
        <v>0</v>
      </c>
      <c r="AH654" s="4"/>
      <c r="AI654" s="3">
        <f t="shared" si="121"/>
        <v>0</v>
      </c>
      <c r="AJ654" s="3"/>
      <c r="AK654" s="181" t="str">
        <f t="shared" ref="AK654:AK665" si="123">IF(AE654=0,"0.0 ",ROUND((AI654/AE654)*100,1))</f>
        <v xml:space="preserve">0.0 </v>
      </c>
      <c r="AL654" s="6"/>
      <c r="AM654" s="3"/>
      <c r="AN654" s="3"/>
      <c r="AO654" s="3">
        <f t="shared" ref="AO654:AO665" si="124">AM654+AE654</f>
        <v>0</v>
      </c>
      <c r="AP654" s="3"/>
      <c r="AQ654" s="181" t="str">
        <f t="shared" ref="AQ654:AQ665" si="125">IF(AO654=0,"0.0 ",ROUND((AI654/AO654)*100,1))</f>
        <v xml:space="preserve">0.0 </v>
      </c>
      <c r="AW654" s="135"/>
    </row>
    <row r="655" spans="1:49" x14ac:dyDescent="0.3">
      <c r="T655" s="282">
        <f t="shared" si="117"/>
        <v>194</v>
      </c>
      <c r="V655" s="45" t="str">
        <f t="shared" si="118"/>
        <v xml:space="preserve">   4' Transmission - Top Tenon</v>
      </c>
      <c r="Y655" s="123">
        <f t="shared" si="119"/>
        <v>0</v>
      </c>
      <c r="AA655" s="42"/>
      <c r="AC655" s="238">
        <v>9.1199999999999992</v>
      </c>
      <c r="AE655" s="3">
        <f t="shared" si="122"/>
        <v>0</v>
      </c>
      <c r="AF655" s="1"/>
      <c r="AG655" s="175">
        <f t="shared" si="120"/>
        <v>0</v>
      </c>
      <c r="AH655" s="4"/>
      <c r="AI655" s="3">
        <f t="shared" si="121"/>
        <v>0</v>
      </c>
      <c r="AJ655" s="3"/>
      <c r="AK655" s="181" t="str">
        <f t="shared" si="123"/>
        <v xml:space="preserve">0.0 </v>
      </c>
      <c r="AL655" s="6"/>
      <c r="AM655" s="3"/>
      <c r="AN655" s="3"/>
      <c r="AO655" s="3">
        <f t="shared" si="124"/>
        <v>0</v>
      </c>
      <c r="AP655" s="3"/>
      <c r="AQ655" s="181" t="str">
        <f t="shared" si="125"/>
        <v xml:space="preserve">0.0 </v>
      </c>
      <c r="AW655" s="135"/>
    </row>
    <row r="656" spans="1:49" x14ac:dyDescent="0.3">
      <c r="T656" s="282">
        <f t="shared" si="117"/>
        <v>195</v>
      </c>
      <c r="V656" s="45" t="str">
        <f t="shared" si="118"/>
        <v xml:space="preserve">   10' Transmission - Top Tenon</v>
      </c>
      <c r="Y656" s="123">
        <f t="shared" si="119"/>
        <v>0</v>
      </c>
      <c r="AA656" s="42"/>
      <c r="AC656" s="238">
        <v>10.51</v>
      </c>
      <c r="AE656" s="3">
        <f t="shared" si="122"/>
        <v>0</v>
      </c>
      <c r="AF656" s="1"/>
      <c r="AG656" s="175">
        <f t="shared" si="120"/>
        <v>0</v>
      </c>
      <c r="AH656" s="4"/>
      <c r="AI656" s="3">
        <f t="shared" si="121"/>
        <v>0</v>
      </c>
      <c r="AJ656" s="3"/>
      <c r="AK656" s="181" t="str">
        <f t="shared" si="123"/>
        <v xml:space="preserve">0.0 </v>
      </c>
      <c r="AL656" s="6"/>
      <c r="AM656" s="3"/>
      <c r="AN656" s="3"/>
      <c r="AO656" s="3">
        <f t="shared" si="124"/>
        <v>0</v>
      </c>
      <c r="AP656" s="3"/>
      <c r="AQ656" s="181" t="str">
        <f t="shared" si="125"/>
        <v xml:space="preserve">0.0 </v>
      </c>
      <c r="AW656" s="135"/>
    </row>
    <row r="657" spans="1:49" x14ac:dyDescent="0.3">
      <c r="T657" s="282">
        <f t="shared" si="117"/>
        <v>196</v>
      </c>
      <c r="V657" s="45" t="str">
        <f t="shared" si="118"/>
        <v xml:space="preserve">   15' Transmission - Top Tenon</v>
      </c>
      <c r="Y657" s="123">
        <f t="shared" si="119"/>
        <v>0</v>
      </c>
      <c r="AA657" s="42"/>
      <c r="AC657" s="238">
        <v>11.56</v>
      </c>
      <c r="AE657" s="3">
        <f t="shared" si="122"/>
        <v>0</v>
      </c>
      <c r="AF657" s="1"/>
      <c r="AG657" s="175">
        <f t="shared" si="120"/>
        <v>0</v>
      </c>
      <c r="AH657" s="4"/>
      <c r="AI657" s="3">
        <f t="shared" si="121"/>
        <v>0</v>
      </c>
      <c r="AJ657" s="3"/>
      <c r="AK657" s="181" t="str">
        <f t="shared" si="123"/>
        <v xml:space="preserve">0.0 </v>
      </c>
      <c r="AL657" s="6"/>
      <c r="AM657" s="3"/>
      <c r="AN657" s="3"/>
      <c r="AO657" s="3">
        <f t="shared" si="124"/>
        <v>0</v>
      </c>
      <c r="AP657" s="3"/>
      <c r="AQ657" s="181" t="str">
        <f t="shared" si="125"/>
        <v xml:space="preserve">0.0 </v>
      </c>
      <c r="AW657" s="135"/>
    </row>
    <row r="658" spans="1:49" x14ac:dyDescent="0.3">
      <c r="T658" s="282">
        <f t="shared" si="117"/>
        <v>197</v>
      </c>
      <c r="V658" s="45" t="str">
        <f t="shared" si="118"/>
        <v xml:space="preserve">   18" Transmission - Flood - Top Tenon</v>
      </c>
      <c r="Y658" s="123">
        <f t="shared" si="119"/>
        <v>0</v>
      </c>
      <c r="AA658" s="42"/>
      <c r="AC658" s="238">
        <v>4.8600000000000003</v>
      </c>
      <c r="AE658" s="3">
        <f t="shared" si="122"/>
        <v>0</v>
      </c>
      <c r="AF658" s="1"/>
      <c r="AG658" s="175">
        <f t="shared" si="120"/>
        <v>0</v>
      </c>
      <c r="AH658" s="4"/>
      <c r="AI658" s="3">
        <f t="shared" si="121"/>
        <v>0</v>
      </c>
      <c r="AJ658" s="3"/>
      <c r="AK658" s="181" t="str">
        <f t="shared" si="123"/>
        <v xml:space="preserve">0.0 </v>
      </c>
      <c r="AL658" s="6"/>
      <c r="AM658" s="3"/>
      <c r="AN658" s="3"/>
      <c r="AO658" s="3">
        <f t="shared" si="124"/>
        <v>0</v>
      </c>
      <c r="AP658" s="3"/>
      <c r="AQ658" s="181" t="str">
        <f t="shared" si="125"/>
        <v xml:space="preserve">0.0 </v>
      </c>
      <c r="AW658" s="135"/>
    </row>
    <row r="659" spans="1:49" x14ac:dyDescent="0.3">
      <c r="T659" s="282">
        <f t="shared" si="117"/>
        <v>198</v>
      </c>
      <c r="V659" s="45" t="str">
        <f t="shared" si="118"/>
        <v xml:space="preserve">   3' Shepherds Crook - Single - Top Tenon</v>
      </c>
      <c r="Y659" s="123">
        <f t="shared" si="119"/>
        <v>0</v>
      </c>
      <c r="AA659" s="42"/>
      <c r="AC659" s="238">
        <v>4.6100000000000003</v>
      </c>
      <c r="AE659" s="3">
        <f t="shared" si="122"/>
        <v>0</v>
      </c>
      <c r="AF659" s="1"/>
      <c r="AG659" s="175">
        <f t="shared" si="120"/>
        <v>0</v>
      </c>
      <c r="AH659" s="4"/>
      <c r="AI659" s="3">
        <f t="shared" si="121"/>
        <v>0</v>
      </c>
      <c r="AJ659" s="3"/>
      <c r="AK659" s="181" t="str">
        <f t="shared" si="123"/>
        <v xml:space="preserve">0.0 </v>
      </c>
      <c r="AL659" s="6"/>
      <c r="AM659" s="3"/>
      <c r="AN659" s="3"/>
      <c r="AO659" s="3">
        <f t="shared" si="124"/>
        <v>0</v>
      </c>
      <c r="AP659" s="3"/>
      <c r="AQ659" s="181" t="str">
        <f t="shared" si="125"/>
        <v xml:space="preserve">0.0 </v>
      </c>
      <c r="AW659" s="135"/>
    </row>
    <row r="660" spans="1:49" x14ac:dyDescent="0.3">
      <c r="T660" s="282">
        <f t="shared" si="117"/>
        <v>199</v>
      </c>
      <c r="V660" s="45" t="str">
        <f t="shared" si="118"/>
        <v xml:space="preserve">   3' Shepherds Crook w/ Scroll - Single - Top Tenon</v>
      </c>
      <c r="Y660" s="123">
        <f t="shared" si="119"/>
        <v>0</v>
      </c>
      <c r="AA660" s="42"/>
      <c r="AC660" s="238">
        <v>5.1100000000000003</v>
      </c>
      <c r="AE660" s="3">
        <f t="shared" si="122"/>
        <v>0</v>
      </c>
      <c r="AF660" s="1"/>
      <c r="AG660" s="175">
        <f t="shared" si="120"/>
        <v>0</v>
      </c>
      <c r="AH660" s="4"/>
      <c r="AI660" s="3">
        <f t="shared" si="121"/>
        <v>0</v>
      </c>
      <c r="AJ660" s="3"/>
      <c r="AK660" s="181" t="str">
        <f t="shared" si="123"/>
        <v xml:space="preserve">0.0 </v>
      </c>
      <c r="AL660" s="6"/>
      <c r="AM660" s="3"/>
      <c r="AN660" s="3"/>
      <c r="AO660" s="3">
        <f t="shared" si="124"/>
        <v>0</v>
      </c>
      <c r="AP660" s="3"/>
      <c r="AQ660" s="181" t="str">
        <f t="shared" si="125"/>
        <v xml:space="preserve">0.0 </v>
      </c>
      <c r="AW660" s="135"/>
    </row>
    <row r="661" spans="1:49" x14ac:dyDescent="0.3">
      <c r="T661" s="282">
        <f t="shared" si="117"/>
        <v>200</v>
      </c>
      <c r="V661" s="45" t="str">
        <f t="shared" si="118"/>
        <v xml:space="preserve">   3' Shepherds Crook - Double - Top Tenon</v>
      </c>
      <c r="Y661" s="123">
        <f t="shared" si="119"/>
        <v>0</v>
      </c>
      <c r="AA661" s="42"/>
      <c r="AC661" s="238">
        <v>6.52</v>
      </c>
      <c r="AE661" s="3">
        <f t="shared" si="122"/>
        <v>0</v>
      </c>
      <c r="AF661" s="1"/>
      <c r="AG661" s="175">
        <f t="shared" si="120"/>
        <v>0</v>
      </c>
      <c r="AH661" s="4"/>
      <c r="AI661" s="3">
        <f t="shared" si="121"/>
        <v>0</v>
      </c>
      <c r="AJ661" s="3"/>
      <c r="AK661" s="181" t="str">
        <f t="shared" si="123"/>
        <v xml:space="preserve">0.0 </v>
      </c>
      <c r="AL661" s="6"/>
      <c r="AM661" s="3"/>
      <c r="AN661" s="3"/>
      <c r="AO661" s="3">
        <f t="shared" si="124"/>
        <v>0</v>
      </c>
      <c r="AP661" s="3"/>
      <c r="AQ661" s="181" t="str">
        <f t="shared" si="125"/>
        <v xml:space="preserve">0.0 </v>
      </c>
      <c r="AW661" s="135"/>
    </row>
    <row r="662" spans="1:49" x14ac:dyDescent="0.3">
      <c r="T662" s="282">
        <f t="shared" si="117"/>
        <v>201</v>
      </c>
      <c r="V662" s="45" t="str">
        <f t="shared" si="118"/>
        <v xml:space="preserve">   3' Shepherds Crook w/ Scroll - Double - Top Tenon</v>
      </c>
      <c r="Y662" s="123">
        <f t="shared" si="119"/>
        <v>0</v>
      </c>
      <c r="AA662" s="42"/>
      <c r="AC662" s="238">
        <v>7.33</v>
      </c>
      <c r="AE662" s="3">
        <f t="shared" si="122"/>
        <v>0</v>
      </c>
      <c r="AF662" s="1"/>
      <c r="AG662" s="175">
        <f t="shared" si="120"/>
        <v>0</v>
      </c>
      <c r="AH662" s="4"/>
      <c r="AI662" s="3">
        <f t="shared" si="121"/>
        <v>0</v>
      </c>
      <c r="AJ662" s="3"/>
      <c r="AK662" s="181" t="str">
        <f t="shared" si="123"/>
        <v xml:space="preserve">0.0 </v>
      </c>
      <c r="AL662" s="6"/>
      <c r="AM662" s="3"/>
      <c r="AN662" s="3"/>
      <c r="AO662" s="3">
        <f t="shared" si="124"/>
        <v>0</v>
      </c>
      <c r="AP662" s="3"/>
      <c r="AQ662" s="181" t="str">
        <f t="shared" si="125"/>
        <v xml:space="preserve">0.0 </v>
      </c>
      <c r="AW662" s="135"/>
    </row>
    <row r="663" spans="1:49" x14ac:dyDescent="0.3">
      <c r="T663" s="282">
        <f t="shared" si="117"/>
        <v>202</v>
      </c>
      <c r="V663" s="45" t="str">
        <f t="shared" si="118"/>
        <v xml:space="preserve">   3' Shepherds Crook w/ Scroll &amp; Festoon - Single - Top Tenon</v>
      </c>
      <c r="Y663" s="123">
        <f t="shared" si="119"/>
        <v>0</v>
      </c>
      <c r="AA663" s="42"/>
      <c r="AC663" s="238">
        <v>5.35</v>
      </c>
      <c r="AE663" s="3">
        <f t="shared" si="122"/>
        <v>0</v>
      </c>
      <c r="AF663" s="1"/>
      <c r="AG663" s="175">
        <f t="shared" si="120"/>
        <v>0</v>
      </c>
      <c r="AH663" s="4"/>
      <c r="AI663" s="3">
        <f t="shared" si="121"/>
        <v>0</v>
      </c>
      <c r="AJ663" s="3"/>
      <c r="AK663" s="181" t="str">
        <f t="shared" si="123"/>
        <v xml:space="preserve">0.0 </v>
      </c>
      <c r="AL663" s="6"/>
      <c r="AM663" s="3"/>
      <c r="AN663" s="3"/>
      <c r="AO663" s="3">
        <f t="shared" si="124"/>
        <v>0</v>
      </c>
      <c r="AP663" s="3"/>
      <c r="AQ663" s="181" t="str">
        <f t="shared" si="125"/>
        <v xml:space="preserve">0.0 </v>
      </c>
      <c r="AW663" s="135"/>
    </row>
    <row r="664" spans="1:49" x14ac:dyDescent="0.3">
      <c r="T664" s="282">
        <f t="shared" si="117"/>
        <v>203</v>
      </c>
      <c r="V664" s="45" t="str">
        <f t="shared" si="118"/>
        <v xml:space="preserve">   3' Shepherds Crook w/ Scroll - Wood - Top Tenon</v>
      </c>
      <c r="Y664" s="123">
        <f t="shared" si="119"/>
        <v>0</v>
      </c>
      <c r="AA664" s="42"/>
      <c r="AC664" s="238">
        <v>6.38</v>
      </c>
      <c r="AE664" s="3">
        <f t="shared" si="122"/>
        <v>0</v>
      </c>
      <c r="AF664" s="1"/>
      <c r="AG664" s="175">
        <f t="shared" si="120"/>
        <v>0</v>
      </c>
      <c r="AH664" s="4"/>
      <c r="AI664" s="3">
        <f t="shared" si="121"/>
        <v>0</v>
      </c>
      <c r="AJ664" s="3"/>
      <c r="AK664" s="181" t="str">
        <f t="shared" si="123"/>
        <v xml:space="preserve">0.0 </v>
      </c>
      <c r="AL664" s="6"/>
      <c r="AM664" s="3"/>
      <c r="AN664" s="3"/>
      <c r="AO664" s="3">
        <f t="shared" si="124"/>
        <v>0</v>
      </c>
      <c r="AP664" s="3"/>
      <c r="AQ664" s="181" t="str">
        <f t="shared" si="125"/>
        <v xml:space="preserve">0.0 </v>
      </c>
      <c r="AW664" s="135"/>
    </row>
    <row r="665" spans="1:49" x14ac:dyDescent="0.3">
      <c r="T665" s="282">
        <f t="shared" si="117"/>
        <v>204</v>
      </c>
      <c r="V665" s="45" t="str">
        <f t="shared" si="118"/>
        <v xml:space="preserve">   17" Masterpiece - Top Tenon - Double Post Mount - Top Tenon</v>
      </c>
      <c r="Y665" s="123">
        <f t="shared" si="119"/>
        <v>0</v>
      </c>
      <c r="AA665" s="42"/>
      <c r="AC665" s="238">
        <v>5.09</v>
      </c>
      <c r="AE665" s="3">
        <f t="shared" si="122"/>
        <v>0</v>
      </c>
      <c r="AF665" s="1"/>
      <c r="AG665" s="175">
        <f t="shared" si="120"/>
        <v>0</v>
      </c>
      <c r="AH665" s="4"/>
      <c r="AI665" s="3">
        <f t="shared" si="121"/>
        <v>0</v>
      </c>
      <c r="AJ665" s="3"/>
      <c r="AK665" s="181" t="str">
        <f t="shared" si="123"/>
        <v xml:space="preserve">0.0 </v>
      </c>
      <c r="AL665" s="6"/>
      <c r="AM665" s="3"/>
      <c r="AN665" s="3"/>
      <c r="AO665" s="3">
        <f t="shared" si="124"/>
        <v>0</v>
      </c>
      <c r="AP665" s="3"/>
      <c r="AQ665" s="181" t="str">
        <f t="shared" si="125"/>
        <v xml:space="preserve">0.0 </v>
      </c>
      <c r="AW665" s="135"/>
    </row>
    <row r="666" spans="1:49" x14ac:dyDescent="0.3">
      <c r="L666" s="42"/>
      <c r="M666" s="42"/>
      <c r="T666" s="282">
        <f t="shared" si="117"/>
        <v>205</v>
      </c>
      <c r="V666" s="45" t="str">
        <f t="shared" si="118"/>
        <v>TOTAL BRACKETS</v>
      </c>
      <c r="Y666" s="262">
        <f>SUM(Y604:Y665)</f>
        <v>323</v>
      </c>
      <c r="Z666" s="1"/>
      <c r="AA666" s="159"/>
      <c r="AB666" s="159"/>
      <c r="AC666" s="238"/>
      <c r="AD666" s="258"/>
      <c r="AE666" s="262">
        <f>SUM(AE604:AE665)</f>
        <v>614</v>
      </c>
      <c r="AG666" s="347">
        <f>SUM(AG604:AG665)</f>
        <v>3.1000000000000005</v>
      </c>
      <c r="AI666" s="262">
        <f>SUM(AI604:AI665)</f>
        <v>90</v>
      </c>
      <c r="AK666" s="181">
        <f t="shared" si="111"/>
        <v>14.7</v>
      </c>
      <c r="AM666" s="262">
        <f>SUM(AM604:AM665)</f>
        <v>0</v>
      </c>
      <c r="AO666" s="262">
        <f>SUM(AO604:AO665)</f>
        <v>614</v>
      </c>
      <c r="AQ666" s="224">
        <f t="shared" si="113"/>
        <v>14.7</v>
      </c>
      <c r="AW666" s="135"/>
    </row>
    <row r="667" spans="1:49" x14ac:dyDescent="0.3">
      <c r="R667" s="42"/>
      <c r="T667" s="282"/>
      <c r="V667" s="45"/>
      <c r="Y667" s="123"/>
      <c r="AC667" s="42"/>
      <c r="AD667" s="42"/>
      <c r="AW667" s="135"/>
    </row>
    <row r="668" spans="1:49" x14ac:dyDescent="0.3">
      <c r="R668" s="42"/>
      <c r="T668" s="282">
        <f>A316</f>
        <v>206</v>
      </c>
      <c r="V668" s="45" t="str">
        <f t="shared" ref="V668:V677" si="126">C316</f>
        <v>WIRING EQUIPMENT</v>
      </c>
      <c r="Y668" s="123"/>
      <c r="AM668" s="42"/>
      <c r="AN668" s="42"/>
      <c r="AW668" s="135"/>
    </row>
    <row r="669" spans="1:49" x14ac:dyDescent="0.3">
      <c r="A669" s="42"/>
      <c r="R669" s="42"/>
      <c r="T669" s="282">
        <f>A317</f>
        <v>207</v>
      </c>
      <c r="V669" s="45" t="str">
        <f t="shared" si="126"/>
        <v xml:space="preserve">   Secondary Pedestal (cost per unit)</v>
      </c>
      <c r="Y669" s="123">
        <f>F317</f>
        <v>0</v>
      </c>
      <c r="AC669" s="238">
        <v>2.4700000000000002</v>
      </c>
      <c r="AE669" s="3">
        <f t="shared" ref="AE669:AE675" si="127">ROUND((Y669*(AC669+AD669)),0)</f>
        <v>0</v>
      </c>
      <c r="AF669" s="1"/>
      <c r="AG669" s="175">
        <f t="shared" ref="AG669:AG677" si="128">ROUND((AE669/AE$692)*100,1)</f>
        <v>0</v>
      </c>
      <c r="AH669" s="4"/>
      <c r="AI669" s="3">
        <f>L317-AE669</f>
        <v>0</v>
      </c>
      <c r="AJ669" s="3"/>
      <c r="AK669" s="181" t="str">
        <f t="shared" ref="AK669:AK684" si="129">IF(AE669=0,"0.0 ",ROUND((AI669/AE669)*100,1))</f>
        <v xml:space="preserve">0.0 </v>
      </c>
      <c r="AL669" s="6"/>
      <c r="AM669" s="3"/>
      <c r="AN669" s="3"/>
      <c r="AO669" s="3">
        <f t="shared" ref="AO669:AO677" si="130">AM669+AE669</f>
        <v>0</v>
      </c>
      <c r="AP669" s="3"/>
      <c r="AQ669" s="181" t="str">
        <f t="shared" ref="AQ669:AQ684" si="131">IF(AO669=0,"0.0 ",ROUND((AI669/AO669)*100,1))</f>
        <v xml:space="preserve">0.0 </v>
      </c>
      <c r="AW669" s="135"/>
    </row>
    <row r="670" spans="1:49" x14ac:dyDescent="0.3">
      <c r="L670" s="42"/>
      <c r="M670" s="42"/>
      <c r="T670" s="282">
        <f>A318</f>
        <v>208</v>
      </c>
      <c r="V670" s="45" t="str">
        <f t="shared" si="126"/>
        <v xml:space="preserve">   Handhole (cost per unit)</v>
      </c>
      <c r="Y670" s="123">
        <f>F318</f>
        <v>0</v>
      </c>
      <c r="AC670" s="238">
        <v>3.54</v>
      </c>
      <c r="AE670" s="3">
        <f t="shared" si="127"/>
        <v>0</v>
      </c>
      <c r="AF670" s="1"/>
      <c r="AG670" s="175">
        <f t="shared" si="128"/>
        <v>0</v>
      </c>
      <c r="AH670" s="4"/>
      <c r="AI670" s="3">
        <f>L318-AE670</f>
        <v>0</v>
      </c>
      <c r="AJ670" s="3"/>
      <c r="AK670" s="181" t="str">
        <f t="shared" si="129"/>
        <v xml:space="preserve">0.0 </v>
      </c>
      <c r="AL670" s="6"/>
      <c r="AM670" s="3"/>
      <c r="AN670" s="3"/>
      <c r="AO670" s="3">
        <f t="shared" si="130"/>
        <v>0</v>
      </c>
      <c r="AP670" s="3"/>
      <c r="AQ670" s="181" t="str">
        <f t="shared" si="131"/>
        <v xml:space="preserve">0.0 </v>
      </c>
      <c r="AW670" s="135"/>
    </row>
    <row r="671" spans="1:49" x14ac:dyDescent="0.3">
      <c r="A671" s="135"/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T671" s="282">
        <f t="shared" ref="T671:T677" si="132">A319</f>
        <v>209</v>
      </c>
      <c r="V671" s="45" t="str">
        <f t="shared" si="126"/>
        <v xml:space="preserve">   Pullbox</v>
      </c>
      <c r="Y671" s="123">
        <f t="shared" ref="Y671:Y676" si="133">F319</f>
        <v>0</v>
      </c>
      <c r="AC671" s="238">
        <v>8.98</v>
      </c>
      <c r="AD671" s="42"/>
      <c r="AE671" s="3">
        <f t="shared" si="127"/>
        <v>0</v>
      </c>
      <c r="AF671" s="1"/>
      <c r="AG671" s="175">
        <f t="shared" si="128"/>
        <v>0</v>
      </c>
      <c r="AH671" s="4"/>
      <c r="AI671" s="3">
        <f t="shared" ref="AI671:AI676" si="134">L320-AE671</f>
        <v>0</v>
      </c>
      <c r="AJ671" s="3"/>
      <c r="AK671" s="181" t="str">
        <f t="shared" si="129"/>
        <v xml:space="preserve">0.0 </v>
      </c>
      <c r="AL671" s="6"/>
      <c r="AM671" s="3"/>
      <c r="AN671" s="3"/>
      <c r="AO671" s="3">
        <f t="shared" si="130"/>
        <v>0</v>
      </c>
      <c r="AP671" s="3"/>
      <c r="AQ671" s="181" t="str">
        <f t="shared" si="131"/>
        <v xml:space="preserve">0.0 </v>
      </c>
      <c r="AW671" s="135"/>
    </row>
    <row r="672" spans="1:49" x14ac:dyDescent="0.3">
      <c r="L672" s="44"/>
      <c r="M672" s="44"/>
      <c r="N672" s="44"/>
      <c r="O672" s="44"/>
      <c r="R672" s="44"/>
      <c r="T672" s="282">
        <f t="shared" si="132"/>
        <v>210</v>
      </c>
      <c r="V672" s="45" t="str">
        <f t="shared" si="126"/>
        <v xml:space="preserve">   6AL DUPLEX and Trench (cost per 10 feet)</v>
      </c>
      <c r="W672" s="135"/>
      <c r="X672" s="135"/>
      <c r="Y672" s="123">
        <f t="shared" si="133"/>
        <v>0</v>
      </c>
      <c r="Z672" s="135"/>
      <c r="AA672" s="135"/>
      <c r="AB672" s="135"/>
      <c r="AC672" s="238">
        <v>1.1200000000000001</v>
      </c>
      <c r="AD672" s="135"/>
      <c r="AE672" s="3">
        <f t="shared" si="127"/>
        <v>0</v>
      </c>
      <c r="AF672" s="1"/>
      <c r="AG672" s="175">
        <f t="shared" si="128"/>
        <v>0</v>
      </c>
      <c r="AH672" s="4"/>
      <c r="AI672" s="3">
        <f t="shared" si="134"/>
        <v>0</v>
      </c>
      <c r="AJ672" s="3"/>
      <c r="AK672" s="181" t="str">
        <f t="shared" si="129"/>
        <v xml:space="preserve">0.0 </v>
      </c>
      <c r="AL672" s="6"/>
      <c r="AM672" s="3"/>
      <c r="AN672" s="3"/>
      <c r="AO672" s="3">
        <f t="shared" si="130"/>
        <v>0</v>
      </c>
      <c r="AP672" s="3"/>
      <c r="AQ672" s="181" t="str">
        <f t="shared" si="131"/>
        <v xml:space="preserve">0.0 </v>
      </c>
      <c r="AW672" s="135"/>
    </row>
    <row r="673" spans="1:49" x14ac:dyDescent="0.3">
      <c r="L673" s="44"/>
      <c r="M673" s="44"/>
      <c r="N673" s="44"/>
      <c r="O673" s="44"/>
      <c r="R673" s="44"/>
      <c r="T673" s="282">
        <f t="shared" si="132"/>
        <v>211</v>
      </c>
      <c r="V673" s="45" t="str">
        <f t="shared" si="126"/>
        <v xml:space="preserve">   6AL DUPLEX and Trench with conduit (cost per 10 feet)</v>
      </c>
      <c r="Y673" s="123">
        <f t="shared" si="133"/>
        <v>0</v>
      </c>
      <c r="AC673" s="238">
        <v>1.3</v>
      </c>
      <c r="AD673" s="44"/>
      <c r="AE673" s="3">
        <f t="shared" si="127"/>
        <v>0</v>
      </c>
      <c r="AF673" s="1"/>
      <c r="AG673" s="175">
        <f t="shared" si="128"/>
        <v>0</v>
      </c>
      <c r="AH673" s="4"/>
      <c r="AI673" s="3">
        <f t="shared" si="134"/>
        <v>0</v>
      </c>
      <c r="AJ673" s="3"/>
      <c r="AK673" s="181" t="str">
        <f t="shared" si="129"/>
        <v xml:space="preserve">0.0 </v>
      </c>
      <c r="AL673" s="6"/>
      <c r="AM673" s="3"/>
      <c r="AN673" s="3"/>
      <c r="AO673" s="3">
        <f t="shared" si="130"/>
        <v>0</v>
      </c>
      <c r="AP673" s="3"/>
      <c r="AQ673" s="181" t="str">
        <f t="shared" si="131"/>
        <v xml:space="preserve">0.0 </v>
      </c>
      <c r="AW673" s="135"/>
    </row>
    <row r="674" spans="1:49" x14ac:dyDescent="0.3">
      <c r="A674" s="44"/>
      <c r="C674" s="44"/>
      <c r="D674" s="44"/>
      <c r="E674" s="44"/>
      <c r="F674" s="44"/>
      <c r="J674" s="44"/>
      <c r="K674" s="44"/>
      <c r="L674" s="44"/>
      <c r="M674" s="44"/>
      <c r="N674" s="44"/>
      <c r="O674" s="44"/>
      <c r="P674" s="44"/>
      <c r="Q674" s="44"/>
      <c r="R674" s="44"/>
      <c r="T674" s="282">
        <f t="shared" si="132"/>
        <v>212</v>
      </c>
      <c r="V674" s="45" t="str">
        <f t="shared" si="126"/>
        <v xml:space="preserve">   6AL DUPLEX with existing conduit (cost per 10 feet)</v>
      </c>
      <c r="Y674" s="123">
        <f t="shared" si="133"/>
        <v>0</v>
      </c>
      <c r="AB674" s="44"/>
      <c r="AC674" s="238">
        <v>0.82</v>
      </c>
      <c r="AD674" s="44"/>
      <c r="AE674" s="3">
        <f t="shared" si="127"/>
        <v>0</v>
      </c>
      <c r="AF674" s="1"/>
      <c r="AG674" s="175">
        <f t="shared" si="128"/>
        <v>0</v>
      </c>
      <c r="AH674" s="4"/>
      <c r="AI674" s="3">
        <f t="shared" si="134"/>
        <v>0</v>
      </c>
      <c r="AJ674" s="3"/>
      <c r="AK674" s="181" t="str">
        <f t="shared" si="129"/>
        <v xml:space="preserve">0.0 </v>
      </c>
      <c r="AL674" s="6"/>
      <c r="AM674" s="3"/>
      <c r="AN674" s="3"/>
      <c r="AO674" s="3">
        <f t="shared" si="130"/>
        <v>0</v>
      </c>
      <c r="AP674" s="3"/>
      <c r="AQ674" s="181" t="str">
        <f t="shared" si="131"/>
        <v xml:space="preserve">0.0 </v>
      </c>
      <c r="AW674" s="135"/>
    </row>
    <row r="675" spans="1:49" x14ac:dyDescent="0.3">
      <c r="A675" s="44"/>
      <c r="C675" s="44"/>
      <c r="D675" s="44"/>
      <c r="E675" s="44"/>
      <c r="F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T675" s="282">
        <f t="shared" si="132"/>
        <v>213</v>
      </c>
      <c r="V675" s="45" t="str">
        <f t="shared" si="126"/>
        <v xml:space="preserve">   6AL DUPLEX and Bore with conduit (cost per 10 feet)</v>
      </c>
      <c r="Y675" s="123">
        <f t="shared" si="133"/>
        <v>0</v>
      </c>
      <c r="AB675" s="44"/>
      <c r="AC675" s="238">
        <v>2.79</v>
      </c>
      <c r="AD675" s="44"/>
      <c r="AE675" s="3">
        <f t="shared" si="127"/>
        <v>0</v>
      </c>
      <c r="AF675" s="1"/>
      <c r="AG675" s="175">
        <f t="shared" si="128"/>
        <v>0</v>
      </c>
      <c r="AH675" s="4"/>
      <c r="AI675" s="3">
        <f t="shared" si="134"/>
        <v>45</v>
      </c>
      <c r="AJ675" s="3"/>
      <c r="AK675" s="181" t="str">
        <f t="shared" si="129"/>
        <v xml:space="preserve">0.0 </v>
      </c>
      <c r="AL675" s="6"/>
      <c r="AM675" s="3"/>
      <c r="AN675" s="3"/>
      <c r="AO675" s="3">
        <f t="shared" si="130"/>
        <v>0</v>
      </c>
      <c r="AP675" s="3"/>
      <c r="AQ675" s="181" t="str">
        <f t="shared" si="131"/>
        <v xml:space="preserve">0.0 </v>
      </c>
      <c r="AW675" s="135"/>
    </row>
    <row r="676" spans="1:49" x14ac:dyDescent="0.3">
      <c r="A676" s="44"/>
      <c r="C676" s="44"/>
      <c r="D676" s="44"/>
      <c r="E676" s="44"/>
      <c r="F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T676" s="282">
        <f t="shared" si="132"/>
        <v>214</v>
      </c>
      <c r="V676" s="45" t="str">
        <f t="shared" si="126"/>
        <v xml:space="preserve">   6AL DUPLEX OH wire (cost per 100 feet)</v>
      </c>
      <c r="Y676" s="123">
        <f t="shared" si="133"/>
        <v>15</v>
      </c>
      <c r="AB676" s="44"/>
      <c r="AC676" s="238">
        <v>2.62</v>
      </c>
      <c r="AD676" s="44"/>
      <c r="AE676" s="3">
        <f>ROUND((Y676*(AC676+AD676)),0)</f>
        <v>39</v>
      </c>
      <c r="AF676" s="1"/>
      <c r="AG676" s="175">
        <f t="shared" si="128"/>
        <v>0.2</v>
      </c>
      <c r="AH676" s="4"/>
      <c r="AI676" s="3">
        <f t="shared" si="134"/>
        <v>6</v>
      </c>
      <c r="AJ676" s="3"/>
      <c r="AK676" s="181">
        <f>IF(AE676=0,"0.0 ",ROUND((AI676/AE676)*100,1))</f>
        <v>15.4</v>
      </c>
      <c r="AL676" s="6"/>
      <c r="AM676" s="3"/>
      <c r="AN676" s="3"/>
      <c r="AO676" s="3">
        <f>AM676+AE676</f>
        <v>39</v>
      </c>
      <c r="AP676" s="3"/>
      <c r="AQ676" s="181">
        <f>IF(AO676=0,"0.0 ",ROUND((AI676/AO676)*100,1))</f>
        <v>15.4</v>
      </c>
      <c r="AW676" s="135"/>
    </row>
    <row r="677" spans="1:49" x14ac:dyDescent="0.3">
      <c r="C677" s="44"/>
      <c r="D677" s="44"/>
      <c r="E677" s="44"/>
      <c r="F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T677" s="282">
        <f t="shared" si="132"/>
        <v>215</v>
      </c>
      <c r="V677" s="45" t="str">
        <f t="shared" si="126"/>
        <v>TOTAL WIRING EQUIPMENT</v>
      </c>
      <c r="Y677" s="262">
        <f>SUM(Y669:Y676)</f>
        <v>15</v>
      </c>
      <c r="Z677" s="1"/>
      <c r="AA677" s="159"/>
      <c r="AB677" s="159"/>
      <c r="AC677" s="238"/>
      <c r="AD677" s="258"/>
      <c r="AE677" s="262">
        <f>SUM(AE669:AE676)</f>
        <v>39</v>
      </c>
      <c r="AF677" s="3"/>
      <c r="AG677" s="180">
        <f t="shared" si="128"/>
        <v>0.2</v>
      </c>
      <c r="AH677" s="4"/>
      <c r="AI677" s="262">
        <f>SUM(AI669:AI676)</f>
        <v>51</v>
      </c>
      <c r="AJ677" s="3"/>
      <c r="AK677" s="224">
        <f t="shared" si="129"/>
        <v>130.80000000000001</v>
      </c>
      <c r="AL677" s="6"/>
      <c r="AM677" s="262">
        <f>SUM(AM669:AM676)</f>
        <v>0</v>
      </c>
      <c r="AN677" s="3"/>
      <c r="AO677" s="145">
        <f t="shared" si="130"/>
        <v>39</v>
      </c>
      <c r="AP677" s="3"/>
      <c r="AQ677" s="224">
        <f t="shared" si="131"/>
        <v>130.80000000000001</v>
      </c>
      <c r="AW677" s="135"/>
    </row>
    <row r="678" spans="1:49" x14ac:dyDescent="0.3">
      <c r="A678" s="135"/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T678" s="282"/>
      <c r="V678" s="45"/>
      <c r="AA678" s="44"/>
      <c r="AB678" s="44"/>
      <c r="AC678" s="44"/>
      <c r="AD678" s="44"/>
      <c r="AE678" s="44"/>
      <c r="AF678" s="44"/>
      <c r="AG678" s="168"/>
      <c r="AH678" s="44"/>
      <c r="AI678" s="44"/>
      <c r="AJ678" s="44"/>
      <c r="AK678" s="168"/>
      <c r="AL678" s="44"/>
      <c r="AM678" s="44"/>
      <c r="AN678" s="44"/>
      <c r="AO678" s="272"/>
      <c r="AP678" s="44"/>
      <c r="AW678" s="135"/>
    </row>
    <row r="679" spans="1:49" x14ac:dyDescent="0.3">
      <c r="A679" s="135"/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T679" s="282">
        <f>A327</f>
        <v>216</v>
      </c>
      <c r="V679" s="45" t="str">
        <f>C327</f>
        <v>SHIELDS</v>
      </c>
      <c r="AA679" s="44"/>
      <c r="AB679" s="44"/>
      <c r="AC679" s="44"/>
      <c r="AD679" s="44"/>
      <c r="AE679" s="44"/>
      <c r="AF679" s="44"/>
      <c r="AG679" s="168"/>
      <c r="AH679" s="44"/>
      <c r="AI679" s="44"/>
      <c r="AJ679" s="44"/>
      <c r="AK679" s="168"/>
      <c r="AL679" s="44"/>
      <c r="AM679" s="44"/>
      <c r="AN679" s="44"/>
      <c r="AO679" s="44"/>
      <c r="AP679" s="44"/>
      <c r="AW679" s="135"/>
    </row>
    <row r="680" spans="1:49" x14ac:dyDescent="0.3">
      <c r="A680" s="135"/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T680" s="282">
        <f>A328</f>
        <v>217</v>
      </c>
      <c r="V680" s="45" t="str">
        <f>C328</f>
        <v xml:space="preserve">   Standard</v>
      </c>
      <c r="Y680" s="123">
        <f>F328</f>
        <v>0</v>
      </c>
      <c r="AA680" s="44"/>
      <c r="AB680" s="44"/>
      <c r="AD680" s="44"/>
      <c r="AE680" s="3">
        <f>ROUND((Y680*(AC680+AD680)),0)</f>
        <v>0</v>
      </c>
      <c r="AF680" s="1"/>
      <c r="AG680" s="175">
        <f>ROUND((AE680/AE$692)*100,1)</f>
        <v>0</v>
      </c>
      <c r="AH680" s="4"/>
      <c r="AI680" s="3">
        <f>L328-AE680</f>
        <v>0</v>
      </c>
      <c r="AJ680" s="3"/>
      <c r="AK680" s="181" t="str">
        <f>IF(AE680=0,"0.0 ",ROUND((AI680/AE680)*100,1))</f>
        <v xml:space="preserve">0.0 </v>
      </c>
      <c r="AL680" s="6"/>
      <c r="AM680" s="3"/>
      <c r="AN680" s="3"/>
      <c r="AO680" s="3">
        <f>AM680+AE680</f>
        <v>0</v>
      </c>
      <c r="AP680" s="3"/>
      <c r="AQ680" s="181" t="str">
        <f>IF(AO680=0,"0.0 ",ROUND((AI680/AO680)*100,1))</f>
        <v xml:space="preserve">0.0 </v>
      </c>
      <c r="AW680" s="135"/>
    </row>
    <row r="681" spans="1:49" x14ac:dyDescent="0.3">
      <c r="A681" s="135"/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T681" s="282">
        <f>A329</f>
        <v>218</v>
      </c>
      <c r="V681" s="45" t="str">
        <f>C329</f>
        <v xml:space="preserve">   Decorative</v>
      </c>
      <c r="Y681" s="123">
        <f>F329</f>
        <v>0</v>
      </c>
      <c r="AA681" s="44"/>
      <c r="AB681" s="44"/>
      <c r="AD681" s="44"/>
      <c r="AE681" s="3">
        <f>ROUND((Y681*(AC681+AD681)),0)</f>
        <v>0</v>
      </c>
      <c r="AF681" s="1"/>
      <c r="AG681" s="175">
        <f>ROUND((AE681/AE$692)*100,1)</f>
        <v>0</v>
      </c>
      <c r="AH681" s="4"/>
      <c r="AI681" s="3">
        <f>L329-AE681</f>
        <v>0</v>
      </c>
      <c r="AJ681" s="3"/>
      <c r="AK681" s="181" t="str">
        <f>IF(AE681=0,"0.0 ",ROUND((AI681/AE681)*100,1))</f>
        <v xml:space="preserve">0.0 </v>
      </c>
      <c r="AL681" s="6"/>
      <c r="AM681" s="3"/>
      <c r="AN681" s="3"/>
      <c r="AO681" s="3">
        <f>AM681+AE681</f>
        <v>0</v>
      </c>
      <c r="AP681" s="3"/>
      <c r="AQ681" s="181" t="str">
        <f>IF(AO681=0,"0.0 ",ROUND((AI681/AO681)*100,1))</f>
        <v xml:space="preserve">0.0 </v>
      </c>
      <c r="AW681" s="135"/>
    </row>
    <row r="682" spans="1:49" x14ac:dyDescent="0.3">
      <c r="A682" s="135"/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T682" s="282">
        <f>A330</f>
        <v>219</v>
      </c>
      <c r="V682" s="45" t="str">
        <f>C330</f>
        <v>TOTAL SHIELDS</v>
      </c>
      <c r="Y682" s="262">
        <f>SUM(Y680:Y681)</f>
        <v>0</v>
      </c>
      <c r="AA682" s="44"/>
      <c r="AB682" s="44"/>
      <c r="AC682" s="44"/>
      <c r="AD682" s="44"/>
      <c r="AE682" s="262">
        <f>SUM(AE680:AE681)</f>
        <v>0</v>
      </c>
      <c r="AF682" s="3"/>
      <c r="AG682" s="180">
        <f>ROUND((AE682/AE$692)*100,1)</f>
        <v>0</v>
      </c>
      <c r="AH682" s="4"/>
      <c r="AI682" s="262">
        <f>SUM(AI680:AI681)</f>
        <v>0</v>
      </c>
      <c r="AJ682" s="3"/>
      <c r="AK682" s="224" t="str">
        <f>IF(AE682=0,"0.0 ",ROUND((AI682/AE682)*100,1))</f>
        <v xml:space="preserve">0.0 </v>
      </c>
      <c r="AL682" s="6"/>
      <c r="AM682" s="262">
        <f>SUM(AM680:AM681)</f>
        <v>0</v>
      </c>
      <c r="AN682" s="3"/>
      <c r="AO682" s="145">
        <f>AM682+AE682</f>
        <v>0</v>
      </c>
      <c r="AP682" s="3"/>
      <c r="AQ682" s="224" t="str">
        <f>IF(AO682=0,"0.0 ",ROUND((AI682/AO682)*100,1))</f>
        <v xml:space="preserve">0.0 </v>
      </c>
      <c r="AW682" s="135"/>
    </row>
    <row r="683" spans="1:49" x14ac:dyDescent="0.3">
      <c r="A683" s="135"/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T683" s="282"/>
      <c r="V683" s="45"/>
      <c r="AA683" s="44"/>
      <c r="AB683" s="44"/>
      <c r="AC683" s="44"/>
      <c r="AD683" s="44"/>
      <c r="AE683" s="44"/>
      <c r="AF683" s="44"/>
      <c r="AG683" s="168"/>
      <c r="AH683" s="44"/>
      <c r="AI683" s="44"/>
      <c r="AJ683" s="44"/>
      <c r="AK683" s="168"/>
      <c r="AL683" s="44"/>
      <c r="AM683" s="44"/>
      <c r="AN683" s="44"/>
      <c r="AO683" s="48"/>
      <c r="AP683" s="44"/>
      <c r="AW683" s="135"/>
    </row>
    <row r="684" spans="1:49" x14ac:dyDescent="0.3"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T684" s="282">
        <f>A332</f>
        <v>216</v>
      </c>
      <c r="V684" s="45" t="str">
        <f>C332</f>
        <v>TOTAL RATE LED EXCLUDING RIDERS</v>
      </c>
      <c r="Y684" s="276">
        <f>Y677+Y666+Y601+Y585+Y462+Y460+Y682</f>
        <v>2283</v>
      </c>
      <c r="AA684" s="44"/>
      <c r="AB684" s="44"/>
      <c r="AC684" s="44"/>
      <c r="AD684" s="44"/>
      <c r="AE684" s="276">
        <f>AE677+AE666+AE601+AE585+AE462+AE460+AE682</f>
        <v>19697</v>
      </c>
      <c r="AF684" s="44"/>
      <c r="AG684" s="180">
        <f>ROUND((AE684/AE$692)*100,1)</f>
        <v>98.9</v>
      </c>
      <c r="AH684" s="44"/>
      <c r="AI684" s="276">
        <f>AI677+AI666+AI601+AI585+AI462+AI460+AI682</f>
        <v>2855.4291680000001</v>
      </c>
      <c r="AJ684" s="44"/>
      <c r="AK684" s="224">
        <f t="shared" si="129"/>
        <v>14.5</v>
      </c>
      <c r="AL684" s="44"/>
      <c r="AM684" s="276">
        <f>AM677+AM666+AM601+AM585+AM462+AM460+AM682</f>
        <v>147</v>
      </c>
      <c r="AN684" s="44"/>
      <c r="AO684" s="348">
        <f>AO677+AO666+AO601+AO585+AO462+AO460+AO682</f>
        <v>19844</v>
      </c>
      <c r="AP684" s="44"/>
      <c r="AQ684" s="224">
        <f t="shared" si="131"/>
        <v>14.4</v>
      </c>
      <c r="AW684" s="135"/>
    </row>
    <row r="685" spans="1:49" x14ac:dyDescent="0.3">
      <c r="C685" s="42"/>
      <c r="D685" s="42"/>
      <c r="E685" s="42"/>
      <c r="T685" s="282"/>
      <c r="V685" s="45"/>
      <c r="AA685" s="44"/>
      <c r="AB685" s="44"/>
      <c r="AC685" s="44"/>
      <c r="AD685" s="44"/>
      <c r="AE685" s="44"/>
      <c r="AF685" s="44"/>
      <c r="AG685" s="168"/>
      <c r="AH685" s="44"/>
      <c r="AI685" s="44"/>
      <c r="AJ685" s="44"/>
      <c r="AK685" s="168"/>
      <c r="AL685" s="44"/>
      <c r="AM685" s="44"/>
      <c r="AN685" s="44"/>
      <c r="AO685" s="44"/>
      <c r="AP685" s="44"/>
      <c r="AW685" s="135"/>
    </row>
    <row r="686" spans="1:49" x14ac:dyDescent="0.3">
      <c r="D686" s="42"/>
      <c r="E686" s="42"/>
      <c r="T686" s="282">
        <f>A334</f>
        <v>217</v>
      </c>
      <c r="V686" s="45" t="str">
        <f>C334</f>
        <v>RIDERS NOT INCLUDED IN RATES ABOVE ($ PER KWH):</v>
      </c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207"/>
      <c r="AH686" s="135"/>
      <c r="AI686" s="135"/>
      <c r="AJ686" s="135"/>
      <c r="AK686" s="207"/>
      <c r="AL686" s="135"/>
      <c r="AM686" s="135"/>
      <c r="AN686" s="135"/>
      <c r="AO686" s="135"/>
      <c r="AP686" s="135"/>
      <c r="AW686" s="135"/>
    </row>
    <row r="687" spans="1:49" x14ac:dyDescent="0.3">
      <c r="T687" s="282">
        <f>A335</f>
        <v>218</v>
      </c>
      <c r="V687" s="45" t="str">
        <f>C335</f>
        <v>ENVIRONMENTAL SURCHARGE MECHANISM RIDER (ESM)</v>
      </c>
      <c r="AA687" s="44"/>
      <c r="AB687" s="44"/>
      <c r="AC687" s="116">
        <f>CUR_ESM_NonRes</f>
        <v>6.4941608437496566E-3</v>
      </c>
      <c r="AD687" s="44"/>
      <c r="AE687" s="3">
        <f>ROUND((AO684-(CUR_BASE_FUEL*AA692)-AM684+AO689)*AC687,0)</f>
        <v>119</v>
      </c>
      <c r="AF687" s="3"/>
      <c r="AG687" s="175">
        <f>ROUND((AE687/AE$692)*100,1)</f>
        <v>0.6</v>
      </c>
      <c r="AH687" s="4"/>
      <c r="AI687" s="3">
        <f>L335-AE687</f>
        <v>4</v>
      </c>
      <c r="AJ687" s="3"/>
      <c r="AK687" s="175">
        <f>IF(AE687=0,0,ROUND((AI687/AE687)*100,1))</f>
        <v>3.4</v>
      </c>
      <c r="AL687" s="6"/>
      <c r="AM687" s="3"/>
      <c r="AN687" s="3"/>
      <c r="AO687" s="3">
        <f>AE687+AM687</f>
        <v>119</v>
      </c>
      <c r="AP687" s="3"/>
      <c r="AQ687" s="175">
        <f>IF(AO687=0,0,ROUND((AI687/AO687)*100,1))</f>
        <v>3.4</v>
      </c>
      <c r="AW687" s="135"/>
    </row>
    <row r="688" spans="1:49" x14ac:dyDescent="0.3">
      <c r="C688" s="42"/>
      <c r="F688" s="123"/>
      <c r="J688" s="209"/>
      <c r="K688" s="209"/>
      <c r="L688" s="123"/>
      <c r="M688" s="123"/>
      <c r="R688" s="123"/>
      <c r="T688" s="282">
        <f>A336</f>
        <v>219</v>
      </c>
      <c r="V688" s="45" t="str">
        <f>C336</f>
        <v>FUEL ADJUSTMENT CLAUSE (FAC)</v>
      </c>
      <c r="AE688" s="3"/>
      <c r="AF688" s="3"/>
      <c r="AG688" s="175"/>
      <c r="AH688" s="4"/>
      <c r="AI688" s="3"/>
      <c r="AJ688" s="3"/>
      <c r="AK688" s="175"/>
      <c r="AL688" s="6"/>
      <c r="AM688" s="3"/>
      <c r="AN688" s="3"/>
      <c r="AO688" s="3"/>
      <c r="AP688" s="3"/>
      <c r="AQ688" s="181"/>
      <c r="AW688" s="135"/>
    </row>
    <row r="689" spans="3:49" x14ac:dyDescent="0.3">
      <c r="F689" s="123"/>
      <c r="R689" s="123"/>
      <c r="T689" s="282">
        <f>A337</f>
        <v>220</v>
      </c>
      <c r="V689" s="45" t="str">
        <f>C337</f>
        <v>PROFIT SHARING MECHANISM (PSM)</v>
      </c>
      <c r="AC689" s="41">
        <f>RS_PSM</f>
        <v>2.4750000000000002E-3</v>
      </c>
      <c r="AE689" s="49">
        <f>ROUND(AA692*AC689,0)</f>
        <v>104</v>
      </c>
      <c r="AF689" s="3"/>
      <c r="AG689" s="175">
        <f>ROUND((AE689/AE$692)*100,1)</f>
        <v>0.5</v>
      </c>
      <c r="AH689" s="4"/>
      <c r="AI689" s="3">
        <f>L337-AE689</f>
        <v>0</v>
      </c>
      <c r="AJ689" s="3"/>
      <c r="AK689" s="175">
        <f>IF(AE689=0,0,ROUND((AI689/AE689)*100,1))</f>
        <v>0</v>
      </c>
      <c r="AL689" s="6"/>
      <c r="AM689" s="49"/>
      <c r="AN689" s="3"/>
      <c r="AO689" s="3">
        <f>AE689+AM689</f>
        <v>104</v>
      </c>
      <c r="AP689" s="3"/>
      <c r="AQ689" s="175">
        <f>IF(AO689=0,0,ROUND((AI689/AO689)*100,1))</f>
        <v>0</v>
      </c>
      <c r="AW689" s="135"/>
    </row>
    <row r="690" spans="3:49" x14ac:dyDescent="0.3">
      <c r="C690" s="42"/>
      <c r="F690" s="184"/>
      <c r="H690" s="184"/>
      <c r="I690" s="184"/>
      <c r="J690" s="193"/>
      <c r="K690" s="193"/>
      <c r="L690" s="123"/>
      <c r="M690" s="123"/>
      <c r="N690" s="160"/>
      <c r="O690" s="160"/>
      <c r="P690" s="123"/>
      <c r="Q690" s="123"/>
      <c r="R690" s="123"/>
      <c r="T690" s="282">
        <f>A338</f>
        <v>221</v>
      </c>
      <c r="V690" s="45" t="str">
        <f>C338</f>
        <v xml:space="preserve">  TOTAL RIDERS NOT INCLUDED IN RATES ABOVE</v>
      </c>
      <c r="AE690" s="276">
        <f>SUM(AE687:AE689)</f>
        <v>223</v>
      </c>
      <c r="AG690" s="180">
        <f>ROUND((AE690/AE$692)*100,1)</f>
        <v>1.1000000000000001</v>
      </c>
      <c r="AI690" s="349">
        <f>SUM(AI687:AI689)</f>
        <v>4</v>
      </c>
      <c r="AK690" s="180">
        <f>IF(AE690=0,0,ROUND((AI690/AE690)*100,1))</f>
        <v>1.8</v>
      </c>
      <c r="AM690" s="276">
        <f>SUM(AM687:AM689)</f>
        <v>0</v>
      </c>
      <c r="AO690" s="145">
        <f>AE690+AM690</f>
        <v>223</v>
      </c>
      <c r="AQ690" s="224">
        <f>IF(AO690=0,"0.0 ",ROUND((AI690/AO690)*100,1))</f>
        <v>1.8</v>
      </c>
      <c r="AW690" s="135"/>
    </row>
    <row r="691" spans="3:49" x14ac:dyDescent="0.3">
      <c r="C691" s="42"/>
      <c r="F691" s="184"/>
      <c r="H691" s="222"/>
      <c r="I691" s="222"/>
      <c r="J691" s="193"/>
      <c r="K691" s="193"/>
      <c r="L691" s="123"/>
      <c r="M691" s="123"/>
      <c r="N691" s="160"/>
      <c r="O691" s="160"/>
      <c r="P691" s="123"/>
      <c r="Q691" s="123"/>
      <c r="R691" s="123"/>
      <c r="T691" s="282"/>
      <c r="V691" s="45"/>
      <c r="AB691" s="209"/>
      <c r="AC691" s="123"/>
      <c r="AD691" s="123"/>
      <c r="AM691" s="123"/>
      <c r="AN691" s="123"/>
      <c r="AW691" s="135"/>
    </row>
    <row r="692" spans="3:49" ht="16.2" thickBot="1" x14ac:dyDescent="0.35">
      <c r="F692" s="210"/>
      <c r="H692" s="123"/>
      <c r="I692" s="123"/>
      <c r="J692" s="213"/>
      <c r="K692" s="213"/>
      <c r="L692" s="210"/>
      <c r="M692" s="210"/>
      <c r="N692" s="210"/>
      <c r="O692" s="210"/>
      <c r="P692" s="210"/>
      <c r="Q692" s="210"/>
      <c r="R692" s="210"/>
      <c r="T692" s="282">
        <f>A340</f>
        <v>222</v>
      </c>
      <c r="V692" s="45" t="str">
        <f>C340</f>
        <v>TOTAL RATE LED INCLUDING RIDERS</v>
      </c>
      <c r="Y692" s="350">
        <f>Y677+Y666+Y601+Y585+Y460+Y690</f>
        <v>2283</v>
      </c>
      <c r="Z692" s="1"/>
      <c r="AA692" s="350">
        <f>AA677+AA666+AA601+AA585+AA460+AA690</f>
        <v>42161</v>
      </c>
      <c r="AB692" s="159"/>
      <c r="AC692" s="238"/>
      <c r="AD692" s="258"/>
      <c r="AE692" s="350">
        <f>AE684+AE690</f>
        <v>19920</v>
      </c>
      <c r="AF692" s="3"/>
      <c r="AG692" s="180">
        <f>ROUND((AE692/AE$692)*100,1)</f>
        <v>100</v>
      </c>
      <c r="AH692" s="4"/>
      <c r="AI692" s="350">
        <f>AI684+AI690</f>
        <v>2859.4291680000001</v>
      </c>
      <c r="AJ692" s="3"/>
      <c r="AK692" s="316">
        <f>IF(AE692=0,"0.0 ",ROUND((AI692/AE692)*100,1))</f>
        <v>14.4</v>
      </c>
      <c r="AL692" s="6"/>
      <c r="AM692" s="276">
        <f>AM684+AM690</f>
        <v>147</v>
      </c>
      <c r="AN692" s="3"/>
      <c r="AO692" s="162">
        <f>AM692+AE692</f>
        <v>20067</v>
      </c>
      <c r="AP692" s="3"/>
      <c r="AQ692" s="316">
        <f>IF(AO692=0,"0.0 ",ROUND((AI692/AO692)*100,1))</f>
        <v>14.2</v>
      </c>
      <c r="AW692" s="135"/>
    </row>
    <row r="693" spans="3:49" ht="16.2" thickTop="1" x14ac:dyDescent="0.3">
      <c r="C693" s="42"/>
      <c r="F693" s="123"/>
      <c r="H693" s="123"/>
      <c r="I693" s="123"/>
      <c r="J693" s="219"/>
      <c r="K693" s="219"/>
      <c r="L693" s="123"/>
      <c r="M693" s="123"/>
      <c r="N693" s="160"/>
      <c r="O693" s="160"/>
      <c r="P693" s="123"/>
      <c r="Q693" s="123"/>
      <c r="R693" s="123"/>
      <c r="T693" s="282"/>
      <c r="V693" s="45"/>
      <c r="AA693" s="123"/>
      <c r="AB693" s="193"/>
      <c r="AC693" s="123"/>
      <c r="AD693" s="123"/>
      <c r="AE693" s="160"/>
      <c r="AF693" s="160"/>
      <c r="AH693" s="123"/>
      <c r="AI693" s="236"/>
      <c r="AJ693" s="236"/>
      <c r="AL693" s="123"/>
      <c r="AM693" s="123"/>
      <c r="AN693" s="123"/>
      <c r="AO693" s="160"/>
      <c r="AP693" s="160"/>
      <c r="AW693" s="135"/>
    </row>
    <row r="694" spans="3:49" x14ac:dyDescent="0.3">
      <c r="F694" s="210"/>
      <c r="H694" s="123"/>
      <c r="I694" s="123"/>
      <c r="J694" s="213"/>
      <c r="K694" s="213"/>
      <c r="L694" s="210"/>
      <c r="M694" s="210"/>
      <c r="N694" s="210"/>
      <c r="O694" s="210"/>
      <c r="P694" s="210"/>
      <c r="Q694" s="210"/>
      <c r="R694" s="210"/>
      <c r="T694" s="45" t="str">
        <f>A342</f>
        <v>(1) THESE FIGURES REPRESENT NUMBER OF UNITS BILLED.</v>
      </c>
      <c r="V694" s="45"/>
      <c r="AA694" s="123"/>
      <c r="AB694" s="193"/>
      <c r="AC694" s="123"/>
      <c r="AD694" s="123"/>
      <c r="AE694" s="160"/>
      <c r="AF694" s="160"/>
      <c r="AH694" s="123"/>
      <c r="AI694" s="236"/>
      <c r="AJ694" s="236"/>
      <c r="AL694" s="123"/>
      <c r="AM694" s="123"/>
      <c r="AN694" s="123"/>
      <c r="AO694" s="160"/>
      <c r="AP694" s="160"/>
      <c r="AW694" s="135"/>
    </row>
    <row r="695" spans="3:49" x14ac:dyDescent="0.3">
      <c r="F695" s="123"/>
      <c r="R695" s="123"/>
      <c r="T695" s="45" t="str">
        <f>A343</f>
        <v>(1A) REFLECTS FUEL COST RECOVERY INCLUDED IN BASE RATES OF $0.033780  PER KWH.</v>
      </c>
      <c r="V695" s="45"/>
      <c r="AA695" s="123"/>
      <c r="AB695" s="213"/>
      <c r="AC695" s="210"/>
      <c r="AD695" s="210"/>
      <c r="AE695" s="210"/>
      <c r="AF695" s="210"/>
      <c r="AG695" s="214"/>
      <c r="AH695" s="210"/>
      <c r="AK695" s="214"/>
      <c r="AL695" s="210"/>
      <c r="AM695" s="210"/>
      <c r="AN695" s="210"/>
      <c r="AW695" s="135"/>
    </row>
    <row r="696" spans="3:49" x14ac:dyDescent="0.3">
      <c r="C696" s="42"/>
      <c r="F696" s="123"/>
      <c r="R696" s="123"/>
      <c r="T696" s="45" t="str">
        <f>A344</f>
        <v>(2) REFLECTS FUEL COMPONENT OF $0.003487  PER KWH.</v>
      </c>
      <c r="V696" s="45"/>
      <c r="AA696" s="123"/>
      <c r="AB696" s="219"/>
      <c r="AC696" s="123"/>
      <c r="AD696" s="123"/>
      <c r="AE696" s="160"/>
      <c r="AF696" s="160"/>
      <c r="AH696" s="123"/>
      <c r="AI696" s="236"/>
      <c r="AJ696" s="236"/>
      <c r="AL696" s="123"/>
      <c r="AM696" s="123"/>
      <c r="AN696" s="123"/>
      <c r="AO696" s="160"/>
      <c r="AP696" s="160"/>
      <c r="AW696" s="135"/>
    </row>
    <row r="697" spans="3:49" x14ac:dyDescent="0.3">
      <c r="F697" s="123"/>
      <c r="R697" s="123"/>
      <c r="AW697" s="135"/>
    </row>
    <row r="698" spans="3:49" x14ac:dyDescent="0.3">
      <c r="C698" s="42"/>
      <c r="F698" s="123"/>
      <c r="H698" s="184"/>
      <c r="I698" s="184"/>
      <c r="J698" s="227"/>
      <c r="K698" s="227"/>
      <c r="L698" s="123"/>
      <c r="M698" s="123"/>
      <c r="N698" s="160"/>
      <c r="O698" s="160"/>
      <c r="P698" s="184"/>
      <c r="Q698" s="184"/>
      <c r="R698" s="123"/>
      <c r="AW698" s="135"/>
    </row>
    <row r="699" spans="3:49" x14ac:dyDescent="0.3">
      <c r="H699" s="210"/>
      <c r="I699" s="210"/>
      <c r="J699" s="213"/>
      <c r="K699" s="213"/>
      <c r="L699" s="210"/>
      <c r="M699" s="210"/>
      <c r="N699" s="210"/>
      <c r="O699" s="210"/>
      <c r="P699" s="210"/>
      <c r="Q699" s="210"/>
      <c r="R699" s="210"/>
      <c r="AA699" s="42"/>
      <c r="AW699" s="135"/>
    </row>
    <row r="700" spans="3:49" x14ac:dyDescent="0.3">
      <c r="F700" s="210"/>
      <c r="AW700" s="135"/>
    </row>
    <row r="701" spans="3:49" x14ac:dyDescent="0.3">
      <c r="C701" s="42"/>
      <c r="F701" s="123"/>
      <c r="H701" s="123"/>
      <c r="I701" s="123"/>
      <c r="J701" s="209"/>
      <c r="K701" s="209"/>
      <c r="L701" s="123"/>
      <c r="M701" s="123"/>
      <c r="N701" s="160"/>
      <c r="O701" s="160"/>
      <c r="P701" s="123"/>
      <c r="Q701" s="123"/>
      <c r="R701" s="123"/>
      <c r="AC701" s="42"/>
      <c r="AD701" s="42"/>
      <c r="AW701" s="135"/>
    </row>
    <row r="702" spans="3:49" x14ac:dyDescent="0.3">
      <c r="F702" s="210"/>
      <c r="H702" s="210"/>
      <c r="I702" s="210"/>
      <c r="J702" s="213"/>
      <c r="K702" s="213"/>
      <c r="L702" s="210"/>
      <c r="M702" s="210"/>
      <c r="N702" s="210"/>
      <c r="O702" s="210"/>
      <c r="P702" s="210"/>
      <c r="Q702" s="210"/>
      <c r="R702" s="210"/>
      <c r="AM702" s="42"/>
      <c r="AN702" s="42"/>
      <c r="AW702" s="135"/>
    </row>
    <row r="703" spans="3:49" x14ac:dyDescent="0.3">
      <c r="R703" s="123"/>
      <c r="AM703" s="42"/>
      <c r="AN703" s="42"/>
      <c r="AW703" s="135"/>
    </row>
    <row r="704" spans="3:49" x14ac:dyDescent="0.3">
      <c r="F704" s="123"/>
      <c r="H704" s="123"/>
      <c r="I704" s="123"/>
      <c r="J704" s="219"/>
      <c r="K704" s="219"/>
      <c r="L704" s="123"/>
      <c r="M704" s="123"/>
      <c r="N704" s="123"/>
      <c r="O704" s="123"/>
      <c r="P704" s="123"/>
      <c r="Q704" s="123"/>
      <c r="R704" s="123"/>
      <c r="AM704" s="42"/>
      <c r="AN704" s="42"/>
      <c r="AW704" s="135"/>
    </row>
    <row r="705" spans="1:49" x14ac:dyDescent="0.3">
      <c r="C705" s="42"/>
      <c r="F705" s="123"/>
      <c r="H705" s="123"/>
      <c r="I705" s="123"/>
      <c r="J705" s="219"/>
      <c r="K705" s="219"/>
      <c r="L705" s="123"/>
      <c r="M705" s="123"/>
      <c r="N705" s="123"/>
      <c r="O705" s="123"/>
      <c r="P705" s="123"/>
      <c r="Q705" s="123"/>
      <c r="R705" s="123"/>
      <c r="AC705" s="42"/>
      <c r="AD705" s="42"/>
      <c r="AW705" s="135"/>
    </row>
    <row r="706" spans="1:49" x14ac:dyDescent="0.3">
      <c r="A706" s="42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207"/>
      <c r="AH706" s="135"/>
      <c r="AI706" s="135"/>
      <c r="AJ706" s="135"/>
      <c r="AK706" s="207"/>
      <c r="AL706" s="135"/>
      <c r="AM706" s="135"/>
      <c r="AN706" s="135"/>
      <c r="AO706" s="135"/>
      <c r="AP706" s="135"/>
      <c r="AW706" s="135"/>
    </row>
    <row r="707" spans="1:49" x14ac:dyDescent="0.3">
      <c r="AC707" s="44"/>
      <c r="AD707" s="44"/>
      <c r="AE707" s="44"/>
      <c r="AF707" s="44"/>
      <c r="AG707" s="168"/>
      <c r="AH707" s="44"/>
      <c r="AI707" s="44"/>
      <c r="AJ707" s="44"/>
      <c r="AM707" s="44"/>
      <c r="AN707" s="44"/>
      <c r="AO707" s="44"/>
      <c r="AP707" s="44"/>
      <c r="AW707" s="135"/>
    </row>
    <row r="708" spans="1:49" x14ac:dyDescent="0.3">
      <c r="AB708" s="44"/>
      <c r="AC708" s="44"/>
      <c r="AD708" s="44"/>
      <c r="AE708" s="44"/>
      <c r="AF708" s="44"/>
      <c r="AG708" s="168"/>
      <c r="AH708" s="44"/>
      <c r="AI708" s="44"/>
      <c r="AJ708" s="44"/>
      <c r="AM708" s="44"/>
      <c r="AN708" s="44"/>
      <c r="AO708" s="44"/>
      <c r="AP708" s="44"/>
      <c r="AW708" s="135"/>
    </row>
    <row r="709" spans="1:49" x14ac:dyDescent="0.3">
      <c r="H709" s="42"/>
      <c r="I709" s="42"/>
      <c r="T709" s="44"/>
      <c r="U709" s="44"/>
      <c r="V709" s="44"/>
      <c r="AB709" s="44"/>
      <c r="AC709" s="44"/>
      <c r="AD709" s="44"/>
      <c r="AE709" s="44"/>
      <c r="AF709" s="44"/>
      <c r="AG709" s="168"/>
      <c r="AH709" s="44"/>
      <c r="AI709" s="44"/>
      <c r="AJ709" s="44"/>
      <c r="AK709" s="168"/>
      <c r="AL709" s="44"/>
      <c r="AM709" s="44"/>
      <c r="AN709" s="44"/>
      <c r="AO709" s="44"/>
      <c r="AP709" s="44"/>
      <c r="AW709" s="135"/>
    </row>
    <row r="710" spans="1:49" x14ac:dyDescent="0.3">
      <c r="T710" s="44"/>
      <c r="U710" s="44"/>
      <c r="V710" s="44"/>
      <c r="AA710" s="44"/>
      <c r="AB710" s="44"/>
      <c r="AC710" s="44"/>
      <c r="AD710" s="44"/>
      <c r="AE710" s="44"/>
      <c r="AF710" s="44"/>
      <c r="AG710" s="168"/>
      <c r="AH710" s="44"/>
      <c r="AI710" s="44"/>
      <c r="AJ710" s="44"/>
      <c r="AK710" s="168"/>
      <c r="AL710" s="44"/>
      <c r="AM710" s="44"/>
      <c r="AN710" s="44"/>
      <c r="AO710" s="44"/>
      <c r="AP710" s="44"/>
      <c r="AW710" s="135"/>
    </row>
    <row r="711" spans="1:49" x14ac:dyDescent="0.3">
      <c r="L711" s="42"/>
      <c r="M711" s="42"/>
      <c r="T711" s="44"/>
      <c r="U711" s="44"/>
      <c r="V711" s="44"/>
      <c r="AA711" s="44"/>
      <c r="AB711" s="44"/>
      <c r="AC711" s="44"/>
      <c r="AD711" s="44"/>
      <c r="AE711" s="44"/>
      <c r="AF711" s="44"/>
      <c r="AG711" s="168"/>
      <c r="AH711" s="44"/>
      <c r="AI711" s="44"/>
      <c r="AJ711" s="44"/>
      <c r="AK711" s="168"/>
      <c r="AL711" s="44"/>
      <c r="AM711" s="44"/>
      <c r="AN711" s="44"/>
      <c r="AO711" s="44"/>
      <c r="AP711" s="44"/>
      <c r="AW711" s="135"/>
    </row>
    <row r="712" spans="1:49" x14ac:dyDescent="0.3">
      <c r="R712" s="42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207"/>
      <c r="AH712" s="135"/>
      <c r="AI712" s="135"/>
      <c r="AJ712" s="135"/>
      <c r="AK712" s="207"/>
      <c r="AL712" s="135"/>
      <c r="AM712" s="135"/>
      <c r="AN712" s="135"/>
      <c r="AO712" s="135"/>
      <c r="AP712" s="135"/>
      <c r="AW712" s="135"/>
    </row>
    <row r="713" spans="1:49" x14ac:dyDescent="0.3">
      <c r="R713" s="42"/>
      <c r="AA713" s="44"/>
      <c r="AB713" s="44"/>
      <c r="AC713" s="44"/>
      <c r="AD713" s="44"/>
      <c r="AE713" s="44"/>
      <c r="AF713" s="44"/>
      <c r="AG713" s="168"/>
      <c r="AH713" s="44"/>
      <c r="AI713" s="44"/>
      <c r="AJ713" s="44"/>
      <c r="AK713" s="168"/>
      <c r="AL713" s="44"/>
      <c r="AM713" s="44"/>
      <c r="AN713" s="44"/>
      <c r="AO713" s="44"/>
      <c r="AP713" s="44"/>
      <c r="AW713" s="135"/>
    </row>
    <row r="714" spans="1:49" x14ac:dyDescent="0.3">
      <c r="A714" s="42"/>
      <c r="R714" s="42"/>
      <c r="T714" s="42"/>
      <c r="U714" s="42"/>
      <c r="AW714" s="135"/>
    </row>
    <row r="715" spans="1:49" x14ac:dyDescent="0.3">
      <c r="L715" s="42"/>
      <c r="M715" s="42"/>
      <c r="T715" s="42"/>
      <c r="AW715" s="135"/>
    </row>
    <row r="716" spans="1:49" x14ac:dyDescent="0.3">
      <c r="A716" s="135"/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AW716" s="135"/>
    </row>
    <row r="717" spans="1:49" x14ac:dyDescent="0.3">
      <c r="L717" s="44"/>
      <c r="M717" s="44"/>
      <c r="N717" s="44"/>
      <c r="O717" s="44"/>
      <c r="R717" s="44"/>
      <c r="T717" s="42"/>
      <c r="V717" s="123"/>
      <c r="AA717" s="184"/>
      <c r="AB717" s="193"/>
      <c r="AC717" s="123"/>
      <c r="AD717" s="123"/>
      <c r="AE717" s="160"/>
      <c r="AF717" s="160"/>
      <c r="AH717" s="123"/>
      <c r="AI717" s="236"/>
      <c r="AJ717" s="236"/>
      <c r="AM717" s="123"/>
      <c r="AN717" s="123"/>
      <c r="AO717" s="160"/>
      <c r="AP717" s="160"/>
      <c r="AW717" s="135"/>
    </row>
    <row r="718" spans="1:49" x14ac:dyDescent="0.3">
      <c r="L718" s="44"/>
      <c r="M718" s="44"/>
      <c r="N718" s="44"/>
      <c r="O718" s="44"/>
      <c r="R718" s="44"/>
      <c r="V718" s="210"/>
      <c r="AA718" s="123"/>
      <c r="AB718" s="213"/>
      <c r="AC718" s="210"/>
      <c r="AD718" s="210"/>
      <c r="AE718" s="210"/>
      <c r="AF718" s="210"/>
      <c r="AG718" s="214"/>
      <c r="AH718" s="210"/>
      <c r="AK718" s="214"/>
      <c r="AL718" s="210"/>
      <c r="AM718" s="210"/>
      <c r="AN718" s="210"/>
      <c r="AO718" s="160"/>
      <c r="AP718" s="160"/>
      <c r="AW718" s="135"/>
    </row>
    <row r="719" spans="1:49" x14ac:dyDescent="0.3">
      <c r="A719" s="44"/>
      <c r="C719" s="44"/>
      <c r="D719" s="44"/>
      <c r="E719" s="44"/>
      <c r="F719" s="44"/>
      <c r="J719" s="44"/>
      <c r="K719" s="44"/>
      <c r="L719" s="44"/>
      <c r="M719" s="44"/>
      <c r="N719" s="44"/>
      <c r="O719" s="44"/>
      <c r="P719" s="44"/>
      <c r="Q719" s="44"/>
      <c r="R719" s="44"/>
      <c r="T719" s="42"/>
      <c r="V719" s="184"/>
      <c r="AA719" s="184"/>
      <c r="AB719" s="237"/>
      <c r="AC719" s="123"/>
      <c r="AD719" s="123"/>
      <c r="AE719" s="160"/>
      <c r="AF719" s="160"/>
      <c r="AH719" s="123"/>
      <c r="AI719" s="160"/>
      <c r="AJ719" s="160"/>
      <c r="AL719" s="123"/>
      <c r="AM719" s="123"/>
      <c r="AN719" s="123"/>
      <c r="AO719" s="160"/>
      <c r="AP719" s="160"/>
      <c r="AW719" s="135"/>
    </row>
    <row r="720" spans="1:49" x14ac:dyDescent="0.3">
      <c r="A720" s="44"/>
      <c r="C720" s="44"/>
      <c r="D720" s="44"/>
      <c r="E720" s="44"/>
      <c r="F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T720" s="42"/>
      <c r="V720" s="184"/>
      <c r="AA720" s="123"/>
      <c r="AB720" s="193"/>
      <c r="AC720" s="123"/>
      <c r="AD720" s="123"/>
      <c r="AE720" s="160"/>
      <c r="AF720" s="160"/>
      <c r="AH720" s="123"/>
      <c r="AI720" s="236"/>
      <c r="AJ720" s="236"/>
      <c r="AL720" s="123"/>
      <c r="AM720" s="123"/>
      <c r="AN720" s="123"/>
      <c r="AO720" s="160"/>
      <c r="AP720" s="160"/>
      <c r="AW720" s="135"/>
    </row>
    <row r="721" spans="1:49" x14ac:dyDescent="0.3">
      <c r="C721" s="44"/>
      <c r="D721" s="44"/>
      <c r="E721" s="44"/>
      <c r="F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T721" s="42"/>
      <c r="V721" s="184"/>
      <c r="AA721" s="123"/>
      <c r="AB721" s="193"/>
      <c r="AC721" s="123"/>
      <c r="AD721" s="123"/>
      <c r="AE721" s="160"/>
      <c r="AF721" s="160"/>
      <c r="AH721" s="123"/>
      <c r="AI721" s="236"/>
      <c r="AJ721" s="236"/>
      <c r="AL721" s="123"/>
      <c r="AM721" s="123"/>
      <c r="AN721" s="123"/>
      <c r="AO721" s="160"/>
      <c r="AP721" s="160"/>
      <c r="AW721" s="135"/>
    </row>
    <row r="722" spans="1:49" x14ac:dyDescent="0.3">
      <c r="A722" s="135"/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V722" s="210"/>
      <c r="AA722" s="210"/>
      <c r="AB722" s="213"/>
      <c r="AC722" s="210"/>
      <c r="AD722" s="210"/>
      <c r="AE722" s="210"/>
      <c r="AF722" s="210"/>
      <c r="AG722" s="214"/>
      <c r="AH722" s="210"/>
      <c r="AK722" s="214"/>
      <c r="AL722" s="210"/>
      <c r="AM722" s="210"/>
      <c r="AN722" s="210"/>
      <c r="AO722" s="160"/>
      <c r="AP722" s="160"/>
      <c r="AW722" s="135"/>
    </row>
    <row r="723" spans="1:49" x14ac:dyDescent="0.3"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T723" s="42"/>
      <c r="V723" s="123"/>
      <c r="AA723" s="123"/>
      <c r="AB723" s="219"/>
      <c r="AC723" s="123"/>
      <c r="AD723" s="123"/>
      <c r="AE723" s="160"/>
      <c r="AF723" s="160"/>
      <c r="AH723" s="123"/>
      <c r="AI723" s="236"/>
      <c r="AJ723" s="236"/>
      <c r="AL723" s="123"/>
      <c r="AM723" s="123"/>
      <c r="AN723" s="123"/>
      <c r="AO723" s="160"/>
      <c r="AP723" s="160"/>
      <c r="AW723" s="135"/>
    </row>
    <row r="724" spans="1:49" x14ac:dyDescent="0.3">
      <c r="C724" s="42"/>
      <c r="D724" s="42"/>
      <c r="E724" s="42"/>
      <c r="V724" s="210"/>
      <c r="AA724" s="210"/>
      <c r="AB724" s="213"/>
      <c r="AC724" s="210"/>
      <c r="AD724" s="210"/>
      <c r="AE724" s="210"/>
      <c r="AF724" s="210"/>
      <c r="AG724" s="214"/>
      <c r="AH724" s="210"/>
      <c r="AK724" s="214"/>
      <c r="AL724" s="210"/>
      <c r="AM724" s="210"/>
      <c r="AN724" s="210"/>
      <c r="AO724" s="160"/>
      <c r="AP724" s="160"/>
      <c r="AW724" s="135"/>
    </row>
    <row r="725" spans="1:49" x14ac:dyDescent="0.3">
      <c r="C725" s="42"/>
      <c r="T725" s="42"/>
      <c r="V725" s="123"/>
      <c r="AA725" s="123"/>
      <c r="AB725" s="219"/>
      <c r="AC725" s="123"/>
      <c r="AD725" s="123"/>
      <c r="AE725" s="160"/>
      <c r="AF725" s="160"/>
      <c r="AH725" s="123"/>
      <c r="AI725" s="236"/>
      <c r="AJ725" s="236"/>
      <c r="AL725" s="123"/>
      <c r="AM725" s="123"/>
      <c r="AN725" s="123"/>
      <c r="AO725" s="160"/>
      <c r="AP725" s="160"/>
      <c r="AW725" s="135"/>
    </row>
    <row r="726" spans="1:49" x14ac:dyDescent="0.3">
      <c r="T726" s="42"/>
      <c r="V726" s="123"/>
      <c r="AA726" s="123"/>
      <c r="AB726" s="212"/>
      <c r="AC726" s="123"/>
      <c r="AD726" s="123"/>
      <c r="AE726" s="160"/>
      <c r="AF726" s="160"/>
      <c r="AH726" s="123"/>
      <c r="AI726" s="236"/>
      <c r="AJ726" s="236"/>
      <c r="AL726" s="123"/>
      <c r="AM726" s="123"/>
      <c r="AN726" s="123"/>
      <c r="AO726" s="160"/>
      <c r="AP726" s="160"/>
      <c r="AW726" s="135"/>
    </row>
    <row r="727" spans="1:49" x14ac:dyDescent="0.3">
      <c r="C727" s="42"/>
      <c r="F727" s="184"/>
      <c r="H727" s="184"/>
      <c r="I727" s="184"/>
      <c r="J727" s="193"/>
      <c r="K727" s="193"/>
      <c r="L727" s="123"/>
      <c r="M727" s="123"/>
      <c r="N727" s="160"/>
      <c r="O727" s="160"/>
      <c r="R727" s="123"/>
      <c r="V727" s="210"/>
      <c r="AA727" s="210"/>
      <c r="AB727" s="213"/>
      <c r="AC727" s="210"/>
      <c r="AD727" s="210"/>
      <c r="AE727" s="210"/>
      <c r="AF727" s="210"/>
      <c r="AG727" s="214"/>
      <c r="AH727" s="210"/>
      <c r="AK727" s="214"/>
      <c r="AL727" s="210"/>
      <c r="AM727" s="210"/>
      <c r="AN727" s="210"/>
      <c r="AO727" s="160"/>
      <c r="AP727" s="160"/>
      <c r="AW727" s="135"/>
    </row>
    <row r="728" spans="1:49" x14ac:dyDescent="0.3">
      <c r="F728" s="210"/>
      <c r="H728" s="123"/>
      <c r="I728" s="123"/>
      <c r="J728" s="213"/>
      <c r="K728" s="213"/>
      <c r="L728" s="210"/>
      <c r="M728" s="210"/>
      <c r="N728" s="210"/>
      <c r="O728" s="210"/>
      <c r="P728" s="210"/>
      <c r="Q728" s="210"/>
      <c r="R728" s="210"/>
      <c r="AW728" s="135"/>
    </row>
    <row r="729" spans="1:49" x14ac:dyDescent="0.3">
      <c r="C729" s="42"/>
      <c r="F729" s="184"/>
      <c r="H729" s="184"/>
      <c r="I729" s="184"/>
      <c r="J729" s="237"/>
      <c r="K729" s="237"/>
      <c r="L729" s="123"/>
      <c r="M729" s="123"/>
      <c r="N729" s="160"/>
      <c r="O729" s="160"/>
      <c r="P729" s="123"/>
      <c r="Q729" s="123"/>
      <c r="R729" s="123"/>
      <c r="S729" s="123"/>
      <c r="T729" s="42"/>
      <c r="V729" s="123"/>
      <c r="AA729" s="123"/>
      <c r="AB729" s="213"/>
      <c r="AC729" s="123"/>
      <c r="AD729" s="123"/>
      <c r="AE729" s="160"/>
      <c r="AF729" s="160"/>
      <c r="AH729" s="123"/>
      <c r="AI729" s="160"/>
      <c r="AJ729" s="160"/>
      <c r="AL729" s="123"/>
      <c r="AM729" s="123"/>
      <c r="AN729" s="123"/>
      <c r="AO729" s="160"/>
      <c r="AP729" s="160"/>
      <c r="AW729" s="135"/>
    </row>
    <row r="730" spans="1:49" x14ac:dyDescent="0.3">
      <c r="C730" s="42"/>
      <c r="F730" s="184"/>
      <c r="H730" s="184"/>
      <c r="I730" s="184"/>
      <c r="J730" s="193"/>
      <c r="K730" s="193"/>
      <c r="L730" s="123"/>
      <c r="M730" s="123"/>
      <c r="N730" s="160"/>
      <c r="O730" s="160"/>
      <c r="P730" s="123"/>
      <c r="Q730" s="123"/>
      <c r="R730" s="123"/>
      <c r="V730" s="210"/>
      <c r="AA730" s="210"/>
      <c r="AB730" s="213"/>
      <c r="AC730" s="210"/>
      <c r="AD730" s="210"/>
      <c r="AE730" s="210"/>
      <c r="AF730" s="210"/>
      <c r="AG730" s="214"/>
      <c r="AH730" s="210"/>
      <c r="AK730" s="214"/>
      <c r="AL730" s="210"/>
      <c r="AM730" s="210"/>
      <c r="AN730" s="210"/>
      <c r="AO730" s="160"/>
      <c r="AP730" s="160"/>
      <c r="AW730" s="135"/>
    </row>
    <row r="731" spans="1:49" x14ac:dyDescent="0.3">
      <c r="C731" s="42"/>
      <c r="F731" s="184"/>
      <c r="H731" s="184"/>
      <c r="I731" s="184"/>
      <c r="J731" s="193"/>
      <c r="K731" s="193"/>
      <c r="L731" s="123"/>
      <c r="M731" s="123"/>
      <c r="N731" s="160"/>
      <c r="O731" s="160"/>
      <c r="P731" s="123"/>
      <c r="Q731" s="123"/>
      <c r="R731" s="123"/>
      <c r="T731" s="42"/>
      <c r="V731" s="184"/>
      <c r="AA731" s="184"/>
      <c r="AB731" s="213"/>
      <c r="AC731" s="123"/>
      <c r="AD731" s="123"/>
      <c r="AE731" s="160"/>
      <c r="AF731" s="160"/>
      <c r="AH731" s="123"/>
      <c r="AL731" s="123"/>
      <c r="AM731" s="123"/>
      <c r="AN731" s="123"/>
      <c r="AO731" s="160"/>
      <c r="AP731" s="160"/>
      <c r="AW731" s="135"/>
    </row>
    <row r="732" spans="1:49" x14ac:dyDescent="0.3">
      <c r="F732" s="210"/>
      <c r="H732" s="210"/>
      <c r="I732" s="210"/>
      <c r="J732" s="213"/>
      <c r="K732" s="213"/>
      <c r="L732" s="210"/>
      <c r="M732" s="210"/>
      <c r="N732" s="210"/>
      <c r="O732" s="210"/>
      <c r="P732" s="210"/>
      <c r="Q732" s="210"/>
      <c r="R732" s="210"/>
      <c r="AW732" s="135"/>
    </row>
    <row r="733" spans="1:49" x14ac:dyDescent="0.3">
      <c r="C733" s="42"/>
      <c r="F733" s="123"/>
      <c r="H733" s="123"/>
      <c r="I733" s="123"/>
      <c r="J733" s="219"/>
      <c r="K733" s="219"/>
      <c r="L733" s="123"/>
      <c r="M733" s="123"/>
      <c r="N733" s="160"/>
      <c r="O733" s="160"/>
      <c r="P733" s="123"/>
      <c r="Q733" s="123"/>
      <c r="R733" s="123"/>
      <c r="T733" s="42"/>
      <c r="V733" s="123"/>
      <c r="AA733" s="184"/>
      <c r="AB733" s="193"/>
      <c r="AC733" s="123"/>
      <c r="AD733" s="123"/>
      <c r="AE733" s="160"/>
      <c r="AF733" s="160"/>
      <c r="AH733" s="123"/>
      <c r="AI733" s="236"/>
      <c r="AJ733" s="236"/>
      <c r="AM733" s="123"/>
      <c r="AN733" s="123"/>
      <c r="AO733" s="160"/>
      <c r="AP733" s="160"/>
      <c r="AW733" s="135"/>
    </row>
    <row r="734" spans="1:49" x14ac:dyDescent="0.3">
      <c r="F734" s="210"/>
      <c r="H734" s="210"/>
      <c r="I734" s="210"/>
      <c r="J734" s="213"/>
      <c r="K734" s="213"/>
      <c r="L734" s="210"/>
      <c r="M734" s="210"/>
      <c r="N734" s="210"/>
      <c r="O734" s="210"/>
      <c r="P734" s="210"/>
      <c r="Q734" s="210"/>
      <c r="R734" s="210"/>
      <c r="V734" s="210"/>
      <c r="AA734" s="123"/>
      <c r="AB734" s="213"/>
      <c r="AC734" s="210"/>
      <c r="AD734" s="210"/>
      <c r="AE734" s="210"/>
      <c r="AF734" s="210"/>
      <c r="AG734" s="214"/>
      <c r="AH734" s="210"/>
      <c r="AK734" s="214"/>
      <c r="AL734" s="210"/>
      <c r="AM734" s="210"/>
      <c r="AN734" s="210"/>
      <c r="AO734" s="160"/>
      <c r="AP734" s="160"/>
      <c r="AW734" s="135"/>
    </row>
    <row r="735" spans="1:49" x14ac:dyDescent="0.3">
      <c r="C735" s="42"/>
      <c r="F735" s="123"/>
      <c r="H735" s="123"/>
      <c r="I735" s="123"/>
      <c r="J735" s="219"/>
      <c r="K735" s="219"/>
      <c r="L735" s="123"/>
      <c r="M735" s="123"/>
      <c r="N735" s="160"/>
      <c r="O735" s="160"/>
      <c r="P735" s="123"/>
      <c r="Q735" s="123"/>
      <c r="R735" s="123"/>
      <c r="T735" s="42"/>
      <c r="V735" s="184"/>
      <c r="AA735" s="184"/>
      <c r="AB735" s="237"/>
      <c r="AC735" s="123"/>
      <c r="AD735" s="123"/>
      <c r="AE735" s="160"/>
      <c r="AF735" s="160"/>
      <c r="AH735" s="123"/>
      <c r="AI735" s="160"/>
      <c r="AJ735" s="160"/>
      <c r="AL735" s="123"/>
      <c r="AM735" s="123"/>
      <c r="AN735" s="123"/>
      <c r="AO735" s="160"/>
      <c r="AP735" s="160"/>
      <c r="AW735" s="135"/>
    </row>
    <row r="736" spans="1:49" x14ac:dyDescent="0.3">
      <c r="C736" s="42"/>
      <c r="F736" s="123"/>
      <c r="H736" s="184"/>
      <c r="I736" s="184"/>
      <c r="J736" s="227"/>
      <c r="K736" s="227"/>
      <c r="L736" s="123"/>
      <c r="M736" s="123"/>
      <c r="N736" s="160"/>
      <c r="O736" s="160"/>
      <c r="P736" s="123"/>
      <c r="Q736" s="123"/>
      <c r="R736" s="123"/>
      <c r="T736" s="42"/>
      <c r="V736" s="184"/>
      <c r="AA736" s="123"/>
      <c r="AB736" s="193"/>
      <c r="AC736" s="123"/>
      <c r="AD736" s="123"/>
      <c r="AE736" s="160"/>
      <c r="AF736" s="160"/>
      <c r="AH736" s="123"/>
      <c r="AI736" s="236"/>
      <c r="AJ736" s="236"/>
      <c r="AL736" s="123"/>
      <c r="AM736" s="123"/>
      <c r="AN736" s="123"/>
      <c r="AO736" s="160"/>
      <c r="AP736" s="160"/>
      <c r="AW736" s="135"/>
    </row>
    <row r="737" spans="3:49" x14ac:dyDescent="0.3">
      <c r="H737" s="210"/>
      <c r="I737" s="210"/>
      <c r="J737" s="213"/>
      <c r="K737" s="213"/>
      <c r="L737" s="210"/>
      <c r="M737" s="210"/>
      <c r="N737" s="210"/>
      <c r="O737" s="210"/>
      <c r="P737" s="210"/>
      <c r="Q737" s="210"/>
      <c r="R737" s="210"/>
      <c r="T737" s="42"/>
      <c r="V737" s="184"/>
      <c r="AA737" s="123"/>
      <c r="AB737" s="193"/>
      <c r="AC737" s="123"/>
      <c r="AD737" s="123"/>
      <c r="AE737" s="160"/>
      <c r="AF737" s="160"/>
      <c r="AH737" s="123"/>
      <c r="AI737" s="236"/>
      <c r="AJ737" s="236"/>
      <c r="AL737" s="123"/>
      <c r="AM737" s="123"/>
      <c r="AN737" s="123"/>
      <c r="AO737" s="160"/>
      <c r="AP737" s="160"/>
      <c r="AW737" s="135"/>
    </row>
    <row r="738" spans="3:49" x14ac:dyDescent="0.3">
      <c r="F738" s="210"/>
      <c r="V738" s="210"/>
      <c r="AA738" s="210"/>
      <c r="AB738" s="213"/>
      <c r="AC738" s="210"/>
      <c r="AD738" s="210"/>
      <c r="AE738" s="210"/>
      <c r="AF738" s="210"/>
      <c r="AG738" s="214"/>
      <c r="AH738" s="210"/>
      <c r="AK738" s="214"/>
      <c r="AL738" s="210"/>
      <c r="AM738" s="210"/>
      <c r="AN738" s="210"/>
      <c r="AO738" s="160"/>
      <c r="AP738" s="160"/>
      <c r="AW738" s="135"/>
    </row>
    <row r="739" spans="3:49" x14ac:dyDescent="0.3">
      <c r="C739" s="42"/>
      <c r="F739" s="123"/>
      <c r="H739" s="123"/>
      <c r="I739" s="123"/>
      <c r="J739" s="213"/>
      <c r="K739" s="213"/>
      <c r="L739" s="123"/>
      <c r="M739" s="123"/>
      <c r="N739" s="160"/>
      <c r="O739" s="160"/>
      <c r="P739" s="123"/>
      <c r="Q739" s="123"/>
      <c r="R739" s="123"/>
      <c r="S739" s="123"/>
      <c r="T739" s="42"/>
      <c r="V739" s="123"/>
      <c r="AA739" s="123"/>
      <c r="AB739" s="219"/>
      <c r="AC739" s="123"/>
      <c r="AD739" s="123"/>
      <c r="AE739" s="160"/>
      <c r="AF739" s="160"/>
      <c r="AH739" s="123"/>
      <c r="AI739" s="236"/>
      <c r="AJ739" s="236"/>
      <c r="AL739" s="123"/>
      <c r="AM739" s="123"/>
      <c r="AN739" s="123"/>
      <c r="AO739" s="160"/>
      <c r="AP739" s="160"/>
      <c r="AW739" s="135"/>
    </row>
    <row r="740" spans="3:49" x14ac:dyDescent="0.3">
      <c r="F740" s="210"/>
      <c r="H740" s="210"/>
      <c r="I740" s="210"/>
      <c r="J740" s="213"/>
      <c r="K740" s="213"/>
      <c r="L740" s="210"/>
      <c r="M740" s="210"/>
      <c r="N740" s="210"/>
      <c r="O740" s="210"/>
      <c r="P740" s="210"/>
      <c r="Q740" s="210"/>
      <c r="R740" s="210"/>
      <c r="S740" s="123"/>
      <c r="V740" s="210"/>
      <c r="AA740" s="210"/>
      <c r="AB740" s="213"/>
      <c r="AC740" s="210"/>
      <c r="AD740" s="210"/>
      <c r="AE740" s="210"/>
      <c r="AF740" s="210"/>
      <c r="AG740" s="214"/>
      <c r="AH740" s="210"/>
      <c r="AK740" s="214"/>
      <c r="AL740" s="210"/>
      <c r="AM740" s="210"/>
      <c r="AN740" s="210"/>
      <c r="AO740" s="160"/>
      <c r="AP740" s="160"/>
      <c r="AW740" s="135"/>
    </row>
    <row r="741" spans="3:49" x14ac:dyDescent="0.3">
      <c r="C741" s="42"/>
      <c r="H741" s="184"/>
      <c r="I741" s="184"/>
      <c r="J741" s="213"/>
      <c r="K741" s="213"/>
      <c r="L741" s="123"/>
      <c r="M741" s="123"/>
      <c r="N741" s="160"/>
      <c r="O741" s="160"/>
      <c r="P741" s="123"/>
      <c r="Q741" s="123"/>
      <c r="R741" s="123"/>
      <c r="S741" s="123"/>
      <c r="T741" s="42"/>
      <c r="V741" s="123"/>
      <c r="AA741" s="123"/>
      <c r="AB741" s="219"/>
      <c r="AC741" s="123"/>
      <c r="AD741" s="123"/>
      <c r="AE741" s="160"/>
      <c r="AF741" s="160"/>
      <c r="AH741" s="123"/>
      <c r="AI741" s="236"/>
      <c r="AJ741" s="236"/>
      <c r="AL741" s="123"/>
      <c r="AM741" s="123"/>
      <c r="AN741" s="123"/>
      <c r="AO741" s="160"/>
      <c r="AP741" s="160"/>
      <c r="AW741" s="135"/>
    </row>
    <row r="742" spans="3:49" x14ac:dyDescent="0.3">
      <c r="F742" s="184"/>
      <c r="T742" s="42"/>
      <c r="V742" s="123"/>
      <c r="AA742" s="123"/>
      <c r="AB742" s="212"/>
      <c r="AC742" s="123"/>
      <c r="AD742" s="123"/>
      <c r="AE742" s="160"/>
      <c r="AF742" s="160"/>
      <c r="AH742" s="123"/>
      <c r="AI742" s="236"/>
      <c r="AJ742" s="236"/>
      <c r="AL742" s="123"/>
      <c r="AM742" s="123"/>
      <c r="AN742" s="123"/>
      <c r="AO742" s="160"/>
      <c r="AP742" s="160"/>
      <c r="AW742" s="135"/>
    </row>
    <row r="743" spans="3:49" x14ac:dyDescent="0.3">
      <c r="C743" s="42"/>
      <c r="F743" s="184"/>
      <c r="H743" s="184"/>
      <c r="I743" s="184"/>
      <c r="J743" s="193"/>
      <c r="K743" s="193"/>
      <c r="L743" s="123"/>
      <c r="M743" s="123"/>
      <c r="N743" s="160"/>
      <c r="O743" s="160"/>
      <c r="R743" s="123"/>
      <c r="V743" s="210"/>
      <c r="AA743" s="210"/>
      <c r="AB743" s="213"/>
      <c r="AC743" s="210"/>
      <c r="AD743" s="210"/>
      <c r="AE743" s="210"/>
      <c r="AF743" s="210"/>
      <c r="AG743" s="214"/>
      <c r="AH743" s="210"/>
      <c r="AK743" s="214"/>
      <c r="AL743" s="210"/>
      <c r="AM743" s="210"/>
      <c r="AN743" s="210"/>
      <c r="AO743" s="160"/>
      <c r="AP743" s="160"/>
      <c r="AW743" s="135"/>
    </row>
    <row r="744" spans="3:49" x14ac:dyDescent="0.3">
      <c r="F744" s="210"/>
      <c r="H744" s="123"/>
      <c r="I744" s="123"/>
      <c r="J744" s="213"/>
      <c r="K744" s="213"/>
      <c r="L744" s="210"/>
      <c r="M744" s="210"/>
      <c r="N744" s="210"/>
      <c r="O744" s="210"/>
      <c r="P744" s="210"/>
      <c r="Q744" s="210"/>
      <c r="R744" s="210"/>
      <c r="AW744" s="135"/>
    </row>
    <row r="745" spans="3:49" x14ac:dyDescent="0.3">
      <c r="C745" s="42"/>
      <c r="F745" s="184"/>
      <c r="H745" s="184"/>
      <c r="I745" s="184"/>
      <c r="J745" s="237"/>
      <c r="K745" s="237"/>
      <c r="L745" s="123"/>
      <c r="M745" s="123"/>
      <c r="N745" s="160"/>
      <c r="O745" s="160"/>
      <c r="P745" s="123"/>
      <c r="Q745" s="123"/>
      <c r="R745" s="123"/>
      <c r="S745" s="123"/>
      <c r="T745" s="42"/>
      <c r="V745" s="123"/>
      <c r="AA745" s="123"/>
      <c r="AB745" s="213"/>
      <c r="AC745" s="123"/>
      <c r="AD745" s="123"/>
      <c r="AE745" s="160"/>
      <c r="AF745" s="160"/>
      <c r="AH745" s="123"/>
      <c r="AI745" s="160"/>
      <c r="AJ745" s="160"/>
      <c r="AL745" s="123"/>
      <c r="AM745" s="123"/>
      <c r="AN745" s="123"/>
      <c r="AO745" s="160"/>
      <c r="AP745" s="160"/>
      <c r="AW745" s="135"/>
    </row>
    <row r="746" spans="3:49" x14ac:dyDescent="0.3">
      <c r="C746" s="42"/>
      <c r="F746" s="184"/>
      <c r="H746" s="184"/>
      <c r="I746" s="184"/>
      <c r="J746" s="193"/>
      <c r="K746" s="193"/>
      <c r="L746" s="123"/>
      <c r="M746" s="123"/>
      <c r="N746" s="160"/>
      <c r="O746" s="160"/>
      <c r="P746" s="123"/>
      <c r="Q746" s="123"/>
      <c r="R746" s="123"/>
      <c r="V746" s="210"/>
      <c r="AA746" s="210"/>
      <c r="AB746" s="213"/>
      <c r="AC746" s="210"/>
      <c r="AD746" s="210"/>
      <c r="AE746" s="210"/>
      <c r="AF746" s="210"/>
      <c r="AG746" s="214"/>
      <c r="AH746" s="210"/>
      <c r="AK746" s="214"/>
      <c r="AL746" s="210"/>
      <c r="AM746" s="210"/>
      <c r="AN746" s="210"/>
      <c r="AO746" s="160"/>
      <c r="AP746" s="160"/>
      <c r="AW746" s="135"/>
    </row>
    <row r="747" spans="3:49" x14ac:dyDescent="0.3">
      <c r="C747" s="42"/>
      <c r="F747" s="184"/>
      <c r="H747" s="184"/>
      <c r="I747" s="184"/>
      <c r="J747" s="193"/>
      <c r="K747" s="193"/>
      <c r="L747" s="123"/>
      <c r="M747" s="123"/>
      <c r="N747" s="160"/>
      <c r="O747" s="160"/>
      <c r="P747" s="123"/>
      <c r="Q747" s="123"/>
      <c r="R747" s="123"/>
      <c r="T747" s="42"/>
      <c r="AW747" s="135"/>
    </row>
    <row r="748" spans="3:49" x14ac:dyDescent="0.3">
      <c r="F748" s="210"/>
      <c r="H748" s="210"/>
      <c r="I748" s="210"/>
      <c r="J748" s="213"/>
      <c r="K748" s="213"/>
      <c r="L748" s="210"/>
      <c r="M748" s="210"/>
      <c r="N748" s="210"/>
      <c r="O748" s="210"/>
      <c r="P748" s="210"/>
      <c r="Q748" s="210"/>
      <c r="R748" s="210"/>
      <c r="T748" s="42"/>
      <c r="V748" s="123"/>
      <c r="AA748" s="123"/>
      <c r="AC748" s="123"/>
      <c r="AD748" s="123"/>
      <c r="AE748" s="160"/>
      <c r="AF748" s="160"/>
      <c r="AH748" s="123"/>
      <c r="AI748" s="160"/>
      <c r="AJ748" s="160"/>
      <c r="AK748" s="233"/>
      <c r="AL748" s="184"/>
      <c r="AM748" s="123"/>
      <c r="AN748" s="123"/>
      <c r="AO748" s="160"/>
      <c r="AP748" s="160"/>
      <c r="AW748" s="135"/>
    </row>
    <row r="749" spans="3:49" x14ac:dyDescent="0.3">
      <c r="C749" s="42"/>
      <c r="F749" s="123"/>
      <c r="H749" s="123"/>
      <c r="I749" s="123"/>
      <c r="J749" s="219"/>
      <c r="K749" s="219"/>
      <c r="L749" s="123"/>
      <c r="M749" s="123"/>
      <c r="N749" s="160"/>
      <c r="O749" s="160"/>
      <c r="P749" s="123"/>
      <c r="Q749" s="123"/>
      <c r="R749" s="123"/>
      <c r="V749" s="210"/>
      <c r="AA749" s="210"/>
      <c r="AB749" s="213"/>
      <c r="AC749" s="210"/>
      <c r="AD749" s="210"/>
      <c r="AE749" s="210"/>
      <c r="AF749" s="210"/>
      <c r="AG749" s="214"/>
      <c r="AH749" s="210"/>
      <c r="AK749" s="214"/>
      <c r="AL749" s="210"/>
      <c r="AM749" s="210"/>
      <c r="AN749" s="210"/>
      <c r="AW749" s="135"/>
    </row>
    <row r="750" spans="3:49" x14ac:dyDescent="0.3">
      <c r="F750" s="210"/>
      <c r="H750" s="210"/>
      <c r="I750" s="210"/>
      <c r="J750" s="213"/>
      <c r="K750" s="213"/>
      <c r="L750" s="210"/>
      <c r="M750" s="210"/>
      <c r="N750" s="210"/>
      <c r="O750" s="210"/>
      <c r="P750" s="210"/>
      <c r="Q750" s="210"/>
      <c r="R750" s="210"/>
      <c r="AW750" s="135"/>
    </row>
    <row r="751" spans="3:49" x14ac:dyDescent="0.3">
      <c r="C751" s="42"/>
      <c r="F751" s="123"/>
      <c r="H751" s="123"/>
      <c r="I751" s="123"/>
      <c r="J751" s="219"/>
      <c r="K751" s="219"/>
      <c r="L751" s="123"/>
      <c r="M751" s="123"/>
      <c r="N751" s="160"/>
      <c r="O751" s="160"/>
      <c r="P751" s="123"/>
      <c r="Q751" s="123"/>
      <c r="R751" s="123"/>
      <c r="T751" s="42"/>
      <c r="AC751" s="123"/>
      <c r="AD751" s="123"/>
      <c r="AE751" s="123"/>
      <c r="AF751" s="123"/>
      <c r="AL751" s="123"/>
      <c r="AM751" s="123"/>
      <c r="AN751" s="123"/>
      <c r="AW751" s="135"/>
    </row>
    <row r="752" spans="3:49" x14ac:dyDescent="0.3">
      <c r="C752" s="42"/>
      <c r="F752" s="123"/>
      <c r="H752" s="184"/>
      <c r="I752" s="184"/>
      <c r="J752" s="227"/>
      <c r="K752" s="227"/>
      <c r="L752" s="123"/>
      <c r="M752" s="123"/>
      <c r="N752" s="160"/>
      <c r="O752" s="160"/>
      <c r="P752" s="123"/>
      <c r="Q752" s="123"/>
      <c r="R752" s="123"/>
      <c r="AW752" s="135"/>
    </row>
    <row r="753" spans="1:77" x14ac:dyDescent="0.3">
      <c r="H753" s="210"/>
      <c r="I753" s="210"/>
      <c r="J753" s="213"/>
      <c r="K753" s="213"/>
      <c r="L753" s="210"/>
      <c r="M753" s="210"/>
      <c r="N753" s="210"/>
      <c r="O753" s="210"/>
      <c r="P753" s="210"/>
      <c r="Q753" s="210"/>
      <c r="R753" s="210"/>
      <c r="AW753" s="135"/>
    </row>
    <row r="754" spans="1:77" x14ac:dyDescent="0.3">
      <c r="F754" s="210"/>
      <c r="AA754" s="42"/>
      <c r="AW754" s="135"/>
    </row>
    <row r="755" spans="1:77" x14ac:dyDescent="0.3">
      <c r="C755" s="42"/>
      <c r="F755" s="123"/>
      <c r="H755" s="123"/>
      <c r="I755" s="123"/>
      <c r="J755" s="213"/>
      <c r="K755" s="213"/>
      <c r="L755" s="123"/>
      <c r="M755" s="123"/>
      <c r="N755" s="160"/>
      <c r="O755" s="160"/>
      <c r="P755" s="123"/>
      <c r="Q755" s="123"/>
      <c r="R755" s="123"/>
      <c r="S755" s="123"/>
      <c r="AW755" s="135"/>
    </row>
    <row r="756" spans="1:77" x14ac:dyDescent="0.3">
      <c r="F756" s="210"/>
      <c r="H756" s="210"/>
      <c r="I756" s="210"/>
      <c r="J756" s="213"/>
      <c r="K756" s="213"/>
      <c r="L756" s="210"/>
      <c r="M756" s="210"/>
      <c r="N756" s="210"/>
      <c r="O756" s="210"/>
      <c r="P756" s="210"/>
      <c r="Q756" s="210"/>
      <c r="R756" s="210"/>
      <c r="S756" s="123"/>
      <c r="AC756" s="42"/>
      <c r="AD756" s="42"/>
      <c r="AW756" s="135"/>
    </row>
    <row r="757" spans="1:77" x14ac:dyDescent="0.3">
      <c r="C757" s="42"/>
      <c r="AM757" s="42"/>
      <c r="AN757" s="42"/>
      <c r="AW757" s="135"/>
    </row>
    <row r="758" spans="1:77" x14ac:dyDescent="0.3">
      <c r="C758" s="42"/>
      <c r="F758" s="123"/>
      <c r="H758" s="123"/>
      <c r="I758" s="123"/>
      <c r="L758" s="123"/>
      <c r="M758" s="123"/>
      <c r="N758" s="160"/>
      <c r="O758" s="160"/>
      <c r="P758" s="184"/>
      <c r="Q758" s="184"/>
      <c r="R758" s="123"/>
      <c r="AM758" s="42"/>
      <c r="AN758" s="42"/>
      <c r="AW758" s="135"/>
    </row>
    <row r="759" spans="1:77" x14ac:dyDescent="0.3">
      <c r="H759" s="210"/>
      <c r="I759" s="210"/>
      <c r="J759" s="213"/>
      <c r="K759" s="213"/>
      <c r="L759" s="210"/>
      <c r="M759" s="210"/>
      <c r="N759" s="210"/>
      <c r="O759" s="210"/>
      <c r="P759" s="210"/>
      <c r="Q759" s="210"/>
      <c r="R759" s="210"/>
      <c r="AM759" s="42"/>
      <c r="AN759" s="42"/>
      <c r="AW759" s="135"/>
    </row>
    <row r="760" spans="1:77" x14ac:dyDescent="0.3">
      <c r="F760" s="210"/>
      <c r="AC760" s="42"/>
      <c r="AD760" s="42"/>
      <c r="AW760" s="135"/>
    </row>
    <row r="761" spans="1:77" x14ac:dyDescent="0.3">
      <c r="C761" s="42"/>
      <c r="L761" s="123"/>
      <c r="M761" s="123"/>
      <c r="N761" s="123"/>
      <c r="O761" s="123"/>
      <c r="P761" s="123"/>
      <c r="Q761" s="123"/>
      <c r="R761" s="123"/>
      <c r="S761" s="123"/>
      <c r="T761" s="135"/>
      <c r="U761" s="135"/>
      <c r="V761" s="135"/>
      <c r="W761" s="135"/>
      <c r="X761" s="135"/>
      <c r="Y761" s="135"/>
      <c r="Z761" s="135"/>
      <c r="AA761" s="135"/>
      <c r="AB761" s="135"/>
      <c r="AC761" s="135"/>
      <c r="AD761" s="135"/>
      <c r="AE761" s="135"/>
      <c r="AF761" s="135"/>
      <c r="AG761" s="207"/>
      <c r="AH761" s="135"/>
      <c r="AI761" s="135"/>
      <c r="AJ761" s="135"/>
      <c r="AK761" s="207"/>
      <c r="AL761" s="135"/>
      <c r="AM761" s="135"/>
      <c r="AN761" s="135"/>
      <c r="AO761" s="135"/>
      <c r="AP761" s="135"/>
      <c r="AW761" s="135"/>
    </row>
    <row r="762" spans="1:77" x14ac:dyDescent="0.3">
      <c r="A762" s="42"/>
      <c r="AC762" s="44"/>
      <c r="AD762" s="44"/>
      <c r="AE762" s="44"/>
      <c r="AF762" s="44"/>
      <c r="AG762" s="168"/>
      <c r="AH762" s="44"/>
      <c r="AI762" s="44"/>
      <c r="AJ762" s="44"/>
      <c r="AM762" s="44"/>
      <c r="AN762" s="44"/>
      <c r="AO762" s="44"/>
      <c r="AP762" s="44"/>
      <c r="AW762" s="135"/>
    </row>
    <row r="763" spans="1:77" s="214" customFormat="1" x14ac:dyDescent="0.3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44"/>
      <c r="AC763" s="44"/>
      <c r="AD763" s="44"/>
      <c r="AE763" s="44"/>
      <c r="AF763" s="44"/>
      <c r="AG763" s="168"/>
      <c r="AH763" s="44"/>
      <c r="AI763" s="44"/>
      <c r="AJ763" s="44"/>
      <c r="AK763" s="165"/>
      <c r="AL763" s="41"/>
      <c r="AM763" s="44"/>
      <c r="AN763" s="44"/>
      <c r="AO763" s="44"/>
      <c r="AP763" s="44"/>
      <c r="AR763" s="41"/>
      <c r="AS763" s="41"/>
      <c r="AT763" s="41"/>
      <c r="AU763" s="41"/>
      <c r="AV763" s="41"/>
      <c r="AW763" s="135"/>
      <c r="AX763" s="41"/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  <c r="BK763" s="41"/>
      <c r="BL763" s="41"/>
      <c r="BM763" s="41"/>
      <c r="BN763" s="41"/>
      <c r="BO763" s="41"/>
      <c r="BP763" s="41"/>
      <c r="BQ763" s="41"/>
      <c r="BR763" s="41"/>
      <c r="BS763" s="41"/>
      <c r="BT763" s="41"/>
      <c r="BU763" s="41"/>
      <c r="BV763" s="41"/>
      <c r="BW763" s="41"/>
      <c r="BX763" s="41"/>
      <c r="BY763" s="41"/>
    </row>
    <row r="764" spans="1:77" s="214" customFormat="1" x14ac:dyDescent="0.3">
      <c r="A764" s="41"/>
      <c r="B764" s="41"/>
      <c r="C764" s="41"/>
      <c r="D764" s="41"/>
      <c r="E764" s="41"/>
      <c r="F764" s="41"/>
      <c r="G764" s="41"/>
      <c r="H764" s="42"/>
      <c r="I764" s="42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4"/>
      <c r="U764" s="44"/>
      <c r="V764" s="44"/>
      <c r="W764" s="41"/>
      <c r="X764" s="41"/>
      <c r="Y764" s="41"/>
      <c r="Z764" s="41"/>
      <c r="AA764" s="41"/>
      <c r="AB764" s="44"/>
      <c r="AC764" s="44"/>
      <c r="AD764" s="44"/>
      <c r="AE764" s="44"/>
      <c r="AF764" s="44"/>
      <c r="AG764" s="168"/>
      <c r="AH764" s="44"/>
      <c r="AI764" s="44"/>
      <c r="AJ764" s="44"/>
      <c r="AK764" s="168"/>
      <c r="AL764" s="44"/>
      <c r="AM764" s="44"/>
      <c r="AN764" s="44"/>
      <c r="AO764" s="44"/>
      <c r="AP764" s="44"/>
      <c r="AR764" s="41"/>
      <c r="AS764" s="41"/>
      <c r="AT764" s="41"/>
      <c r="AU764" s="41"/>
      <c r="AV764" s="41"/>
      <c r="AW764" s="135"/>
      <c r="AX764" s="41"/>
      <c r="AY764" s="41"/>
      <c r="AZ764" s="41"/>
      <c r="BA764" s="41"/>
      <c r="BB764" s="41"/>
      <c r="BC764" s="41"/>
      <c r="BD764" s="41"/>
      <c r="BE764" s="41"/>
      <c r="BF764" s="41"/>
      <c r="BG764" s="41"/>
      <c r="BH764" s="41"/>
      <c r="BI764" s="41"/>
      <c r="BJ764" s="41"/>
      <c r="BK764" s="41"/>
      <c r="BL764" s="41"/>
      <c r="BM764" s="41"/>
      <c r="BN764" s="41"/>
      <c r="BO764" s="41"/>
      <c r="BP764" s="41"/>
      <c r="BQ764" s="41"/>
      <c r="BR764" s="41"/>
      <c r="BS764" s="41"/>
      <c r="BT764" s="41"/>
      <c r="BU764" s="41"/>
      <c r="BV764" s="41"/>
      <c r="BW764" s="41"/>
      <c r="BX764" s="41"/>
      <c r="BY764" s="41"/>
    </row>
    <row r="765" spans="1:77" s="214" customFormat="1" x14ac:dyDescent="0.3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4"/>
      <c r="U765" s="44"/>
      <c r="V765" s="44"/>
      <c r="W765" s="41"/>
      <c r="X765" s="41"/>
      <c r="Y765" s="41"/>
      <c r="Z765" s="41"/>
      <c r="AA765" s="44"/>
      <c r="AB765" s="44"/>
      <c r="AC765" s="44"/>
      <c r="AD765" s="44"/>
      <c r="AE765" s="44"/>
      <c r="AF765" s="44"/>
      <c r="AG765" s="168"/>
      <c r="AH765" s="44"/>
      <c r="AI765" s="44"/>
      <c r="AJ765" s="44"/>
      <c r="AK765" s="168"/>
      <c r="AL765" s="44"/>
      <c r="AM765" s="44"/>
      <c r="AN765" s="44"/>
      <c r="AO765" s="44"/>
      <c r="AP765" s="44"/>
      <c r="AR765" s="41"/>
      <c r="AS765" s="41"/>
      <c r="AT765" s="41"/>
      <c r="AU765" s="41"/>
      <c r="AV765" s="41"/>
      <c r="AW765" s="135"/>
      <c r="AX765" s="41"/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  <c r="BK765" s="41"/>
      <c r="BL765" s="41"/>
      <c r="BM765" s="41"/>
      <c r="BN765" s="41"/>
      <c r="BO765" s="41"/>
      <c r="BP765" s="41"/>
      <c r="BQ765" s="41"/>
      <c r="BR765" s="41"/>
      <c r="BS765" s="41"/>
      <c r="BT765" s="41"/>
      <c r="BU765" s="41"/>
      <c r="BV765" s="41"/>
      <c r="BW765" s="41"/>
      <c r="BX765" s="41"/>
      <c r="BY765" s="41"/>
    </row>
    <row r="766" spans="1:77" s="214" customFormat="1" x14ac:dyDescent="0.3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2"/>
      <c r="M766" s="42"/>
      <c r="N766" s="41"/>
      <c r="O766" s="41"/>
      <c r="P766" s="41"/>
      <c r="Q766" s="41"/>
      <c r="R766" s="41"/>
      <c r="S766" s="41"/>
      <c r="T766" s="44"/>
      <c r="U766" s="44"/>
      <c r="V766" s="44"/>
      <c r="W766" s="41"/>
      <c r="X766" s="41"/>
      <c r="Y766" s="41"/>
      <c r="Z766" s="41"/>
      <c r="AA766" s="44"/>
      <c r="AB766" s="44"/>
      <c r="AC766" s="44"/>
      <c r="AD766" s="44"/>
      <c r="AE766" s="44"/>
      <c r="AF766" s="44"/>
      <c r="AG766" s="168"/>
      <c r="AH766" s="44"/>
      <c r="AI766" s="44"/>
      <c r="AJ766" s="44"/>
      <c r="AK766" s="168"/>
      <c r="AL766" s="44"/>
      <c r="AM766" s="44"/>
      <c r="AN766" s="44"/>
      <c r="AO766" s="44"/>
      <c r="AP766" s="44"/>
      <c r="AR766" s="41"/>
      <c r="AS766" s="41"/>
      <c r="AT766" s="41"/>
      <c r="AU766" s="41"/>
      <c r="AV766" s="41"/>
      <c r="AW766" s="135"/>
      <c r="AX766" s="41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  <c r="BK766" s="41"/>
      <c r="BL766" s="41"/>
      <c r="BM766" s="41"/>
      <c r="BN766" s="41"/>
      <c r="BO766" s="41"/>
      <c r="BP766" s="41"/>
      <c r="BQ766" s="41"/>
      <c r="BR766" s="41"/>
      <c r="BS766" s="41"/>
      <c r="BT766" s="41"/>
      <c r="BU766" s="41"/>
      <c r="BV766" s="41"/>
      <c r="BW766" s="41"/>
      <c r="BX766" s="41"/>
      <c r="BY766" s="41"/>
    </row>
    <row r="767" spans="1:77" s="214" customFormat="1" x14ac:dyDescent="0.3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2"/>
      <c r="S767" s="41"/>
      <c r="T767" s="135"/>
      <c r="U767" s="135"/>
      <c r="V767" s="135"/>
      <c r="W767" s="135"/>
      <c r="X767" s="135"/>
      <c r="Y767" s="135"/>
      <c r="Z767" s="135"/>
      <c r="AA767" s="135"/>
      <c r="AB767" s="135"/>
      <c r="AC767" s="135"/>
      <c r="AD767" s="135"/>
      <c r="AE767" s="135"/>
      <c r="AF767" s="135"/>
      <c r="AG767" s="207"/>
      <c r="AH767" s="135"/>
      <c r="AI767" s="135"/>
      <c r="AJ767" s="135"/>
      <c r="AK767" s="207"/>
      <c r="AL767" s="135"/>
      <c r="AM767" s="135"/>
      <c r="AN767" s="135"/>
      <c r="AO767" s="135"/>
      <c r="AP767" s="135"/>
      <c r="AR767" s="41"/>
      <c r="AS767" s="41"/>
      <c r="AT767" s="41"/>
      <c r="AU767" s="41"/>
      <c r="AV767" s="41"/>
      <c r="AW767" s="135"/>
      <c r="AX767" s="41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BL767" s="41"/>
      <c r="BM767" s="41"/>
      <c r="BN767" s="41"/>
      <c r="BO767" s="41"/>
      <c r="BP767" s="41"/>
      <c r="BQ767" s="41"/>
      <c r="BR767" s="41"/>
      <c r="BS767" s="41"/>
      <c r="BT767" s="41"/>
      <c r="BU767" s="41"/>
      <c r="BV767" s="41"/>
      <c r="BW767" s="41"/>
      <c r="BX767" s="41"/>
      <c r="BY767" s="41"/>
    </row>
    <row r="768" spans="1:77" s="214" customFormat="1" x14ac:dyDescent="0.3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2"/>
      <c r="S768" s="41"/>
      <c r="T768" s="41"/>
      <c r="U768" s="41"/>
      <c r="V768" s="41"/>
      <c r="W768" s="41"/>
      <c r="X768" s="41"/>
      <c r="Y768" s="41"/>
      <c r="Z768" s="41"/>
      <c r="AA768" s="44"/>
      <c r="AB768" s="44"/>
      <c r="AC768" s="44"/>
      <c r="AD768" s="44"/>
      <c r="AE768" s="44"/>
      <c r="AF768" s="44"/>
      <c r="AG768" s="168"/>
      <c r="AH768" s="44"/>
      <c r="AI768" s="44"/>
      <c r="AJ768" s="44"/>
      <c r="AK768" s="168"/>
      <c r="AL768" s="44"/>
      <c r="AM768" s="44"/>
      <c r="AN768" s="44"/>
      <c r="AO768" s="44"/>
      <c r="AP768" s="44"/>
      <c r="AR768" s="41"/>
      <c r="AS768" s="41"/>
      <c r="AT768" s="41"/>
      <c r="AU768" s="41"/>
      <c r="AV768" s="41"/>
      <c r="AW768" s="135"/>
      <c r="AX768" s="41"/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  <c r="BK768" s="41"/>
      <c r="BL768" s="41"/>
      <c r="BM768" s="41"/>
      <c r="BN768" s="41"/>
      <c r="BO768" s="41"/>
      <c r="BP768" s="41"/>
      <c r="BQ768" s="41"/>
      <c r="BR768" s="41"/>
      <c r="BS768" s="41"/>
      <c r="BT768" s="41"/>
      <c r="BU768" s="41"/>
      <c r="BV768" s="41"/>
      <c r="BW768" s="41"/>
      <c r="BX768" s="41"/>
      <c r="BY768" s="41"/>
    </row>
    <row r="769" spans="1:77" s="214" customFormat="1" x14ac:dyDescent="0.3">
      <c r="A769" s="42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2"/>
      <c r="S769" s="41"/>
      <c r="T769" s="42"/>
      <c r="U769" s="42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F769" s="41"/>
      <c r="AG769" s="165"/>
      <c r="AH769" s="41"/>
      <c r="AI769" s="41"/>
      <c r="AJ769" s="41"/>
      <c r="AK769" s="165"/>
      <c r="AL769" s="41"/>
      <c r="AM769" s="41"/>
      <c r="AN769" s="41"/>
      <c r="AO769" s="41"/>
      <c r="AP769" s="41"/>
      <c r="AR769" s="41"/>
      <c r="AS769" s="41"/>
      <c r="AT769" s="41"/>
      <c r="AU769" s="41"/>
      <c r="AV769" s="41"/>
      <c r="AW769" s="135"/>
      <c r="AX769" s="41"/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  <c r="BK769" s="41"/>
      <c r="BL769" s="41"/>
      <c r="BM769" s="41"/>
      <c r="BN769" s="41"/>
      <c r="BO769" s="41"/>
      <c r="BP769" s="41"/>
      <c r="BQ769" s="41"/>
      <c r="BR769" s="41"/>
      <c r="BS769" s="41"/>
      <c r="BT769" s="41"/>
      <c r="BU769" s="41"/>
      <c r="BV769" s="41"/>
      <c r="BW769" s="41"/>
      <c r="BX769" s="41"/>
      <c r="BY769" s="41"/>
    </row>
    <row r="770" spans="1:77" s="214" customFormat="1" x14ac:dyDescent="0.3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2"/>
      <c r="M770" s="42"/>
      <c r="N770" s="41"/>
      <c r="O770" s="41"/>
      <c r="P770" s="41"/>
      <c r="Q770" s="41"/>
      <c r="R770" s="41"/>
      <c r="S770" s="41"/>
      <c r="T770" s="41"/>
      <c r="U770" s="42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F770" s="41"/>
      <c r="AG770" s="165"/>
      <c r="AH770" s="41"/>
      <c r="AI770" s="41"/>
      <c r="AJ770" s="41"/>
      <c r="AK770" s="165"/>
      <c r="AL770" s="41"/>
      <c r="AM770" s="41"/>
      <c r="AN770" s="41"/>
      <c r="AO770" s="41"/>
      <c r="AP770" s="41"/>
      <c r="AR770" s="41"/>
      <c r="AS770" s="41"/>
      <c r="AT770" s="41"/>
      <c r="AU770" s="41"/>
      <c r="AV770" s="41"/>
      <c r="AW770" s="135"/>
      <c r="AX770" s="41"/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  <c r="BK770" s="41"/>
      <c r="BL770" s="41"/>
      <c r="BM770" s="41"/>
      <c r="BN770" s="41"/>
      <c r="BO770" s="41"/>
      <c r="BP770" s="41"/>
      <c r="BQ770" s="41"/>
      <c r="BR770" s="41"/>
      <c r="BS770" s="41"/>
      <c r="BT770" s="41"/>
      <c r="BU770" s="41"/>
      <c r="BV770" s="41"/>
      <c r="BW770" s="41"/>
      <c r="BX770" s="41"/>
      <c r="BY770" s="41"/>
    </row>
    <row r="771" spans="1:77" s="214" customFormat="1" x14ac:dyDescent="0.3">
      <c r="A771" s="135"/>
      <c r="B771" s="135"/>
      <c r="C771" s="135"/>
      <c r="D771" s="135"/>
      <c r="E771" s="135"/>
      <c r="F771" s="135"/>
      <c r="G771" s="135"/>
      <c r="H771" s="135"/>
      <c r="I771" s="135"/>
      <c r="J771" s="135"/>
      <c r="K771" s="135"/>
      <c r="L771" s="135"/>
      <c r="M771" s="135"/>
      <c r="N771" s="135"/>
      <c r="O771" s="135"/>
      <c r="P771" s="135"/>
      <c r="Q771" s="135"/>
      <c r="R771" s="135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165"/>
      <c r="AH771" s="41"/>
      <c r="AI771" s="41"/>
      <c r="AJ771" s="41"/>
      <c r="AK771" s="165"/>
      <c r="AL771" s="41"/>
      <c r="AM771" s="41"/>
      <c r="AN771" s="41"/>
      <c r="AO771" s="41"/>
      <c r="AP771" s="41"/>
      <c r="AR771" s="41"/>
      <c r="AS771" s="41"/>
      <c r="AT771" s="41"/>
      <c r="AU771" s="41"/>
      <c r="AV771" s="41"/>
      <c r="AW771" s="135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  <c r="BY771" s="41"/>
    </row>
    <row r="772" spans="1:77" s="214" customFormat="1" x14ac:dyDescent="0.3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4"/>
      <c r="M772" s="44"/>
      <c r="N772" s="44"/>
      <c r="O772" s="44"/>
      <c r="P772" s="41"/>
      <c r="Q772" s="41"/>
      <c r="R772" s="44"/>
      <c r="S772" s="41"/>
      <c r="T772" s="42"/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F772" s="41"/>
      <c r="AG772" s="165"/>
      <c r="AH772" s="41"/>
      <c r="AI772" s="41"/>
      <c r="AJ772" s="41"/>
      <c r="AK772" s="165"/>
      <c r="AL772" s="41"/>
      <c r="AM772" s="41"/>
      <c r="AN772" s="41"/>
      <c r="AO772" s="41"/>
      <c r="AP772" s="41"/>
      <c r="AR772" s="41"/>
      <c r="AS772" s="41"/>
      <c r="AT772" s="41"/>
      <c r="AU772" s="41"/>
      <c r="AV772" s="41"/>
      <c r="AW772" s="135"/>
      <c r="AX772" s="41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  <c r="BK772" s="41"/>
      <c r="BL772" s="41"/>
      <c r="BM772" s="41"/>
      <c r="BN772" s="41"/>
      <c r="BO772" s="41"/>
      <c r="BP772" s="41"/>
      <c r="BQ772" s="41"/>
      <c r="BR772" s="41"/>
      <c r="BS772" s="41"/>
      <c r="BT772" s="41"/>
      <c r="BU772" s="41"/>
      <c r="BV772" s="41"/>
      <c r="BW772" s="41"/>
      <c r="BX772" s="41"/>
      <c r="BY772" s="41"/>
    </row>
    <row r="773" spans="1:77" s="214" customFormat="1" x14ac:dyDescent="0.3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4"/>
      <c r="M773" s="44"/>
      <c r="N773" s="44"/>
      <c r="O773" s="44"/>
      <c r="P773" s="41"/>
      <c r="Q773" s="41"/>
      <c r="R773" s="44"/>
      <c r="S773" s="41"/>
      <c r="T773" s="42"/>
      <c r="U773" s="41"/>
      <c r="V773" s="184"/>
      <c r="W773" s="123"/>
      <c r="X773" s="123"/>
      <c r="Y773" s="123"/>
      <c r="Z773" s="123"/>
      <c r="AA773" s="184"/>
      <c r="AB773" s="238"/>
      <c r="AC773" s="123"/>
      <c r="AD773" s="123"/>
      <c r="AE773" s="160"/>
      <c r="AF773" s="160"/>
      <c r="AG773" s="165"/>
      <c r="AH773" s="123"/>
      <c r="AI773" s="236"/>
      <c r="AJ773" s="236"/>
      <c r="AK773" s="165"/>
      <c r="AL773" s="123"/>
      <c r="AM773" s="123"/>
      <c r="AN773" s="123"/>
      <c r="AO773" s="160"/>
      <c r="AP773" s="160"/>
      <c r="AR773" s="41"/>
      <c r="AS773" s="41"/>
      <c r="AT773" s="41"/>
      <c r="AU773" s="41"/>
      <c r="AV773" s="41"/>
      <c r="AW773" s="135"/>
      <c r="AX773" s="41"/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  <c r="BK773" s="41"/>
      <c r="BL773" s="41"/>
      <c r="BM773" s="41"/>
      <c r="BN773" s="41"/>
      <c r="BO773" s="41"/>
      <c r="BP773" s="41"/>
      <c r="BQ773" s="41"/>
      <c r="BR773" s="41"/>
      <c r="BS773" s="41"/>
      <c r="BT773" s="41"/>
      <c r="BU773" s="41"/>
      <c r="BV773" s="41"/>
      <c r="BW773" s="41"/>
      <c r="BX773" s="41"/>
      <c r="BY773" s="41"/>
    </row>
    <row r="774" spans="1:77" s="214" customFormat="1" x14ac:dyDescent="0.3">
      <c r="A774" s="44"/>
      <c r="B774" s="41"/>
      <c r="C774" s="44"/>
      <c r="D774" s="44"/>
      <c r="E774" s="44"/>
      <c r="F774" s="44"/>
      <c r="G774" s="41"/>
      <c r="H774" s="41"/>
      <c r="I774" s="41"/>
      <c r="J774" s="44"/>
      <c r="K774" s="44"/>
      <c r="L774" s="44"/>
      <c r="M774" s="44"/>
      <c r="N774" s="44"/>
      <c r="O774" s="44"/>
      <c r="P774" s="44"/>
      <c r="Q774" s="44"/>
      <c r="R774" s="44"/>
      <c r="S774" s="41"/>
      <c r="T774" s="42"/>
      <c r="U774" s="41"/>
      <c r="V774" s="184"/>
      <c r="W774" s="123"/>
      <c r="X774" s="123"/>
      <c r="Y774" s="123"/>
      <c r="Z774" s="123"/>
      <c r="AA774" s="184"/>
      <c r="AB774" s="213"/>
      <c r="AC774" s="123"/>
      <c r="AD774" s="123"/>
      <c r="AE774" s="160"/>
      <c r="AF774" s="160"/>
      <c r="AG774" s="165"/>
      <c r="AH774" s="123"/>
      <c r="AI774" s="236"/>
      <c r="AJ774" s="236"/>
      <c r="AK774" s="165"/>
      <c r="AL774" s="123"/>
      <c r="AM774" s="123"/>
      <c r="AN774" s="123"/>
      <c r="AO774" s="160"/>
      <c r="AP774" s="160"/>
      <c r="AR774" s="41"/>
      <c r="AS774" s="41"/>
      <c r="AT774" s="41"/>
      <c r="AU774" s="41"/>
      <c r="AV774" s="41"/>
      <c r="AW774" s="135"/>
      <c r="AX774" s="41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BL774" s="41"/>
      <c r="BM774" s="41"/>
      <c r="BN774" s="41"/>
      <c r="BO774" s="41"/>
      <c r="BP774" s="41"/>
      <c r="BQ774" s="41"/>
      <c r="BR774" s="41"/>
      <c r="BS774" s="41"/>
      <c r="BT774" s="41"/>
      <c r="BU774" s="41"/>
      <c r="BV774" s="41"/>
      <c r="BW774" s="41"/>
      <c r="BX774" s="41"/>
      <c r="BY774" s="41"/>
    </row>
    <row r="775" spans="1:77" s="214" customFormat="1" x14ac:dyDescent="0.3">
      <c r="A775" s="44"/>
      <c r="B775" s="41"/>
      <c r="C775" s="44"/>
      <c r="D775" s="44"/>
      <c r="E775" s="44"/>
      <c r="F775" s="44"/>
      <c r="G775" s="41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1"/>
      <c r="T775" s="42"/>
      <c r="U775" s="41"/>
      <c r="V775" s="184"/>
      <c r="W775" s="123"/>
      <c r="X775" s="123"/>
      <c r="Y775" s="123"/>
      <c r="Z775" s="123"/>
      <c r="AA775" s="184"/>
      <c r="AB775" s="238"/>
      <c r="AC775" s="123"/>
      <c r="AD775" s="123"/>
      <c r="AE775" s="160"/>
      <c r="AF775" s="160"/>
      <c r="AG775" s="165"/>
      <c r="AH775" s="123"/>
      <c r="AI775" s="236"/>
      <c r="AJ775" s="236"/>
      <c r="AK775" s="165"/>
      <c r="AL775" s="123"/>
      <c r="AM775" s="123"/>
      <c r="AN775" s="123"/>
      <c r="AO775" s="160"/>
      <c r="AP775" s="160"/>
      <c r="AR775" s="41"/>
      <c r="AS775" s="41"/>
      <c r="AT775" s="41"/>
      <c r="AU775" s="41"/>
      <c r="AV775" s="41"/>
      <c r="AW775" s="135"/>
      <c r="AX775" s="41"/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  <c r="BK775" s="41"/>
      <c r="BL775" s="41"/>
      <c r="BM775" s="41"/>
      <c r="BN775" s="41"/>
      <c r="BO775" s="41"/>
      <c r="BP775" s="41"/>
      <c r="BQ775" s="41"/>
      <c r="BR775" s="41"/>
      <c r="BS775" s="41"/>
      <c r="BT775" s="41"/>
      <c r="BU775" s="41"/>
      <c r="BV775" s="41"/>
      <c r="BW775" s="41"/>
      <c r="BX775" s="41"/>
      <c r="BY775" s="41"/>
    </row>
    <row r="776" spans="1:77" s="214" customFormat="1" x14ac:dyDescent="0.3">
      <c r="A776" s="41"/>
      <c r="B776" s="41"/>
      <c r="C776" s="44"/>
      <c r="D776" s="44"/>
      <c r="E776" s="44"/>
      <c r="F776" s="44"/>
      <c r="G776" s="41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1"/>
      <c r="T776" s="42"/>
      <c r="U776" s="41"/>
      <c r="V776" s="184"/>
      <c r="W776" s="123"/>
      <c r="X776" s="123"/>
      <c r="Y776" s="123"/>
      <c r="Z776" s="123"/>
      <c r="AA776" s="184"/>
      <c r="AB776" s="238"/>
      <c r="AC776" s="123"/>
      <c r="AD776" s="123"/>
      <c r="AE776" s="160"/>
      <c r="AF776" s="160"/>
      <c r="AG776" s="165"/>
      <c r="AH776" s="123"/>
      <c r="AI776" s="236"/>
      <c r="AJ776" s="236"/>
      <c r="AK776" s="165"/>
      <c r="AL776" s="123"/>
      <c r="AM776" s="123"/>
      <c r="AN776" s="123"/>
      <c r="AO776" s="160"/>
      <c r="AP776" s="160"/>
      <c r="AR776" s="41"/>
      <c r="AS776" s="41"/>
      <c r="AT776" s="41"/>
      <c r="AU776" s="41"/>
      <c r="AV776" s="41"/>
      <c r="AW776" s="135"/>
      <c r="AX776" s="41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BL776" s="41"/>
      <c r="BM776" s="41"/>
      <c r="BN776" s="41"/>
      <c r="BO776" s="41"/>
      <c r="BP776" s="41"/>
      <c r="BQ776" s="41"/>
      <c r="BR776" s="41"/>
      <c r="BS776" s="41"/>
      <c r="BT776" s="41"/>
      <c r="BU776" s="41"/>
      <c r="BV776" s="41"/>
      <c r="BW776" s="41"/>
      <c r="BX776" s="41"/>
      <c r="BY776" s="41"/>
    </row>
    <row r="777" spans="1:77" s="214" customFormat="1" x14ac:dyDescent="0.3">
      <c r="A777" s="135"/>
      <c r="B777" s="135"/>
      <c r="C777" s="135"/>
      <c r="D777" s="135"/>
      <c r="E777" s="135"/>
      <c r="F777" s="135"/>
      <c r="G777" s="135"/>
      <c r="H777" s="135"/>
      <c r="I777" s="135"/>
      <c r="J777" s="135"/>
      <c r="K777" s="135"/>
      <c r="L777" s="135"/>
      <c r="M777" s="135"/>
      <c r="N777" s="135"/>
      <c r="O777" s="135"/>
      <c r="P777" s="135"/>
      <c r="Q777" s="135"/>
      <c r="R777" s="135"/>
      <c r="S777" s="41"/>
      <c r="T777" s="42"/>
      <c r="U777" s="41"/>
      <c r="V777" s="184"/>
      <c r="W777" s="123"/>
      <c r="X777" s="123"/>
      <c r="Y777" s="123"/>
      <c r="Z777" s="123"/>
      <c r="AA777" s="184"/>
      <c r="AB777" s="238"/>
      <c r="AC777" s="123"/>
      <c r="AD777" s="123"/>
      <c r="AE777" s="160"/>
      <c r="AF777" s="160"/>
      <c r="AG777" s="165"/>
      <c r="AH777" s="123"/>
      <c r="AI777" s="236"/>
      <c r="AJ777" s="236"/>
      <c r="AK777" s="165"/>
      <c r="AL777" s="123"/>
      <c r="AM777" s="123"/>
      <c r="AN777" s="123"/>
      <c r="AO777" s="160"/>
      <c r="AP777" s="160"/>
      <c r="AR777" s="41"/>
      <c r="AS777" s="41"/>
      <c r="AT777" s="41"/>
      <c r="AU777" s="41"/>
      <c r="AV777" s="41"/>
      <c r="AW777" s="135"/>
      <c r="AX777" s="41"/>
      <c r="AY777" s="41"/>
      <c r="AZ777" s="41"/>
      <c r="BA777" s="41"/>
      <c r="BB777" s="41"/>
      <c r="BC777" s="41"/>
      <c r="BD777" s="41"/>
      <c r="BE777" s="41"/>
      <c r="BF777" s="41"/>
      <c r="BG777" s="41"/>
      <c r="BH777" s="41"/>
      <c r="BI777" s="41"/>
      <c r="BJ777" s="41"/>
      <c r="BK777" s="41"/>
      <c r="BL777" s="41"/>
      <c r="BM777" s="41"/>
      <c r="BN777" s="41"/>
      <c r="BO777" s="41"/>
      <c r="BP777" s="41"/>
      <c r="BQ777" s="41"/>
      <c r="BR777" s="41"/>
      <c r="BS777" s="41"/>
      <c r="BT777" s="41"/>
      <c r="BU777" s="41"/>
      <c r="BV777" s="41"/>
      <c r="BW777" s="41"/>
      <c r="BX777" s="41"/>
      <c r="BY777" s="41"/>
    </row>
    <row r="778" spans="1:77" s="214" customFormat="1" x14ac:dyDescent="0.3">
      <c r="A778" s="41"/>
      <c r="B778" s="41"/>
      <c r="C778" s="41"/>
      <c r="D778" s="41"/>
      <c r="E778" s="41"/>
      <c r="F778" s="41"/>
      <c r="G778" s="41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1"/>
      <c r="T778" s="42"/>
      <c r="U778" s="41"/>
      <c r="V778" s="184"/>
      <c r="W778" s="123"/>
      <c r="X778" s="123"/>
      <c r="Y778" s="123"/>
      <c r="Z778" s="123"/>
      <c r="AA778" s="184"/>
      <c r="AB778" s="238"/>
      <c r="AC778" s="123"/>
      <c r="AD778" s="123"/>
      <c r="AE778" s="160"/>
      <c r="AF778" s="160"/>
      <c r="AG778" s="165"/>
      <c r="AH778" s="123"/>
      <c r="AI778" s="236"/>
      <c r="AJ778" s="236"/>
      <c r="AK778" s="165"/>
      <c r="AL778" s="123"/>
      <c r="AM778" s="123"/>
      <c r="AN778" s="123"/>
      <c r="AO778" s="160"/>
      <c r="AP778" s="160"/>
      <c r="AR778" s="41"/>
      <c r="AS778" s="41"/>
      <c r="AT778" s="41"/>
      <c r="AU778" s="41"/>
      <c r="AV778" s="41"/>
      <c r="AW778" s="135"/>
      <c r="AX778" s="41"/>
      <c r="AY778" s="41"/>
      <c r="AZ778" s="41"/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  <c r="BK778" s="41"/>
      <c r="BL778" s="41"/>
      <c r="BM778" s="41"/>
      <c r="BN778" s="41"/>
      <c r="BO778" s="41"/>
      <c r="BP778" s="41"/>
      <c r="BQ778" s="41"/>
      <c r="BR778" s="41"/>
      <c r="BS778" s="41"/>
      <c r="BT778" s="41"/>
      <c r="BU778" s="41"/>
      <c r="BV778" s="41"/>
      <c r="BW778" s="41"/>
      <c r="BX778" s="41"/>
      <c r="BY778" s="41"/>
    </row>
    <row r="779" spans="1:77" s="214" customFormat="1" x14ac:dyDescent="0.3">
      <c r="A779" s="41"/>
      <c r="B779" s="41"/>
      <c r="C779" s="42"/>
      <c r="D779" s="42"/>
      <c r="E779" s="42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2"/>
      <c r="U779" s="41"/>
      <c r="V779" s="184"/>
      <c r="W779" s="123"/>
      <c r="X779" s="123"/>
      <c r="Y779" s="123"/>
      <c r="Z779" s="123"/>
      <c r="AA779" s="184"/>
      <c r="AB779" s="238"/>
      <c r="AC779" s="123"/>
      <c r="AD779" s="123"/>
      <c r="AE779" s="160"/>
      <c r="AF779" s="160"/>
      <c r="AG779" s="165"/>
      <c r="AH779" s="123"/>
      <c r="AI779" s="236"/>
      <c r="AJ779" s="236"/>
      <c r="AK779" s="165"/>
      <c r="AL779" s="123"/>
      <c r="AM779" s="123"/>
      <c r="AN779" s="123"/>
      <c r="AO779" s="160"/>
      <c r="AP779" s="160"/>
      <c r="AR779" s="41"/>
      <c r="AS779" s="41"/>
      <c r="AT779" s="41"/>
      <c r="AU779" s="41"/>
      <c r="AV779" s="41"/>
      <c r="AW779" s="135"/>
      <c r="AX779" s="41"/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  <c r="BK779" s="41"/>
      <c r="BL779" s="41"/>
      <c r="BM779" s="41"/>
      <c r="BN779" s="41"/>
      <c r="BO779" s="41"/>
      <c r="BP779" s="41"/>
      <c r="BQ779" s="41"/>
      <c r="BR779" s="41"/>
      <c r="BS779" s="41"/>
      <c r="BT779" s="41"/>
      <c r="BU779" s="41"/>
      <c r="BV779" s="41"/>
      <c r="BW779" s="41"/>
      <c r="BX779" s="41"/>
      <c r="BY779" s="41"/>
    </row>
    <row r="780" spans="1:77" s="214" customFormat="1" x14ac:dyDescent="0.3">
      <c r="A780" s="41"/>
      <c r="B780" s="41"/>
      <c r="C780" s="41"/>
      <c r="D780" s="42"/>
      <c r="E780" s="42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241"/>
      <c r="W780" s="123"/>
      <c r="X780" s="123"/>
      <c r="Y780" s="123"/>
      <c r="Z780" s="123"/>
      <c r="AA780" s="241"/>
      <c r="AB780" s="238"/>
      <c r="AC780" s="241"/>
      <c r="AD780" s="241"/>
      <c r="AE780" s="243"/>
      <c r="AF780" s="243"/>
      <c r="AG780" s="207"/>
      <c r="AH780" s="241"/>
      <c r="AI780" s="236"/>
      <c r="AJ780" s="236"/>
      <c r="AK780" s="207"/>
      <c r="AL780" s="241"/>
      <c r="AM780" s="241"/>
      <c r="AN780" s="241"/>
      <c r="AO780" s="160"/>
      <c r="AP780" s="160"/>
      <c r="AR780" s="41"/>
      <c r="AS780" s="41"/>
      <c r="AT780" s="41"/>
      <c r="AU780" s="41"/>
      <c r="AV780" s="41"/>
      <c r="AW780" s="135"/>
      <c r="AX780" s="41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  <c r="BK780" s="41"/>
      <c r="BL780" s="41"/>
      <c r="BM780" s="41"/>
      <c r="BN780" s="41"/>
      <c r="BO780" s="41"/>
      <c r="BP780" s="41"/>
      <c r="BQ780" s="41"/>
      <c r="BR780" s="41"/>
      <c r="BS780" s="41"/>
      <c r="BT780" s="41"/>
      <c r="BU780" s="41"/>
      <c r="BV780" s="41"/>
      <c r="BW780" s="41"/>
      <c r="BX780" s="41"/>
      <c r="BY780" s="41"/>
    </row>
    <row r="781" spans="1:77" x14ac:dyDescent="0.3">
      <c r="T781" s="44"/>
      <c r="V781" s="123"/>
      <c r="W781" s="123"/>
      <c r="X781" s="123"/>
      <c r="Y781" s="123"/>
      <c r="Z781" s="123"/>
      <c r="AA781" s="123"/>
      <c r="AB781" s="238"/>
      <c r="AC781" s="123"/>
      <c r="AD781" s="123"/>
      <c r="AE781" s="236"/>
      <c r="AF781" s="236"/>
      <c r="AH781" s="123"/>
      <c r="AI781" s="236"/>
      <c r="AJ781" s="236"/>
      <c r="AL781" s="123"/>
      <c r="AM781" s="123"/>
      <c r="AN781" s="123"/>
      <c r="AO781" s="160"/>
      <c r="AP781" s="160"/>
      <c r="AW781" s="135"/>
    </row>
    <row r="782" spans="1:77" s="214" customFormat="1" x14ac:dyDescent="0.3">
      <c r="A782" s="41"/>
      <c r="B782" s="41"/>
      <c r="C782" s="42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241"/>
      <c r="W782" s="41"/>
      <c r="X782" s="41"/>
      <c r="Y782" s="41"/>
      <c r="Z782" s="41"/>
      <c r="AA782" s="241"/>
      <c r="AB782" s="213"/>
      <c r="AC782" s="241"/>
      <c r="AD782" s="241"/>
      <c r="AE782" s="241"/>
      <c r="AF782" s="241"/>
      <c r="AG782" s="207"/>
      <c r="AH782" s="241"/>
      <c r="AI782" s="41"/>
      <c r="AJ782" s="41"/>
      <c r="AK782" s="207"/>
      <c r="AL782" s="241"/>
      <c r="AM782" s="241"/>
      <c r="AN782" s="241"/>
      <c r="AO782" s="243"/>
      <c r="AP782" s="243"/>
      <c r="AR782" s="41"/>
      <c r="AS782" s="41"/>
      <c r="AT782" s="41"/>
      <c r="AU782" s="41"/>
      <c r="AV782" s="41"/>
      <c r="AW782" s="135"/>
      <c r="AX782" s="41"/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  <c r="BK782" s="41"/>
      <c r="BL782" s="41"/>
      <c r="BM782" s="41"/>
      <c r="BN782" s="41"/>
      <c r="BO782" s="41"/>
      <c r="BP782" s="41"/>
      <c r="BQ782" s="41"/>
      <c r="BR782" s="41"/>
      <c r="BS782" s="41"/>
      <c r="BT782" s="41"/>
      <c r="BU782" s="41"/>
      <c r="BV782" s="41"/>
      <c r="BW782" s="41"/>
      <c r="BX782" s="41"/>
      <c r="BY782" s="41"/>
    </row>
    <row r="783" spans="1:77" s="214" customFormat="1" x14ac:dyDescent="0.3">
      <c r="A783" s="41"/>
      <c r="B783" s="41"/>
      <c r="C783" s="42"/>
      <c r="D783" s="41"/>
      <c r="E783" s="41"/>
      <c r="F783" s="184"/>
      <c r="G783" s="41"/>
      <c r="H783" s="184"/>
      <c r="I783" s="184"/>
      <c r="J783" s="238"/>
      <c r="K783" s="238"/>
      <c r="L783" s="123"/>
      <c r="M783" s="123"/>
      <c r="N783" s="160"/>
      <c r="O783" s="160"/>
      <c r="P783" s="123"/>
      <c r="Q783" s="123"/>
      <c r="R783" s="123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165"/>
      <c r="AH783" s="41"/>
      <c r="AI783" s="41"/>
      <c r="AJ783" s="41"/>
      <c r="AK783" s="165"/>
      <c r="AL783" s="41"/>
      <c r="AM783" s="41"/>
      <c r="AN783" s="41"/>
      <c r="AO783" s="41"/>
      <c r="AP783" s="41"/>
      <c r="AR783" s="41"/>
      <c r="AS783" s="41"/>
      <c r="AT783" s="41"/>
      <c r="AU783" s="41"/>
      <c r="AV783" s="41"/>
      <c r="AW783" s="135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</row>
    <row r="784" spans="1:77" s="214" customFormat="1" x14ac:dyDescent="0.3">
      <c r="A784" s="41"/>
      <c r="B784" s="41"/>
      <c r="C784" s="42"/>
      <c r="D784" s="41"/>
      <c r="E784" s="41"/>
      <c r="F784" s="123"/>
      <c r="G784" s="41"/>
      <c r="H784" s="123"/>
      <c r="I784" s="123"/>
      <c r="J784" s="213"/>
      <c r="K784" s="213"/>
      <c r="L784" s="123"/>
      <c r="M784" s="123"/>
      <c r="N784" s="160"/>
      <c r="O784" s="160"/>
      <c r="P784" s="123"/>
      <c r="Q784" s="123"/>
      <c r="R784" s="123"/>
      <c r="S784" s="41"/>
      <c r="T784" s="41"/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F784" s="41"/>
      <c r="AG784" s="165"/>
      <c r="AH784" s="41"/>
      <c r="AI784" s="41"/>
      <c r="AJ784" s="41"/>
      <c r="AK784" s="165"/>
      <c r="AL784" s="41"/>
      <c r="AM784" s="41"/>
      <c r="AN784" s="41"/>
      <c r="AO784" s="41"/>
      <c r="AP784" s="41"/>
      <c r="AR784" s="41"/>
      <c r="AS784" s="41"/>
      <c r="AT784" s="41"/>
      <c r="AU784" s="41"/>
      <c r="AV784" s="41"/>
      <c r="AW784" s="135"/>
      <c r="AX784" s="41"/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  <c r="BK784" s="41"/>
      <c r="BL784" s="41"/>
      <c r="BM784" s="41"/>
      <c r="BN784" s="41"/>
      <c r="BO784" s="41"/>
      <c r="BP784" s="41"/>
      <c r="BQ784" s="41"/>
      <c r="BR784" s="41"/>
      <c r="BS784" s="41"/>
      <c r="BT784" s="41"/>
      <c r="BU784" s="41"/>
      <c r="BV784" s="41"/>
      <c r="BW784" s="41"/>
      <c r="BX784" s="41"/>
      <c r="BY784" s="41"/>
    </row>
    <row r="785" spans="1:77" s="214" customFormat="1" x14ac:dyDescent="0.3">
      <c r="A785" s="41"/>
      <c r="B785" s="41"/>
      <c r="C785" s="42"/>
      <c r="D785" s="41"/>
      <c r="E785" s="41"/>
      <c r="F785" s="184"/>
      <c r="G785" s="41"/>
      <c r="H785" s="184"/>
      <c r="I785" s="184"/>
      <c r="J785" s="238"/>
      <c r="K785" s="238"/>
      <c r="L785" s="123"/>
      <c r="M785" s="123"/>
      <c r="N785" s="160"/>
      <c r="O785" s="160"/>
      <c r="P785" s="123"/>
      <c r="Q785" s="123"/>
      <c r="R785" s="123"/>
      <c r="S785" s="41"/>
      <c r="T785" s="41"/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F785" s="41"/>
      <c r="AG785" s="165"/>
      <c r="AH785" s="41"/>
      <c r="AI785" s="41"/>
      <c r="AJ785" s="41"/>
      <c r="AK785" s="165"/>
      <c r="AL785" s="41"/>
      <c r="AM785" s="41"/>
      <c r="AN785" s="41"/>
      <c r="AO785" s="41"/>
      <c r="AP785" s="41"/>
      <c r="AR785" s="41"/>
      <c r="AS785" s="41"/>
      <c r="AT785" s="41"/>
      <c r="AU785" s="41"/>
      <c r="AV785" s="41"/>
      <c r="AW785" s="135"/>
      <c r="AX785" s="41"/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  <c r="BK785" s="41"/>
      <c r="BL785" s="41"/>
      <c r="BM785" s="41"/>
      <c r="BN785" s="41"/>
      <c r="BO785" s="41"/>
      <c r="BP785" s="41"/>
      <c r="BQ785" s="41"/>
      <c r="BR785" s="41"/>
      <c r="BS785" s="41"/>
      <c r="BT785" s="41"/>
      <c r="BU785" s="41"/>
      <c r="BV785" s="41"/>
      <c r="BW785" s="41"/>
      <c r="BX785" s="41"/>
      <c r="BY785" s="41"/>
    </row>
    <row r="786" spans="1:77" s="214" customFormat="1" x14ac:dyDescent="0.3">
      <c r="A786" s="41"/>
      <c r="B786" s="41"/>
      <c r="C786" s="42"/>
      <c r="D786" s="41"/>
      <c r="E786" s="41"/>
      <c r="F786" s="184"/>
      <c r="G786" s="41"/>
      <c r="H786" s="184"/>
      <c r="I786" s="184"/>
      <c r="J786" s="238"/>
      <c r="K786" s="238"/>
      <c r="L786" s="123"/>
      <c r="M786" s="123"/>
      <c r="N786" s="160"/>
      <c r="O786" s="160"/>
      <c r="P786" s="123"/>
      <c r="Q786" s="123"/>
      <c r="R786" s="123"/>
      <c r="S786" s="41"/>
      <c r="T786" s="41"/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F786" s="41"/>
      <c r="AG786" s="165"/>
      <c r="AH786" s="41"/>
      <c r="AI786" s="41"/>
      <c r="AJ786" s="41"/>
      <c r="AK786" s="165"/>
      <c r="AL786" s="41"/>
      <c r="AM786" s="41"/>
      <c r="AN786" s="41"/>
      <c r="AO786" s="41"/>
      <c r="AP786" s="41"/>
      <c r="AR786" s="41"/>
      <c r="AS786" s="41"/>
      <c r="AT786" s="41"/>
      <c r="AU786" s="41"/>
      <c r="AV786" s="41"/>
      <c r="AW786" s="135"/>
      <c r="AX786" s="41"/>
      <c r="AY786" s="41"/>
      <c r="AZ786" s="41"/>
      <c r="BA786" s="41"/>
      <c r="BB786" s="41"/>
      <c r="BC786" s="41"/>
      <c r="BD786" s="41"/>
      <c r="BE786" s="41"/>
      <c r="BF786" s="41"/>
      <c r="BG786" s="41"/>
      <c r="BH786" s="41"/>
      <c r="BI786" s="41"/>
      <c r="BJ786" s="41"/>
      <c r="BK786" s="41"/>
      <c r="BL786" s="41"/>
      <c r="BM786" s="41"/>
      <c r="BN786" s="41"/>
      <c r="BO786" s="41"/>
      <c r="BP786" s="41"/>
      <c r="BQ786" s="41"/>
      <c r="BR786" s="41"/>
      <c r="BS786" s="41"/>
      <c r="BT786" s="41"/>
      <c r="BU786" s="41"/>
      <c r="BV786" s="41"/>
      <c r="BW786" s="41"/>
      <c r="BX786" s="41"/>
      <c r="BY786" s="41"/>
    </row>
    <row r="787" spans="1:77" s="214" customFormat="1" x14ac:dyDescent="0.3">
      <c r="A787" s="41"/>
      <c r="B787" s="41"/>
      <c r="C787" s="42"/>
      <c r="D787" s="41"/>
      <c r="E787" s="41"/>
      <c r="F787" s="184"/>
      <c r="G787" s="41"/>
      <c r="H787" s="184"/>
      <c r="I787" s="184"/>
      <c r="J787" s="238"/>
      <c r="K787" s="238"/>
      <c r="L787" s="123"/>
      <c r="M787" s="123"/>
      <c r="N787" s="160"/>
      <c r="O787" s="160"/>
      <c r="P787" s="123"/>
      <c r="Q787" s="123"/>
      <c r="R787" s="123"/>
      <c r="S787" s="41"/>
      <c r="T787" s="41"/>
      <c r="U787" s="41"/>
      <c r="V787" s="123"/>
      <c r="W787" s="41"/>
      <c r="X787" s="41"/>
      <c r="Y787" s="41"/>
      <c r="Z787" s="41"/>
      <c r="AA787" s="123"/>
      <c r="AB787" s="219"/>
      <c r="AC787" s="123"/>
      <c r="AD787" s="123"/>
      <c r="AE787" s="160"/>
      <c r="AF787" s="160"/>
      <c r="AG787" s="165"/>
      <c r="AH787" s="123"/>
      <c r="AI787" s="236"/>
      <c r="AJ787" s="236"/>
      <c r="AK787" s="165"/>
      <c r="AL787" s="123"/>
      <c r="AM787" s="123"/>
      <c r="AN787" s="123"/>
      <c r="AO787" s="160"/>
      <c r="AP787" s="160"/>
      <c r="AR787" s="41"/>
      <c r="AS787" s="41"/>
      <c r="AT787" s="41"/>
      <c r="AU787" s="41"/>
      <c r="AV787" s="41"/>
      <c r="AW787" s="135"/>
      <c r="AX787" s="41"/>
      <c r="AY787" s="41"/>
      <c r="AZ787" s="41"/>
      <c r="BA787" s="41"/>
      <c r="BB787" s="41"/>
      <c r="BC787" s="41"/>
      <c r="BD787" s="41"/>
      <c r="BE787" s="41"/>
      <c r="BF787" s="41"/>
      <c r="BG787" s="41"/>
      <c r="BH787" s="41"/>
      <c r="BI787" s="41"/>
      <c r="BJ787" s="41"/>
      <c r="BK787" s="41"/>
      <c r="BL787" s="41"/>
      <c r="BM787" s="41"/>
      <c r="BN787" s="41"/>
      <c r="BO787" s="41"/>
      <c r="BP787" s="41"/>
      <c r="BQ787" s="41"/>
      <c r="BR787" s="41"/>
      <c r="BS787" s="41"/>
      <c r="BT787" s="41"/>
      <c r="BU787" s="41"/>
      <c r="BV787" s="41"/>
      <c r="BW787" s="41"/>
      <c r="BX787" s="41"/>
      <c r="BY787" s="41"/>
    </row>
    <row r="788" spans="1:77" s="214" customFormat="1" x14ac:dyDescent="0.3">
      <c r="A788" s="41"/>
      <c r="B788" s="41"/>
      <c r="C788" s="42"/>
      <c r="D788" s="41"/>
      <c r="E788" s="41"/>
      <c r="F788" s="123"/>
      <c r="G788" s="41"/>
      <c r="H788" s="123"/>
      <c r="I788" s="123"/>
      <c r="J788" s="238"/>
      <c r="K788" s="238"/>
      <c r="L788" s="123"/>
      <c r="M788" s="123"/>
      <c r="N788" s="160"/>
      <c r="O788" s="160"/>
      <c r="P788" s="123"/>
      <c r="Q788" s="123"/>
      <c r="R788" s="123"/>
      <c r="S788" s="41"/>
      <c r="T788" s="42"/>
      <c r="U788" s="42"/>
      <c r="V788" s="41"/>
      <c r="W788" s="41"/>
      <c r="X788" s="41"/>
      <c r="Y788" s="41"/>
      <c r="Z788" s="41"/>
      <c r="AA788" s="41"/>
      <c r="AB788" s="188"/>
      <c r="AC788" s="41"/>
      <c r="AD788" s="41"/>
      <c r="AE788" s="41"/>
      <c r="AF788" s="41"/>
      <c r="AG788" s="165"/>
      <c r="AH788" s="123"/>
      <c r="AI788" s="41"/>
      <c r="AJ788" s="41"/>
      <c r="AK788" s="165"/>
      <c r="AL788" s="123"/>
      <c r="AM788" s="123"/>
      <c r="AN788" s="123"/>
      <c r="AO788" s="160"/>
      <c r="AP788" s="160"/>
      <c r="AR788" s="41"/>
      <c r="AS788" s="41"/>
      <c r="AT788" s="41"/>
      <c r="AU788" s="41"/>
      <c r="AV788" s="41"/>
      <c r="AW788" s="135"/>
      <c r="AX788" s="41"/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  <c r="BK788" s="41"/>
      <c r="BL788" s="41"/>
      <c r="BM788" s="41"/>
      <c r="BN788" s="41"/>
      <c r="BO788" s="41"/>
      <c r="BP788" s="41"/>
      <c r="BQ788" s="41"/>
      <c r="BR788" s="41"/>
      <c r="BS788" s="41"/>
      <c r="BT788" s="41"/>
      <c r="BU788" s="41"/>
      <c r="BV788" s="41"/>
      <c r="BW788" s="41"/>
      <c r="BX788" s="41"/>
      <c r="BY788" s="41"/>
    </row>
    <row r="789" spans="1:77" s="214" customFormat="1" x14ac:dyDescent="0.3">
      <c r="A789" s="41"/>
      <c r="B789" s="41"/>
      <c r="C789" s="42"/>
      <c r="D789" s="41"/>
      <c r="E789" s="41"/>
      <c r="F789" s="123"/>
      <c r="G789" s="41"/>
      <c r="H789" s="123"/>
      <c r="I789" s="123"/>
      <c r="J789" s="238"/>
      <c r="K789" s="238"/>
      <c r="L789" s="123"/>
      <c r="M789" s="123"/>
      <c r="N789" s="160"/>
      <c r="O789" s="160"/>
      <c r="P789" s="123"/>
      <c r="Q789" s="123"/>
      <c r="R789" s="123"/>
      <c r="S789" s="41"/>
      <c r="T789" s="41"/>
      <c r="U789" s="42"/>
      <c r="V789" s="123"/>
      <c r="W789" s="41"/>
      <c r="X789" s="41"/>
      <c r="Y789" s="41"/>
      <c r="Z789" s="41"/>
      <c r="AA789" s="123"/>
      <c r="AB789" s="238"/>
      <c r="AC789" s="123"/>
      <c r="AD789" s="123"/>
      <c r="AE789" s="160"/>
      <c r="AF789" s="160"/>
      <c r="AG789" s="165"/>
      <c r="AH789" s="123"/>
      <c r="AI789" s="236"/>
      <c r="AJ789" s="236"/>
      <c r="AK789" s="165"/>
      <c r="AL789" s="123"/>
      <c r="AM789" s="123"/>
      <c r="AN789" s="123"/>
      <c r="AO789" s="160"/>
      <c r="AP789" s="160"/>
      <c r="AR789" s="41"/>
      <c r="AS789" s="41"/>
      <c r="AT789" s="41"/>
      <c r="AU789" s="41"/>
      <c r="AV789" s="41"/>
      <c r="AW789" s="135"/>
      <c r="AX789" s="41"/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  <c r="BK789" s="41"/>
      <c r="BL789" s="41"/>
      <c r="BM789" s="41"/>
      <c r="BN789" s="41"/>
      <c r="BO789" s="41"/>
      <c r="BP789" s="41"/>
      <c r="BQ789" s="41"/>
      <c r="BR789" s="41"/>
      <c r="BS789" s="41"/>
      <c r="BT789" s="41"/>
      <c r="BU789" s="41"/>
      <c r="BV789" s="41"/>
      <c r="BW789" s="41"/>
      <c r="BX789" s="41"/>
      <c r="BY789" s="41"/>
    </row>
    <row r="790" spans="1:77" s="214" customFormat="1" x14ac:dyDescent="0.3">
      <c r="A790" s="41"/>
      <c r="B790" s="41"/>
      <c r="C790" s="41"/>
      <c r="D790" s="41"/>
      <c r="E790" s="41"/>
      <c r="F790" s="241"/>
      <c r="G790" s="41"/>
      <c r="H790" s="242"/>
      <c r="I790" s="242"/>
      <c r="J790" s="238"/>
      <c r="K790" s="238"/>
      <c r="L790" s="241"/>
      <c r="M790" s="241"/>
      <c r="N790" s="210"/>
      <c r="O790" s="210"/>
      <c r="P790" s="241"/>
      <c r="Q790" s="241"/>
      <c r="R790" s="241"/>
      <c r="S790" s="41"/>
      <c r="T790" s="41"/>
      <c r="U790" s="41"/>
      <c r="V790" s="123"/>
      <c r="W790" s="41"/>
      <c r="X790" s="41"/>
      <c r="Y790" s="41"/>
      <c r="Z790" s="41"/>
      <c r="AA790" s="123"/>
      <c r="AB790" s="213"/>
      <c r="AC790" s="123"/>
      <c r="AD790" s="123"/>
      <c r="AE790" s="123"/>
      <c r="AF790" s="123"/>
      <c r="AG790" s="165"/>
      <c r="AH790" s="123"/>
      <c r="AI790" s="236"/>
      <c r="AJ790" s="236"/>
      <c r="AK790" s="233"/>
      <c r="AL790" s="184"/>
      <c r="AM790" s="123"/>
      <c r="AN790" s="123"/>
      <c r="AO790" s="160"/>
      <c r="AP790" s="160"/>
      <c r="AR790" s="41"/>
      <c r="AS790" s="41"/>
      <c r="AT790" s="41"/>
      <c r="AU790" s="41"/>
      <c r="AV790" s="41"/>
      <c r="AW790" s="135"/>
      <c r="AX790" s="41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BL790" s="41"/>
      <c r="BM790" s="41"/>
      <c r="BN790" s="41"/>
      <c r="BO790" s="41"/>
      <c r="BP790" s="41"/>
      <c r="BQ790" s="41"/>
      <c r="BR790" s="41"/>
      <c r="BS790" s="41"/>
      <c r="BT790" s="41"/>
      <c r="BU790" s="41"/>
      <c r="BV790" s="41"/>
      <c r="BW790" s="41"/>
      <c r="BX790" s="41"/>
      <c r="BY790" s="41"/>
    </row>
    <row r="791" spans="1:77" s="214" customFormat="1" x14ac:dyDescent="0.3">
      <c r="A791" s="41"/>
      <c r="B791" s="41"/>
      <c r="C791" s="42"/>
      <c r="D791" s="41"/>
      <c r="E791" s="41"/>
      <c r="F791" s="123"/>
      <c r="G791" s="41"/>
      <c r="H791" s="123"/>
      <c r="I791" s="123"/>
      <c r="J791" s="238"/>
      <c r="K791" s="238"/>
      <c r="L791" s="123"/>
      <c r="M791" s="123"/>
      <c r="N791" s="236"/>
      <c r="O791" s="236"/>
      <c r="P791" s="123"/>
      <c r="Q791" s="123"/>
      <c r="R791" s="123"/>
      <c r="S791" s="41"/>
      <c r="T791" s="42"/>
      <c r="U791" s="41"/>
      <c r="V791" s="184"/>
      <c r="W791" s="41"/>
      <c r="X791" s="41"/>
      <c r="Y791" s="41"/>
      <c r="Z791" s="41"/>
      <c r="AA791" s="184"/>
      <c r="AB791" s="212"/>
      <c r="AC791" s="123"/>
      <c r="AD791" s="123"/>
      <c r="AE791" s="160"/>
      <c r="AF791" s="160"/>
      <c r="AG791" s="165"/>
      <c r="AH791" s="123"/>
      <c r="AI791" s="236"/>
      <c r="AJ791" s="236"/>
      <c r="AK791" s="165"/>
      <c r="AL791" s="123"/>
      <c r="AM791" s="123"/>
      <c r="AN791" s="123"/>
      <c r="AO791" s="160"/>
      <c r="AP791" s="160"/>
      <c r="AR791" s="41"/>
      <c r="AS791" s="41"/>
      <c r="AT791" s="41"/>
      <c r="AU791" s="41"/>
      <c r="AV791" s="41"/>
      <c r="AW791" s="135"/>
      <c r="AX791" s="41"/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  <c r="BK791" s="41"/>
      <c r="BL791" s="41"/>
      <c r="BM791" s="41"/>
      <c r="BN791" s="41"/>
      <c r="BO791" s="41"/>
      <c r="BP791" s="41"/>
      <c r="BQ791" s="41"/>
      <c r="BR791" s="41"/>
      <c r="BS791" s="41"/>
      <c r="BT791" s="41"/>
      <c r="BU791" s="41"/>
      <c r="BV791" s="41"/>
      <c r="BW791" s="41"/>
      <c r="BX791" s="41"/>
      <c r="BY791" s="41"/>
    </row>
    <row r="792" spans="1:77" s="214" customFormat="1" x14ac:dyDescent="0.3">
      <c r="A792" s="41"/>
      <c r="B792" s="41"/>
      <c r="C792" s="41"/>
      <c r="D792" s="41"/>
      <c r="E792" s="41"/>
      <c r="F792" s="135"/>
      <c r="G792" s="41"/>
      <c r="H792" s="135"/>
      <c r="I792" s="135"/>
      <c r="J792" s="41"/>
      <c r="K792" s="41"/>
      <c r="L792" s="135"/>
      <c r="M792" s="135"/>
      <c r="N792" s="243"/>
      <c r="O792" s="243"/>
      <c r="P792" s="241"/>
      <c r="Q792" s="241"/>
      <c r="R792" s="241"/>
      <c r="S792" s="41"/>
      <c r="T792" s="41"/>
      <c r="U792" s="41"/>
      <c r="V792" s="135"/>
      <c r="W792" s="41"/>
      <c r="X792" s="41"/>
      <c r="Y792" s="41"/>
      <c r="Z792" s="41"/>
      <c r="AA792" s="135"/>
      <c r="AB792" s="41"/>
      <c r="AC792" s="135"/>
      <c r="AD792" s="135"/>
      <c r="AE792" s="135"/>
      <c r="AF792" s="135"/>
      <c r="AG792" s="207"/>
      <c r="AH792" s="135"/>
      <c r="AI792" s="135"/>
      <c r="AJ792" s="135"/>
      <c r="AK792" s="207"/>
      <c r="AL792" s="135"/>
      <c r="AM792" s="135"/>
      <c r="AN792" s="135"/>
      <c r="AO792" s="135"/>
      <c r="AP792" s="135"/>
      <c r="AR792" s="41"/>
      <c r="AS792" s="41"/>
      <c r="AT792" s="41"/>
      <c r="AU792" s="41"/>
      <c r="AV792" s="41"/>
      <c r="AW792" s="135"/>
      <c r="AX792" s="41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  <c r="BK792" s="41"/>
      <c r="BL792" s="41"/>
      <c r="BM792" s="41"/>
      <c r="BN792" s="41"/>
      <c r="BO792" s="41"/>
      <c r="BP792" s="41"/>
      <c r="BQ792" s="41"/>
      <c r="BR792" s="41"/>
      <c r="BS792" s="41"/>
      <c r="BT792" s="41"/>
      <c r="BU792" s="41"/>
      <c r="BV792" s="41"/>
      <c r="BW792" s="41"/>
      <c r="BX792" s="41"/>
      <c r="BY792" s="41"/>
    </row>
    <row r="793" spans="1:77" s="214" customFormat="1" x14ac:dyDescent="0.3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4"/>
      <c r="U793" s="41"/>
      <c r="V793" s="123"/>
      <c r="W793" s="41"/>
      <c r="X793" s="41"/>
      <c r="Y793" s="41"/>
      <c r="Z793" s="41"/>
      <c r="AA793" s="123"/>
      <c r="AB793" s="219"/>
      <c r="AC793" s="123"/>
      <c r="AD793" s="123"/>
      <c r="AE793" s="160"/>
      <c r="AF793" s="160"/>
      <c r="AG793" s="165"/>
      <c r="AH793" s="41"/>
      <c r="AI793" s="236"/>
      <c r="AJ793" s="236"/>
      <c r="AK793" s="165"/>
      <c r="AL793" s="123"/>
      <c r="AM793" s="123"/>
      <c r="AN793" s="123"/>
      <c r="AO793" s="160"/>
      <c r="AP793" s="160"/>
      <c r="AR793" s="41"/>
      <c r="AS793" s="41"/>
      <c r="AT793" s="41"/>
      <c r="AU793" s="41"/>
      <c r="AV793" s="41"/>
      <c r="AW793" s="135"/>
      <c r="AX793" s="41"/>
      <c r="AY793" s="41"/>
      <c r="AZ793" s="41"/>
      <c r="BA793" s="41"/>
      <c r="BB793" s="41"/>
      <c r="BC793" s="41"/>
      <c r="BD793" s="41"/>
      <c r="BE793" s="41"/>
      <c r="BF793" s="41"/>
      <c r="BG793" s="41"/>
      <c r="BH793" s="41"/>
      <c r="BI793" s="41"/>
      <c r="BJ793" s="41"/>
      <c r="BK793" s="41"/>
      <c r="BL793" s="41"/>
      <c r="BM793" s="41"/>
      <c r="BN793" s="41"/>
      <c r="BO793" s="41"/>
      <c r="BP793" s="41"/>
      <c r="BQ793" s="41"/>
      <c r="BR793" s="41"/>
      <c r="BS793" s="41"/>
      <c r="BT793" s="41"/>
      <c r="BU793" s="41"/>
      <c r="BV793" s="41"/>
      <c r="BW793" s="41"/>
      <c r="BX793" s="41"/>
      <c r="BY793" s="41"/>
    </row>
    <row r="794" spans="1:77" x14ac:dyDescent="0.3">
      <c r="V794" s="135"/>
      <c r="AA794" s="135"/>
      <c r="AC794" s="135"/>
      <c r="AD794" s="135"/>
      <c r="AE794" s="135"/>
      <c r="AF794" s="135"/>
      <c r="AG794" s="207"/>
      <c r="AH794" s="135"/>
      <c r="AI794" s="135"/>
      <c r="AJ794" s="135"/>
      <c r="AK794" s="207"/>
      <c r="AL794" s="135"/>
      <c r="AM794" s="135"/>
      <c r="AN794" s="135"/>
      <c r="AO794" s="135"/>
      <c r="AP794" s="135"/>
      <c r="AW794" s="135"/>
    </row>
    <row r="795" spans="1:77" x14ac:dyDescent="0.3">
      <c r="AW795" s="135"/>
    </row>
    <row r="796" spans="1:77" x14ac:dyDescent="0.3">
      <c r="AW796" s="135"/>
    </row>
    <row r="797" spans="1:77" s="214" customFormat="1" x14ac:dyDescent="0.3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123"/>
      <c r="O797" s="123"/>
      <c r="P797" s="123"/>
      <c r="Q797" s="123"/>
      <c r="R797" s="123"/>
      <c r="S797" s="41"/>
      <c r="T797" s="41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F797" s="41"/>
      <c r="AG797" s="165"/>
      <c r="AH797" s="41"/>
      <c r="AI797" s="41"/>
      <c r="AJ797" s="41"/>
      <c r="AK797" s="165"/>
      <c r="AL797" s="41"/>
      <c r="AM797" s="41"/>
      <c r="AN797" s="41"/>
      <c r="AO797" s="41"/>
      <c r="AP797" s="41"/>
      <c r="AR797" s="41"/>
      <c r="AS797" s="41"/>
      <c r="AT797" s="41"/>
      <c r="AU797" s="41"/>
      <c r="AV797" s="41"/>
      <c r="AW797" s="135"/>
      <c r="AX797" s="41"/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  <c r="BK797" s="41"/>
      <c r="BL797" s="41"/>
      <c r="BM797" s="41"/>
      <c r="BN797" s="41"/>
      <c r="BO797" s="41"/>
      <c r="BP797" s="41"/>
      <c r="BQ797" s="41"/>
      <c r="BR797" s="41"/>
      <c r="BS797" s="41"/>
      <c r="BT797" s="41"/>
      <c r="BU797" s="41"/>
      <c r="BV797" s="41"/>
      <c r="BW797" s="41"/>
      <c r="BX797" s="41"/>
      <c r="BY797" s="41"/>
    </row>
    <row r="798" spans="1:77" s="214" customFormat="1" x14ac:dyDescent="0.3">
      <c r="A798" s="41"/>
      <c r="B798" s="41"/>
      <c r="C798" s="42"/>
      <c r="D798" s="42"/>
      <c r="E798" s="42"/>
      <c r="F798" s="41"/>
      <c r="G798" s="41"/>
      <c r="H798" s="41"/>
      <c r="I798" s="41"/>
      <c r="J798" s="188"/>
      <c r="K798" s="188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41"/>
      <c r="AC798" s="41"/>
      <c r="AD798" s="41"/>
      <c r="AE798" s="41"/>
      <c r="AF798" s="41"/>
      <c r="AG798" s="165"/>
      <c r="AH798" s="41"/>
      <c r="AI798" s="41"/>
      <c r="AJ798" s="41"/>
      <c r="AK798" s="165"/>
      <c r="AL798" s="41"/>
      <c r="AM798" s="41"/>
      <c r="AN798" s="41"/>
      <c r="AO798" s="41"/>
      <c r="AP798" s="41"/>
      <c r="AR798" s="41"/>
      <c r="AS798" s="41"/>
      <c r="AT798" s="41"/>
      <c r="AU798" s="41"/>
      <c r="AV798" s="41"/>
      <c r="AW798" s="135"/>
      <c r="AX798" s="41"/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  <c r="BK798" s="41"/>
      <c r="BL798" s="41"/>
      <c r="BM798" s="41"/>
      <c r="BN798" s="41"/>
      <c r="BO798" s="41"/>
      <c r="BP798" s="41"/>
      <c r="BQ798" s="41"/>
      <c r="BR798" s="41"/>
      <c r="BS798" s="41"/>
      <c r="BT798" s="41"/>
      <c r="BU798" s="41"/>
      <c r="BV798" s="41"/>
      <c r="BW798" s="41"/>
      <c r="BX798" s="41"/>
      <c r="BY798" s="41"/>
    </row>
    <row r="799" spans="1:77" s="214" customFormat="1" x14ac:dyDescent="0.3">
      <c r="A799" s="41"/>
      <c r="B799" s="41"/>
      <c r="C799" s="41"/>
      <c r="D799" s="42"/>
      <c r="E799" s="42"/>
      <c r="F799" s="123"/>
      <c r="G799" s="41"/>
      <c r="H799" s="123"/>
      <c r="I799" s="123"/>
      <c r="J799" s="238"/>
      <c r="K799" s="238"/>
      <c r="L799" s="123"/>
      <c r="M799" s="123"/>
      <c r="N799" s="160"/>
      <c r="O799" s="160"/>
      <c r="P799" s="123"/>
      <c r="Q799" s="123"/>
      <c r="R799" s="123"/>
      <c r="S799" s="41"/>
      <c r="T799" s="41"/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F799" s="41"/>
      <c r="AG799" s="165"/>
      <c r="AH799" s="41"/>
      <c r="AI799" s="41"/>
      <c r="AJ799" s="41"/>
      <c r="AK799" s="165"/>
      <c r="AL799" s="41"/>
      <c r="AM799" s="41"/>
      <c r="AN799" s="41"/>
      <c r="AO799" s="41"/>
      <c r="AP799" s="41"/>
      <c r="AR799" s="41"/>
      <c r="AS799" s="41"/>
      <c r="AT799" s="41"/>
      <c r="AU799" s="41"/>
      <c r="AV799" s="41"/>
      <c r="AW799" s="135"/>
      <c r="AX799" s="41"/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  <c r="BK799" s="41"/>
      <c r="BL799" s="41"/>
      <c r="BM799" s="41"/>
      <c r="BN799" s="41"/>
      <c r="BO799" s="41"/>
      <c r="BP799" s="41"/>
      <c r="BQ799" s="41"/>
      <c r="BR799" s="41"/>
      <c r="BS799" s="41"/>
      <c r="BT799" s="41"/>
      <c r="BU799" s="41"/>
      <c r="BV799" s="41"/>
      <c r="BW799" s="41"/>
      <c r="BX799" s="41"/>
      <c r="BY799" s="41"/>
    </row>
    <row r="800" spans="1:77" s="214" customFormat="1" x14ac:dyDescent="0.3">
      <c r="A800" s="41"/>
      <c r="B800" s="41"/>
      <c r="C800" s="41"/>
      <c r="D800" s="41"/>
      <c r="E800" s="41"/>
      <c r="F800" s="123"/>
      <c r="G800" s="41"/>
      <c r="H800" s="123"/>
      <c r="I800" s="123"/>
      <c r="J800" s="213"/>
      <c r="K800" s="213"/>
      <c r="L800" s="123"/>
      <c r="M800" s="123"/>
      <c r="N800" s="123"/>
      <c r="O800" s="123"/>
      <c r="P800" s="123"/>
      <c r="Q800" s="123"/>
      <c r="R800" s="123"/>
      <c r="S800" s="41"/>
      <c r="T800" s="41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F800" s="41"/>
      <c r="AG800" s="165"/>
      <c r="AH800" s="41"/>
      <c r="AI800" s="41"/>
      <c r="AJ800" s="41"/>
      <c r="AK800" s="165"/>
      <c r="AL800" s="41"/>
      <c r="AM800" s="41"/>
      <c r="AN800" s="41"/>
      <c r="AO800" s="41"/>
      <c r="AP800" s="41"/>
      <c r="AR800" s="41"/>
      <c r="AS800" s="41"/>
      <c r="AT800" s="41"/>
      <c r="AU800" s="41"/>
      <c r="AV800" s="41"/>
      <c r="AW800" s="135"/>
      <c r="AX800" s="41"/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  <c r="BK800" s="41"/>
      <c r="BL800" s="41"/>
      <c r="BM800" s="41"/>
      <c r="BN800" s="41"/>
      <c r="BO800" s="41"/>
      <c r="BP800" s="41"/>
      <c r="BQ800" s="41"/>
      <c r="BR800" s="41"/>
      <c r="BS800" s="41"/>
      <c r="BT800" s="41"/>
      <c r="BU800" s="41"/>
      <c r="BV800" s="41"/>
      <c r="BW800" s="41"/>
      <c r="BX800" s="41"/>
      <c r="BY800" s="41"/>
    </row>
    <row r="801" spans="1:77" s="214" customFormat="1" x14ac:dyDescent="0.3">
      <c r="A801" s="41"/>
      <c r="B801" s="41"/>
      <c r="C801" s="42"/>
      <c r="D801" s="41"/>
      <c r="E801" s="41"/>
      <c r="F801" s="184"/>
      <c r="G801" s="41"/>
      <c r="H801" s="184"/>
      <c r="I801" s="184"/>
      <c r="J801" s="212"/>
      <c r="K801" s="212"/>
      <c r="L801" s="123"/>
      <c r="M801" s="123"/>
      <c r="N801" s="160"/>
      <c r="O801" s="160"/>
      <c r="P801" s="123"/>
      <c r="Q801" s="123"/>
      <c r="R801" s="123"/>
      <c r="S801" s="41"/>
      <c r="T801" s="41"/>
      <c r="U801" s="41"/>
      <c r="V801" s="41"/>
      <c r="W801" s="41"/>
      <c r="X801" s="41"/>
      <c r="Y801" s="41"/>
      <c r="Z801" s="41"/>
      <c r="AA801" s="42"/>
      <c r="AB801" s="41"/>
      <c r="AC801" s="41"/>
      <c r="AD801" s="41"/>
      <c r="AE801" s="41"/>
      <c r="AF801" s="41"/>
      <c r="AG801" s="165"/>
      <c r="AH801" s="41"/>
      <c r="AI801" s="41"/>
      <c r="AJ801" s="41"/>
      <c r="AK801" s="165"/>
      <c r="AL801" s="41"/>
      <c r="AM801" s="41"/>
      <c r="AN801" s="41"/>
      <c r="AO801" s="41"/>
      <c r="AP801" s="41"/>
      <c r="AR801" s="41"/>
      <c r="AS801" s="41"/>
      <c r="AT801" s="41"/>
      <c r="AU801" s="41"/>
      <c r="AV801" s="41"/>
      <c r="AW801" s="135"/>
      <c r="AX801" s="41"/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  <c r="BK801" s="41"/>
      <c r="BL801" s="41"/>
      <c r="BM801" s="41"/>
      <c r="BN801" s="41"/>
      <c r="BO801" s="41"/>
      <c r="BP801" s="41"/>
      <c r="BQ801" s="41"/>
      <c r="BR801" s="41"/>
      <c r="BS801" s="41"/>
      <c r="BT801" s="41"/>
      <c r="BU801" s="41"/>
      <c r="BV801" s="41"/>
      <c r="BW801" s="41"/>
      <c r="BX801" s="41"/>
      <c r="BY801" s="41"/>
    </row>
    <row r="802" spans="1:77" s="214" customFormat="1" x14ac:dyDescent="0.3">
      <c r="A802" s="41"/>
      <c r="B802" s="41"/>
      <c r="C802" s="41"/>
      <c r="D802" s="41"/>
      <c r="E802" s="41"/>
      <c r="F802" s="135"/>
      <c r="G802" s="41"/>
      <c r="H802" s="135"/>
      <c r="I802" s="135"/>
      <c r="J802" s="41"/>
      <c r="K802" s="41"/>
      <c r="L802" s="135"/>
      <c r="M802" s="135"/>
      <c r="N802" s="135"/>
      <c r="O802" s="135"/>
      <c r="P802" s="135"/>
      <c r="Q802" s="135"/>
      <c r="R802" s="135"/>
      <c r="S802" s="41"/>
      <c r="T802" s="41"/>
      <c r="U802" s="41"/>
      <c r="V802" s="41"/>
      <c r="W802" s="41"/>
      <c r="X802" s="41"/>
      <c r="Y802" s="41"/>
      <c r="Z802" s="41"/>
      <c r="AA802" s="41"/>
      <c r="AB802" s="41"/>
      <c r="AC802" s="41"/>
      <c r="AD802" s="41"/>
      <c r="AE802" s="41"/>
      <c r="AF802" s="41"/>
      <c r="AG802" s="165"/>
      <c r="AH802" s="41"/>
      <c r="AI802" s="41"/>
      <c r="AJ802" s="41"/>
      <c r="AK802" s="165"/>
      <c r="AL802" s="41"/>
      <c r="AM802" s="41"/>
      <c r="AN802" s="41"/>
      <c r="AO802" s="41"/>
      <c r="AP802" s="41"/>
      <c r="AR802" s="41"/>
      <c r="AS802" s="41"/>
      <c r="AT802" s="41"/>
      <c r="AU802" s="41"/>
      <c r="AV802" s="41"/>
      <c r="AW802" s="135"/>
      <c r="AX802" s="41"/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  <c r="BK802" s="41"/>
      <c r="BL802" s="41"/>
      <c r="BM802" s="41"/>
      <c r="BN802" s="41"/>
      <c r="BO802" s="41"/>
      <c r="BP802" s="41"/>
      <c r="BQ802" s="41"/>
      <c r="BR802" s="41"/>
      <c r="BS802" s="41"/>
      <c r="BT802" s="41"/>
      <c r="BU802" s="41"/>
      <c r="BV802" s="41"/>
      <c r="BW802" s="41"/>
      <c r="BX802" s="41"/>
      <c r="BY802" s="41"/>
    </row>
    <row r="803" spans="1:77" s="214" customFormat="1" x14ac:dyDescent="0.3">
      <c r="A803" s="41"/>
      <c r="B803" s="41"/>
      <c r="C803" s="44"/>
      <c r="D803" s="41"/>
      <c r="E803" s="41"/>
      <c r="F803" s="184"/>
      <c r="G803" s="41"/>
      <c r="H803" s="184"/>
      <c r="I803" s="184"/>
      <c r="J803" s="193"/>
      <c r="K803" s="193"/>
      <c r="L803" s="184"/>
      <c r="M803" s="184"/>
      <c r="N803" s="160"/>
      <c r="O803" s="160"/>
      <c r="P803" s="184"/>
      <c r="Q803" s="184"/>
      <c r="R803" s="184"/>
      <c r="S803" s="41"/>
      <c r="T803" s="41"/>
      <c r="U803" s="41"/>
      <c r="V803" s="41"/>
      <c r="W803" s="41"/>
      <c r="X803" s="41"/>
      <c r="Y803" s="41"/>
      <c r="Z803" s="41"/>
      <c r="AA803" s="41"/>
      <c r="AB803" s="41"/>
      <c r="AC803" s="42"/>
      <c r="AD803" s="42"/>
      <c r="AE803" s="41"/>
      <c r="AF803" s="41"/>
      <c r="AG803" s="165"/>
      <c r="AH803" s="41"/>
      <c r="AI803" s="41"/>
      <c r="AJ803" s="41"/>
      <c r="AK803" s="165"/>
      <c r="AL803" s="41"/>
      <c r="AM803" s="41"/>
      <c r="AN803" s="41"/>
      <c r="AO803" s="41"/>
      <c r="AP803" s="41"/>
      <c r="AR803" s="41"/>
      <c r="AS803" s="41"/>
      <c r="AT803" s="41"/>
      <c r="AU803" s="41"/>
      <c r="AV803" s="41"/>
      <c r="AW803" s="135"/>
      <c r="AX803" s="41"/>
      <c r="AY803" s="41"/>
      <c r="AZ803" s="41"/>
      <c r="BA803" s="41"/>
      <c r="BB803" s="41"/>
      <c r="BC803" s="41"/>
      <c r="BD803" s="41"/>
      <c r="BE803" s="41"/>
      <c r="BF803" s="41"/>
      <c r="BG803" s="41"/>
      <c r="BH803" s="41"/>
      <c r="BI803" s="41"/>
      <c r="BJ803" s="41"/>
      <c r="BK803" s="41"/>
      <c r="BL803" s="41"/>
      <c r="BM803" s="41"/>
      <c r="BN803" s="41"/>
      <c r="BO803" s="41"/>
      <c r="BP803" s="41"/>
      <c r="BQ803" s="41"/>
      <c r="BR803" s="41"/>
      <c r="BS803" s="41"/>
      <c r="BT803" s="41"/>
      <c r="BU803" s="41"/>
      <c r="BV803" s="41"/>
      <c r="BW803" s="41"/>
      <c r="BX803" s="41"/>
      <c r="BY803" s="41"/>
    </row>
    <row r="804" spans="1:77" s="214" customFormat="1" x14ac:dyDescent="0.3">
      <c r="A804" s="41"/>
      <c r="B804" s="41"/>
      <c r="C804" s="41"/>
      <c r="D804" s="41"/>
      <c r="E804" s="41"/>
      <c r="F804" s="241"/>
      <c r="G804" s="41"/>
      <c r="H804" s="241"/>
      <c r="I804" s="241"/>
      <c r="J804" s="213"/>
      <c r="K804" s="213"/>
      <c r="L804" s="241"/>
      <c r="M804" s="241"/>
      <c r="N804" s="241"/>
      <c r="O804" s="241"/>
      <c r="P804" s="241"/>
      <c r="Q804" s="241"/>
      <c r="R804" s="241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F804" s="41"/>
      <c r="AG804" s="165"/>
      <c r="AH804" s="41"/>
      <c r="AI804" s="41"/>
      <c r="AJ804" s="41"/>
      <c r="AK804" s="165"/>
      <c r="AL804" s="41"/>
      <c r="AM804" s="42"/>
      <c r="AN804" s="42"/>
      <c r="AO804" s="41"/>
      <c r="AP804" s="41"/>
      <c r="AR804" s="41"/>
      <c r="AS804" s="41"/>
      <c r="AT804" s="41"/>
      <c r="AU804" s="41"/>
      <c r="AV804" s="41"/>
      <c r="AW804" s="135"/>
      <c r="AX804" s="41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BL804" s="41"/>
      <c r="BM804" s="41"/>
      <c r="BN804" s="41"/>
      <c r="BO804" s="41"/>
      <c r="BP804" s="41"/>
      <c r="BQ804" s="41"/>
      <c r="BR804" s="41"/>
      <c r="BS804" s="41"/>
      <c r="BT804" s="41"/>
      <c r="BU804" s="41"/>
      <c r="BV804" s="41"/>
      <c r="BW804" s="41"/>
      <c r="BX804" s="41"/>
      <c r="BY804" s="41"/>
    </row>
    <row r="805" spans="1:77" s="214" customFormat="1" x14ac:dyDescent="0.3">
      <c r="A805" s="41"/>
      <c r="B805" s="41"/>
      <c r="C805" s="41"/>
      <c r="D805" s="41"/>
      <c r="E805" s="41"/>
      <c r="F805" s="184"/>
      <c r="G805" s="41"/>
      <c r="H805" s="184"/>
      <c r="I805" s="184"/>
      <c r="J805" s="237"/>
      <c r="K805" s="237"/>
      <c r="L805" s="123"/>
      <c r="M805" s="123"/>
      <c r="N805" s="160"/>
      <c r="O805" s="160"/>
      <c r="P805" s="123"/>
      <c r="Q805" s="123"/>
      <c r="R805" s="123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  <c r="AC805" s="41"/>
      <c r="AD805" s="41"/>
      <c r="AE805" s="41"/>
      <c r="AF805" s="41"/>
      <c r="AG805" s="165"/>
      <c r="AH805" s="41"/>
      <c r="AI805" s="41"/>
      <c r="AJ805" s="41"/>
      <c r="AK805" s="165"/>
      <c r="AL805" s="41"/>
      <c r="AM805" s="42"/>
      <c r="AN805" s="42"/>
      <c r="AO805" s="41"/>
      <c r="AP805" s="41"/>
      <c r="AR805" s="41"/>
      <c r="AS805" s="41"/>
      <c r="AT805" s="41"/>
      <c r="AU805" s="41"/>
      <c r="AV805" s="41"/>
      <c r="AW805" s="135"/>
      <c r="AX805" s="41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BL805" s="41"/>
      <c r="BM805" s="41"/>
      <c r="BN805" s="41"/>
      <c r="BO805" s="41"/>
      <c r="BP805" s="41"/>
      <c r="BQ805" s="41"/>
      <c r="BR805" s="41"/>
      <c r="BS805" s="41"/>
      <c r="BT805" s="41"/>
      <c r="BU805" s="41"/>
      <c r="BV805" s="41"/>
      <c r="BW805" s="41"/>
      <c r="BX805" s="41"/>
      <c r="BY805" s="41"/>
    </row>
    <row r="806" spans="1:77" s="214" customFormat="1" x14ac:dyDescent="0.3">
      <c r="A806" s="42"/>
      <c r="B806" s="41"/>
      <c r="C806" s="41"/>
      <c r="D806" s="41"/>
      <c r="E806" s="41"/>
      <c r="F806" s="184"/>
      <c r="G806" s="41"/>
      <c r="H806" s="184"/>
      <c r="I806" s="184"/>
      <c r="J806" s="193"/>
      <c r="K806" s="193"/>
      <c r="L806" s="123"/>
      <c r="M806" s="123"/>
      <c r="N806" s="160"/>
      <c r="O806" s="160"/>
      <c r="P806" s="123"/>
      <c r="Q806" s="123"/>
      <c r="R806" s="123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F806" s="41"/>
      <c r="AG806" s="165"/>
      <c r="AH806" s="41"/>
      <c r="AI806" s="41"/>
      <c r="AJ806" s="41"/>
      <c r="AK806" s="165"/>
      <c r="AL806" s="41"/>
      <c r="AM806" s="42"/>
      <c r="AN806" s="42"/>
      <c r="AO806" s="41"/>
      <c r="AP806" s="41"/>
      <c r="AR806" s="41"/>
      <c r="AS806" s="41"/>
      <c r="AT806" s="41"/>
      <c r="AU806" s="41"/>
      <c r="AV806" s="41"/>
      <c r="AW806" s="135"/>
      <c r="AX806" s="41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BL806" s="41"/>
      <c r="BM806" s="41"/>
      <c r="BN806" s="41"/>
      <c r="BO806" s="41"/>
      <c r="BP806" s="41"/>
      <c r="BQ806" s="41"/>
      <c r="BR806" s="41"/>
      <c r="BS806" s="41"/>
      <c r="BT806" s="41"/>
      <c r="BU806" s="41"/>
      <c r="BV806" s="41"/>
      <c r="BW806" s="41"/>
      <c r="BX806" s="41"/>
      <c r="BY806" s="41"/>
    </row>
    <row r="807" spans="1:77" s="214" customFormat="1" x14ac:dyDescent="0.3">
      <c r="A807" s="41"/>
      <c r="B807" s="41"/>
      <c r="C807" s="41"/>
      <c r="D807" s="41"/>
      <c r="E807" s="41"/>
      <c r="F807" s="184"/>
      <c r="G807" s="41"/>
      <c r="H807" s="184"/>
      <c r="I807" s="184"/>
      <c r="J807" s="193"/>
      <c r="K807" s="193"/>
      <c r="L807" s="123"/>
      <c r="M807" s="123"/>
      <c r="N807" s="160"/>
      <c r="O807" s="160"/>
      <c r="P807" s="123"/>
      <c r="Q807" s="123"/>
      <c r="R807" s="123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2"/>
      <c r="AD807" s="42"/>
      <c r="AE807" s="41"/>
      <c r="AF807" s="41"/>
      <c r="AG807" s="165"/>
      <c r="AH807" s="41"/>
      <c r="AI807" s="41"/>
      <c r="AJ807" s="41"/>
      <c r="AK807" s="165"/>
      <c r="AL807" s="41"/>
      <c r="AM807" s="41"/>
      <c r="AN807" s="41"/>
      <c r="AO807" s="41"/>
      <c r="AP807" s="41"/>
      <c r="AR807" s="41"/>
      <c r="AS807" s="41"/>
      <c r="AT807" s="41"/>
      <c r="AU807" s="41"/>
      <c r="AV807" s="41"/>
      <c r="AW807" s="135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</row>
    <row r="808" spans="1:77" s="214" customFormat="1" x14ac:dyDescent="0.3">
      <c r="A808" s="42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135"/>
      <c r="U808" s="135"/>
      <c r="V808" s="135"/>
      <c r="W808" s="135"/>
      <c r="X808" s="135"/>
      <c r="Y808" s="135"/>
      <c r="Z808" s="135"/>
      <c r="AA808" s="135"/>
      <c r="AB808" s="135"/>
      <c r="AC808" s="135"/>
      <c r="AD808" s="135"/>
      <c r="AE808" s="135"/>
      <c r="AF808" s="135"/>
      <c r="AG808" s="207"/>
      <c r="AH808" s="135"/>
      <c r="AI808" s="135"/>
      <c r="AJ808" s="135"/>
      <c r="AK808" s="207"/>
      <c r="AL808" s="135"/>
      <c r="AM808" s="135"/>
      <c r="AN808" s="135"/>
      <c r="AO808" s="135"/>
      <c r="AP808" s="135"/>
      <c r="AR808" s="41"/>
      <c r="AS808" s="41"/>
      <c r="AT808" s="41"/>
      <c r="AU808" s="41"/>
      <c r="AV808" s="41"/>
      <c r="AW808" s="135"/>
      <c r="AX808" s="41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BL808" s="41"/>
      <c r="BM808" s="41"/>
      <c r="BN808" s="41"/>
      <c r="BO808" s="41"/>
      <c r="BP808" s="41"/>
      <c r="BQ808" s="41"/>
      <c r="BR808" s="41"/>
      <c r="BS808" s="41"/>
      <c r="BT808" s="41"/>
      <c r="BU808" s="41"/>
      <c r="BV808" s="41"/>
      <c r="BW808" s="41"/>
      <c r="BX808" s="41"/>
      <c r="BY808" s="41"/>
    </row>
    <row r="809" spans="1:77" x14ac:dyDescent="0.3">
      <c r="AC809" s="44"/>
      <c r="AD809" s="44"/>
      <c r="AE809" s="44"/>
      <c r="AF809" s="44"/>
      <c r="AG809" s="168"/>
      <c r="AH809" s="44"/>
      <c r="AI809" s="44"/>
      <c r="AJ809" s="44"/>
      <c r="AM809" s="44"/>
      <c r="AN809" s="44"/>
      <c r="AO809" s="44"/>
      <c r="AP809" s="44"/>
      <c r="AW809" s="135"/>
    </row>
    <row r="810" spans="1:77" s="214" customFormat="1" x14ac:dyDescent="0.3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44"/>
      <c r="AC810" s="44"/>
      <c r="AD810" s="44"/>
      <c r="AE810" s="44"/>
      <c r="AF810" s="44"/>
      <c r="AG810" s="168"/>
      <c r="AH810" s="44"/>
      <c r="AI810" s="44"/>
      <c r="AJ810" s="44"/>
      <c r="AK810" s="165"/>
      <c r="AL810" s="41"/>
      <c r="AM810" s="44"/>
      <c r="AN810" s="44"/>
      <c r="AO810" s="44"/>
      <c r="AP810" s="44"/>
      <c r="AR810" s="41"/>
      <c r="AS810" s="41"/>
      <c r="AT810" s="41"/>
      <c r="AU810" s="41"/>
      <c r="AV810" s="41"/>
      <c r="AW810" s="135"/>
      <c r="AX810" s="41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BL810" s="41"/>
      <c r="BM810" s="41"/>
      <c r="BN810" s="41"/>
      <c r="BO810" s="41"/>
      <c r="BP810" s="41"/>
      <c r="BQ810" s="41"/>
      <c r="BR810" s="41"/>
      <c r="BS810" s="41"/>
      <c r="BT810" s="41"/>
      <c r="BU810" s="41"/>
      <c r="BV810" s="41"/>
      <c r="BW810" s="41"/>
      <c r="BX810" s="41"/>
      <c r="BY810" s="41"/>
    </row>
    <row r="811" spans="1:77" s="214" customFormat="1" x14ac:dyDescent="0.3">
      <c r="A811" s="41"/>
      <c r="B811" s="41"/>
      <c r="C811" s="41"/>
      <c r="D811" s="41"/>
      <c r="E811" s="41"/>
      <c r="F811" s="41"/>
      <c r="G811" s="41"/>
      <c r="H811" s="42"/>
      <c r="I811" s="42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4"/>
      <c r="U811" s="44"/>
      <c r="V811" s="44"/>
      <c r="W811" s="41"/>
      <c r="X811" s="41"/>
      <c r="Y811" s="41"/>
      <c r="Z811" s="41"/>
      <c r="AA811" s="41"/>
      <c r="AB811" s="44"/>
      <c r="AC811" s="44"/>
      <c r="AD811" s="44"/>
      <c r="AE811" s="44"/>
      <c r="AF811" s="44"/>
      <c r="AG811" s="168"/>
      <c r="AH811" s="44"/>
      <c r="AI811" s="44"/>
      <c r="AJ811" s="44"/>
      <c r="AK811" s="168"/>
      <c r="AL811" s="44"/>
      <c r="AM811" s="44"/>
      <c r="AN811" s="44"/>
      <c r="AO811" s="44"/>
      <c r="AP811" s="44"/>
      <c r="AR811" s="41"/>
      <c r="AS811" s="41"/>
      <c r="AT811" s="41"/>
      <c r="AU811" s="41"/>
      <c r="AV811" s="41"/>
      <c r="AW811" s="135"/>
      <c r="AX811" s="41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BL811" s="41"/>
      <c r="BM811" s="41"/>
      <c r="BN811" s="41"/>
      <c r="BO811" s="41"/>
      <c r="BP811" s="41"/>
      <c r="BQ811" s="41"/>
      <c r="BR811" s="41"/>
      <c r="BS811" s="41"/>
      <c r="BT811" s="41"/>
      <c r="BU811" s="41"/>
      <c r="BV811" s="41"/>
      <c r="BW811" s="41"/>
      <c r="BX811" s="41"/>
      <c r="BY811" s="41"/>
    </row>
    <row r="812" spans="1:77" s="214" customFormat="1" x14ac:dyDescent="0.3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4"/>
      <c r="U812" s="44"/>
      <c r="V812" s="44"/>
      <c r="W812" s="41"/>
      <c r="X812" s="41"/>
      <c r="Y812" s="41"/>
      <c r="Z812" s="41"/>
      <c r="AA812" s="44"/>
      <c r="AB812" s="44"/>
      <c r="AC812" s="44"/>
      <c r="AD812" s="44"/>
      <c r="AE812" s="44"/>
      <c r="AF812" s="44"/>
      <c r="AG812" s="168"/>
      <c r="AH812" s="44"/>
      <c r="AI812" s="44"/>
      <c r="AJ812" s="44"/>
      <c r="AK812" s="168"/>
      <c r="AL812" s="44"/>
      <c r="AM812" s="44"/>
      <c r="AN812" s="44"/>
      <c r="AO812" s="44"/>
      <c r="AP812" s="44"/>
      <c r="AR812" s="41"/>
      <c r="AS812" s="41"/>
      <c r="AT812" s="41"/>
      <c r="AU812" s="41"/>
      <c r="AV812" s="41"/>
      <c r="AW812" s="135"/>
      <c r="AX812" s="41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BL812" s="41"/>
      <c r="BM812" s="41"/>
      <c r="BN812" s="41"/>
      <c r="BO812" s="41"/>
      <c r="BP812" s="41"/>
      <c r="BQ812" s="41"/>
      <c r="BR812" s="41"/>
      <c r="BS812" s="41"/>
      <c r="BT812" s="41"/>
      <c r="BU812" s="41"/>
      <c r="BV812" s="41"/>
      <c r="BW812" s="41"/>
      <c r="BX812" s="41"/>
      <c r="BY812" s="41"/>
    </row>
    <row r="813" spans="1:77" s="214" customFormat="1" x14ac:dyDescent="0.3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2"/>
      <c r="M813" s="42"/>
      <c r="N813" s="41"/>
      <c r="O813" s="41"/>
      <c r="P813" s="41"/>
      <c r="Q813" s="41"/>
      <c r="R813" s="41"/>
      <c r="S813" s="41"/>
      <c r="T813" s="44"/>
      <c r="U813" s="44"/>
      <c r="V813" s="44"/>
      <c r="W813" s="41"/>
      <c r="X813" s="41"/>
      <c r="Y813" s="41"/>
      <c r="Z813" s="41"/>
      <c r="AA813" s="44"/>
      <c r="AB813" s="44"/>
      <c r="AC813" s="44"/>
      <c r="AD813" s="44"/>
      <c r="AE813" s="44"/>
      <c r="AF813" s="44"/>
      <c r="AG813" s="168"/>
      <c r="AH813" s="44"/>
      <c r="AI813" s="44"/>
      <c r="AJ813" s="44"/>
      <c r="AK813" s="168"/>
      <c r="AL813" s="44"/>
      <c r="AM813" s="44"/>
      <c r="AN813" s="44"/>
      <c r="AO813" s="44"/>
      <c r="AP813" s="44"/>
      <c r="AR813" s="41"/>
      <c r="AS813" s="41"/>
      <c r="AT813" s="41"/>
      <c r="AU813" s="41"/>
      <c r="AV813" s="41"/>
      <c r="AW813" s="135"/>
      <c r="AX813" s="41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BL813" s="41"/>
      <c r="BM813" s="41"/>
      <c r="BN813" s="41"/>
      <c r="BO813" s="41"/>
      <c r="BP813" s="41"/>
      <c r="BQ813" s="41"/>
      <c r="BR813" s="41"/>
      <c r="BS813" s="41"/>
      <c r="BT813" s="41"/>
      <c r="BU813" s="41"/>
      <c r="BV813" s="41"/>
      <c r="BW813" s="41"/>
      <c r="BX813" s="41"/>
      <c r="BY813" s="41"/>
    </row>
    <row r="814" spans="1:77" s="214" customFormat="1" x14ac:dyDescent="0.3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2"/>
      <c r="S814" s="41"/>
      <c r="T814" s="135"/>
      <c r="U814" s="135"/>
      <c r="V814" s="135"/>
      <c r="W814" s="135"/>
      <c r="X814" s="135"/>
      <c r="Y814" s="135"/>
      <c r="Z814" s="135"/>
      <c r="AA814" s="135"/>
      <c r="AB814" s="135"/>
      <c r="AC814" s="135"/>
      <c r="AD814" s="135"/>
      <c r="AE814" s="135"/>
      <c r="AF814" s="135"/>
      <c r="AG814" s="207"/>
      <c r="AH814" s="135"/>
      <c r="AI814" s="135"/>
      <c r="AJ814" s="135"/>
      <c r="AK814" s="207"/>
      <c r="AL814" s="135"/>
      <c r="AM814" s="135"/>
      <c r="AN814" s="135"/>
      <c r="AO814" s="135"/>
      <c r="AP814" s="135"/>
      <c r="AR814" s="41"/>
      <c r="AS814" s="41"/>
      <c r="AT814" s="41"/>
      <c r="AU814" s="41"/>
      <c r="AV814" s="41"/>
      <c r="AW814" s="135"/>
      <c r="AX814" s="41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BL814" s="41"/>
      <c r="BM814" s="41"/>
      <c r="BN814" s="41"/>
      <c r="BO814" s="41"/>
      <c r="BP814" s="41"/>
      <c r="BQ814" s="41"/>
      <c r="BR814" s="41"/>
      <c r="BS814" s="41"/>
      <c r="BT814" s="41"/>
      <c r="BU814" s="41"/>
      <c r="BV814" s="41"/>
      <c r="BW814" s="41"/>
      <c r="BX814" s="41"/>
      <c r="BY814" s="41"/>
    </row>
    <row r="815" spans="1:77" s="214" customFormat="1" x14ac:dyDescent="0.3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2"/>
      <c r="S815" s="41"/>
      <c r="T815" s="41"/>
      <c r="U815" s="41"/>
      <c r="V815" s="41"/>
      <c r="W815" s="41"/>
      <c r="X815" s="41"/>
      <c r="Y815" s="41"/>
      <c r="Z815" s="41"/>
      <c r="AA815" s="44"/>
      <c r="AB815" s="44"/>
      <c r="AC815" s="44"/>
      <c r="AD815" s="44"/>
      <c r="AE815" s="44"/>
      <c r="AF815" s="44"/>
      <c r="AG815" s="168"/>
      <c r="AH815" s="44"/>
      <c r="AI815" s="44"/>
      <c r="AJ815" s="44"/>
      <c r="AK815" s="168"/>
      <c r="AL815" s="44"/>
      <c r="AM815" s="44"/>
      <c r="AN815" s="44"/>
      <c r="AO815" s="44"/>
      <c r="AP815" s="44"/>
      <c r="AR815" s="41"/>
      <c r="AS815" s="41"/>
      <c r="AT815" s="41"/>
      <c r="AU815" s="41"/>
      <c r="AV815" s="41"/>
      <c r="AW815" s="135"/>
      <c r="AX815" s="41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BL815" s="41"/>
      <c r="BM815" s="41"/>
      <c r="BN815" s="41"/>
      <c r="BO815" s="41"/>
      <c r="BP815" s="41"/>
      <c r="BQ815" s="41"/>
      <c r="BR815" s="41"/>
      <c r="BS815" s="41"/>
      <c r="BT815" s="41"/>
      <c r="BU815" s="41"/>
      <c r="BV815" s="41"/>
      <c r="BW815" s="41"/>
      <c r="BX815" s="41"/>
      <c r="BY815" s="41"/>
    </row>
    <row r="816" spans="1:77" s="214" customFormat="1" x14ac:dyDescent="0.3">
      <c r="A816" s="42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2"/>
      <c r="S816" s="41"/>
      <c r="T816" s="42"/>
      <c r="U816" s="42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F816" s="41"/>
      <c r="AG816" s="165"/>
      <c r="AH816" s="41"/>
      <c r="AI816" s="41"/>
      <c r="AJ816" s="41"/>
      <c r="AK816" s="165"/>
      <c r="AL816" s="41"/>
      <c r="AM816" s="41"/>
      <c r="AN816" s="41"/>
      <c r="AO816" s="41"/>
      <c r="AP816" s="41"/>
      <c r="AR816" s="41"/>
      <c r="AS816" s="41"/>
      <c r="AT816" s="41"/>
      <c r="AU816" s="41"/>
      <c r="AV816" s="41"/>
      <c r="AW816" s="135"/>
      <c r="AX816" s="41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BL816" s="41"/>
      <c r="BM816" s="41"/>
      <c r="BN816" s="41"/>
      <c r="BO816" s="41"/>
      <c r="BP816" s="41"/>
      <c r="BQ816" s="41"/>
      <c r="BR816" s="41"/>
      <c r="BS816" s="41"/>
      <c r="BT816" s="41"/>
      <c r="BU816" s="41"/>
      <c r="BV816" s="41"/>
      <c r="BW816" s="41"/>
      <c r="BX816" s="41"/>
      <c r="BY816" s="41"/>
    </row>
    <row r="817" spans="1:77" s="214" customFormat="1" x14ac:dyDescent="0.3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2"/>
      <c r="M817" s="42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F817" s="41"/>
      <c r="AG817" s="165"/>
      <c r="AH817" s="41"/>
      <c r="AI817" s="41"/>
      <c r="AJ817" s="41"/>
      <c r="AK817" s="165"/>
      <c r="AL817" s="41"/>
      <c r="AM817" s="41"/>
      <c r="AN817" s="41"/>
      <c r="AO817" s="41"/>
      <c r="AP817" s="41"/>
      <c r="AR817" s="41"/>
      <c r="AS817" s="41"/>
      <c r="AT817" s="41"/>
      <c r="AU817" s="41"/>
      <c r="AV817" s="41"/>
      <c r="AW817" s="135"/>
      <c r="AX817" s="41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BL817" s="41"/>
      <c r="BM817" s="41"/>
      <c r="BN817" s="41"/>
      <c r="BO817" s="41"/>
      <c r="BP817" s="41"/>
      <c r="BQ817" s="41"/>
      <c r="BR817" s="41"/>
      <c r="BS817" s="41"/>
      <c r="BT817" s="41"/>
      <c r="BU817" s="41"/>
      <c r="BV817" s="41"/>
      <c r="BW817" s="41"/>
      <c r="BX817" s="41"/>
      <c r="BY817" s="41"/>
    </row>
    <row r="818" spans="1:77" s="214" customFormat="1" x14ac:dyDescent="0.3">
      <c r="A818" s="135"/>
      <c r="B818" s="135"/>
      <c r="C818" s="135"/>
      <c r="D818" s="135"/>
      <c r="E818" s="135"/>
      <c r="F818" s="135"/>
      <c r="G818" s="135"/>
      <c r="H818" s="135"/>
      <c r="I818" s="135"/>
      <c r="J818" s="135"/>
      <c r="K818" s="135"/>
      <c r="L818" s="135"/>
      <c r="M818" s="135"/>
      <c r="N818" s="135"/>
      <c r="O818" s="135"/>
      <c r="P818" s="135"/>
      <c r="Q818" s="135"/>
      <c r="R818" s="135"/>
      <c r="S818" s="41"/>
      <c r="T818" s="42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F818" s="41"/>
      <c r="AG818" s="165"/>
      <c r="AH818" s="41"/>
      <c r="AI818" s="41"/>
      <c r="AJ818" s="41"/>
      <c r="AK818" s="165"/>
      <c r="AL818" s="41"/>
      <c r="AM818" s="41"/>
      <c r="AN818" s="41"/>
      <c r="AO818" s="41"/>
      <c r="AP818" s="41"/>
      <c r="AR818" s="41"/>
      <c r="AS818" s="41"/>
      <c r="AT818" s="41"/>
      <c r="AU818" s="41"/>
      <c r="AV818" s="41"/>
      <c r="AW818" s="135"/>
      <c r="AX818" s="41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BL818" s="41"/>
      <c r="BM818" s="41"/>
      <c r="BN818" s="41"/>
      <c r="BO818" s="41"/>
      <c r="BP818" s="41"/>
      <c r="BQ818" s="41"/>
      <c r="BR818" s="41"/>
      <c r="BS818" s="41"/>
      <c r="BT818" s="41"/>
      <c r="BU818" s="41"/>
      <c r="BV818" s="41"/>
      <c r="BW818" s="41"/>
      <c r="BX818" s="41"/>
      <c r="BY818" s="41"/>
    </row>
    <row r="819" spans="1:77" s="214" customFormat="1" x14ac:dyDescent="0.3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4"/>
      <c r="M819" s="44"/>
      <c r="N819" s="44"/>
      <c r="O819" s="44"/>
      <c r="P819" s="41"/>
      <c r="Q819" s="41"/>
      <c r="R819" s="44"/>
      <c r="S819" s="41"/>
      <c r="T819" s="42"/>
      <c r="U819" s="41"/>
      <c r="V819" s="184"/>
      <c r="W819" s="41"/>
      <c r="X819" s="41"/>
      <c r="Y819" s="41"/>
      <c r="Z819" s="41"/>
      <c r="AA819" s="184"/>
      <c r="AB819" s="213"/>
      <c r="AC819" s="123"/>
      <c r="AD819" s="123"/>
      <c r="AE819" s="160"/>
      <c r="AF819" s="160"/>
      <c r="AG819" s="165"/>
      <c r="AH819" s="123"/>
      <c r="AI819" s="236"/>
      <c r="AJ819" s="236"/>
      <c r="AK819" s="165"/>
      <c r="AL819" s="123"/>
      <c r="AM819" s="123"/>
      <c r="AN819" s="123"/>
      <c r="AO819" s="160"/>
      <c r="AP819" s="160"/>
      <c r="AR819" s="41"/>
      <c r="AS819" s="41"/>
      <c r="AT819" s="41"/>
      <c r="AU819" s="41"/>
      <c r="AV819" s="41"/>
      <c r="AW819" s="135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</row>
    <row r="820" spans="1:77" s="214" customFormat="1" x14ac:dyDescent="0.3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4"/>
      <c r="M820" s="44"/>
      <c r="N820" s="44"/>
      <c r="O820" s="44"/>
      <c r="P820" s="41"/>
      <c r="Q820" s="41"/>
      <c r="R820" s="44"/>
      <c r="S820" s="41"/>
      <c r="T820" s="42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F820" s="41"/>
      <c r="AG820" s="165"/>
      <c r="AH820" s="41"/>
      <c r="AI820" s="41"/>
      <c r="AJ820" s="41"/>
      <c r="AK820" s="165"/>
      <c r="AL820" s="41"/>
      <c r="AM820" s="41"/>
      <c r="AN820" s="41"/>
      <c r="AO820" s="41"/>
      <c r="AP820" s="41"/>
      <c r="AR820" s="41"/>
      <c r="AS820" s="41"/>
      <c r="AT820" s="41"/>
      <c r="AU820" s="41"/>
      <c r="AV820" s="41"/>
      <c r="AW820" s="135"/>
      <c r="AX820" s="41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BL820" s="41"/>
      <c r="BM820" s="41"/>
      <c r="BN820" s="41"/>
      <c r="BO820" s="41"/>
      <c r="BP820" s="41"/>
      <c r="BQ820" s="41"/>
      <c r="BR820" s="41"/>
      <c r="BS820" s="41"/>
      <c r="BT820" s="41"/>
      <c r="BU820" s="41"/>
      <c r="BV820" s="41"/>
      <c r="BW820" s="41"/>
      <c r="BX820" s="41"/>
      <c r="BY820" s="41"/>
    </row>
    <row r="821" spans="1:77" s="214" customFormat="1" x14ac:dyDescent="0.3">
      <c r="A821" s="44"/>
      <c r="B821" s="41"/>
      <c r="C821" s="44"/>
      <c r="D821" s="44"/>
      <c r="E821" s="44"/>
      <c r="F821" s="44"/>
      <c r="G821" s="41"/>
      <c r="H821" s="41"/>
      <c r="I821" s="41"/>
      <c r="J821" s="44"/>
      <c r="K821" s="44"/>
      <c r="L821" s="44"/>
      <c r="M821" s="44"/>
      <c r="N821" s="44"/>
      <c r="O821" s="44"/>
      <c r="P821" s="44"/>
      <c r="Q821" s="44"/>
      <c r="R821" s="44"/>
      <c r="S821" s="41"/>
      <c r="T821" s="42"/>
      <c r="U821" s="41"/>
      <c r="V821" s="123"/>
      <c r="W821" s="41"/>
      <c r="X821" s="41"/>
      <c r="Y821" s="41"/>
      <c r="Z821" s="41"/>
      <c r="AA821" s="123"/>
      <c r="AB821" s="238"/>
      <c r="AC821" s="123"/>
      <c r="AD821" s="123"/>
      <c r="AE821" s="160"/>
      <c r="AF821" s="160"/>
      <c r="AG821" s="165"/>
      <c r="AH821" s="123"/>
      <c r="AI821" s="236"/>
      <c r="AJ821" s="236"/>
      <c r="AK821" s="165"/>
      <c r="AL821" s="123"/>
      <c r="AM821" s="123"/>
      <c r="AN821" s="123"/>
      <c r="AO821" s="160"/>
      <c r="AP821" s="160"/>
      <c r="AR821" s="41"/>
      <c r="AS821" s="41"/>
      <c r="AT821" s="41"/>
      <c r="AU821" s="41"/>
      <c r="AV821" s="41"/>
      <c r="AW821" s="135"/>
      <c r="AX821" s="41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BL821" s="41"/>
      <c r="BM821" s="41"/>
      <c r="BN821" s="41"/>
      <c r="BO821" s="41"/>
      <c r="BP821" s="41"/>
      <c r="BQ821" s="41"/>
      <c r="BR821" s="41"/>
      <c r="BS821" s="41"/>
      <c r="BT821" s="41"/>
      <c r="BU821" s="41"/>
      <c r="BV821" s="41"/>
      <c r="BW821" s="41"/>
      <c r="BX821" s="41"/>
      <c r="BY821" s="41"/>
    </row>
    <row r="822" spans="1:77" s="214" customFormat="1" x14ac:dyDescent="0.3">
      <c r="A822" s="44"/>
      <c r="B822" s="41"/>
      <c r="C822" s="44"/>
      <c r="D822" s="44"/>
      <c r="E822" s="44"/>
      <c r="F822" s="44"/>
      <c r="G822" s="41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1"/>
      <c r="T822" s="42"/>
      <c r="U822" s="41"/>
      <c r="V822" s="123"/>
      <c r="W822" s="41"/>
      <c r="X822" s="41"/>
      <c r="Y822" s="41"/>
      <c r="Z822" s="41"/>
      <c r="AA822" s="123"/>
      <c r="AB822" s="238"/>
      <c r="AC822" s="123"/>
      <c r="AD822" s="123"/>
      <c r="AE822" s="160"/>
      <c r="AF822" s="160"/>
      <c r="AG822" s="165"/>
      <c r="AH822" s="123"/>
      <c r="AI822" s="236"/>
      <c r="AJ822" s="236"/>
      <c r="AK822" s="165"/>
      <c r="AL822" s="123"/>
      <c r="AM822" s="123"/>
      <c r="AN822" s="123"/>
      <c r="AO822" s="160"/>
      <c r="AP822" s="160"/>
      <c r="AR822" s="41"/>
      <c r="AS822" s="41"/>
      <c r="AT822" s="41"/>
      <c r="AU822" s="41"/>
      <c r="AV822" s="41"/>
      <c r="AW822" s="135"/>
      <c r="AX822" s="41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BL822" s="41"/>
      <c r="BM822" s="41"/>
      <c r="BN822" s="41"/>
      <c r="BO822" s="41"/>
      <c r="BP822" s="41"/>
      <c r="BQ822" s="41"/>
      <c r="BR822" s="41"/>
      <c r="BS822" s="41"/>
      <c r="BT822" s="41"/>
      <c r="BU822" s="41"/>
      <c r="BV822" s="41"/>
      <c r="BW822" s="41"/>
      <c r="BX822" s="41"/>
      <c r="BY822" s="41"/>
    </row>
    <row r="823" spans="1:77" s="214" customFormat="1" x14ac:dyDescent="0.3">
      <c r="A823" s="41"/>
      <c r="B823" s="41"/>
      <c r="C823" s="44"/>
      <c r="D823" s="44"/>
      <c r="E823" s="44"/>
      <c r="F823" s="44"/>
      <c r="G823" s="41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1"/>
      <c r="T823" s="42"/>
      <c r="U823" s="41"/>
      <c r="V823" s="123"/>
      <c r="W823" s="41"/>
      <c r="X823" s="41"/>
      <c r="Y823" s="41"/>
      <c r="Z823" s="41"/>
      <c r="AA823" s="123"/>
      <c r="AB823" s="238"/>
      <c r="AC823" s="123"/>
      <c r="AD823" s="123"/>
      <c r="AE823" s="160"/>
      <c r="AF823" s="160"/>
      <c r="AG823" s="165"/>
      <c r="AH823" s="123"/>
      <c r="AI823" s="236"/>
      <c r="AJ823" s="236"/>
      <c r="AK823" s="165"/>
      <c r="AL823" s="123"/>
      <c r="AM823" s="123"/>
      <c r="AN823" s="123"/>
      <c r="AO823" s="160"/>
      <c r="AP823" s="160"/>
      <c r="AR823" s="41"/>
      <c r="AS823" s="41"/>
      <c r="AT823" s="41"/>
      <c r="AU823" s="41"/>
      <c r="AV823" s="41"/>
      <c r="AW823" s="135"/>
      <c r="AX823" s="41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BL823" s="41"/>
      <c r="BM823" s="41"/>
      <c r="BN823" s="41"/>
      <c r="BO823" s="41"/>
      <c r="BP823" s="41"/>
      <c r="BQ823" s="41"/>
      <c r="BR823" s="41"/>
      <c r="BS823" s="41"/>
      <c r="BT823" s="41"/>
      <c r="BU823" s="41"/>
      <c r="BV823" s="41"/>
      <c r="BW823" s="41"/>
      <c r="BX823" s="41"/>
      <c r="BY823" s="41"/>
    </row>
    <row r="824" spans="1:77" s="214" customFormat="1" x14ac:dyDescent="0.3">
      <c r="A824" s="135"/>
      <c r="B824" s="135"/>
      <c r="C824" s="135"/>
      <c r="D824" s="135"/>
      <c r="E824" s="135"/>
      <c r="F824" s="135"/>
      <c r="G824" s="135"/>
      <c r="H824" s="135"/>
      <c r="I824" s="135"/>
      <c r="J824" s="135"/>
      <c r="K824" s="135"/>
      <c r="L824" s="135"/>
      <c r="M824" s="135"/>
      <c r="N824" s="135"/>
      <c r="O824" s="135"/>
      <c r="P824" s="135"/>
      <c r="Q824" s="135"/>
      <c r="R824" s="135"/>
      <c r="S824" s="41"/>
      <c r="T824" s="42"/>
      <c r="U824" s="41"/>
      <c r="V824" s="123"/>
      <c r="W824" s="41"/>
      <c r="X824" s="41"/>
      <c r="Y824" s="41"/>
      <c r="Z824" s="41"/>
      <c r="AA824" s="123"/>
      <c r="AB824" s="238"/>
      <c r="AC824" s="123"/>
      <c r="AD824" s="123"/>
      <c r="AE824" s="160"/>
      <c r="AF824" s="160"/>
      <c r="AG824" s="165"/>
      <c r="AH824" s="123"/>
      <c r="AI824" s="236"/>
      <c r="AJ824" s="236"/>
      <c r="AK824" s="165"/>
      <c r="AL824" s="123"/>
      <c r="AM824" s="123"/>
      <c r="AN824" s="123"/>
      <c r="AO824" s="160"/>
      <c r="AP824" s="160"/>
      <c r="AR824" s="41"/>
      <c r="AS824" s="41"/>
      <c r="AT824" s="41"/>
      <c r="AU824" s="41"/>
      <c r="AV824" s="41"/>
      <c r="AW824" s="135"/>
      <c r="AX824" s="41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BL824" s="41"/>
      <c r="BM824" s="41"/>
      <c r="BN824" s="41"/>
      <c r="BO824" s="41"/>
      <c r="BP824" s="41"/>
      <c r="BQ824" s="41"/>
      <c r="BR824" s="41"/>
      <c r="BS824" s="41"/>
      <c r="BT824" s="41"/>
      <c r="BU824" s="41"/>
      <c r="BV824" s="41"/>
      <c r="BW824" s="41"/>
      <c r="BX824" s="41"/>
      <c r="BY824" s="41"/>
    </row>
    <row r="825" spans="1:77" s="214" customFormat="1" x14ac:dyDescent="0.3">
      <c r="A825" s="41"/>
      <c r="B825" s="41"/>
      <c r="C825" s="41"/>
      <c r="D825" s="41"/>
      <c r="E825" s="41"/>
      <c r="F825" s="41"/>
      <c r="G825" s="41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1"/>
      <c r="T825" s="42"/>
      <c r="U825" s="41"/>
      <c r="V825" s="41"/>
      <c r="W825" s="41"/>
      <c r="X825" s="41"/>
      <c r="Y825" s="41"/>
      <c r="Z825" s="41"/>
      <c r="AA825" s="41"/>
      <c r="AB825" s="188"/>
      <c r="AC825" s="41"/>
      <c r="AD825" s="41"/>
      <c r="AE825" s="41"/>
      <c r="AF825" s="41"/>
      <c r="AG825" s="165"/>
      <c r="AH825" s="41"/>
      <c r="AI825" s="41"/>
      <c r="AJ825" s="41"/>
      <c r="AK825" s="165"/>
      <c r="AL825" s="41"/>
      <c r="AM825" s="41"/>
      <c r="AN825" s="41"/>
      <c r="AO825" s="41"/>
      <c r="AP825" s="41"/>
      <c r="AR825" s="41"/>
      <c r="AS825" s="41"/>
      <c r="AT825" s="41"/>
      <c r="AU825" s="41"/>
      <c r="AV825" s="41"/>
      <c r="AW825" s="135"/>
      <c r="AX825" s="41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BL825" s="41"/>
      <c r="BM825" s="41"/>
      <c r="BN825" s="41"/>
      <c r="BO825" s="41"/>
      <c r="BP825" s="41"/>
      <c r="BQ825" s="41"/>
      <c r="BR825" s="41"/>
      <c r="BS825" s="41"/>
      <c r="BT825" s="41"/>
      <c r="BU825" s="41"/>
      <c r="BV825" s="41"/>
      <c r="BW825" s="41"/>
      <c r="BX825" s="41"/>
      <c r="BY825" s="41"/>
    </row>
    <row r="826" spans="1:77" s="214" customFormat="1" x14ac:dyDescent="0.3">
      <c r="A826" s="41"/>
      <c r="B826" s="41"/>
      <c r="C826" s="42"/>
      <c r="D826" s="42"/>
      <c r="E826" s="42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2"/>
      <c r="U826" s="41"/>
      <c r="V826" s="123"/>
      <c r="W826" s="41"/>
      <c r="X826" s="41"/>
      <c r="Y826" s="41"/>
      <c r="Z826" s="41"/>
      <c r="AA826" s="123"/>
      <c r="AB826" s="238"/>
      <c r="AC826" s="123"/>
      <c r="AD826" s="123"/>
      <c r="AE826" s="160"/>
      <c r="AF826" s="160"/>
      <c r="AG826" s="165"/>
      <c r="AH826" s="123"/>
      <c r="AI826" s="236"/>
      <c r="AJ826" s="236"/>
      <c r="AK826" s="165"/>
      <c r="AL826" s="123"/>
      <c r="AM826" s="123"/>
      <c r="AN826" s="123"/>
      <c r="AO826" s="160"/>
      <c r="AP826" s="160"/>
      <c r="AR826" s="41"/>
      <c r="AS826" s="41"/>
      <c r="AT826" s="41"/>
      <c r="AU826" s="41"/>
      <c r="AV826" s="41"/>
      <c r="AW826" s="135"/>
      <c r="AX826" s="41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BL826" s="41"/>
      <c r="BM826" s="41"/>
      <c r="BN826" s="41"/>
      <c r="BO826" s="41"/>
      <c r="BP826" s="41"/>
      <c r="BQ826" s="41"/>
      <c r="BR826" s="41"/>
      <c r="BS826" s="41"/>
      <c r="BT826" s="41"/>
      <c r="BU826" s="41"/>
      <c r="BV826" s="41"/>
      <c r="BW826" s="41"/>
      <c r="BX826" s="41"/>
      <c r="BY826" s="41"/>
    </row>
    <row r="827" spans="1:77" x14ac:dyDescent="0.3">
      <c r="T827" s="42"/>
      <c r="V827" s="123"/>
      <c r="AA827" s="123"/>
      <c r="AB827" s="238"/>
      <c r="AC827" s="123"/>
      <c r="AD827" s="123"/>
      <c r="AE827" s="160"/>
      <c r="AF827" s="160"/>
      <c r="AH827" s="123"/>
      <c r="AI827" s="236"/>
      <c r="AJ827" s="236"/>
      <c r="AL827" s="123"/>
      <c r="AM827" s="123"/>
      <c r="AN827" s="123"/>
      <c r="AO827" s="160"/>
      <c r="AP827" s="160"/>
      <c r="AW827" s="135"/>
    </row>
    <row r="828" spans="1:77" s="214" customFormat="1" x14ac:dyDescent="0.3">
      <c r="A828" s="41"/>
      <c r="B828" s="41"/>
      <c r="C828" s="42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2"/>
      <c r="U828" s="41"/>
      <c r="V828" s="123"/>
      <c r="W828" s="41"/>
      <c r="X828" s="41"/>
      <c r="Y828" s="41"/>
      <c r="Z828" s="41"/>
      <c r="AA828" s="123"/>
      <c r="AB828" s="238"/>
      <c r="AC828" s="123"/>
      <c r="AD828" s="123"/>
      <c r="AE828" s="160"/>
      <c r="AF828" s="160"/>
      <c r="AG828" s="165"/>
      <c r="AH828" s="123"/>
      <c r="AI828" s="236"/>
      <c r="AJ828" s="236"/>
      <c r="AK828" s="165"/>
      <c r="AL828" s="123"/>
      <c r="AM828" s="123"/>
      <c r="AN828" s="123"/>
      <c r="AO828" s="160"/>
      <c r="AP828" s="160"/>
      <c r="AR828" s="41"/>
      <c r="AS828" s="41"/>
      <c r="AT828" s="41"/>
      <c r="AU828" s="41"/>
      <c r="AV828" s="41"/>
      <c r="AW828" s="135"/>
      <c r="AX828" s="41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  <c r="BS828" s="41"/>
      <c r="BT828" s="41"/>
      <c r="BU828" s="41"/>
      <c r="BV828" s="41"/>
      <c r="BW828" s="41"/>
      <c r="BX828" s="41"/>
      <c r="BY828" s="41"/>
    </row>
    <row r="829" spans="1:77" s="214" customFormat="1" x14ac:dyDescent="0.3">
      <c r="A829" s="41"/>
      <c r="B829" s="41"/>
      <c r="C829" s="42"/>
      <c r="D829" s="41"/>
      <c r="E829" s="41"/>
      <c r="F829" s="184"/>
      <c r="G829" s="41"/>
      <c r="H829" s="184"/>
      <c r="I829" s="184"/>
      <c r="J829" s="213"/>
      <c r="K829" s="213"/>
      <c r="L829" s="123"/>
      <c r="M829" s="123"/>
      <c r="N829" s="160"/>
      <c r="O829" s="160"/>
      <c r="P829" s="123"/>
      <c r="Q829" s="123"/>
      <c r="R829" s="123"/>
      <c r="S829" s="41"/>
      <c r="T829" s="42"/>
      <c r="U829" s="41"/>
      <c r="V829" s="41"/>
      <c r="W829" s="41"/>
      <c r="X829" s="41"/>
      <c r="Y829" s="41"/>
      <c r="Z829" s="41"/>
      <c r="AA829" s="41"/>
      <c r="AB829" s="188"/>
      <c r="AC829" s="41"/>
      <c r="AD829" s="41"/>
      <c r="AE829" s="41"/>
      <c r="AF829" s="41"/>
      <c r="AG829" s="165"/>
      <c r="AH829" s="41"/>
      <c r="AI829" s="41"/>
      <c r="AJ829" s="41"/>
      <c r="AK829" s="165"/>
      <c r="AL829" s="41"/>
      <c r="AM829" s="41"/>
      <c r="AN829" s="41"/>
      <c r="AO829" s="41"/>
      <c r="AP829" s="41"/>
      <c r="AR829" s="41"/>
      <c r="AS829" s="41"/>
      <c r="AT829" s="41"/>
      <c r="AU829" s="41"/>
      <c r="AV829" s="41"/>
      <c r="AW829" s="135"/>
      <c r="AX829" s="41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BL829" s="41"/>
      <c r="BM829" s="41"/>
      <c r="BN829" s="41"/>
      <c r="BO829" s="41"/>
      <c r="BP829" s="41"/>
      <c r="BQ829" s="41"/>
      <c r="BR829" s="41"/>
      <c r="BS829" s="41"/>
      <c r="BT829" s="41"/>
      <c r="BU829" s="41"/>
      <c r="BV829" s="41"/>
      <c r="BW829" s="41"/>
      <c r="BX829" s="41"/>
      <c r="BY829" s="41"/>
    </row>
    <row r="830" spans="1:77" s="214" customFormat="1" x14ac:dyDescent="0.3">
      <c r="A830" s="41"/>
      <c r="B830" s="41"/>
      <c r="C830" s="42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2"/>
      <c r="U830" s="41"/>
      <c r="V830" s="123"/>
      <c r="W830" s="41"/>
      <c r="X830" s="41"/>
      <c r="Y830" s="41"/>
      <c r="Z830" s="41"/>
      <c r="AA830" s="123"/>
      <c r="AB830" s="238"/>
      <c r="AC830" s="123"/>
      <c r="AD830" s="123"/>
      <c r="AE830" s="160"/>
      <c r="AF830" s="160"/>
      <c r="AG830" s="165"/>
      <c r="AH830" s="123"/>
      <c r="AI830" s="236"/>
      <c r="AJ830" s="236"/>
      <c r="AK830" s="165"/>
      <c r="AL830" s="123"/>
      <c r="AM830" s="123"/>
      <c r="AN830" s="123"/>
      <c r="AO830" s="160"/>
      <c r="AP830" s="160"/>
      <c r="AR830" s="41"/>
      <c r="AS830" s="41"/>
      <c r="AT830" s="41"/>
      <c r="AU830" s="41"/>
      <c r="AV830" s="41"/>
      <c r="AW830" s="135"/>
      <c r="AX830" s="41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  <c r="BS830" s="41"/>
      <c r="BT830" s="41"/>
      <c r="BU830" s="41"/>
      <c r="BV830" s="41"/>
      <c r="BW830" s="41"/>
      <c r="BX830" s="41"/>
      <c r="BY830" s="41"/>
    </row>
    <row r="831" spans="1:77" s="214" customFormat="1" x14ac:dyDescent="0.3">
      <c r="A831" s="41"/>
      <c r="B831" s="41"/>
      <c r="C831" s="42"/>
      <c r="D831" s="41"/>
      <c r="E831" s="41"/>
      <c r="F831" s="184"/>
      <c r="G831" s="41"/>
      <c r="H831" s="184"/>
      <c r="I831" s="184"/>
      <c r="J831" s="238"/>
      <c r="K831" s="238"/>
      <c r="L831" s="123"/>
      <c r="M831" s="123"/>
      <c r="N831" s="160"/>
      <c r="O831" s="160"/>
      <c r="P831" s="123"/>
      <c r="Q831" s="123"/>
      <c r="R831" s="123"/>
      <c r="S831" s="41"/>
      <c r="T831" s="42"/>
      <c r="U831" s="41"/>
      <c r="V831" s="123"/>
      <c r="W831" s="41"/>
      <c r="X831" s="41"/>
      <c r="Y831" s="41"/>
      <c r="Z831" s="41"/>
      <c r="AA831" s="123"/>
      <c r="AB831" s="238"/>
      <c r="AC831" s="123"/>
      <c r="AD831" s="123"/>
      <c r="AE831" s="160"/>
      <c r="AF831" s="160"/>
      <c r="AG831" s="165"/>
      <c r="AH831" s="123"/>
      <c r="AI831" s="236"/>
      <c r="AJ831" s="236"/>
      <c r="AK831" s="165"/>
      <c r="AL831" s="123"/>
      <c r="AM831" s="123"/>
      <c r="AN831" s="123"/>
      <c r="AO831" s="160"/>
      <c r="AP831" s="160"/>
      <c r="AR831" s="41"/>
      <c r="AS831" s="41"/>
      <c r="AT831" s="41"/>
      <c r="AU831" s="41"/>
      <c r="AV831" s="41"/>
      <c r="AW831" s="135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</row>
    <row r="832" spans="1:77" s="214" customFormat="1" x14ac:dyDescent="0.3">
      <c r="A832" s="41"/>
      <c r="B832" s="41"/>
      <c r="C832" s="42"/>
      <c r="D832" s="41"/>
      <c r="E832" s="41"/>
      <c r="F832" s="184"/>
      <c r="G832" s="41"/>
      <c r="H832" s="184"/>
      <c r="I832" s="184"/>
      <c r="J832" s="238"/>
      <c r="K832" s="238"/>
      <c r="L832" s="123"/>
      <c r="M832" s="123"/>
      <c r="N832" s="160"/>
      <c r="O832" s="160"/>
      <c r="P832" s="123"/>
      <c r="Q832" s="123"/>
      <c r="R832" s="123"/>
      <c r="S832" s="41"/>
      <c r="T832" s="42"/>
      <c r="U832" s="41"/>
      <c r="V832" s="41"/>
      <c r="W832" s="41"/>
      <c r="X832" s="41"/>
      <c r="Y832" s="41"/>
      <c r="Z832" s="41"/>
      <c r="AA832" s="41"/>
      <c r="AB832" s="188"/>
      <c r="AC832" s="41"/>
      <c r="AD832" s="41"/>
      <c r="AE832" s="41"/>
      <c r="AF832" s="41"/>
      <c r="AG832" s="165"/>
      <c r="AH832" s="41"/>
      <c r="AI832" s="41"/>
      <c r="AJ832" s="41"/>
      <c r="AK832" s="165"/>
      <c r="AL832" s="41"/>
      <c r="AM832" s="41"/>
      <c r="AN832" s="41"/>
      <c r="AO832" s="41"/>
      <c r="AP832" s="41"/>
      <c r="AR832" s="41"/>
      <c r="AS832" s="41"/>
      <c r="AT832" s="41"/>
      <c r="AU832" s="41"/>
      <c r="AV832" s="41"/>
      <c r="AW832" s="135"/>
      <c r="AX832" s="41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  <c r="BS832" s="41"/>
      <c r="BT832" s="41"/>
      <c r="BU832" s="41"/>
      <c r="BV832" s="41"/>
      <c r="BW832" s="41"/>
      <c r="BX832" s="41"/>
      <c r="BY832" s="41"/>
    </row>
    <row r="833" spans="1:77" s="214" customFormat="1" x14ac:dyDescent="0.3">
      <c r="A833" s="41"/>
      <c r="B833" s="41"/>
      <c r="C833" s="42"/>
      <c r="D833" s="41"/>
      <c r="E833" s="41"/>
      <c r="F833" s="184"/>
      <c r="G833" s="41"/>
      <c r="H833" s="184"/>
      <c r="I833" s="184"/>
      <c r="J833" s="238"/>
      <c r="K833" s="238"/>
      <c r="L833" s="123"/>
      <c r="M833" s="123"/>
      <c r="N833" s="160"/>
      <c r="O833" s="160"/>
      <c r="P833" s="123"/>
      <c r="Q833" s="123"/>
      <c r="R833" s="123"/>
      <c r="S833" s="41"/>
      <c r="T833" s="42"/>
      <c r="U833" s="41"/>
      <c r="V833" s="123"/>
      <c r="W833" s="41"/>
      <c r="X833" s="41"/>
      <c r="Y833" s="41"/>
      <c r="Z833" s="41"/>
      <c r="AA833" s="123"/>
      <c r="AB833" s="238"/>
      <c r="AC833" s="123"/>
      <c r="AD833" s="123"/>
      <c r="AE833" s="160"/>
      <c r="AF833" s="160"/>
      <c r="AG833" s="165"/>
      <c r="AH833" s="123"/>
      <c r="AI833" s="236"/>
      <c r="AJ833" s="236"/>
      <c r="AK833" s="165"/>
      <c r="AL833" s="123"/>
      <c r="AM833" s="123"/>
      <c r="AN833" s="123"/>
      <c r="AO833" s="160"/>
      <c r="AP833" s="160"/>
      <c r="AR833" s="41"/>
      <c r="AS833" s="41"/>
      <c r="AT833" s="41"/>
      <c r="AU833" s="41"/>
      <c r="AV833" s="41"/>
      <c r="AW833" s="135"/>
      <c r="AX833" s="41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  <c r="BS833" s="41"/>
      <c r="BT833" s="41"/>
      <c r="BU833" s="41"/>
      <c r="BV833" s="41"/>
      <c r="BW833" s="41"/>
      <c r="BX833" s="41"/>
      <c r="BY833" s="41"/>
    </row>
    <row r="834" spans="1:77" s="214" customFormat="1" x14ac:dyDescent="0.3">
      <c r="A834" s="41"/>
      <c r="B834" s="41"/>
      <c r="C834" s="42"/>
      <c r="D834" s="41"/>
      <c r="E834" s="41"/>
      <c r="F834" s="184"/>
      <c r="G834" s="41"/>
      <c r="H834" s="184"/>
      <c r="I834" s="184"/>
      <c r="J834" s="238"/>
      <c r="K834" s="238"/>
      <c r="L834" s="123"/>
      <c r="M834" s="123"/>
      <c r="N834" s="160"/>
      <c r="O834" s="160"/>
      <c r="P834" s="123"/>
      <c r="Q834" s="123"/>
      <c r="R834" s="123"/>
      <c r="S834" s="41"/>
      <c r="T834" s="42"/>
      <c r="U834" s="41"/>
      <c r="V834" s="123"/>
      <c r="W834" s="41"/>
      <c r="X834" s="41"/>
      <c r="Y834" s="41"/>
      <c r="Z834" s="41"/>
      <c r="AA834" s="123"/>
      <c r="AB834" s="238"/>
      <c r="AC834" s="123"/>
      <c r="AD834" s="123"/>
      <c r="AE834" s="160"/>
      <c r="AF834" s="160"/>
      <c r="AG834" s="165"/>
      <c r="AH834" s="123"/>
      <c r="AI834" s="236"/>
      <c r="AJ834" s="236"/>
      <c r="AK834" s="165"/>
      <c r="AL834" s="123"/>
      <c r="AM834" s="123"/>
      <c r="AN834" s="123"/>
      <c r="AO834" s="160"/>
      <c r="AP834" s="160"/>
      <c r="AR834" s="41"/>
      <c r="AS834" s="41"/>
      <c r="AT834" s="41"/>
      <c r="AU834" s="41"/>
      <c r="AV834" s="41"/>
      <c r="AW834" s="135"/>
      <c r="AX834" s="41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  <c r="BY834" s="41"/>
    </row>
    <row r="835" spans="1:77" s="214" customFormat="1" x14ac:dyDescent="0.3">
      <c r="A835" s="41"/>
      <c r="B835" s="41"/>
      <c r="C835" s="42"/>
      <c r="D835" s="41"/>
      <c r="E835" s="41"/>
      <c r="F835" s="41"/>
      <c r="G835" s="41"/>
      <c r="H835" s="41"/>
      <c r="I835" s="41"/>
      <c r="J835" s="188"/>
      <c r="K835" s="188"/>
      <c r="L835" s="41"/>
      <c r="M835" s="41"/>
      <c r="N835" s="41"/>
      <c r="O835" s="41"/>
      <c r="P835" s="41"/>
      <c r="Q835" s="41"/>
      <c r="R835" s="41"/>
      <c r="S835" s="41"/>
      <c r="T835" s="42"/>
      <c r="U835" s="41"/>
      <c r="V835" s="123"/>
      <c r="W835" s="41"/>
      <c r="X835" s="41"/>
      <c r="Y835" s="41"/>
      <c r="Z835" s="41"/>
      <c r="AA835" s="123"/>
      <c r="AB835" s="238"/>
      <c r="AC835" s="123"/>
      <c r="AD835" s="123"/>
      <c r="AE835" s="160"/>
      <c r="AF835" s="160"/>
      <c r="AG835" s="165"/>
      <c r="AH835" s="123"/>
      <c r="AI835" s="236"/>
      <c r="AJ835" s="236"/>
      <c r="AK835" s="165"/>
      <c r="AL835" s="123"/>
      <c r="AM835" s="123"/>
      <c r="AN835" s="123"/>
      <c r="AO835" s="160"/>
      <c r="AP835" s="160"/>
      <c r="AR835" s="41"/>
      <c r="AS835" s="41"/>
      <c r="AT835" s="41"/>
      <c r="AU835" s="41"/>
      <c r="AV835" s="41"/>
      <c r="AW835" s="41"/>
      <c r="AX835" s="41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  <c r="BS835" s="41"/>
      <c r="BT835" s="41"/>
      <c r="BU835" s="41"/>
      <c r="BV835" s="41"/>
      <c r="BW835" s="41"/>
      <c r="BX835" s="41"/>
      <c r="BY835" s="41"/>
    </row>
    <row r="836" spans="1:77" s="214" customFormat="1" x14ac:dyDescent="0.3">
      <c r="A836" s="41"/>
      <c r="B836" s="41"/>
      <c r="C836" s="42"/>
      <c r="D836" s="41"/>
      <c r="E836" s="41"/>
      <c r="F836" s="184"/>
      <c r="G836" s="41"/>
      <c r="H836" s="184"/>
      <c r="I836" s="184"/>
      <c r="J836" s="238"/>
      <c r="K836" s="238"/>
      <c r="L836" s="123"/>
      <c r="M836" s="123"/>
      <c r="N836" s="160"/>
      <c r="O836" s="160"/>
      <c r="P836" s="123"/>
      <c r="Q836" s="123"/>
      <c r="R836" s="123"/>
      <c r="S836" s="41"/>
      <c r="T836" s="41"/>
      <c r="U836" s="41"/>
      <c r="V836" s="210"/>
      <c r="W836" s="41"/>
      <c r="X836" s="41"/>
      <c r="Y836" s="41"/>
      <c r="Z836" s="41"/>
      <c r="AA836" s="210"/>
      <c r="AB836" s="238"/>
      <c r="AC836" s="210"/>
      <c r="AD836" s="210"/>
      <c r="AE836" s="210"/>
      <c r="AF836" s="210"/>
      <c r="AH836" s="210"/>
      <c r="AI836" s="41"/>
      <c r="AJ836" s="41"/>
      <c r="AL836" s="210"/>
      <c r="AM836" s="210"/>
      <c r="AN836" s="210"/>
      <c r="AO836" s="41"/>
      <c r="AP836" s="41"/>
      <c r="AR836" s="41"/>
      <c r="AS836" s="41"/>
      <c r="AT836" s="41"/>
      <c r="AU836" s="41"/>
      <c r="AV836" s="41"/>
      <c r="AW836" s="41"/>
      <c r="AX836" s="41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/>
      <c r="BU836" s="41"/>
      <c r="BV836" s="41"/>
      <c r="BW836" s="41"/>
      <c r="BX836" s="41"/>
      <c r="BY836" s="41"/>
    </row>
    <row r="837" spans="1:77" s="214" customFormat="1" x14ac:dyDescent="0.3">
      <c r="A837" s="41"/>
      <c r="B837" s="41"/>
      <c r="C837" s="42"/>
      <c r="D837" s="41"/>
      <c r="E837" s="41"/>
      <c r="F837" s="184"/>
      <c r="G837" s="41"/>
      <c r="H837" s="184"/>
      <c r="I837" s="184"/>
      <c r="J837" s="238"/>
      <c r="K837" s="238"/>
      <c r="L837" s="123"/>
      <c r="M837" s="123"/>
      <c r="N837" s="160"/>
      <c r="O837" s="160"/>
      <c r="P837" s="123"/>
      <c r="Q837" s="123"/>
      <c r="R837" s="123"/>
      <c r="S837" s="41"/>
      <c r="T837" s="44"/>
      <c r="U837" s="41"/>
      <c r="V837" s="123"/>
      <c r="W837" s="41"/>
      <c r="X837" s="41"/>
      <c r="Y837" s="41"/>
      <c r="Z837" s="41"/>
      <c r="AA837" s="123"/>
      <c r="AB837" s="188"/>
      <c r="AC837" s="123"/>
      <c r="AD837" s="123"/>
      <c r="AE837" s="123"/>
      <c r="AF837" s="123"/>
      <c r="AG837" s="165"/>
      <c r="AH837" s="123"/>
      <c r="AI837" s="236"/>
      <c r="AJ837" s="236"/>
      <c r="AK837" s="165"/>
      <c r="AL837" s="123"/>
      <c r="AM837" s="123"/>
      <c r="AN837" s="123"/>
      <c r="AO837" s="160"/>
      <c r="AP837" s="160"/>
      <c r="AR837" s="41"/>
      <c r="AS837" s="41"/>
      <c r="AT837" s="41"/>
      <c r="AU837" s="41"/>
      <c r="AV837" s="41"/>
      <c r="AW837" s="41"/>
      <c r="AX837" s="41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  <c r="BS837" s="41"/>
      <c r="BT837" s="41"/>
      <c r="BU837" s="41"/>
      <c r="BV837" s="41"/>
      <c r="BW837" s="41"/>
      <c r="BX837" s="41"/>
      <c r="BY837" s="41"/>
    </row>
    <row r="838" spans="1:77" s="214" customFormat="1" x14ac:dyDescent="0.3">
      <c r="A838" s="41"/>
      <c r="B838" s="41"/>
      <c r="C838" s="42"/>
      <c r="D838" s="41"/>
      <c r="E838" s="41"/>
      <c r="F838" s="184"/>
      <c r="G838" s="41"/>
      <c r="H838" s="184"/>
      <c r="I838" s="184"/>
      <c r="J838" s="238"/>
      <c r="K838" s="238"/>
      <c r="L838" s="123"/>
      <c r="M838" s="123"/>
      <c r="N838" s="160"/>
      <c r="O838" s="160"/>
      <c r="P838" s="123"/>
      <c r="Q838" s="123"/>
      <c r="R838" s="123"/>
      <c r="S838" s="41"/>
      <c r="T838" s="41"/>
      <c r="U838" s="41"/>
      <c r="V838" s="210"/>
      <c r="W838" s="41"/>
      <c r="X838" s="41"/>
      <c r="Y838" s="41"/>
      <c r="Z838" s="41"/>
      <c r="AA838" s="210"/>
      <c r="AB838" s="238"/>
      <c r="AC838" s="210"/>
      <c r="AD838" s="210"/>
      <c r="AE838" s="210"/>
      <c r="AF838" s="210"/>
      <c r="AH838" s="210"/>
      <c r="AI838" s="41"/>
      <c r="AJ838" s="41"/>
      <c r="AL838" s="210"/>
      <c r="AM838" s="210"/>
      <c r="AN838" s="210"/>
      <c r="AO838" s="41"/>
      <c r="AP838" s="41"/>
      <c r="AR838" s="41"/>
      <c r="AS838" s="41"/>
      <c r="AT838" s="41"/>
      <c r="AU838" s="41"/>
      <c r="AV838" s="41"/>
      <c r="AW838" s="41"/>
      <c r="AX838" s="41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  <c r="BS838" s="41"/>
      <c r="BT838" s="41"/>
      <c r="BU838" s="41"/>
      <c r="BV838" s="41"/>
      <c r="BW838" s="41"/>
      <c r="BX838" s="41"/>
      <c r="BY838" s="41"/>
    </row>
    <row r="839" spans="1:77" s="214" customFormat="1" x14ac:dyDescent="0.3">
      <c r="A839" s="41"/>
      <c r="B839" s="41"/>
      <c r="C839" s="42"/>
      <c r="D839" s="41"/>
      <c r="E839" s="41"/>
      <c r="F839" s="41"/>
      <c r="G839" s="41"/>
      <c r="H839" s="41"/>
      <c r="I839" s="41"/>
      <c r="J839" s="188"/>
      <c r="K839" s="188"/>
      <c r="L839" s="41"/>
      <c r="M839" s="41"/>
      <c r="N839" s="41"/>
      <c r="O839" s="41"/>
      <c r="P839" s="41"/>
      <c r="Q839" s="41"/>
      <c r="R839" s="41"/>
      <c r="S839" s="41"/>
      <c r="T839" s="42"/>
      <c r="U839" s="41"/>
      <c r="V839" s="41"/>
      <c r="W839" s="41"/>
      <c r="X839" s="41"/>
      <c r="Y839" s="41"/>
      <c r="Z839" s="41"/>
      <c r="AA839" s="41"/>
      <c r="AB839" s="188"/>
      <c r="AC839" s="41"/>
      <c r="AD839" s="41"/>
      <c r="AE839" s="41"/>
      <c r="AF839" s="41"/>
      <c r="AG839" s="165"/>
      <c r="AH839" s="41"/>
      <c r="AI839" s="41"/>
      <c r="AJ839" s="41"/>
      <c r="AK839" s="165"/>
      <c r="AL839" s="41"/>
      <c r="AM839" s="41"/>
      <c r="AN839" s="41"/>
      <c r="AO839" s="41"/>
      <c r="AP839" s="41"/>
      <c r="AR839" s="41"/>
      <c r="AS839" s="41"/>
      <c r="AT839" s="41"/>
      <c r="AU839" s="41"/>
      <c r="AV839" s="41"/>
      <c r="AW839" s="41"/>
      <c r="AX839" s="41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  <c r="BS839" s="41"/>
      <c r="BT839" s="41"/>
      <c r="BU839" s="41"/>
      <c r="BV839" s="41"/>
      <c r="BW839" s="41"/>
      <c r="BX839" s="41"/>
      <c r="BY839" s="41"/>
    </row>
    <row r="840" spans="1:77" s="214" customFormat="1" x14ac:dyDescent="0.3">
      <c r="A840" s="41"/>
      <c r="B840" s="41"/>
      <c r="C840" s="42"/>
      <c r="D840" s="41"/>
      <c r="E840" s="41"/>
      <c r="F840" s="184"/>
      <c r="G840" s="41"/>
      <c r="H840" s="184"/>
      <c r="I840" s="184"/>
      <c r="J840" s="238"/>
      <c r="K840" s="238"/>
      <c r="L840" s="123"/>
      <c r="M840" s="123"/>
      <c r="N840" s="160"/>
      <c r="O840" s="160"/>
      <c r="P840" s="123"/>
      <c r="Q840" s="123"/>
      <c r="R840" s="123"/>
      <c r="S840" s="41"/>
      <c r="T840" s="42"/>
      <c r="U840" s="41"/>
      <c r="V840" s="41"/>
      <c r="W840" s="41"/>
      <c r="X840" s="41"/>
      <c r="Y840" s="41"/>
      <c r="Z840" s="41"/>
      <c r="AA840" s="41"/>
      <c r="AB840" s="188"/>
      <c r="AC840" s="41"/>
      <c r="AD840" s="41"/>
      <c r="AE840" s="41"/>
      <c r="AF840" s="41"/>
      <c r="AG840" s="165"/>
      <c r="AH840" s="41"/>
      <c r="AI840" s="41"/>
      <c r="AJ840" s="41"/>
      <c r="AK840" s="165"/>
      <c r="AL840" s="41"/>
      <c r="AM840" s="41"/>
      <c r="AN840" s="41"/>
      <c r="AO840" s="41"/>
      <c r="AP840" s="41"/>
      <c r="AR840" s="41"/>
      <c r="AS840" s="41"/>
      <c r="AT840" s="41"/>
      <c r="AU840" s="41"/>
      <c r="AV840" s="41"/>
      <c r="AW840" s="41"/>
      <c r="AX840" s="41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/>
      <c r="BS840" s="41"/>
      <c r="BT840" s="41"/>
      <c r="BU840" s="41"/>
      <c r="BV840" s="41"/>
      <c r="BW840" s="41"/>
      <c r="BX840" s="41"/>
      <c r="BY840" s="41"/>
    </row>
    <row r="841" spans="1:77" s="214" customFormat="1" x14ac:dyDescent="0.3">
      <c r="A841" s="41"/>
      <c r="B841" s="41"/>
      <c r="C841" s="42"/>
      <c r="D841" s="41"/>
      <c r="E841" s="41"/>
      <c r="F841" s="184"/>
      <c r="G841" s="41"/>
      <c r="H841" s="184"/>
      <c r="I841" s="184"/>
      <c r="J841" s="238"/>
      <c r="K841" s="238"/>
      <c r="L841" s="123"/>
      <c r="M841" s="123"/>
      <c r="N841" s="160"/>
      <c r="O841" s="160"/>
      <c r="P841" s="123"/>
      <c r="Q841" s="123"/>
      <c r="R841" s="123"/>
      <c r="S841" s="41"/>
      <c r="T841" s="42"/>
      <c r="U841" s="41"/>
      <c r="V841" s="123"/>
      <c r="W841" s="41"/>
      <c r="X841" s="41"/>
      <c r="Y841" s="41"/>
      <c r="Z841" s="41"/>
      <c r="AA841" s="123"/>
      <c r="AB841" s="238"/>
      <c r="AC841" s="123"/>
      <c r="AD841" s="123"/>
      <c r="AE841" s="160"/>
      <c r="AF841" s="160"/>
      <c r="AG841" s="165"/>
      <c r="AH841" s="123"/>
      <c r="AI841" s="236"/>
      <c r="AJ841" s="236"/>
      <c r="AK841" s="165"/>
      <c r="AL841" s="123"/>
      <c r="AM841" s="123"/>
      <c r="AN841" s="123"/>
      <c r="AO841" s="160"/>
      <c r="AP841" s="160"/>
      <c r="AR841" s="41"/>
      <c r="AS841" s="41"/>
      <c r="AT841" s="41"/>
      <c r="AU841" s="41"/>
      <c r="AV841" s="41"/>
      <c r="AW841" s="41"/>
      <c r="AX841" s="41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/>
      <c r="BU841" s="41"/>
      <c r="BV841" s="41"/>
      <c r="BW841" s="41"/>
      <c r="BX841" s="41"/>
      <c r="BY841" s="41"/>
    </row>
    <row r="842" spans="1:77" s="214" customFormat="1" x14ac:dyDescent="0.3">
      <c r="A842" s="41"/>
      <c r="B842" s="41"/>
      <c r="C842" s="42"/>
      <c r="D842" s="41"/>
      <c r="E842" s="41"/>
      <c r="F842" s="41"/>
      <c r="G842" s="41"/>
      <c r="H842" s="41"/>
      <c r="I842" s="41"/>
      <c r="J842" s="188"/>
      <c r="K842" s="188"/>
      <c r="L842" s="41"/>
      <c r="M842" s="41"/>
      <c r="N842" s="41"/>
      <c r="O842" s="41"/>
      <c r="P842" s="41"/>
      <c r="Q842" s="41"/>
      <c r="R842" s="41"/>
      <c r="S842" s="41"/>
      <c r="T842" s="42"/>
      <c r="U842" s="41"/>
      <c r="V842" s="123"/>
      <c r="W842" s="41"/>
      <c r="X842" s="41"/>
      <c r="Y842" s="41"/>
      <c r="Z842" s="41"/>
      <c r="AA842" s="123"/>
      <c r="AB842" s="238"/>
      <c r="AC842" s="123"/>
      <c r="AD842" s="123"/>
      <c r="AE842" s="160"/>
      <c r="AF842" s="160"/>
      <c r="AG842" s="165"/>
      <c r="AH842" s="123"/>
      <c r="AI842" s="236"/>
      <c r="AJ842" s="236"/>
      <c r="AK842" s="165"/>
      <c r="AL842" s="123"/>
      <c r="AM842" s="123"/>
      <c r="AN842" s="123"/>
      <c r="AO842" s="160"/>
      <c r="AP842" s="160"/>
      <c r="AR842" s="41"/>
      <c r="AS842" s="41"/>
      <c r="AT842" s="41"/>
      <c r="AU842" s="41"/>
      <c r="AV842" s="41"/>
      <c r="AW842" s="41"/>
      <c r="AX842" s="41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  <c r="BS842" s="41"/>
      <c r="BT842" s="41"/>
      <c r="BU842" s="41"/>
      <c r="BV842" s="41"/>
      <c r="BW842" s="41"/>
      <c r="BX842" s="41"/>
      <c r="BY842" s="41"/>
    </row>
    <row r="843" spans="1:77" s="214" customFormat="1" x14ac:dyDescent="0.3">
      <c r="A843" s="41"/>
      <c r="B843" s="41"/>
      <c r="C843" s="42"/>
      <c r="D843" s="41"/>
      <c r="E843" s="41"/>
      <c r="F843" s="184"/>
      <c r="G843" s="41"/>
      <c r="H843" s="184"/>
      <c r="I843" s="184"/>
      <c r="J843" s="238"/>
      <c r="K843" s="238"/>
      <c r="L843" s="123"/>
      <c r="M843" s="123"/>
      <c r="N843" s="160"/>
      <c r="O843" s="160"/>
      <c r="P843" s="123"/>
      <c r="Q843" s="123"/>
      <c r="R843" s="123"/>
      <c r="S843" s="41"/>
      <c r="T843" s="42"/>
      <c r="U843" s="41"/>
      <c r="V843" s="123"/>
      <c r="W843" s="41"/>
      <c r="X843" s="41"/>
      <c r="Y843" s="41"/>
      <c r="Z843" s="41"/>
      <c r="AA843" s="123"/>
      <c r="AB843" s="238"/>
      <c r="AC843" s="123"/>
      <c r="AD843" s="123"/>
      <c r="AE843" s="160"/>
      <c r="AF843" s="160"/>
      <c r="AG843" s="165"/>
      <c r="AH843" s="123"/>
      <c r="AI843" s="236"/>
      <c r="AJ843" s="236"/>
      <c r="AK843" s="165"/>
      <c r="AL843" s="123"/>
      <c r="AM843" s="123"/>
      <c r="AN843" s="123"/>
      <c r="AO843" s="160"/>
      <c r="AP843" s="160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</row>
    <row r="844" spans="1:77" s="214" customFormat="1" x14ac:dyDescent="0.3">
      <c r="A844" s="41"/>
      <c r="B844" s="41"/>
      <c r="C844" s="42"/>
      <c r="D844" s="41"/>
      <c r="E844" s="41"/>
      <c r="F844" s="184"/>
      <c r="G844" s="41"/>
      <c r="H844" s="184"/>
      <c r="I844" s="184"/>
      <c r="J844" s="238"/>
      <c r="K844" s="238"/>
      <c r="L844" s="123"/>
      <c r="M844" s="123"/>
      <c r="N844" s="160"/>
      <c r="O844" s="160"/>
      <c r="P844" s="123"/>
      <c r="Q844" s="123"/>
      <c r="R844" s="123"/>
      <c r="S844" s="41"/>
      <c r="T844" s="42"/>
      <c r="U844" s="41"/>
      <c r="V844" s="123"/>
      <c r="W844" s="41"/>
      <c r="X844" s="41"/>
      <c r="Y844" s="41"/>
      <c r="Z844" s="41"/>
      <c r="AA844" s="123"/>
      <c r="AB844" s="238"/>
      <c r="AC844" s="123"/>
      <c r="AD844" s="123"/>
      <c r="AE844" s="160"/>
      <c r="AF844" s="160"/>
      <c r="AG844" s="165"/>
      <c r="AH844" s="123"/>
      <c r="AI844" s="236"/>
      <c r="AJ844" s="236"/>
      <c r="AK844" s="165"/>
      <c r="AL844" s="123"/>
      <c r="AM844" s="123"/>
      <c r="AN844" s="123"/>
      <c r="AO844" s="160"/>
      <c r="AP844" s="160"/>
      <c r="AR844" s="41"/>
      <c r="AS844" s="41"/>
      <c r="AT844" s="41"/>
      <c r="AU844" s="41"/>
      <c r="AV844" s="41"/>
      <c r="AW844" s="41"/>
      <c r="AX844" s="41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  <c r="BY844" s="41"/>
    </row>
    <row r="845" spans="1:77" s="214" customFormat="1" x14ac:dyDescent="0.3">
      <c r="A845" s="41"/>
      <c r="B845" s="41"/>
      <c r="C845" s="42"/>
      <c r="D845" s="41"/>
      <c r="E845" s="41"/>
      <c r="F845" s="184"/>
      <c r="G845" s="41"/>
      <c r="H845" s="184"/>
      <c r="I845" s="184"/>
      <c r="J845" s="238"/>
      <c r="K845" s="238"/>
      <c r="L845" s="123"/>
      <c r="M845" s="123"/>
      <c r="N845" s="160"/>
      <c r="O845" s="160"/>
      <c r="P845" s="123"/>
      <c r="Q845" s="123"/>
      <c r="R845" s="123"/>
      <c r="S845" s="41"/>
      <c r="T845" s="42"/>
      <c r="U845" s="41"/>
      <c r="V845" s="123"/>
      <c r="W845" s="41"/>
      <c r="X845" s="41"/>
      <c r="Y845" s="41"/>
      <c r="Z845" s="41"/>
      <c r="AA845" s="123"/>
      <c r="AB845" s="238"/>
      <c r="AC845" s="123"/>
      <c r="AD845" s="123"/>
      <c r="AE845" s="160"/>
      <c r="AF845" s="160"/>
      <c r="AG845" s="165"/>
      <c r="AH845" s="123"/>
      <c r="AI845" s="236"/>
      <c r="AJ845" s="236"/>
      <c r="AK845" s="165"/>
      <c r="AL845" s="123"/>
      <c r="AM845" s="123"/>
      <c r="AN845" s="123"/>
      <c r="AO845" s="160"/>
      <c r="AP845" s="160"/>
      <c r="AR845" s="41"/>
      <c r="AS845" s="41"/>
      <c r="AT845" s="41"/>
      <c r="AU845" s="41"/>
      <c r="AV845" s="41"/>
      <c r="AW845" s="41"/>
      <c r="AX845" s="41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  <c r="BS845" s="41"/>
      <c r="BT845" s="41"/>
      <c r="BU845" s="41"/>
      <c r="BV845" s="41"/>
      <c r="BW845" s="41"/>
      <c r="BX845" s="41"/>
      <c r="BY845" s="41"/>
    </row>
    <row r="846" spans="1:77" s="214" customFormat="1" x14ac:dyDescent="0.3">
      <c r="A846" s="41"/>
      <c r="B846" s="41"/>
      <c r="C846" s="41"/>
      <c r="D846" s="41"/>
      <c r="E846" s="41"/>
      <c r="F846" s="210"/>
      <c r="G846" s="41"/>
      <c r="H846" s="210"/>
      <c r="I846" s="210"/>
      <c r="J846" s="238"/>
      <c r="K846" s="238"/>
      <c r="L846" s="210"/>
      <c r="M846" s="210"/>
      <c r="N846" s="210"/>
      <c r="O846" s="210"/>
      <c r="P846" s="210"/>
      <c r="Q846" s="210"/>
      <c r="R846" s="210"/>
      <c r="S846" s="41"/>
      <c r="T846" s="42"/>
      <c r="U846" s="41"/>
      <c r="V846" s="123"/>
      <c r="W846" s="41"/>
      <c r="X846" s="41"/>
      <c r="Y846" s="41"/>
      <c r="Z846" s="41"/>
      <c r="AA846" s="123"/>
      <c r="AB846" s="238"/>
      <c r="AC846" s="123"/>
      <c r="AD846" s="123"/>
      <c r="AE846" s="160"/>
      <c r="AF846" s="160"/>
      <c r="AG846" s="165"/>
      <c r="AH846" s="123"/>
      <c r="AI846" s="236"/>
      <c r="AJ846" s="236"/>
      <c r="AK846" s="165"/>
      <c r="AL846" s="123"/>
      <c r="AM846" s="123"/>
      <c r="AN846" s="123"/>
      <c r="AO846" s="160"/>
      <c r="AP846" s="160"/>
      <c r="AR846" s="41"/>
      <c r="AS846" s="41"/>
      <c r="AT846" s="41"/>
      <c r="AU846" s="41"/>
      <c r="AV846" s="41"/>
      <c r="AW846" s="41"/>
      <c r="AX846" s="41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/>
      <c r="BU846" s="41"/>
      <c r="BV846" s="41"/>
      <c r="BW846" s="41"/>
      <c r="BX846" s="41"/>
      <c r="BY846" s="41"/>
    </row>
    <row r="847" spans="1:77" s="214" customFormat="1" x14ac:dyDescent="0.3">
      <c r="A847" s="41"/>
      <c r="B847" s="41"/>
      <c r="C847" s="44"/>
      <c r="D847" s="41"/>
      <c r="E847" s="41"/>
      <c r="F847" s="123"/>
      <c r="G847" s="41"/>
      <c r="H847" s="123"/>
      <c r="I847" s="123"/>
      <c r="J847" s="188"/>
      <c r="K847" s="188"/>
      <c r="L847" s="123"/>
      <c r="M847" s="123"/>
      <c r="N847" s="236"/>
      <c r="O847" s="236"/>
      <c r="P847" s="123"/>
      <c r="Q847" s="123"/>
      <c r="R847" s="123"/>
      <c r="S847" s="41"/>
      <c r="T847" s="42"/>
      <c r="U847" s="41"/>
      <c r="V847" s="123"/>
      <c r="W847" s="41"/>
      <c r="X847" s="41"/>
      <c r="Y847" s="41"/>
      <c r="Z847" s="41"/>
      <c r="AA847" s="123"/>
      <c r="AB847" s="238"/>
      <c r="AC847" s="123"/>
      <c r="AD847" s="123"/>
      <c r="AE847" s="160"/>
      <c r="AF847" s="160"/>
      <c r="AG847" s="165"/>
      <c r="AH847" s="123"/>
      <c r="AI847" s="236"/>
      <c r="AJ847" s="236"/>
      <c r="AK847" s="165"/>
      <c r="AL847" s="123"/>
      <c r="AM847" s="123"/>
      <c r="AN847" s="123"/>
      <c r="AO847" s="160"/>
      <c r="AP847" s="160"/>
      <c r="AR847" s="41"/>
      <c r="AS847" s="41"/>
      <c r="AT847" s="41"/>
      <c r="AU847" s="41"/>
      <c r="AV847" s="41"/>
      <c r="AW847" s="41"/>
      <c r="AX847" s="41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/>
      <c r="BY847" s="41"/>
    </row>
    <row r="848" spans="1:77" s="214" customFormat="1" x14ac:dyDescent="0.3">
      <c r="A848" s="41"/>
      <c r="B848" s="41"/>
      <c r="C848" s="41"/>
      <c r="D848" s="41"/>
      <c r="E848" s="41"/>
      <c r="F848" s="210"/>
      <c r="G848" s="41"/>
      <c r="H848" s="210"/>
      <c r="I848" s="210"/>
      <c r="J848" s="238"/>
      <c r="K848" s="238"/>
      <c r="L848" s="210"/>
      <c r="M848" s="210"/>
      <c r="N848" s="210"/>
      <c r="O848" s="210"/>
      <c r="P848" s="210"/>
      <c r="Q848" s="210"/>
      <c r="R848" s="210"/>
      <c r="S848" s="41"/>
      <c r="T848" s="42"/>
      <c r="U848" s="41"/>
      <c r="V848" s="41"/>
      <c r="W848" s="41"/>
      <c r="X848" s="41"/>
      <c r="Y848" s="41"/>
      <c r="Z848" s="41"/>
      <c r="AA848" s="41"/>
      <c r="AB848" s="188"/>
      <c r="AC848" s="41"/>
      <c r="AD848" s="41"/>
      <c r="AE848" s="41"/>
      <c r="AF848" s="41"/>
      <c r="AG848" s="165"/>
      <c r="AH848" s="41"/>
      <c r="AI848" s="41"/>
      <c r="AJ848" s="41"/>
      <c r="AK848" s="165"/>
      <c r="AL848" s="41"/>
      <c r="AM848" s="41"/>
      <c r="AN848" s="41"/>
      <c r="AO848" s="41"/>
      <c r="AP848" s="41"/>
      <c r="AR848" s="41"/>
      <c r="AS848" s="41"/>
      <c r="AT848" s="41"/>
      <c r="AU848" s="41"/>
      <c r="AV848" s="41"/>
      <c r="AW848" s="41"/>
      <c r="AX848" s="41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</row>
    <row r="849" spans="1:77" s="214" customFormat="1" x14ac:dyDescent="0.3">
      <c r="A849" s="41"/>
      <c r="B849" s="41"/>
      <c r="C849" s="42"/>
      <c r="D849" s="41"/>
      <c r="E849" s="41"/>
      <c r="F849" s="41"/>
      <c r="G849" s="41"/>
      <c r="H849" s="41"/>
      <c r="I849" s="41"/>
      <c r="J849" s="188"/>
      <c r="K849" s="188"/>
      <c r="L849" s="41"/>
      <c r="M849" s="41"/>
      <c r="N849" s="41"/>
      <c r="O849" s="41"/>
      <c r="P849" s="41"/>
      <c r="Q849" s="41"/>
      <c r="R849" s="41"/>
      <c r="S849" s="41"/>
      <c r="T849" s="42"/>
      <c r="U849" s="41"/>
      <c r="V849" s="123"/>
      <c r="W849" s="41"/>
      <c r="X849" s="41"/>
      <c r="Y849" s="41"/>
      <c r="Z849" s="41"/>
      <c r="AA849" s="123"/>
      <c r="AB849" s="238"/>
      <c r="AC849" s="123"/>
      <c r="AD849" s="123"/>
      <c r="AE849" s="160"/>
      <c r="AF849" s="160"/>
      <c r="AG849" s="165"/>
      <c r="AH849" s="123"/>
      <c r="AI849" s="236"/>
      <c r="AJ849" s="236"/>
      <c r="AK849" s="165"/>
      <c r="AL849" s="123"/>
      <c r="AM849" s="123"/>
      <c r="AN849" s="123"/>
      <c r="AO849" s="160"/>
      <c r="AP849" s="160"/>
      <c r="AR849" s="41"/>
      <c r="AS849" s="41"/>
      <c r="AT849" s="41"/>
      <c r="AU849" s="41"/>
      <c r="AV849" s="41"/>
      <c r="AW849" s="41"/>
      <c r="AX849" s="41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  <c r="BS849" s="41"/>
      <c r="BT849" s="41"/>
      <c r="BU849" s="41"/>
      <c r="BV849" s="41"/>
      <c r="BW849" s="41"/>
      <c r="BX849" s="41"/>
      <c r="BY849" s="41"/>
    </row>
    <row r="850" spans="1:77" s="214" customFormat="1" x14ac:dyDescent="0.3">
      <c r="A850" s="41"/>
      <c r="B850" s="41"/>
      <c r="C850" s="42"/>
      <c r="D850" s="41"/>
      <c r="E850" s="41"/>
      <c r="F850" s="41"/>
      <c r="G850" s="41"/>
      <c r="H850" s="41"/>
      <c r="I850" s="41"/>
      <c r="J850" s="188"/>
      <c r="K850" s="188"/>
      <c r="L850" s="41"/>
      <c r="M850" s="41"/>
      <c r="N850" s="41"/>
      <c r="O850" s="41"/>
      <c r="P850" s="41"/>
      <c r="Q850" s="41"/>
      <c r="R850" s="41"/>
      <c r="S850" s="41"/>
      <c r="T850" s="42"/>
      <c r="U850" s="41"/>
      <c r="V850" s="123"/>
      <c r="W850" s="41"/>
      <c r="X850" s="41"/>
      <c r="Y850" s="41"/>
      <c r="Z850" s="41"/>
      <c r="AA850" s="123"/>
      <c r="AB850" s="238"/>
      <c r="AC850" s="123"/>
      <c r="AD850" s="123"/>
      <c r="AE850" s="160"/>
      <c r="AF850" s="160"/>
      <c r="AG850" s="165"/>
      <c r="AH850" s="123"/>
      <c r="AI850" s="236"/>
      <c r="AJ850" s="236"/>
      <c r="AK850" s="165"/>
      <c r="AL850" s="123"/>
      <c r="AM850" s="123"/>
      <c r="AN850" s="123"/>
      <c r="AO850" s="160"/>
      <c r="AP850" s="160"/>
      <c r="AR850" s="41"/>
      <c r="AS850" s="41"/>
      <c r="AT850" s="41"/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</row>
    <row r="851" spans="1:77" s="214" customFormat="1" x14ac:dyDescent="0.3">
      <c r="A851" s="41"/>
      <c r="B851" s="41"/>
      <c r="C851" s="42"/>
      <c r="D851" s="41"/>
      <c r="E851" s="41"/>
      <c r="F851" s="184"/>
      <c r="G851" s="41"/>
      <c r="H851" s="184"/>
      <c r="I851" s="184"/>
      <c r="J851" s="238"/>
      <c r="K851" s="238"/>
      <c r="L851" s="123"/>
      <c r="M851" s="123"/>
      <c r="N851" s="160"/>
      <c r="O851" s="160"/>
      <c r="P851" s="123"/>
      <c r="Q851" s="123"/>
      <c r="R851" s="123"/>
      <c r="S851" s="41"/>
      <c r="T851" s="42"/>
      <c r="U851" s="41"/>
      <c r="V851" s="123"/>
      <c r="W851" s="41"/>
      <c r="X851" s="41"/>
      <c r="Y851" s="41"/>
      <c r="Z851" s="41"/>
      <c r="AA851" s="123"/>
      <c r="AB851" s="238"/>
      <c r="AC851" s="123"/>
      <c r="AD851" s="123"/>
      <c r="AE851" s="160"/>
      <c r="AF851" s="160"/>
      <c r="AG851" s="165"/>
      <c r="AH851" s="123"/>
      <c r="AI851" s="236"/>
      <c r="AJ851" s="236"/>
      <c r="AK851" s="165"/>
      <c r="AL851" s="123"/>
      <c r="AM851" s="123"/>
      <c r="AN851" s="123"/>
      <c r="AO851" s="160"/>
      <c r="AP851" s="160"/>
      <c r="AR851" s="41"/>
      <c r="AS851" s="41"/>
      <c r="AT851" s="41"/>
      <c r="AU851" s="41"/>
      <c r="AV851" s="41"/>
      <c r="AW851" s="41"/>
      <c r="AX851" s="41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/>
      <c r="BU851" s="41"/>
      <c r="BV851" s="41"/>
      <c r="BW851" s="41"/>
      <c r="BX851" s="41"/>
      <c r="BY851" s="41"/>
    </row>
    <row r="852" spans="1:77" s="214" customFormat="1" x14ac:dyDescent="0.3">
      <c r="A852" s="41"/>
      <c r="B852" s="41"/>
      <c r="C852" s="42"/>
      <c r="D852" s="41"/>
      <c r="E852" s="41"/>
      <c r="F852" s="184"/>
      <c r="G852" s="41"/>
      <c r="H852" s="184"/>
      <c r="I852" s="184"/>
      <c r="J852" s="238"/>
      <c r="K852" s="238"/>
      <c r="L852" s="123"/>
      <c r="M852" s="123"/>
      <c r="N852" s="160"/>
      <c r="O852" s="160"/>
      <c r="P852" s="123"/>
      <c r="Q852" s="123"/>
      <c r="R852" s="123"/>
      <c r="S852" s="41"/>
      <c r="T852" s="42"/>
      <c r="U852" s="41"/>
      <c r="V852" s="123"/>
      <c r="W852" s="41"/>
      <c r="X852" s="41"/>
      <c r="Y852" s="41"/>
      <c r="Z852" s="41"/>
      <c r="AA852" s="123"/>
      <c r="AB852" s="238"/>
      <c r="AC852" s="123"/>
      <c r="AD852" s="123"/>
      <c r="AE852" s="160"/>
      <c r="AF852" s="160"/>
      <c r="AG852" s="165"/>
      <c r="AH852" s="123"/>
      <c r="AI852" s="236"/>
      <c r="AJ852" s="236"/>
      <c r="AK852" s="165"/>
      <c r="AL852" s="123"/>
      <c r="AM852" s="123"/>
      <c r="AN852" s="123"/>
      <c r="AO852" s="160"/>
      <c r="AP852" s="160"/>
      <c r="AR852" s="41"/>
      <c r="AS852" s="41"/>
      <c r="AT852" s="41"/>
      <c r="AU852" s="41"/>
      <c r="AV852" s="41"/>
      <c r="AW852" s="41"/>
      <c r="AX852" s="41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/>
      <c r="BY852" s="41"/>
    </row>
    <row r="853" spans="1:77" s="214" customFormat="1" x14ac:dyDescent="0.3">
      <c r="A853" s="41"/>
      <c r="B853" s="41"/>
      <c r="C853" s="42"/>
      <c r="D853" s="41"/>
      <c r="E853" s="41"/>
      <c r="F853" s="184"/>
      <c r="G853" s="41"/>
      <c r="H853" s="184"/>
      <c r="I853" s="184"/>
      <c r="J853" s="238"/>
      <c r="K853" s="238"/>
      <c r="L853" s="123"/>
      <c r="M853" s="123"/>
      <c r="N853" s="160"/>
      <c r="O853" s="160"/>
      <c r="P853" s="123"/>
      <c r="Q853" s="123"/>
      <c r="R853" s="123"/>
      <c r="S853" s="41"/>
      <c r="T853" s="42"/>
      <c r="U853" s="41"/>
      <c r="V853" s="41"/>
      <c r="W853" s="41"/>
      <c r="X853" s="41"/>
      <c r="Y853" s="41"/>
      <c r="Z853" s="41"/>
      <c r="AA853" s="41"/>
      <c r="AB853" s="188"/>
      <c r="AC853" s="41"/>
      <c r="AD853" s="41"/>
      <c r="AE853" s="41"/>
      <c r="AF853" s="41"/>
      <c r="AG853" s="165"/>
      <c r="AH853" s="41"/>
      <c r="AI853" s="41"/>
      <c r="AJ853" s="41"/>
      <c r="AK853" s="165"/>
      <c r="AL853" s="41"/>
      <c r="AM853" s="41"/>
      <c r="AN853" s="41"/>
      <c r="AO853" s="41"/>
      <c r="AP853" s="41"/>
      <c r="AR853" s="41"/>
      <c r="AS853" s="41"/>
      <c r="AT853" s="41"/>
      <c r="AU853" s="41"/>
      <c r="AV853" s="41"/>
      <c r="AW853" s="41"/>
      <c r="AX853" s="41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  <c r="BY853" s="41"/>
    </row>
    <row r="854" spans="1:77" s="214" customFormat="1" x14ac:dyDescent="0.3">
      <c r="A854" s="41"/>
      <c r="B854" s="41"/>
      <c r="C854" s="42"/>
      <c r="D854" s="41"/>
      <c r="E854" s="41"/>
      <c r="F854" s="184"/>
      <c r="G854" s="41"/>
      <c r="H854" s="184"/>
      <c r="I854" s="184"/>
      <c r="J854" s="238"/>
      <c r="K854" s="238"/>
      <c r="L854" s="123"/>
      <c r="M854" s="123"/>
      <c r="N854" s="160"/>
      <c r="O854" s="160"/>
      <c r="P854" s="123"/>
      <c r="Q854" s="123"/>
      <c r="R854" s="123"/>
      <c r="S854" s="41"/>
      <c r="T854" s="42"/>
      <c r="U854" s="41"/>
      <c r="V854" s="123"/>
      <c r="W854" s="41"/>
      <c r="X854" s="41"/>
      <c r="Y854" s="41"/>
      <c r="Z854" s="41"/>
      <c r="AA854" s="123"/>
      <c r="AB854" s="238"/>
      <c r="AC854" s="123"/>
      <c r="AD854" s="123"/>
      <c r="AE854" s="160"/>
      <c r="AF854" s="160"/>
      <c r="AG854" s="165"/>
      <c r="AH854" s="123"/>
      <c r="AI854" s="236"/>
      <c r="AJ854" s="236"/>
      <c r="AK854" s="165"/>
      <c r="AL854" s="123"/>
      <c r="AM854" s="123"/>
      <c r="AN854" s="123"/>
      <c r="AO854" s="160"/>
      <c r="AP854" s="160"/>
      <c r="AR854" s="41"/>
      <c r="AS854" s="41"/>
      <c r="AT854" s="41"/>
      <c r="AU854" s="41"/>
      <c r="AV854" s="41"/>
      <c r="AW854" s="41"/>
      <c r="AX854" s="41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/>
      <c r="BU854" s="41"/>
      <c r="BV854" s="41"/>
      <c r="BW854" s="41"/>
      <c r="BX854" s="41"/>
      <c r="BY854" s="41"/>
    </row>
    <row r="855" spans="1:77" s="214" customFormat="1" x14ac:dyDescent="0.3">
      <c r="A855" s="41"/>
      <c r="B855" s="41"/>
      <c r="C855" s="42"/>
      <c r="D855" s="41"/>
      <c r="E855" s="41"/>
      <c r="F855" s="184"/>
      <c r="G855" s="41"/>
      <c r="H855" s="184"/>
      <c r="I855" s="184"/>
      <c r="J855" s="238"/>
      <c r="K855" s="238"/>
      <c r="L855" s="123"/>
      <c r="M855" s="123"/>
      <c r="N855" s="160"/>
      <c r="O855" s="160"/>
      <c r="P855" s="123"/>
      <c r="Q855" s="123"/>
      <c r="R855" s="123"/>
      <c r="S855" s="41"/>
      <c r="T855" s="42"/>
      <c r="U855" s="41"/>
      <c r="V855" s="123"/>
      <c r="W855" s="41"/>
      <c r="X855" s="41"/>
      <c r="Y855" s="41"/>
      <c r="Z855" s="41"/>
      <c r="AA855" s="123"/>
      <c r="AB855" s="238"/>
      <c r="AC855" s="123"/>
      <c r="AD855" s="123"/>
      <c r="AE855" s="160"/>
      <c r="AF855" s="160"/>
      <c r="AG855" s="165"/>
      <c r="AH855" s="123"/>
      <c r="AI855" s="236"/>
      <c r="AJ855" s="236"/>
      <c r="AK855" s="165"/>
      <c r="AL855" s="123"/>
      <c r="AM855" s="123"/>
      <c r="AN855" s="123"/>
      <c r="AO855" s="160"/>
      <c r="AP855" s="160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</row>
    <row r="856" spans="1:77" s="214" customFormat="1" x14ac:dyDescent="0.3">
      <c r="A856" s="41"/>
      <c r="B856" s="41"/>
      <c r="C856" s="42"/>
      <c r="D856" s="41"/>
      <c r="E856" s="41"/>
      <c r="F856" s="184"/>
      <c r="G856" s="41"/>
      <c r="H856" s="184"/>
      <c r="I856" s="184"/>
      <c r="J856" s="238"/>
      <c r="K856" s="238"/>
      <c r="L856" s="123"/>
      <c r="M856" s="123"/>
      <c r="N856" s="160"/>
      <c r="O856" s="160"/>
      <c r="P856" s="123"/>
      <c r="Q856" s="123"/>
      <c r="R856" s="123"/>
      <c r="S856" s="41"/>
      <c r="T856" s="42"/>
      <c r="U856" s="41"/>
      <c r="V856" s="123"/>
      <c r="W856" s="41"/>
      <c r="X856" s="41"/>
      <c r="Y856" s="41"/>
      <c r="Z856" s="41"/>
      <c r="AA856" s="123"/>
      <c r="AB856" s="238"/>
      <c r="AC856" s="123"/>
      <c r="AD856" s="123"/>
      <c r="AE856" s="160"/>
      <c r="AF856" s="160"/>
      <c r="AG856" s="165"/>
      <c r="AH856" s="123"/>
      <c r="AI856" s="236"/>
      <c r="AJ856" s="236"/>
      <c r="AK856" s="165"/>
      <c r="AL856" s="123"/>
      <c r="AM856" s="123"/>
      <c r="AN856" s="123"/>
      <c r="AO856" s="160"/>
      <c r="AP856" s="160"/>
      <c r="AR856" s="41"/>
      <c r="AS856" s="41"/>
      <c r="AT856" s="41"/>
      <c r="AU856" s="41"/>
      <c r="AV856" s="41"/>
      <c r="AW856" s="41"/>
      <c r="AX856" s="41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  <c r="BS856" s="41"/>
      <c r="BT856" s="41"/>
      <c r="BU856" s="41"/>
      <c r="BV856" s="41"/>
      <c r="BW856" s="41"/>
      <c r="BX856" s="41"/>
      <c r="BY856" s="41"/>
    </row>
    <row r="857" spans="1:77" s="214" customFormat="1" x14ac:dyDescent="0.3">
      <c r="A857" s="41"/>
      <c r="B857" s="41"/>
      <c r="C857" s="42"/>
      <c r="D857" s="41"/>
      <c r="E857" s="41"/>
      <c r="F857" s="184"/>
      <c r="G857" s="41"/>
      <c r="H857" s="184"/>
      <c r="I857" s="184"/>
      <c r="J857" s="238"/>
      <c r="K857" s="238"/>
      <c r="L857" s="123"/>
      <c r="M857" s="123"/>
      <c r="N857" s="160"/>
      <c r="O857" s="160"/>
      <c r="P857" s="123"/>
      <c r="Q857" s="123"/>
      <c r="R857" s="123"/>
      <c r="S857" s="41"/>
      <c r="T857" s="42"/>
      <c r="U857" s="41"/>
      <c r="V857" s="123"/>
      <c r="W857" s="41"/>
      <c r="X857" s="41"/>
      <c r="Y857" s="41"/>
      <c r="Z857" s="41"/>
      <c r="AA857" s="123"/>
      <c r="AB857" s="238"/>
      <c r="AC857" s="123"/>
      <c r="AD857" s="123"/>
      <c r="AE857" s="160"/>
      <c r="AF857" s="160"/>
      <c r="AG857" s="165"/>
      <c r="AH857" s="123"/>
      <c r="AI857" s="236"/>
      <c r="AJ857" s="236"/>
      <c r="AK857" s="165"/>
      <c r="AL857" s="123"/>
      <c r="AM857" s="123"/>
      <c r="AN857" s="123"/>
      <c r="AO857" s="160"/>
      <c r="AP857" s="160"/>
      <c r="AR857" s="41"/>
      <c r="AS857" s="41"/>
      <c r="AT857" s="41"/>
      <c r="AU857" s="41"/>
      <c r="AV857" s="41"/>
      <c r="AW857" s="41"/>
      <c r="AX857" s="41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/>
      <c r="BU857" s="41"/>
      <c r="BV857" s="41"/>
      <c r="BW857" s="41"/>
      <c r="BX857" s="41"/>
      <c r="BY857" s="41"/>
    </row>
    <row r="858" spans="1:77" s="214" customFormat="1" x14ac:dyDescent="0.3">
      <c r="A858" s="41"/>
      <c r="B858" s="41"/>
      <c r="C858" s="42"/>
      <c r="D858" s="41"/>
      <c r="E858" s="41"/>
      <c r="F858" s="41"/>
      <c r="G858" s="41"/>
      <c r="H858" s="41"/>
      <c r="I858" s="41"/>
      <c r="J858" s="188"/>
      <c r="K858" s="188"/>
      <c r="L858" s="41"/>
      <c r="M858" s="41"/>
      <c r="N858" s="41"/>
      <c r="O858" s="41"/>
      <c r="P858" s="41"/>
      <c r="Q858" s="41"/>
      <c r="R858" s="41"/>
      <c r="S858" s="41"/>
      <c r="T858" s="42"/>
      <c r="U858" s="41"/>
      <c r="V858" s="123"/>
      <c r="W858" s="41"/>
      <c r="X858" s="41"/>
      <c r="Y858" s="41"/>
      <c r="Z858" s="41"/>
      <c r="AA858" s="123"/>
      <c r="AB858" s="238"/>
      <c r="AC858" s="123"/>
      <c r="AD858" s="123"/>
      <c r="AE858" s="160"/>
      <c r="AF858" s="160"/>
      <c r="AG858" s="165"/>
      <c r="AH858" s="123"/>
      <c r="AI858" s="236"/>
      <c r="AJ858" s="236"/>
      <c r="AK858" s="165"/>
      <c r="AL858" s="123"/>
      <c r="AM858" s="123"/>
      <c r="AN858" s="123"/>
      <c r="AO858" s="160"/>
      <c r="AP858" s="160"/>
      <c r="AR858" s="41"/>
      <c r="AS858" s="41"/>
      <c r="AT858" s="41"/>
      <c r="AU858" s="41"/>
      <c r="AV858" s="41"/>
      <c r="AW858" s="41"/>
      <c r="AX858" s="41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  <c r="BS858" s="41"/>
      <c r="BT858" s="41"/>
      <c r="BU858" s="41"/>
      <c r="BV858" s="41"/>
      <c r="BW858" s="41"/>
      <c r="BX858" s="41"/>
      <c r="BY858" s="41"/>
    </row>
    <row r="859" spans="1:77" s="214" customFormat="1" x14ac:dyDescent="0.3">
      <c r="A859" s="41"/>
      <c r="B859" s="41"/>
      <c r="C859" s="42"/>
      <c r="D859" s="41"/>
      <c r="E859" s="41"/>
      <c r="F859" s="184"/>
      <c r="G859" s="41"/>
      <c r="H859" s="184"/>
      <c r="I859" s="184"/>
      <c r="J859" s="238"/>
      <c r="K859" s="238"/>
      <c r="L859" s="123"/>
      <c r="M859" s="123"/>
      <c r="N859" s="160"/>
      <c r="O859" s="160"/>
      <c r="P859" s="123"/>
      <c r="Q859" s="123"/>
      <c r="R859" s="123"/>
      <c r="S859" s="41"/>
      <c r="T859" s="41"/>
      <c r="U859" s="41"/>
      <c r="V859" s="210"/>
      <c r="W859" s="41"/>
      <c r="X859" s="41"/>
      <c r="Y859" s="41"/>
      <c r="Z859" s="41"/>
      <c r="AA859" s="210"/>
      <c r="AB859" s="238"/>
      <c r="AC859" s="210"/>
      <c r="AD859" s="210"/>
      <c r="AE859" s="210"/>
      <c r="AF859" s="210"/>
      <c r="AH859" s="210"/>
      <c r="AI859" s="41"/>
      <c r="AJ859" s="41"/>
      <c r="AL859" s="210"/>
      <c r="AM859" s="210"/>
      <c r="AN859" s="210"/>
      <c r="AO859" s="41"/>
      <c r="AP859" s="41"/>
      <c r="AR859" s="41"/>
      <c r="AS859" s="41"/>
      <c r="AT859" s="41"/>
      <c r="AU859" s="41"/>
      <c r="AV859" s="41"/>
      <c r="AW859" s="41"/>
      <c r="AX859" s="41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  <c r="BS859" s="41"/>
      <c r="BT859" s="41"/>
      <c r="BU859" s="41"/>
      <c r="BV859" s="41"/>
      <c r="BW859" s="41"/>
      <c r="BX859" s="41"/>
      <c r="BY859" s="41"/>
    </row>
    <row r="860" spans="1:77" s="214" customFormat="1" x14ac:dyDescent="0.3">
      <c r="A860" s="41"/>
      <c r="B860" s="41"/>
      <c r="C860" s="42"/>
      <c r="D860" s="41"/>
      <c r="E860" s="41"/>
      <c r="F860" s="184"/>
      <c r="G860" s="41"/>
      <c r="H860" s="184"/>
      <c r="I860" s="184"/>
      <c r="J860" s="238"/>
      <c r="K860" s="238"/>
      <c r="L860" s="123"/>
      <c r="M860" s="123"/>
      <c r="N860" s="160"/>
      <c r="O860" s="160"/>
      <c r="P860" s="123"/>
      <c r="Q860" s="123"/>
      <c r="R860" s="123"/>
      <c r="S860" s="41"/>
      <c r="T860" s="42"/>
      <c r="U860" s="41"/>
      <c r="V860" s="123"/>
      <c r="W860" s="41"/>
      <c r="X860" s="41"/>
      <c r="Y860" s="41"/>
      <c r="Z860" s="41"/>
      <c r="AA860" s="123"/>
      <c r="AB860" s="41"/>
      <c r="AC860" s="123"/>
      <c r="AD860" s="123"/>
      <c r="AE860" s="160"/>
      <c r="AF860" s="160"/>
      <c r="AG860" s="165"/>
      <c r="AH860" s="123"/>
      <c r="AI860" s="236"/>
      <c r="AJ860" s="236"/>
      <c r="AK860" s="165"/>
      <c r="AL860" s="123"/>
      <c r="AM860" s="123"/>
      <c r="AN860" s="123"/>
      <c r="AO860" s="160"/>
      <c r="AP860" s="160"/>
      <c r="AR860" s="41"/>
      <c r="AS860" s="41"/>
      <c r="AT860" s="41"/>
      <c r="AU860" s="41"/>
      <c r="AV860" s="41"/>
      <c r="AW860" s="41"/>
      <c r="AX860" s="41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  <c r="BS860" s="41"/>
      <c r="BT860" s="41"/>
      <c r="BU860" s="41"/>
      <c r="BV860" s="41"/>
      <c r="BW860" s="41"/>
      <c r="BX860" s="41"/>
      <c r="BY860" s="41"/>
    </row>
    <row r="861" spans="1:77" s="214" customFormat="1" x14ac:dyDescent="0.3">
      <c r="A861" s="41"/>
      <c r="B861" s="41"/>
      <c r="C861" s="42"/>
      <c r="D861" s="41"/>
      <c r="E861" s="41"/>
      <c r="F861" s="184"/>
      <c r="G861" s="41"/>
      <c r="H861" s="184"/>
      <c r="I861" s="184"/>
      <c r="J861" s="238"/>
      <c r="K861" s="238"/>
      <c r="L861" s="123"/>
      <c r="M861" s="123"/>
      <c r="N861" s="160"/>
      <c r="O861" s="160"/>
      <c r="P861" s="123"/>
      <c r="Q861" s="123"/>
      <c r="R861" s="123"/>
      <c r="S861" s="41"/>
      <c r="T861" s="41"/>
      <c r="U861" s="41"/>
      <c r="V861" s="210"/>
      <c r="W861" s="41"/>
      <c r="X861" s="41"/>
      <c r="Y861" s="41"/>
      <c r="Z861" s="41"/>
      <c r="AA861" s="210"/>
      <c r="AB861" s="213"/>
      <c r="AC861" s="210"/>
      <c r="AD861" s="210"/>
      <c r="AE861" s="210"/>
      <c r="AF861" s="210"/>
      <c r="AH861" s="210"/>
      <c r="AI861" s="41"/>
      <c r="AJ861" s="41"/>
      <c r="AL861" s="210"/>
      <c r="AM861" s="210"/>
      <c r="AN861" s="210"/>
      <c r="AO861" s="41"/>
      <c r="AP861" s="41"/>
      <c r="AR861" s="41"/>
      <c r="AS861" s="41"/>
      <c r="AT861" s="41"/>
      <c r="AU861" s="41"/>
      <c r="AV861" s="41"/>
      <c r="AW861" s="41"/>
      <c r="AX861" s="41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  <c r="BS861" s="41"/>
      <c r="BT861" s="41"/>
      <c r="BU861" s="41"/>
      <c r="BV861" s="41"/>
      <c r="BW861" s="41"/>
      <c r="BX861" s="41"/>
      <c r="BY861" s="41"/>
    </row>
    <row r="862" spans="1:77" s="214" customFormat="1" x14ac:dyDescent="0.3">
      <c r="A862" s="41"/>
      <c r="B862" s="41"/>
      <c r="C862" s="42"/>
      <c r="D862" s="41"/>
      <c r="E862" s="41"/>
      <c r="F862" s="184"/>
      <c r="G862" s="41"/>
      <c r="H862" s="184"/>
      <c r="I862" s="184"/>
      <c r="J862" s="238"/>
      <c r="K862" s="238"/>
      <c r="L862" s="123"/>
      <c r="M862" s="123"/>
      <c r="N862" s="160"/>
      <c r="O862" s="160"/>
      <c r="P862" s="123"/>
      <c r="Q862" s="123"/>
      <c r="R862" s="123"/>
      <c r="S862" s="41"/>
      <c r="T862" s="42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165"/>
      <c r="AH862" s="41"/>
      <c r="AI862" s="41"/>
      <c r="AJ862" s="41"/>
      <c r="AK862" s="165"/>
      <c r="AL862" s="41"/>
      <c r="AM862" s="41"/>
      <c r="AN862" s="41"/>
      <c r="AO862" s="41"/>
      <c r="AP862" s="41"/>
      <c r="AR862" s="41"/>
      <c r="AS862" s="41"/>
      <c r="AT862" s="41"/>
      <c r="AU862" s="41"/>
      <c r="AV862" s="41"/>
      <c r="AW862" s="41"/>
      <c r="AX862" s="41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  <c r="BS862" s="41"/>
      <c r="BT862" s="41"/>
      <c r="BU862" s="41"/>
      <c r="BV862" s="41"/>
      <c r="BW862" s="41"/>
      <c r="BX862" s="41"/>
      <c r="BY862" s="41"/>
    </row>
    <row r="863" spans="1:77" s="214" customFormat="1" x14ac:dyDescent="0.3">
      <c r="A863" s="41"/>
      <c r="B863" s="41"/>
      <c r="C863" s="42"/>
      <c r="D863" s="41"/>
      <c r="E863" s="41"/>
      <c r="F863" s="41"/>
      <c r="G863" s="41"/>
      <c r="H863" s="41"/>
      <c r="I863" s="41"/>
      <c r="J863" s="188"/>
      <c r="K863" s="188"/>
      <c r="L863" s="41"/>
      <c r="M863" s="41"/>
      <c r="N863" s="41"/>
      <c r="O863" s="41"/>
      <c r="P863" s="41"/>
      <c r="Q863" s="41"/>
      <c r="R863" s="41"/>
      <c r="S863" s="41"/>
      <c r="T863" s="42"/>
      <c r="U863" s="41"/>
      <c r="V863" s="123"/>
      <c r="W863" s="41"/>
      <c r="X863" s="41"/>
      <c r="Y863" s="41"/>
      <c r="Z863" s="41"/>
      <c r="AA863" s="123"/>
      <c r="AB863" s="193"/>
      <c r="AC863" s="123"/>
      <c r="AD863" s="123"/>
      <c r="AE863" s="160"/>
      <c r="AF863" s="160"/>
      <c r="AG863" s="165"/>
      <c r="AH863" s="123"/>
      <c r="AI863" s="236"/>
      <c r="AJ863" s="236"/>
      <c r="AK863" s="165"/>
      <c r="AL863" s="123"/>
      <c r="AM863" s="123"/>
      <c r="AN863" s="123"/>
      <c r="AO863" s="160"/>
      <c r="AP863" s="160"/>
      <c r="AR863" s="41"/>
      <c r="AS863" s="41"/>
      <c r="AT863" s="41"/>
      <c r="AU863" s="41"/>
      <c r="AV863" s="41"/>
      <c r="AW863" s="41"/>
      <c r="AX863" s="41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  <c r="BS863" s="41"/>
      <c r="BT863" s="41"/>
      <c r="BU863" s="41"/>
      <c r="BV863" s="41"/>
      <c r="BW863" s="41"/>
      <c r="BX863" s="41"/>
      <c r="BY863" s="41"/>
    </row>
    <row r="864" spans="1:77" s="214" customFormat="1" x14ac:dyDescent="0.3">
      <c r="A864" s="41"/>
      <c r="B864" s="41"/>
      <c r="C864" s="42"/>
      <c r="D864" s="41"/>
      <c r="E864" s="41"/>
      <c r="F864" s="184"/>
      <c r="G864" s="41"/>
      <c r="H864" s="184"/>
      <c r="I864" s="184"/>
      <c r="J864" s="238"/>
      <c r="K864" s="238"/>
      <c r="L864" s="123"/>
      <c r="M864" s="123"/>
      <c r="N864" s="160"/>
      <c r="O864" s="160"/>
      <c r="P864" s="123"/>
      <c r="Q864" s="123"/>
      <c r="R864" s="123"/>
      <c r="S864" s="41"/>
      <c r="T864" s="42"/>
      <c r="U864" s="41"/>
      <c r="V864" s="123"/>
      <c r="W864" s="41"/>
      <c r="X864" s="41"/>
      <c r="Y864" s="41"/>
      <c r="Z864" s="41"/>
      <c r="AA864" s="123"/>
      <c r="AB864" s="193"/>
      <c r="AC864" s="123"/>
      <c r="AD864" s="123"/>
      <c r="AE864" s="160"/>
      <c r="AF864" s="160"/>
      <c r="AG864" s="165"/>
      <c r="AH864" s="123"/>
      <c r="AI864" s="236"/>
      <c r="AJ864" s="236"/>
      <c r="AK864" s="165"/>
      <c r="AL864" s="123"/>
      <c r="AM864" s="123"/>
      <c r="AN864" s="123"/>
      <c r="AO864" s="160"/>
      <c r="AP864" s="160"/>
      <c r="AR864" s="41"/>
      <c r="AS864" s="41"/>
      <c r="AT864" s="41"/>
      <c r="AU864" s="41"/>
      <c r="AV864" s="41"/>
      <c r="AW864" s="41"/>
      <c r="AX864" s="41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/>
      <c r="BU864" s="41"/>
      <c r="BV864" s="41"/>
      <c r="BW864" s="41"/>
      <c r="BX864" s="41"/>
      <c r="BY864" s="41"/>
    </row>
    <row r="865" spans="1:77" s="214" customFormat="1" x14ac:dyDescent="0.3">
      <c r="A865" s="41"/>
      <c r="B865" s="41"/>
      <c r="C865" s="42"/>
      <c r="D865" s="41"/>
      <c r="E865" s="41"/>
      <c r="F865" s="184"/>
      <c r="G865" s="41"/>
      <c r="H865" s="184"/>
      <c r="I865" s="184"/>
      <c r="J865" s="238"/>
      <c r="K865" s="238"/>
      <c r="L865" s="123"/>
      <c r="M865" s="123"/>
      <c r="N865" s="160"/>
      <c r="O865" s="160"/>
      <c r="P865" s="123"/>
      <c r="Q865" s="123"/>
      <c r="R865" s="123"/>
      <c r="S865" s="41"/>
      <c r="T865" s="41"/>
      <c r="U865" s="41"/>
      <c r="V865" s="210"/>
      <c r="W865" s="41"/>
      <c r="X865" s="41"/>
      <c r="Y865" s="41"/>
      <c r="Z865" s="41"/>
      <c r="AA865" s="123"/>
      <c r="AB865" s="213"/>
      <c r="AC865" s="210"/>
      <c r="AD865" s="210"/>
      <c r="AE865" s="210"/>
      <c r="AF865" s="210"/>
      <c r="AH865" s="210"/>
      <c r="AI865" s="41"/>
      <c r="AJ865" s="41"/>
      <c r="AL865" s="210"/>
      <c r="AM865" s="210"/>
      <c r="AN865" s="210"/>
      <c r="AO865" s="41"/>
      <c r="AP865" s="41"/>
      <c r="AR865" s="41"/>
      <c r="AS865" s="41"/>
      <c r="AT865" s="41"/>
      <c r="AU865" s="41"/>
      <c r="AV865" s="41"/>
      <c r="AW865" s="41"/>
      <c r="AX865" s="41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  <c r="BS865" s="41"/>
      <c r="BT865" s="41"/>
      <c r="BU865" s="41"/>
      <c r="BV865" s="41"/>
      <c r="BW865" s="41"/>
      <c r="BX865" s="41"/>
      <c r="BY865" s="41"/>
    </row>
    <row r="866" spans="1:77" s="214" customFormat="1" x14ac:dyDescent="0.3">
      <c r="A866" s="41"/>
      <c r="B866" s="41"/>
      <c r="C866" s="42"/>
      <c r="D866" s="41"/>
      <c r="E866" s="41"/>
      <c r="F866" s="184"/>
      <c r="G866" s="41"/>
      <c r="H866" s="184"/>
      <c r="I866" s="184"/>
      <c r="J866" s="238"/>
      <c r="K866" s="238"/>
      <c r="L866" s="123"/>
      <c r="M866" s="123"/>
      <c r="N866" s="160"/>
      <c r="O866" s="160"/>
      <c r="P866" s="123"/>
      <c r="Q866" s="123"/>
      <c r="R866" s="123"/>
      <c r="S866" s="41"/>
      <c r="T866" s="41"/>
      <c r="U866" s="41"/>
      <c r="V866" s="123"/>
      <c r="W866" s="41"/>
      <c r="X866" s="41"/>
      <c r="Y866" s="41"/>
      <c r="Z866" s="41"/>
      <c r="AA866" s="123"/>
      <c r="AB866" s="213"/>
      <c r="AC866" s="123"/>
      <c r="AD866" s="123"/>
      <c r="AE866" s="123"/>
      <c r="AF866" s="123"/>
      <c r="AG866" s="165"/>
      <c r="AH866" s="123"/>
      <c r="AI866" s="41"/>
      <c r="AJ866" s="41"/>
      <c r="AK866" s="165"/>
      <c r="AL866" s="123"/>
      <c r="AM866" s="123"/>
      <c r="AN866" s="123"/>
      <c r="AO866" s="41"/>
      <c r="AP866" s="41"/>
      <c r="AR866" s="41"/>
      <c r="AS866" s="41"/>
      <c r="AT866" s="41"/>
      <c r="AU866" s="41"/>
      <c r="AV866" s="41"/>
      <c r="AW866" s="41"/>
      <c r="AX866" s="41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/>
      <c r="BY866" s="41"/>
    </row>
    <row r="867" spans="1:77" s="214" customFormat="1" x14ac:dyDescent="0.3">
      <c r="A867" s="41"/>
      <c r="B867" s="41"/>
      <c r="C867" s="42"/>
      <c r="D867" s="41"/>
      <c r="E867" s="41"/>
      <c r="F867" s="184"/>
      <c r="G867" s="41"/>
      <c r="H867" s="184"/>
      <c r="I867" s="184"/>
      <c r="J867" s="238"/>
      <c r="K867" s="238"/>
      <c r="L867" s="123"/>
      <c r="M867" s="123"/>
      <c r="N867" s="160"/>
      <c r="O867" s="160"/>
      <c r="P867" s="123"/>
      <c r="Q867" s="123"/>
      <c r="R867" s="123"/>
      <c r="S867" s="41"/>
      <c r="T867" s="42"/>
      <c r="U867" s="41"/>
      <c r="V867" s="123"/>
      <c r="W867" s="41"/>
      <c r="X867" s="41"/>
      <c r="Y867" s="41"/>
      <c r="Z867" s="41"/>
      <c r="AA867" s="123"/>
      <c r="AB867" s="41"/>
      <c r="AC867" s="123"/>
      <c r="AD867" s="123"/>
      <c r="AE867" s="160"/>
      <c r="AF867" s="160"/>
      <c r="AG867" s="165"/>
      <c r="AH867" s="123"/>
      <c r="AI867" s="236"/>
      <c r="AJ867" s="236"/>
      <c r="AK867" s="233"/>
      <c r="AL867" s="184"/>
      <c r="AM867" s="123"/>
      <c r="AN867" s="123"/>
      <c r="AO867" s="160"/>
      <c r="AP867" s="160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</row>
    <row r="868" spans="1:77" s="214" customFormat="1" x14ac:dyDescent="0.3">
      <c r="A868" s="41"/>
      <c r="B868" s="41"/>
      <c r="C868" s="42"/>
      <c r="D868" s="41"/>
      <c r="E868" s="41"/>
      <c r="F868" s="184"/>
      <c r="G868" s="41"/>
      <c r="H868" s="184"/>
      <c r="I868" s="184"/>
      <c r="J868" s="238"/>
      <c r="K868" s="238"/>
      <c r="L868" s="123"/>
      <c r="M868" s="123"/>
      <c r="N868" s="160"/>
      <c r="O868" s="160"/>
      <c r="P868" s="123"/>
      <c r="Q868" s="123"/>
      <c r="R868" s="123"/>
      <c r="S868" s="41"/>
      <c r="T868" s="41"/>
      <c r="U868" s="41"/>
      <c r="V868" s="210"/>
      <c r="W868" s="41"/>
      <c r="X868" s="41"/>
      <c r="Y868" s="41"/>
      <c r="Z868" s="41"/>
      <c r="AA868" s="210"/>
      <c r="AB868" s="213"/>
      <c r="AC868" s="210"/>
      <c r="AD868" s="210"/>
      <c r="AE868" s="210"/>
      <c r="AF868" s="210"/>
      <c r="AH868" s="210"/>
      <c r="AI868" s="41"/>
      <c r="AJ868" s="41"/>
      <c r="AL868" s="210"/>
      <c r="AM868" s="210"/>
      <c r="AN868" s="210"/>
      <c r="AO868" s="41"/>
      <c r="AP868" s="41"/>
      <c r="AR868" s="41"/>
      <c r="AS868" s="41"/>
      <c r="AT868" s="41"/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</row>
    <row r="869" spans="1:77" s="214" customFormat="1" x14ac:dyDescent="0.3">
      <c r="A869" s="41"/>
      <c r="B869" s="41"/>
      <c r="C869" s="41"/>
      <c r="D869" s="41"/>
      <c r="E869" s="41"/>
      <c r="F869" s="210"/>
      <c r="G869" s="41"/>
      <c r="H869" s="210"/>
      <c r="I869" s="210"/>
      <c r="J869" s="213"/>
      <c r="K869" s="213"/>
      <c r="L869" s="210"/>
      <c r="M869" s="210"/>
      <c r="N869" s="210"/>
      <c r="O869" s="210"/>
      <c r="P869" s="210"/>
      <c r="Q869" s="210"/>
      <c r="R869" s="210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165"/>
      <c r="AH869" s="41"/>
      <c r="AI869" s="41"/>
      <c r="AJ869" s="41"/>
      <c r="AK869" s="165"/>
      <c r="AL869" s="41"/>
      <c r="AM869" s="41"/>
      <c r="AN869" s="41"/>
      <c r="AO869" s="41"/>
      <c r="AP869" s="41"/>
      <c r="AR869" s="41"/>
      <c r="AS869" s="41"/>
      <c r="AT869" s="41"/>
      <c r="AU869" s="41"/>
      <c r="AV869" s="41"/>
      <c r="AW869" s="41"/>
      <c r="AX869" s="41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/>
      <c r="BS869" s="41"/>
      <c r="BT869" s="41"/>
      <c r="BU869" s="41"/>
      <c r="BV869" s="41"/>
      <c r="BW869" s="41"/>
      <c r="BX869" s="41"/>
      <c r="BY869" s="41"/>
    </row>
    <row r="870" spans="1:77" s="214" customFormat="1" x14ac:dyDescent="0.3">
      <c r="A870" s="41"/>
      <c r="B870" s="41"/>
      <c r="C870" s="42"/>
      <c r="D870" s="41"/>
      <c r="E870" s="41"/>
      <c r="F870" s="123"/>
      <c r="G870" s="41"/>
      <c r="H870" s="123"/>
      <c r="I870" s="123"/>
      <c r="J870" s="41"/>
      <c r="K870" s="41"/>
      <c r="L870" s="123"/>
      <c r="M870" s="123"/>
      <c r="N870" s="236"/>
      <c r="O870" s="236"/>
      <c r="P870" s="123"/>
      <c r="Q870" s="123"/>
      <c r="R870" s="123"/>
      <c r="S870" s="41"/>
      <c r="T870" s="42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165"/>
      <c r="AH870" s="41"/>
      <c r="AI870" s="41"/>
      <c r="AJ870" s="41"/>
      <c r="AK870" s="165"/>
      <c r="AL870" s="41"/>
      <c r="AM870" s="41"/>
      <c r="AN870" s="41"/>
      <c r="AO870" s="41"/>
      <c r="AP870" s="41"/>
      <c r="AR870" s="41"/>
      <c r="AS870" s="41"/>
      <c r="AT870" s="41"/>
      <c r="AU870" s="41"/>
      <c r="AV870" s="41"/>
      <c r="AW870" s="41"/>
      <c r="AX870" s="41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/>
      <c r="BU870" s="41"/>
      <c r="BV870" s="41"/>
      <c r="BW870" s="41"/>
      <c r="BX870" s="41"/>
      <c r="BY870" s="41"/>
    </row>
    <row r="871" spans="1:77" s="214" customFormat="1" x14ac:dyDescent="0.3">
      <c r="A871" s="41"/>
      <c r="B871" s="41"/>
      <c r="C871" s="41"/>
      <c r="D871" s="41"/>
      <c r="E871" s="41"/>
      <c r="F871" s="210"/>
      <c r="G871" s="41"/>
      <c r="H871" s="210"/>
      <c r="I871" s="210"/>
      <c r="J871" s="213"/>
      <c r="K871" s="213"/>
      <c r="L871" s="210"/>
      <c r="M871" s="210"/>
      <c r="N871" s="210"/>
      <c r="O871" s="210"/>
      <c r="P871" s="210"/>
      <c r="Q871" s="210"/>
      <c r="R871" s="210"/>
      <c r="S871" s="41"/>
      <c r="T871" s="42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165"/>
      <c r="AH871" s="41"/>
      <c r="AI871" s="41"/>
      <c r="AJ871" s="41"/>
      <c r="AK871" s="165"/>
      <c r="AL871" s="41"/>
      <c r="AM871" s="41"/>
      <c r="AN871" s="41"/>
      <c r="AO871" s="41"/>
      <c r="AP871" s="41"/>
      <c r="AR871" s="41"/>
      <c r="AS871" s="41"/>
      <c r="AT871" s="41"/>
      <c r="AU871" s="41"/>
      <c r="AV871" s="41"/>
      <c r="AW871" s="41"/>
      <c r="AX871" s="41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/>
      <c r="BY871" s="41"/>
    </row>
    <row r="872" spans="1:77" s="214" customFormat="1" x14ac:dyDescent="0.3">
      <c r="A872" s="41"/>
      <c r="B872" s="41"/>
      <c r="C872" s="42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2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165"/>
      <c r="AH872" s="41"/>
      <c r="AI872" s="41"/>
      <c r="AJ872" s="41"/>
      <c r="AK872" s="165"/>
      <c r="AL872" s="41"/>
      <c r="AM872" s="41"/>
      <c r="AN872" s="41"/>
      <c r="AO872" s="41"/>
      <c r="AP872" s="41"/>
      <c r="AR872" s="41"/>
      <c r="AS872" s="41"/>
      <c r="AT872" s="41"/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</row>
    <row r="873" spans="1:77" s="214" customFormat="1" x14ac:dyDescent="0.3">
      <c r="A873" s="41"/>
      <c r="B873" s="41"/>
      <c r="C873" s="42"/>
      <c r="D873" s="41"/>
      <c r="E873" s="41"/>
      <c r="F873" s="184"/>
      <c r="G873" s="41"/>
      <c r="H873" s="184"/>
      <c r="I873" s="184"/>
      <c r="J873" s="193"/>
      <c r="K873" s="193"/>
      <c r="L873" s="123"/>
      <c r="M873" s="123"/>
      <c r="N873" s="160"/>
      <c r="O873" s="160"/>
      <c r="P873" s="123"/>
      <c r="Q873" s="123"/>
      <c r="R873" s="123"/>
      <c r="S873" s="41"/>
      <c r="T873" s="42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165"/>
      <c r="AH873" s="41"/>
      <c r="AI873" s="41"/>
      <c r="AJ873" s="41"/>
      <c r="AK873" s="165"/>
      <c r="AL873" s="41"/>
      <c r="AM873" s="41"/>
      <c r="AN873" s="41"/>
      <c r="AO873" s="41"/>
      <c r="AP873" s="41"/>
      <c r="AR873" s="41"/>
      <c r="AS873" s="41"/>
      <c r="AT873" s="41"/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</row>
    <row r="874" spans="1:77" s="214" customFormat="1" x14ac:dyDescent="0.3">
      <c r="A874" s="41"/>
      <c r="B874" s="41"/>
      <c r="C874" s="42"/>
      <c r="D874" s="41"/>
      <c r="E874" s="41"/>
      <c r="F874" s="184"/>
      <c r="G874" s="41"/>
      <c r="H874" s="184"/>
      <c r="I874" s="184"/>
      <c r="J874" s="193"/>
      <c r="K874" s="193"/>
      <c r="L874" s="123"/>
      <c r="M874" s="123"/>
      <c r="N874" s="160"/>
      <c r="O874" s="160"/>
      <c r="P874" s="123"/>
      <c r="Q874" s="123"/>
      <c r="R874" s="123"/>
      <c r="S874" s="41"/>
      <c r="T874" s="42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165"/>
      <c r="AH874" s="41"/>
      <c r="AI874" s="41"/>
      <c r="AJ874" s="41"/>
      <c r="AK874" s="165"/>
      <c r="AL874" s="41"/>
      <c r="AM874" s="41"/>
      <c r="AN874" s="41"/>
      <c r="AO874" s="41"/>
      <c r="AP874" s="41"/>
      <c r="AR874" s="41"/>
      <c r="AS874" s="41"/>
      <c r="AT874" s="41"/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</row>
    <row r="875" spans="1:77" s="214" customFormat="1" x14ac:dyDescent="0.3">
      <c r="A875" s="41"/>
      <c r="B875" s="41"/>
      <c r="C875" s="41"/>
      <c r="D875" s="41"/>
      <c r="E875" s="41"/>
      <c r="F875" s="210"/>
      <c r="G875" s="41"/>
      <c r="H875" s="123"/>
      <c r="I875" s="123"/>
      <c r="J875" s="213"/>
      <c r="K875" s="213"/>
      <c r="L875" s="210"/>
      <c r="M875" s="210"/>
      <c r="N875" s="210"/>
      <c r="O875" s="210"/>
      <c r="P875" s="210"/>
      <c r="Q875" s="210"/>
      <c r="R875" s="210"/>
      <c r="S875" s="41"/>
      <c r="T875" s="42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165"/>
      <c r="AH875" s="41"/>
      <c r="AI875" s="41"/>
      <c r="AJ875" s="41"/>
      <c r="AK875" s="165"/>
      <c r="AL875" s="41"/>
      <c r="AM875" s="41"/>
      <c r="AN875" s="41"/>
      <c r="AO875" s="41"/>
      <c r="AP875" s="41"/>
      <c r="AR875" s="41"/>
      <c r="AS875" s="41"/>
      <c r="AT875" s="41"/>
      <c r="AU875" s="41"/>
      <c r="AV875" s="41"/>
      <c r="AW875" s="41"/>
      <c r="AX875" s="41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</row>
    <row r="876" spans="1:77" s="214" customFormat="1" x14ac:dyDescent="0.3">
      <c r="A876" s="41"/>
      <c r="B876" s="41"/>
      <c r="C876" s="41"/>
      <c r="D876" s="41"/>
      <c r="E876" s="41"/>
      <c r="F876" s="123"/>
      <c r="G876" s="41"/>
      <c r="H876" s="123"/>
      <c r="I876" s="123"/>
      <c r="J876" s="213"/>
      <c r="K876" s="213"/>
      <c r="L876" s="123"/>
      <c r="M876" s="123"/>
      <c r="N876" s="123"/>
      <c r="O876" s="123"/>
      <c r="P876" s="123"/>
      <c r="Q876" s="123"/>
      <c r="R876" s="123"/>
      <c r="S876" s="41"/>
      <c r="T876" s="42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165"/>
      <c r="AH876" s="41"/>
      <c r="AI876" s="41"/>
      <c r="AJ876" s="41"/>
      <c r="AK876" s="165"/>
      <c r="AL876" s="41"/>
      <c r="AM876" s="41"/>
      <c r="AN876" s="41"/>
      <c r="AO876" s="41"/>
      <c r="AP876" s="41"/>
      <c r="AR876" s="41"/>
      <c r="AS876" s="41"/>
      <c r="AT876" s="41"/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</row>
    <row r="877" spans="1:77" s="214" customFormat="1" x14ac:dyDescent="0.3">
      <c r="A877" s="41"/>
      <c r="B877" s="41"/>
      <c r="C877" s="42"/>
      <c r="D877" s="41"/>
      <c r="E877" s="41"/>
      <c r="F877" s="123"/>
      <c r="G877" s="41"/>
      <c r="H877" s="123"/>
      <c r="I877" s="123"/>
      <c r="J877" s="41"/>
      <c r="K877" s="41"/>
      <c r="L877" s="123"/>
      <c r="M877" s="123"/>
      <c r="N877" s="160"/>
      <c r="O877" s="160"/>
      <c r="P877" s="123"/>
      <c r="Q877" s="123"/>
      <c r="R877" s="123"/>
      <c r="S877" s="41"/>
      <c r="T877" s="42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165"/>
      <c r="AH877" s="41"/>
      <c r="AI877" s="41"/>
      <c r="AJ877" s="41"/>
      <c r="AK877" s="165"/>
      <c r="AL877" s="41"/>
      <c r="AM877" s="41"/>
      <c r="AN877" s="41"/>
      <c r="AO877" s="41"/>
      <c r="AP877" s="41"/>
      <c r="AR877" s="41"/>
      <c r="AS877" s="41"/>
      <c r="AT877" s="41"/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</row>
    <row r="878" spans="1:77" s="214" customFormat="1" x14ac:dyDescent="0.3">
      <c r="A878" s="41"/>
      <c r="B878" s="41"/>
      <c r="C878" s="41"/>
      <c r="D878" s="41"/>
      <c r="E878" s="41"/>
      <c r="F878" s="41"/>
      <c r="G878" s="41"/>
      <c r="H878" s="210"/>
      <c r="I878" s="210"/>
      <c r="J878" s="213"/>
      <c r="K878" s="213"/>
      <c r="L878" s="210"/>
      <c r="M878" s="210"/>
      <c r="N878" s="210"/>
      <c r="O878" s="210"/>
      <c r="P878" s="210"/>
      <c r="Q878" s="210"/>
      <c r="R878" s="210"/>
      <c r="S878" s="41"/>
      <c r="T878" s="42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165"/>
      <c r="AH878" s="41"/>
      <c r="AI878" s="41"/>
      <c r="AJ878" s="41"/>
      <c r="AK878" s="165"/>
      <c r="AL878" s="41"/>
      <c r="AM878" s="41"/>
      <c r="AN878" s="41"/>
      <c r="AO878" s="41"/>
      <c r="AP878" s="41"/>
      <c r="AR878" s="41"/>
      <c r="AS878" s="41"/>
      <c r="AT878" s="41"/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  <c r="BY878" s="41"/>
    </row>
    <row r="879" spans="1:77" s="214" customFormat="1" x14ac:dyDescent="0.3">
      <c r="A879" s="41"/>
      <c r="B879" s="41"/>
      <c r="C879" s="41"/>
      <c r="D879" s="41"/>
      <c r="E879" s="41"/>
      <c r="F879" s="210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165"/>
      <c r="AH879" s="41"/>
      <c r="AI879" s="41"/>
      <c r="AJ879" s="41"/>
      <c r="AK879" s="165"/>
      <c r="AL879" s="41"/>
      <c r="AM879" s="41"/>
      <c r="AN879" s="41"/>
      <c r="AO879" s="41"/>
      <c r="AP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</row>
    <row r="880" spans="1:77" s="214" customFormat="1" x14ac:dyDescent="0.3">
      <c r="A880" s="42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165"/>
      <c r="AH880" s="41"/>
      <c r="AI880" s="41"/>
      <c r="AJ880" s="41"/>
      <c r="AK880" s="165"/>
      <c r="AL880" s="41"/>
      <c r="AM880" s="41"/>
      <c r="AN880" s="41"/>
      <c r="AO880" s="41"/>
      <c r="AP880" s="41"/>
      <c r="AR880" s="41"/>
      <c r="AS880" s="41"/>
      <c r="AT880" s="41"/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</row>
    <row r="881" spans="1:77" s="214" customFormat="1" x14ac:dyDescent="0.3">
      <c r="A881" s="42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165"/>
      <c r="AH881" s="41"/>
      <c r="AI881" s="41"/>
      <c r="AJ881" s="41"/>
      <c r="AK881" s="165"/>
      <c r="AL881" s="41"/>
      <c r="AM881" s="41"/>
      <c r="AN881" s="41"/>
      <c r="AO881" s="41"/>
      <c r="AP881" s="41"/>
      <c r="AR881" s="41"/>
      <c r="AS881" s="41"/>
      <c r="AT881" s="41"/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/>
      <c r="BY881" s="41"/>
    </row>
    <row r="882" spans="1:77" s="214" customFormat="1" x14ac:dyDescent="0.3">
      <c r="A882" s="42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2"/>
      <c r="AB882" s="41"/>
      <c r="AC882" s="41"/>
      <c r="AD882" s="41"/>
      <c r="AE882" s="41"/>
      <c r="AF882" s="41"/>
      <c r="AG882" s="165"/>
      <c r="AH882" s="41"/>
      <c r="AI882" s="41"/>
      <c r="AJ882" s="41"/>
      <c r="AK882" s="165"/>
      <c r="AL882" s="41"/>
      <c r="AM882" s="41"/>
      <c r="AN882" s="41"/>
      <c r="AO882" s="41"/>
      <c r="AP882" s="41"/>
      <c r="AR882" s="41"/>
      <c r="AS882" s="41"/>
      <c r="AT882" s="41"/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/>
      <c r="BU882" s="41"/>
      <c r="BV882" s="41"/>
      <c r="BW882" s="41"/>
      <c r="BX882" s="41"/>
      <c r="BY882" s="41"/>
    </row>
    <row r="883" spans="1:77" s="214" customFormat="1" x14ac:dyDescent="0.3">
      <c r="A883" s="42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165"/>
      <c r="AH883" s="41"/>
      <c r="AI883" s="41"/>
      <c r="AJ883" s="41"/>
      <c r="AK883" s="165"/>
      <c r="AL883" s="41"/>
      <c r="AM883" s="41"/>
      <c r="AN883" s="41"/>
      <c r="AO883" s="41"/>
      <c r="AP883" s="41"/>
      <c r="AR883" s="41"/>
      <c r="AS883" s="41"/>
      <c r="AT883" s="41"/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  <c r="BY883" s="41"/>
    </row>
    <row r="884" spans="1:77" s="214" customFormat="1" x14ac:dyDescent="0.3">
      <c r="A884" s="42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2"/>
      <c r="AD884" s="42"/>
      <c r="AE884" s="41"/>
      <c r="AF884" s="41"/>
      <c r="AG884" s="165"/>
      <c r="AH884" s="41"/>
      <c r="AI884" s="41"/>
      <c r="AJ884" s="41"/>
      <c r="AK884" s="165"/>
      <c r="AL884" s="41"/>
      <c r="AM884" s="41"/>
      <c r="AN884" s="41"/>
      <c r="AO884" s="41"/>
      <c r="AP884" s="41"/>
      <c r="AR884" s="41"/>
      <c r="AS884" s="41"/>
      <c r="AT884" s="41"/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</row>
    <row r="885" spans="1:77" s="214" customFormat="1" x14ac:dyDescent="0.3">
      <c r="A885" s="42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165"/>
      <c r="AH885" s="41"/>
      <c r="AI885" s="41"/>
      <c r="AJ885" s="41"/>
      <c r="AK885" s="165"/>
      <c r="AL885" s="41"/>
      <c r="AM885" s="42"/>
      <c r="AN885" s="42"/>
      <c r="AO885" s="41"/>
      <c r="AP885" s="41"/>
      <c r="AR885" s="41"/>
      <c r="AS885" s="41"/>
      <c r="AT885" s="41"/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/>
      <c r="BU885" s="41"/>
      <c r="BV885" s="41"/>
      <c r="BW885" s="41"/>
      <c r="BX885" s="41"/>
      <c r="BY885" s="41"/>
    </row>
    <row r="886" spans="1:77" s="214" customFormat="1" x14ac:dyDescent="0.3">
      <c r="A886" s="42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165"/>
      <c r="AH886" s="41"/>
      <c r="AI886" s="41"/>
      <c r="AJ886" s="41"/>
      <c r="AK886" s="165"/>
      <c r="AL886" s="41"/>
      <c r="AM886" s="42"/>
      <c r="AN886" s="42"/>
      <c r="AO886" s="41"/>
      <c r="AP886" s="41"/>
      <c r="AR886" s="41"/>
      <c r="AS886" s="41"/>
      <c r="AT886" s="41"/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/>
      <c r="BY886" s="41"/>
    </row>
    <row r="887" spans="1:77" s="214" customFormat="1" x14ac:dyDescent="0.3">
      <c r="A887" s="42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165"/>
      <c r="AH887" s="41"/>
      <c r="AI887" s="41"/>
      <c r="AJ887" s="41"/>
      <c r="AK887" s="165"/>
      <c r="AL887" s="41"/>
      <c r="AM887" s="42"/>
      <c r="AN887" s="42"/>
      <c r="AO887" s="41"/>
      <c r="AP887" s="41"/>
      <c r="AR887" s="41"/>
      <c r="AS887" s="41"/>
      <c r="AT887" s="41"/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</row>
    <row r="888" spans="1:77" s="214" customFormat="1" x14ac:dyDescent="0.3">
      <c r="A888" s="42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2"/>
      <c r="AD888" s="42"/>
      <c r="AE888" s="41"/>
      <c r="AF888" s="41"/>
      <c r="AG888" s="165"/>
      <c r="AH888" s="41"/>
      <c r="AI888" s="41"/>
      <c r="AJ888" s="41"/>
      <c r="AK888" s="165"/>
      <c r="AL888" s="41"/>
      <c r="AM888" s="41"/>
      <c r="AN888" s="41"/>
      <c r="AO888" s="41"/>
      <c r="AP888" s="41"/>
      <c r="AR888" s="41"/>
      <c r="AS888" s="41"/>
      <c r="AT888" s="41"/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  <c r="BY888" s="41"/>
    </row>
    <row r="889" spans="1:77" x14ac:dyDescent="0.3">
      <c r="T889" s="135"/>
      <c r="U889" s="135"/>
      <c r="V889" s="135"/>
      <c r="W889" s="135"/>
      <c r="X889" s="135"/>
      <c r="Y889" s="135"/>
      <c r="Z889" s="135"/>
      <c r="AA889" s="135"/>
      <c r="AB889" s="135"/>
      <c r="AC889" s="135"/>
      <c r="AD889" s="135"/>
      <c r="AE889" s="135"/>
      <c r="AF889" s="135"/>
      <c r="AG889" s="207"/>
      <c r="AH889" s="135"/>
      <c r="AI889" s="135"/>
      <c r="AJ889" s="135"/>
      <c r="AK889" s="207"/>
      <c r="AL889" s="135"/>
      <c r="AM889" s="135"/>
      <c r="AN889" s="135"/>
      <c r="AO889" s="135"/>
      <c r="AP889" s="135"/>
    </row>
    <row r="890" spans="1:77" s="214" customFormat="1" x14ac:dyDescent="0.3">
      <c r="A890" s="42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4"/>
      <c r="AD890" s="44"/>
      <c r="AE890" s="44"/>
      <c r="AF890" s="44"/>
      <c r="AG890" s="168"/>
      <c r="AH890" s="44"/>
      <c r="AI890" s="44"/>
      <c r="AJ890" s="44"/>
      <c r="AK890" s="165"/>
      <c r="AL890" s="41"/>
      <c r="AM890" s="44"/>
      <c r="AN890" s="44"/>
      <c r="AO890" s="44"/>
      <c r="AP890" s="44"/>
      <c r="AR890" s="41"/>
      <c r="AS890" s="41"/>
      <c r="AT890" s="41"/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/>
      <c r="BU890" s="41"/>
      <c r="BV890" s="41"/>
      <c r="BW890" s="41"/>
      <c r="BX890" s="41"/>
      <c r="BY890" s="41"/>
    </row>
    <row r="891" spans="1:77" s="214" customFormat="1" x14ac:dyDescent="0.3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4"/>
      <c r="AC891" s="44"/>
      <c r="AD891" s="44"/>
      <c r="AE891" s="44"/>
      <c r="AF891" s="44"/>
      <c r="AG891" s="168"/>
      <c r="AH891" s="44"/>
      <c r="AI891" s="44"/>
      <c r="AJ891" s="44"/>
      <c r="AK891" s="165"/>
      <c r="AL891" s="41"/>
      <c r="AM891" s="44"/>
      <c r="AN891" s="44"/>
      <c r="AO891" s="44"/>
      <c r="AP891" s="44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</row>
    <row r="892" spans="1:77" s="214" customFormat="1" x14ac:dyDescent="0.3">
      <c r="A892" s="41"/>
      <c r="B892" s="41"/>
      <c r="C892" s="41"/>
      <c r="D892" s="41"/>
      <c r="E892" s="41"/>
      <c r="F892" s="41"/>
      <c r="G892" s="41"/>
      <c r="H892" s="42"/>
      <c r="I892" s="42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4"/>
      <c r="U892" s="44"/>
      <c r="V892" s="44"/>
      <c r="W892" s="41"/>
      <c r="X892" s="41"/>
      <c r="Y892" s="41"/>
      <c r="Z892" s="41"/>
      <c r="AA892" s="41"/>
      <c r="AB892" s="44"/>
      <c r="AC892" s="44"/>
      <c r="AD892" s="44"/>
      <c r="AE892" s="44"/>
      <c r="AF892" s="44"/>
      <c r="AG892" s="168"/>
      <c r="AH892" s="44"/>
      <c r="AI892" s="44"/>
      <c r="AJ892" s="44"/>
      <c r="AK892" s="168"/>
      <c r="AL892" s="44"/>
      <c r="AM892" s="44"/>
      <c r="AN892" s="44"/>
      <c r="AO892" s="44"/>
      <c r="AP892" s="44"/>
      <c r="AR892" s="41"/>
      <c r="AS892" s="41"/>
      <c r="AT892" s="41"/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/>
      <c r="BU892" s="41"/>
      <c r="BV892" s="41"/>
      <c r="BW892" s="41"/>
      <c r="BX892" s="41"/>
      <c r="BY892" s="41"/>
    </row>
    <row r="893" spans="1:77" s="214" customFormat="1" x14ac:dyDescent="0.3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4"/>
      <c r="U893" s="44"/>
      <c r="V893" s="44"/>
      <c r="W893" s="41"/>
      <c r="X893" s="41"/>
      <c r="Y893" s="41"/>
      <c r="Z893" s="41"/>
      <c r="AA893" s="44"/>
      <c r="AB893" s="44"/>
      <c r="AC893" s="44"/>
      <c r="AD893" s="44"/>
      <c r="AE893" s="44"/>
      <c r="AF893" s="44"/>
      <c r="AG893" s="168"/>
      <c r="AH893" s="44"/>
      <c r="AI893" s="44"/>
      <c r="AJ893" s="44"/>
      <c r="AK893" s="168"/>
      <c r="AL893" s="44"/>
      <c r="AM893" s="44"/>
      <c r="AN893" s="44"/>
      <c r="AO893" s="44"/>
      <c r="AP893" s="44"/>
      <c r="AR893" s="41"/>
      <c r="AS893" s="41"/>
      <c r="AT893" s="41"/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  <c r="BY893" s="41"/>
    </row>
    <row r="894" spans="1:77" s="214" customFormat="1" x14ac:dyDescent="0.3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2"/>
      <c r="M894" s="42"/>
      <c r="N894" s="41"/>
      <c r="O894" s="41"/>
      <c r="P894" s="41"/>
      <c r="Q894" s="41"/>
      <c r="R894" s="41"/>
      <c r="S894" s="41"/>
      <c r="T894" s="44"/>
      <c r="U894" s="44"/>
      <c r="V894" s="44"/>
      <c r="W894" s="41"/>
      <c r="X894" s="41"/>
      <c r="Y894" s="41"/>
      <c r="Z894" s="41"/>
      <c r="AA894" s="44"/>
      <c r="AB894" s="44"/>
      <c r="AC894" s="44"/>
      <c r="AD894" s="44"/>
      <c r="AE894" s="44"/>
      <c r="AF894" s="44"/>
      <c r="AG894" s="168"/>
      <c r="AH894" s="44"/>
      <c r="AI894" s="44"/>
      <c r="AJ894" s="44"/>
      <c r="AK894" s="168"/>
      <c r="AL894" s="44"/>
      <c r="AM894" s="44"/>
      <c r="AN894" s="44"/>
      <c r="AO894" s="44"/>
      <c r="AP894" s="44"/>
      <c r="AR894" s="41"/>
      <c r="AS894" s="41"/>
      <c r="AT894" s="41"/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</row>
    <row r="895" spans="1:77" s="214" customFormat="1" x14ac:dyDescent="0.3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2"/>
      <c r="S895" s="41"/>
      <c r="T895" s="135"/>
      <c r="U895" s="135"/>
      <c r="V895" s="135"/>
      <c r="W895" s="135"/>
      <c r="X895" s="135"/>
      <c r="Y895" s="135"/>
      <c r="Z895" s="135"/>
      <c r="AA895" s="135"/>
      <c r="AB895" s="135"/>
      <c r="AC895" s="135"/>
      <c r="AD895" s="135"/>
      <c r="AE895" s="135"/>
      <c r="AF895" s="135"/>
      <c r="AG895" s="207"/>
      <c r="AH895" s="135"/>
      <c r="AI895" s="135"/>
      <c r="AJ895" s="135"/>
      <c r="AK895" s="207"/>
      <c r="AL895" s="135"/>
      <c r="AM895" s="135"/>
      <c r="AN895" s="135"/>
      <c r="AO895" s="135"/>
      <c r="AP895" s="135"/>
      <c r="AR895" s="41"/>
      <c r="AS895" s="41"/>
      <c r="AT895" s="41"/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/>
      <c r="BU895" s="41"/>
      <c r="BV895" s="41"/>
      <c r="BW895" s="41"/>
      <c r="BX895" s="41"/>
      <c r="BY895" s="41"/>
    </row>
    <row r="896" spans="1:77" s="214" customFormat="1" x14ac:dyDescent="0.3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2"/>
      <c r="S896" s="41"/>
      <c r="T896" s="41"/>
      <c r="U896" s="41"/>
      <c r="V896" s="41"/>
      <c r="W896" s="41"/>
      <c r="X896" s="41"/>
      <c r="Y896" s="41"/>
      <c r="Z896" s="41"/>
      <c r="AA896" s="44"/>
      <c r="AB896" s="44"/>
      <c r="AC896" s="44"/>
      <c r="AD896" s="44"/>
      <c r="AE896" s="44"/>
      <c r="AF896" s="44"/>
      <c r="AG896" s="168"/>
      <c r="AH896" s="44"/>
      <c r="AI896" s="44"/>
      <c r="AJ896" s="44"/>
      <c r="AK896" s="168"/>
      <c r="AL896" s="44"/>
      <c r="AM896" s="44"/>
      <c r="AN896" s="44"/>
      <c r="AO896" s="44"/>
      <c r="AP896" s="44"/>
      <c r="AR896" s="41"/>
      <c r="AS896" s="41"/>
      <c r="AT896" s="41"/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/>
      <c r="BY896" s="41"/>
    </row>
    <row r="897" spans="1:77" s="214" customFormat="1" x14ac:dyDescent="0.3">
      <c r="A897" s="42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2"/>
      <c r="S897" s="41"/>
      <c r="T897" s="42"/>
      <c r="U897" s="42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165"/>
      <c r="AH897" s="41"/>
      <c r="AI897" s="41"/>
      <c r="AJ897" s="41"/>
      <c r="AK897" s="165"/>
      <c r="AL897" s="41"/>
      <c r="AM897" s="41"/>
      <c r="AN897" s="41"/>
      <c r="AO897" s="41"/>
      <c r="AP897" s="41"/>
      <c r="AR897" s="41"/>
      <c r="AS897" s="41"/>
      <c r="AT897" s="41"/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/>
      <c r="BU897" s="41"/>
      <c r="BV897" s="41"/>
      <c r="BW897" s="41"/>
      <c r="BX897" s="41"/>
      <c r="BY897" s="41"/>
    </row>
    <row r="898" spans="1:77" s="214" customFormat="1" x14ac:dyDescent="0.3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2"/>
      <c r="M898" s="42"/>
      <c r="N898" s="41"/>
      <c r="O898" s="41"/>
      <c r="P898" s="41"/>
      <c r="Q898" s="41"/>
      <c r="R898" s="41"/>
      <c r="S898" s="41"/>
      <c r="T898" s="41"/>
      <c r="U898" s="42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165"/>
      <c r="AH898" s="41"/>
      <c r="AI898" s="41"/>
      <c r="AJ898" s="41"/>
      <c r="AK898" s="165"/>
      <c r="AL898" s="41"/>
      <c r="AM898" s="41"/>
      <c r="AN898" s="41"/>
      <c r="AO898" s="41"/>
      <c r="AP898" s="41"/>
      <c r="AR898" s="41"/>
      <c r="AS898" s="41"/>
      <c r="AT898" s="41"/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  <c r="BY898" s="41"/>
    </row>
    <row r="899" spans="1:77" s="214" customFormat="1" x14ac:dyDescent="0.3">
      <c r="A899" s="135"/>
      <c r="B899" s="135"/>
      <c r="C899" s="135"/>
      <c r="D899" s="135"/>
      <c r="E899" s="135"/>
      <c r="F899" s="135"/>
      <c r="G899" s="135"/>
      <c r="H899" s="135"/>
      <c r="I899" s="135"/>
      <c r="J899" s="135"/>
      <c r="K899" s="135"/>
      <c r="L899" s="135"/>
      <c r="M899" s="135"/>
      <c r="N899" s="135"/>
      <c r="O899" s="135"/>
      <c r="P899" s="135"/>
      <c r="Q899" s="135"/>
      <c r="R899" s="135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165"/>
      <c r="AH899" s="41"/>
      <c r="AI899" s="41"/>
      <c r="AJ899" s="41"/>
      <c r="AK899" s="165"/>
      <c r="AL899" s="41"/>
      <c r="AM899" s="41"/>
      <c r="AN899" s="41"/>
      <c r="AO899" s="41"/>
      <c r="AP899" s="41"/>
      <c r="AR899" s="41"/>
      <c r="AS899" s="41"/>
      <c r="AT899" s="41"/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  <c r="BS899" s="41"/>
      <c r="BT899" s="41"/>
      <c r="BU899" s="41"/>
      <c r="BV899" s="41"/>
      <c r="BW899" s="41"/>
      <c r="BX899" s="41"/>
      <c r="BY899" s="41"/>
    </row>
    <row r="900" spans="1:77" s="214" customFormat="1" x14ac:dyDescent="0.3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4"/>
      <c r="M900" s="44"/>
      <c r="N900" s="44"/>
      <c r="O900" s="44"/>
      <c r="P900" s="41"/>
      <c r="Q900" s="41"/>
      <c r="R900" s="44"/>
      <c r="S900" s="41"/>
      <c r="T900" s="42"/>
      <c r="U900" s="41"/>
      <c r="V900" s="123"/>
      <c r="W900" s="41"/>
      <c r="X900" s="41"/>
      <c r="Y900" s="41"/>
      <c r="Z900" s="41"/>
      <c r="AA900" s="41"/>
      <c r="AB900" s="209"/>
      <c r="AC900" s="123"/>
      <c r="AD900" s="123"/>
      <c r="AE900" s="41"/>
      <c r="AF900" s="41"/>
      <c r="AG900" s="165"/>
      <c r="AH900" s="41"/>
      <c r="AI900" s="123"/>
      <c r="AJ900" s="123"/>
      <c r="AK900" s="165"/>
      <c r="AL900" s="41"/>
      <c r="AM900" s="123"/>
      <c r="AN900" s="123"/>
      <c r="AO900" s="41"/>
      <c r="AP900" s="41"/>
      <c r="AR900" s="41"/>
      <c r="AS900" s="41"/>
      <c r="AT900" s="41"/>
      <c r="AU900" s="41"/>
      <c r="AV900" s="41"/>
      <c r="AW900" s="41"/>
      <c r="AX900" s="41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  <c r="BS900" s="41"/>
      <c r="BT900" s="41"/>
      <c r="BU900" s="41"/>
      <c r="BV900" s="41"/>
      <c r="BW900" s="41"/>
      <c r="BX900" s="41"/>
      <c r="BY900" s="41"/>
    </row>
    <row r="901" spans="1:77" s="214" customFormat="1" x14ac:dyDescent="0.3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4"/>
      <c r="M901" s="44"/>
      <c r="N901" s="44"/>
      <c r="O901" s="44"/>
      <c r="P901" s="41"/>
      <c r="Q901" s="41"/>
      <c r="R901" s="44"/>
      <c r="S901" s="41"/>
      <c r="T901" s="42"/>
      <c r="U901" s="41"/>
      <c r="V901" s="123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165"/>
      <c r="AH901" s="41"/>
      <c r="AI901" s="123"/>
      <c r="AJ901" s="123"/>
      <c r="AK901" s="165"/>
      <c r="AL901" s="41"/>
      <c r="AM901" s="123"/>
      <c r="AN901" s="123"/>
      <c r="AO901" s="41"/>
      <c r="AP901" s="41"/>
      <c r="AR901" s="41"/>
      <c r="AS901" s="41"/>
      <c r="AT901" s="41"/>
      <c r="AU901" s="41"/>
      <c r="AV901" s="41"/>
      <c r="AW901" s="41"/>
      <c r="AX901" s="41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  <c r="BS901" s="41"/>
      <c r="BT901" s="41"/>
      <c r="BU901" s="41"/>
      <c r="BV901" s="41"/>
      <c r="BW901" s="41"/>
      <c r="BX901" s="41"/>
      <c r="BY901" s="41"/>
    </row>
    <row r="902" spans="1:77" s="214" customFormat="1" x14ac:dyDescent="0.3">
      <c r="A902" s="44"/>
      <c r="B902" s="41"/>
      <c r="C902" s="44"/>
      <c r="D902" s="44"/>
      <c r="E902" s="44"/>
      <c r="F902" s="44"/>
      <c r="G902" s="41"/>
      <c r="H902" s="41"/>
      <c r="I902" s="41"/>
      <c r="J902" s="44"/>
      <c r="K902" s="44"/>
      <c r="L902" s="44"/>
      <c r="M902" s="44"/>
      <c r="N902" s="44"/>
      <c r="O902" s="44"/>
      <c r="P902" s="44"/>
      <c r="Q902" s="44"/>
      <c r="R902" s="44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165"/>
      <c r="AH902" s="41"/>
      <c r="AI902" s="41"/>
      <c r="AJ902" s="41"/>
      <c r="AK902" s="165"/>
      <c r="AL902" s="123"/>
      <c r="AM902" s="123"/>
      <c r="AN902" s="123"/>
      <c r="AO902" s="160"/>
      <c r="AP902" s="160"/>
      <c r="AR902" s="41"/>
      <c r="AS902" s="41"/>
      <c r="AT902" s="41"/>
      <c r="AU902" s="41"/>
      <c r="AV902" s="41"/>
      <c r="AW902" s="41"/>
      <c r="AX902" s="41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  <c r="BS902" s="41"/>
      <c r="BT902" s="41"/>
      <c r="BU902" s="41"/>
      <c r="BV902" s="41"/>
      <c r="BW902" s="41"/>
      <c r="BX902" s="41"/>
      <c r="BY902" s="41"/>
    </row>
    <row r="903" spans="1:77" s="214" customFormat="1" x14ac:dyDescent="0.3">
      <c r="A903" s="44"/>
      <c r="B903" s="41"/>
      <c r="C903" s="44"/>
      <c r="D903" s="44"/>
      <c r="E903" s="44"/>
      <c r="F903" s="44"/>
      <c r="G903" s="41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1"/>
      <c r="T903" s="42"/>
      <c r="U903" s="41"/>
      <c r="V903" s="123"/>
      <c r="W903" s="41"/>
      <c r="X903" s="41"/>
      <c r="Y903" s="41"/>
      <c r="Z903" s="41"/>
      <c r="AA903" s="123"/>
      <c r="AB903" s="237"/>
      <c r="AC903" s="123"/>
      <c r="AD903" s="123"/>
      <c r="AE903" s="160"/>
      <c r="AF903" s="160"/>
      <c r="AG903" s="165"/>
      <c r="AH903" s="123"/>
      <c r="AI903" s="236"/>
      <c r="AJ903" s="236"/>
      <c r="AK903" s="165"/>
      <c r="AL903" s="123"/>
      <c r="AM903" s="123"/>
      <c r="AN903" s="123"/>
      <c r="AO903" s="160"/>
      <c r="AP903" s="160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</row>
    <row r="904" spans="1:77" s="214" customFormat="1" x14ac:dyDescent="0.3">
      <c r="A904" s="41"/>
      <c r="B904" s="41"/>
      <c r="C904" s="44"/>
      <c r="D904" s="44"/>
      <c r="E904" s="44"/>
      <c r="F904" s="44"/>
      <c r="G904" s="41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1"/>
      <c r="T904" s="41"/>
      <c r="U904" s="41"/>
      <c r="V904" s="123"/>
      <c r="W904" s="41"/>
      <c r="X904" s="41"/>
      <c r="Y904" s="41"/>
      <c r="Z904" s="41"/>
      <c r="AA904" s="123"/>
      <c r="AB904" s="219"/>
      <c r="AC904" s="123"/>
      <c r="AD904" s="123"/>
      <c r="AE904" s="41"/>
      <c r="AF904" s="41"/>
      <c r="AG904" s="165"/>
      <c r="AH904" s="41"/>
      <c r="AI904" s="41"/>
      <c r="AJ904" s="41"/>
      <c r="AK904" s="165"/>
      <c r="AL904" s="123"/>
      <c r="AM904" s="123"/>
      <c r="AN904" s="123"/>
      <c r="AO904" s="160"/>
      <c r="AP904" s="160"/>
      <c r="AR904" s="41"/>
      <c r="AS904" s="41"/>
      <c r="AT904" s="41"/>
      <c r="AU904" s="41"/>
      <c r="AV904" s="41"/>
      <c r="AW904" s="41"/>
      <c r="AX904" s="41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/>
      <c r="BS904" s="41"/>
      <c r="BT904" s="41"/>
      <c r="BU904" s="41"/>
      <c r="BV904" s="41"/>
      <c r="BW904" s="41"/>
      <c r="BX904" s="41"/>
      <c r="BY904" s="41"/>
    </row>
    <row r="905" spans="1:77" s="214" customFormat="1" x14ac:dyDescent="0.3">
      <c r="A905" s="135"/>
      <c r="B905" s="135"/>
      <c r="C905" s="135"/>
      <c r="D905" s="135"/>
      <c r="E905" s="135"/>
      <c r="F905" s="135"/>
      <c r="G905" s="135"/>
      <c r="H905" s="135"/>
      <c r="I905" s="135"/>
      <c r="J905" s="135"/>
      <c r="K905" s="135"/>
      <c r="L905" s="135"/>
      <c r="M905" s="135"/>
      <c r="N905" s="135"/>
      <c r="O905" s="135"/>
      <c r="P905" s="135"/>
      <c r="Q905" s="135"/>
      <c r="R905" s="135"/>
      <c r="S905" s="41"/>
      <c r="T905" s="41"/>
      <c r="U905" s="41"/>
      <c r="V905" s="123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165"/>
      <c r="AH905" s="41"/>
      <c r="AI905" s="41"/>
      <c r="AJ905" s="41"/>
      <c r="AK905" s="165"/>
      <c r="AL905" s="41"/>
      <c r="AM905" s="123"/>
      <c r="AN905" s="123"/>
      <c r="AO905" s="160"/>
      <c r="AP905" s="160"/>
      <c r="AR905" s="41"/>
      <c r="AS905" s="41"/>
      <c r="AT905" s="41"/>
      <c r="AU905" s="41"/>
      <c r="AV905" s="41"/>
      <c r="AW905" s="41"/>
      <c r="AX905" s="41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  <c r="BS905" s="41"/>
      <c r="BT905" s="41"/>
      <c r="BU905" s="41"/>
      <c r="BV905" s="41"/>
      <c r="BW905" s="41"/>
      <c r="BX905" s="41"/>
      <c r="BY905" s="41"/>
    </row>
    <row r="906" spans="1:77" s="214" customFormat="1" x14ac:dyDescent="0.3">
      <c r="A906" s="41"/>
      <c r="B906" s="41"/>
      <c r="C906" s="41"/>
      <c r="D906" s="41"/>
      <c r="E906" s="41"/>
      <c r="F906" s="41"/>
      <c r="G906" s="41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1"/>
      <c r="T906" s="42"/>
      <c r="U906" s="41"/>
      <c r="V906" s="123"/>
      <c r="W906" s="41"/>
      <c r="X906" s="41"/>
      <c r="Y906" s="41"/>
      <c r="Z906" s="41"/>
      <c r="AA906" s="41"/>
      <c r="AB906" s="209"/>
      <c r="AC906" s="123"/>
      <c r="AD906" s="123"/>
      <c r="AE906" s="160"/>
      <c r="AF906" s="160"/>
      <c r="AG906" s="165"/>
      <c r="AH906" s="41"/>
      <c r="AI906" s="41"/>
      <c r="AJ906" s="41"/>
      <c r="AK906" s="165"/>
      <c r="AL906" s="41"/>
      <c r="AM906" s="123"/>
      <c r="AN906" s="123"/>
      <c r="AO906" s="160"/>
      <c r="AP906" s="160"/>
      <c r="AR906" s="41"/>
      <c r="AS906" s="41"/>
      <c r="AT906" s="41"/>
      <c r="AU906" s="41"/>
      <c r="AV906" s="41"/>
      <c r="AW906" s="41"/>
      <c r="AX906" s="41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  <c r="BS906" s="41"/>
      <c r="BT906" s="41"/>
      <c r="BU906" s="41"/>
      <c r="BV906" s="41"/>
      <c r="BW906" s="41"/>
      <c r="BX906" s="41"/>
      <c r="BY906" s="41"/>
    </row>
    <row r="907" spans="1:77" s="214" customFormat="1" x14ac:dyDescent="0.3">
      <c r="A907" s="41"/>
      <c r="B907" s="41"/>
      <c r="C907" s="42"/>
      <c r="D907" s="42"/>
      <c r="E907" s="42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2"/>
      <c r="U907" s="41"/>
      <c r="V907" s="123"/>
      <c r="W907" s="41"/>
      <c r="X907" s="41"/>
      <c r="Y907" s="41"/>
      <c r="Z907" s="41"/>
      <c r="AA907" s="123"/>
      <c r="AB907" s="209"/>
      <c r="AC907" s="123"/>
      <c r="AD907" s="123"/>
      <c r="AE907" s="160"/>
      <c r="AF907" s="160"/>
      <c r="AG907" s="165"/>
      <c r="AH907" s="41"/>
      <c r="AI907" s="41"/>
      <c r="AJ907" s="41"/>
      <c r="AK907" s="165"/>
      <c r="AL907" s="123"/>
      <c r="AM907" s="123"/>
      <c r="AN907" s="123"/>
      <c r="AO907" s="160"/>
      <c r="AP907" s="160"/>
      <c r="AR907" s="41"/>
      <c r="AS907" s="41"/>
      <c r="AT907" s="41"/>
      <c r="AU907" s="41"/>
      <c r="AV907" s="41"/>
      <c r="AW907" s="41"/>
      <c r="AX907" s="41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BL907" s="41"/>
      <c r="BM907" s="41"/>
      <c r="BN907" s="41"/>
      <c r="BO907" s="41"/>
      <c r="BP907" s="41"/>
      <c r="BQ907" s="41"/>
      <c r="BR907" s="41"/>
      <c r="BS907" s="41"/>
      <c r="BT907" s="41"/>
      <c r="BU907" s="41"/>
      <c r="BV907" s="41"/>
      <c r="BW907" s="41"/>
      <c r="BX907" s="41"/>
      <c r="BY907" s="41"/>
    </row>
    <row r="908" spans="1:77" s="214" customFormat="1" x14ac:dyDescent="0.3">
      <c r="A908" s="41"/>
      <c r="B908" s="41"/>
      <c r="C908" s="41"/>
      <c r="D908" s="42"/>
      <c r="E908" s="42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2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165"/>
      <c r="AH908" s="41"/>
      <c r="AI908" s="41"/>
      <c r="AJ908" s="41"/>
      <c r="AK908" s="165"/>
      <c r="AL908" s="41"/>
      <c r="AM908" s="41"/>
      <c r="AN908" s="41"/>
      <c r="AO908" s="160"/>
      <c r="AP908" s="160"/>
      <c r="AR908" s="41"/>
      <c r="AS908" s="41"/>
      <c r="AT908" s="41"/>
      <c r="AU908" s="41"/>
      <c r="AV908" s="41"/>
      <c r="AW908" s="41"/>
      <c r="AX908" s="41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  <c r="BS908" s="41"/>
      <c r="BT908" s="41"/>
      <c r="BU908" s="41"/>
      <c r="BV908" s="41"/>
      <c r="BW908" s="41"/>
      <c r="BX908" s="41"/>
      <c r="BY908" s="41"/>
    </row>
    <row r="909" spans="1:77" x14ac:dyDescent="0.3">
      <c r="T909" s="42"/>
      <c r="AO909" s="160"/>
      <c r="AP909" s="160"/>
    </row>
    <row r="910" spans="1:77" s="214" customFormat="1" x14ac:dyDescent="0.3">
      <c r="A910" s="41"/>
      <c r="B910" s="41"/>
      <c r="C910" s="42"/>
      <c r="D910" s="41"/>
      <c r="E910" s="41"/>
      <c r="F910" s="123"/>
      <c r="G910" s="41"/>
      <c r="H910" s="41"/>
      <c r="I910" s="41"/>
      <c r="J910" s="209"/>
      <c r="K910" s="209"/>
      <c r="L910" s="123"/>
      <c r="M910" s="123"/>
      <c r="N910" s="41"/>
      <c r="O910" s="41"/>
      <c r="P910" s="41"/>
      <c r="Q910" s="41"/>
      <c r="R910" s="123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165"/>
      <c r="AH910" s="41"/>
      <c r="AI910" s="41"/>
      <c r="AJ910" s="41"/>
      <c r="AK910" s="165"/>
      <c r="AL910" s="41"/>
      <c r="AM910" s="41"/>
      <c r="AN910" s="41"/>
      <c r="AO910" s="160"/>
      <c r="AP910" s="160"/>
      <c r="AR910" s="41"/>
      <c r="AS910" s="41"/>
      <c r="AT910" s="41"/>
      <c r="AU910" s="41"/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/>
      <c r="BU910" s="41"/>
      <c r="BV910" s="41"/>
      <c r="BW910" s="41"/>
      <c r="BX910" s="41"/>
      <c r="BY910" s="41"/>
    </row>
    <row r="911" spans="1:77" s="214" customFormat="1" x14ac:dyDescent="0.3">
      <c r="A911" s="41"/>
      <c r="B911" s="41"/>
      <c r="C911" s="42"/>
      <c r="D911" s="41"/>
      <c r="E911" s="41"/>
      <c r="F911" s="123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123"/>
      <c r="S911" s="41"/>
      <c r="T911" s="42"/>
      <c r="U911" s="41"/>
      <c r="V911" s="123"/>
      <c r="W911" s="41"/>
      <c r="X911" s="41"/>
      <c r="Y911" s="41"/>
      <c r="Z911" s="41"/>
      <c r="AA911" s="123"/>
      <c r="AB911" s="237"/>
      <c r="AC911" s="123"/>
      <c r="AD911" s="123"/>
      <c r="AE911" s="160"/>
      <c r="AF911" s="160"/>
      <c r="AG911" s="165"/>
      <c r="AH911" s="123"/>
      <c r="AI911" s="236"/>
      <c r="AJ911" s="236"/>
      <c r="AK911" s="165"/>
      <c r="AL911" s="123"/>
      <c r="AM911" s="123"/>
      <c r="AN911" s="123"/>
      <c r="AO911" s="160"/>
      <c r="AP911" s="160"/>
      <c r="AR911" s="41"/>
      <c r="AS911" s="41"/>
      <c r="AT911" s="41"/>
      <c r="AU911" s="41"/>
      <c r="AV911" s="41"/>
      <c r="AW911" s="41"/>
      <c r="AX911" s="41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  <c r="BS911" s="41"/>
      <c r="BT911" s="41"/>
      <c r="BU911" s="41"/>
      <c r="BV911" s="41"/>
      <c r="BW911" s="41"/>
      <c r="BX911" s="41"/>
      <c r="BY911" s="41"/>
    </row>
    <row r="912" spans="1:77" s="214" customFormat="1" x14ac:dyDescent="0.3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210"/>
      <c r="W912" s="41"/>
      <c r="X912" s="41"/>
      <c r="Y912" s="41"/>
      <c r="Z912" s="41"/>
      <c r="AA912" s="210"/>
      <c r="AB912" s="213"/>
      <c r="AC912" s="210"/>
      <c r="AD912" s="210"/>
      <c r="AE912" s="210"/>
      <c r="AF912" s="210"/>
      <c r="AH912" s="210"/>
      <c r="AI912" s="41"/>
      <c r="AJ912" s="41"/>
      <c r="AL912" s="210"/>
      <c r="AM912" s="210"/>
      <c r="AN912" s="210"/>
      <c r="AO912" s="160"/>
      <c r="AP912" s="160"/>
      <c r="AR912" s="41"/>
      <c r="AS912" s="41"/>
      <c r="AT912" s="41"/>
      <c r="AU912" s="41"/>
      <c r="AV912" s="41"/>
      <c r="AW912" s="41"/>
      <c r="AX912" s="41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  <c r="BS912" s="41"/>
      <c r="BT912" s="41"/>
      <c r="BU912" s="41"/>
      <c r="BV912" s="41"/>
      <c r="BW912" s="41"/>
      <c r="BX912" s="41"/>
      <c r="BY912" s="41"/>
    </row>
    <row r="913" spans="1:77" s="214" customFormat="1" x14ac:dyDescent="0.3">
      <c r="A913" s="41"/>
      <c r="B913" s="41"/>
      <c r="C913" s="42"/>
      <c r="D913" s="41"/>
      <c r="E913" s="41"/>
      <c r="F913" s="184"/>
      <c r="G913" s="41"/>
      <c r="H913" s="184"/>
      <c r="I913" s="184"/>
      <c r="J913" s="237"/>
      <c r="K913" s="237"/>
      <c r="L913" s="123"/>
      <c r="M913" s="123"/>
      <c r="N913" s="160"/>
      <c r="O913" s="160"/>
      <c r="P913" s="123"/>
      <c r="Q913" s="123"/>
      <c r="R913" s="123"/>
      <c r="S913" s="41"/>
      <c r="T913" s="41"/>
      <c r="U913" s="41"/>
      <c r="V913" s="41"/>
      <c r="W913" s="41"/>
      <c r="X913" s="41"/>
      <c r="Y913" s="41"/>
      <c r="Z913" s="41"/>
      <c r="AA913" s="123"/>
      <c r="AB913" s="41"/>
      <c r="AC913" s="41"/>
      <c r="AD913" s="41"/>
      <c r="AE913" s="41"/>
      <c r="AF913" s="41"/>
      <c r="AG913" s="165"/>
      <c r="AH913" s="41"/>
      <c r="AI913" s="41"/>
      <c r="AJ913" s="41"/>
      <c r="AK913" s="165"/>
      <c r="AL913" s="41"/>
      <c r="AM913" s="41"/>
      <c r="AN913" s="41"/>
      <c r="AO913" s="160"/>
      <c r="AP913" s="160"/>
      <c r="AR913" s="41"/>
      <c r="AS913" s="41"/>
      <c r="AT913" s="41"/>
      <c r="AU913" s="41"/>
      <c r="AV913" s="41"/>
      <c r="AW913" s="41"/>
      <c r="AX913" s="41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/>
      <c r="BS913" s="41"/>
      <c r="BT913" s="41"/>
      <c r="BU913" s="41"/>
      <c r="BV913" s="41"/>
      <c r="BW913" s="41"/>
      <c r="BX913" s="41"/>
      <c r="BY913" s="41"/>
    </row>
    <row r="914" spans="1:77" s="214" customFormat="1" x14ac:dyDescent="0.3">
      <c r="A914" s="41"/>
      <c r="B914" s="41"/>
      <c r="C914" s="41"/>
      <c r="D914" s="41"/>
      <c r="E914" s="41"/>
      <c r="F914" s="123"/>
      <c r="G914" s="41"/>
      <c r="H914" s="123"/>
      <c r="I914" s="123"/>
      <c r="J914" s="219"/>
      <c r="K914" s="219"/>
      <c r="L914" s="123"/>
      <c r="M914" s="123"/>
      <c r="N914" s="41"/>
      <c r="O914" s="41"/>
      <c r="P914" s="123"/>
      <c r="Q914" s="123"/>
      <c r="R914" s="123"/>
      <c r="S914" s="41"/>
      <c r="T914" s="42"/>
      <c r="U914" s="41"/>
      <c r="V914" s="123"/>
      <c r="W914" s="41"/>
      <c r="X914" s="41"/>
      <c r="Y914" s="41"/>
      <c r="Z914" s="41"/>
      <c r="AA914" s="123"/>
      <c r="AB914" s="41"/>
      <c r="AC914" s="123"/>
      <c r="AD914" s="123"/>
      <c r="AE914" s="160"/>
      <c r="AF914" s="160"/>
      <c r="AG914" s="165"/>
      <c r="AH914" s="123"/>
      <c r="AI914" s="236"/>
      <c r="AJ914" s="236"/>
      <c r="AK914" s="233"/>
      <c r="AL914" s="184"/>
      <c r="AM914" s="123"/>
      <c r="AN914" s="123"/>
      <c r="AO914" s="160"/>
      <c r="AP914" s="160"/>
      <c r="AR914" s="41"/>
      <c r="AS914" s="41"/>
      <c r="AT914" s="41"/>
      <c r="AU914" s="41"/>
      <c r="AV914" s="41"/>
      <c r="AW914" s="41"/>
      <c r="AX914" s="41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  <c r="BS914" s="41"/>
      <c r="BT914" s="41"/>
      <c r="BU914" s="41"/>
      <c r="BV914" s="41"/>
      <c r="BW914" s="41"/>
      <c r="BX914" s="41"/>
      <c r="BY914" s="41"/>
    </row>
    <row r="915" spans="1:77" s="214" customFormat="1" x14ac:dyDescent="0.3">
      <c r="A915" s="41"/>
      <c r="B915" s="41"/>
      <c r="C915" s="41"/>
      <c r="D915" s="41"/>
      <c r="E915" s="41"/>
      <c r="F915" s="123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123"/>
      <c r="S915" s="41"/>
      <c r="T915" s="41"/>
      <c r="U915" s="41"/>
      <c r="V915" s="210"/>
      <c r="W915" s="41"/>
      <c r="X915" s="41"/>
      <c r="Y915" s="41"/>
      <c r="Z915" s="41"/>
      <c r="AA915" s="210"/>
      <c r="AB915" s="213"/>
      <c r="AC915" s="210"/>
      <c r="AD915" s="210"/>
      <c r="AE915" s="210"/>
      <c r="AF915" s="210"/>
      <c r="AH915" s="210"/>
      <c r="AI915" s="41"/>
      <c r="AJ915" s="41"/>
      <c r="AL915" s="210"/>
      <c r="AM915" s="210"/>
      <c r="AN915" s="210"/>
      <c r="AO915" s="160"/>
      <c r="AP915" s="160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</row>
    <row r="916" spans="1:77" s="214" customFormat="1" x14ac:dyDescent="0.3">
      <c r="A916" s="41"/>
      <c r="B916" s="41"/>
      <c r="C916" s="42"/>
      <c r="D916" s="41"/>
      <c r="E916" s="41"/>
      <c r="F916" s="123"/>
      <c r="G916" s="41"/>
      <c r="H916" s="41"/>
      <c r="I916" s="41"/>
      <c r="J916" s="209"/>
      <c r="K916" s="209"/>
      <c r="L916" s="123"/>
      <c r="M916" s="123"/>
      <c r="N916" s="160"/>
      <c r="O916" s="160"/>
      <c r="P916" s="41"/>
      <c r="Q916" s="41"/>
      <c r="R916" s="123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165"/>
      <c r="AH916" s="41"/>
      <c r="AI916" s="41"/>
      <c r="AJ916" s="41"/>
      <c r="AK916" s="165"/>
      <c r="AL916" s="41"/>
      <c r="AM916" s="41"/>
      <c r="AN916" s="41"/>
      <c r="AO916" s="41"/>
      <c r="AP916" s="41"/>
      <c r="AR916" s="41"/>
      <c r="AS916" s="41"/>
      <c r="AT916" s="41"/>
      <c r="AU916" s="41"/>
      <c r="AV916" s="41"/>
      <c r="AW916" s="41"/>
      <c r="AX916" s="41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BL916" s="41"/>
      <c r="BM916" s="41"/>
      <c r="BN916" s="41"/>
      <c r="BO916" s="41"/>
      <c r="BP916" s="41"/>
      <c r="BQ916" s="41"/>
      <c r="BR916" s="41"/>
      <c r="BS916" s="41"/>
      <c r="BT916" s="41"/>
      <c r="BU916" s="41"/>
      <c r="BV916" s="41"/>
      <c r="BW916" s="41"/>
      <c r="BX916" s="41"/>
      <c r="BY916" s="41"/>
    </row>
    <row r="917" spans="1:77" s="214" customFormat="1" x14ac:dyDescent="0.3">
      <c r="A917" s="41"/>
      <c r="B917" s="41"/>
      <c r="C917" s="42"/>
      <c r="D917" s="41"/>
      <c r="E917" s="41"/>
      <c r="F917" s="123"/>
      <c r="G917" s="41"/>
      <c r="H917" s="123"/>
      <c r="I917" s="123"/>
      <c r="J917" s="209"/>
      <c r="K917" s="209"/>
      <c r="L917" s="123"/>
      <c r="M917" s="123"/>
      <c r="N917" s="160"/>
      <c r="O917" s="160"/>
      <c r="P917" s="123"/>
      <c r="Q917" s="123"/>
      <c r="R917" s="123"/>
      <c r="S917" s="41"/>
      <c r="T917" s="41"/>
      <c r="U917" s="41"/>
      <c r="V917" s="123"/>
      <c r="W917" s="41"/>
      <c r="X917" s="41"/>
      <c r="Y917" s="41"/>
      <c r="Z917" s="41"/>
      <c r="AA917" s="123"/>
      <c r="AB917" s="219"/>
      <c r="AC917" s="123"/>
      <c r="AD917" s="123"/>
      <c r="AE917" s="123"/>
      <c r="AF917" s="123"/>
      <c r="AG917" s="165"/>
      <c r="AH917" s="123"/>
      <c r="AI917" s="123"/>
      <c r="AJ917" s="123"/>
      <c r="AK917" s="165"/>
      <c r="AL917" s="123"/>
      <c r="AM917" s="123"/>
      <c r="AN917" s="123"/>
      <c r="AO917" s="41"/>
      <c r="AP917" s="41"/>
      <c r="AR917" s="41"/>
      <c r="AS917" s="41"/>
      <c r="AT917" s="41"/>
      <c r="AU917" s="41"/>
      <c r="AV917" s="41"/>
      <c r="AW917" s="41"/>
      <c r="AX917" s="41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  <c r="BY917" s="41"/>
    </row>
    <row r="918" spans="1:77" s="214" customFormat="1" x14ac:dyDescent="0.3">
      <c r="A918" s="41"/>
      <c r="B918" s="41"/>
      <c r="C918" s="42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F918" s="41"/>
      <c r="AG918" s="165"/>
      <c r="AH918" s="41"/>
      <c r="AI918" s="41"/>
      <c r="AJ918" s="41"/>
      <c r="AK918" s="165"/>
      <c r="AL918" s="41"/>
      <c r="AM918" s="41"/>
      <c r="AN918" s="41"/>
      <c r="AO918" s="41"/>
      <c r="AP918" s="41"/>
      <c r="AR918" s="41"/>
      <c r="AS918" s="41"/>
      <c r="AT918" s="41"/>
      <c r="AU918" s="41"/>
      <c r="AV918" s="41"/>
      <c r="AW918" s="41"/>
      <c r="AX918" s="41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BL918" s="41"/>
      <c r="BM918" s="41"/>
      <c r="BN918" s="41"/>
      <c r="BO918" s="41"/>
      <c r="BP918" s="41"/>
      <c r="BQ918" s="41"/>
      <c r="BR918" s="41"/>
      <c r="BS918" s="41"/>
      <c r="BT918" s="41"/>
      <c r="BU918" s="41"/>
      <c r="BV918" s="41"/>
      <c r="BW918" s="41"/>
      <c r="BX918" s="41"/>
      <c r="BY918" s="41"/>
    </row>
    <row r="919" spans="1:77" s="214" customFormat="1" x14ac:dyDescent="0.3">
      <c r="A919" s="41"/>
      <c r="B919" s="41"/>
      <c r="C919" s="42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165"/>
      <c r="AH919" s="41"/>
      <c r="AI919" s="41"/>
      <c r="AJ919" s="41"/>
      <c r="AK919" s="165"/>
      <c r="AL919" s="41"/>
      <c r="AM919" s="41"/>
      <c r="AN919" s="41"/>
      <c r="AO919" s="41"/>
      <c r="AP919" s="41"/>
      <c r="AR919" s="41"/>
      <c r="AS919" s="41"/>
      <c r="AT919" s="41"/>
      <c r="AU919" s="41"/>
      <c r="AV919" s="41"/>
      <c r="AW919" s="41"/>
      <c r="AX919" s="41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  <c r="BS919" s="41"/>
      <c r="BT919" s="41"/>
      <c r="BU919" s="41"/>
      <c r="BV919" s="41"/>
      <c r="BW919" s="41"/>
      <c r="BX919" s="41"/>
      <c r="BY919" s="41"/>
    </row>
    <row r="920" spans="1:77" s="214" customFormat="1" x14ac:dyDescent="0.3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2"/>
      <c r="AB920" s="41"/>
      <c r="AC920" s="41"/>
      <c r="AD920" s="41"/>
      <c r="AE920" s="41"/>
      <c r="AF920" s="41"/>
      <c r="AG920" s="165"/>
      <c r="AH920" s="41"/>
      <c r="AI920" s="41"/>
      <c r="AJ920" s="41"/>
      <c r="AK920" s="165"/>
      <c r="AL920" s="41"/>
      <c r="AM920" s="41"/>
      <c r="AN920" s="41"/>
      <c r="AO920" s="41"/>
      <c r="AP920" s="41"/>
      <c r="AR920" s="41"/>
      <c r="AS920" s="41"/>
      <c r="AT920" s="41"/>
      <c r="AU920" s="41"/>
      <c r="AV920" s="41"/>
      <c r="AW920" s="41"/>
      <c r="AX920" s="41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  <c r="BY920" s="41"/>
    </row>
    <row r="921" spans="1:77" s="214" customFormat="1" x14ac:dyDescent="0.3">
      <c r="A921" s="41"/>
      <c r="B921" s="41"/>
      <c r="C921" s="42"/>
      <c r="D921" s="41"/>
      <c r="E921" s="41"/>
      <c r="F921" s="184"/>
      <c r="G921" s="41"/>
      <c r="H921" s="184"/>
      <c r="I921" s="184"/>
      <c r="J921" s="237"/>
      <c r="K921" s="237"/>
      <c r="L921" s="123"/>
      <c r="M921" s="123"/>
      <c r="N921" s="160"/>
      <c r="O921" s="160"/>
      <c r="P921" s="123"/>
      <c r="Q921" s="123"/>
      <c r="R921" s="123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165"/>
      <c r="AH921" s="41"/>
      <c r="AI921" s="41"/>
      <c r="AJ921" s="41"/>
      <c r="AK921" s="165"/>
      <c r="AL921" s="41"/>
      <c r="AM921" s="41"/>
      <c r="AN921" s="41"/>
      <c r="AO921" s="41"/>
      <c r="AP921" s="41"/>
      <c r="AR921" s="41"/>
      <c r="AS921" s="41"/>
      <c r="AT921" s="41"/>
      <c r="AU921" s="41"/>
      <c r="AV921" s="41"/>
      <c r="AW921" s="41"/>
      <c r="AX921" s="41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BL921" s="41"/>
      <c r="BM921" s="41"/>
      <c r="BN921" s="41"/>
      <c r="BO921" s="41"/>
      <c r="BP921" s="41"/>
      <c r="BQ921" s="41"/>
      <c r="BR921" s="41"/>
      <c r="BS921" s="41"/>
      <c r="BT921" s="41"/>
      <c r="BU921" s="41"/>
      <c r="BV921" s="41"/>
      <c r="BW921" s="41"/>
      <c r="BX921" s="41"/>
      <c r="BY921" s="41"/>
    </row>
    <row r="922" spans="1:77" s="214" customFormat="1" x14ac:dyDescent="0.3">
      <c r="A922" s="41"/>
      <c r="B922" s="41"/>
      <c r="C922" s="41"/>
      <c r="D922" s="41"/>
      <c r="E922" s="41"/>
      <c r="F922" s="210"/>
      <c r="G922" s="41"/>
      <c r="H922" s="210"/>
      <c r="I922" s="210"/>
      <c r="J922" s="213"/>
      <c r="K922" s="213"/>
      <c r="L922" s="210"/>
      <c r="M922" s="210"/>
      <c r="N922" s="210"/>
      <c r="O922" s="210"/>
      <c r="P922" s="210"/>
      <c r="Q922" s="210"/>
      <c r="R922" s="210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2"/>
      <c r="AD922" s="42"/>
      <c r="AE922" s="41"/>
      <c r="AF922" s="41"/>
      <c r="AG922" s="165"/>
      <c r="AH922" s="41"/>
      <c r="AI922" s="41"/>
      <c r="AJ922" s="41"/>
      <c r="AK922" s="165"/>
      <c r="AL922" s="41"/>
      <c r="AM922" s="41"/>
      <c r="AN922" s="41"/>
      <c r="AO922" s="41"/>
      <c r="AP922" s="41"/>
      <c r="AR922" s="41"/>
      <c r="AS922" s="41"/>
      <c r="AT922" s="41"/>
      <c r="AU922" s="41"/>
      <c r="AV922" s="41"/>
      <c r="AW922" s="41"/>
      <c r="AX922" s="41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  <c r="BS922" s="41"/>
      <c r="BT922" s="41"/>
      <c r="BU922" s="41"/>
      <c r="BV922" s="41"/>
      <c r="BW922" s="41"/>
      <c r="BX922" s="41"/>
      <c r="BY922" s="41"/>
    </row>
    <row r="923" spans="1:77" s="214" customFormat="1" x14ac:dyDescent="0.3">
      <c r="A923" s="41"/>
      <c r="B923" s="41"/>
      <c r="C923" s="41"/>
      <c r="D923" s="41"/>
      <c r="E923" s="41"/>
      <c r="F923" s="41"/>
      <c r="G923" s="41"/>
      <c r="H923" s="123"/>
      <c r="I923" s="123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165"/>
      <c r="AH923" s="41"/>
      <c r="AI923" s="41"/>
      <c r="AJ923" s="41"/>
      <c r="AK923" s="165"/>
      <c r="AL923" s="41"/>
      <c r="AM923" s="42"/>
      <c r="AN923" s="42"/>
      <c r="AO923" s="41"/>
      <c r="AP923" s="41"/>
      <c r="AR923" s="41"/>
      <c r="AS923" s="41"/>
      <c r="AT923" s="41"/>
      <c r="AU923" s="41"/>
      <c r="AV923" s="41"/>
      <c r="AW923" s="41"/>
      <c r="AX923" s="41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  <c r="BS923" s="41"/>
      <c r="BT923" s="41"/>
      <c r="BU923" s="41"/>
      <c r="BV923" s="41"/>
      <c r="BW923" s="41"/>
      <c r="BX923" s="41"/>
      <c r="BY923" s="41"/>
    </row>
    <row r="924" spans="1:77" s="214" customFormat="1" x14ac:dyDescent="0.3">
      <c r="A924" s="41"/>
      <c r="B924" s="41"/>
      <c r="C924" s="42"/>
      <c r="D924" s="41"/>
      <c r="E924" s="41"/>
      <c r="F924" s="123"/>
      <c r="G924" s="41"/>
      <c r="H924" s="123"/>
      <c r="I924" s="123"/>
      <c r="J924" s="41"/>
      <c r="K924" s="41"/>
      <c r="L924" s="123"/>
      <c r="M924" s="123"/>
      <c r="N924" s="160"/>
      <c r="O924" s="160"/>
      <c r="P924" s="184"/>
      <c r="Q924" s="184"/>
      <c r="R924" s="123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165"/>
      <c r="AH924" s="41"/>
      <c r="AI924" s="41"/>
      <c r="AJ924" s="41"/>
      <c r="AK924" s="165"/>
      <c r="AL924" s="41"/>
      <c r="AM924" s="42"/>
      <c r="AN924" s="42"/>
      <c r="AO924" s="41"/>
      <c r="AP924" s="41"/>
      <c r="AR924" s="41"/>
      <c r="AS924" s="41"/>
      <c r="AT924" s="41"/>
      <c r="AU924" s="41"/>
      <c r="AV924" s="41"/>
      <c r="AW924" s="41"/>
      <c r="AX924" s="41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  <c r="BS924" s="41"/>
      <c r="BT924" s="41"/>
      <c r="BU924" s="41"/>
      <c r="BV924" s="41"/>
      <c r="BW924" s="41"/>
      <c r="BX924" s="41"/>
      <c r="BY924" s="41"/>
    </row>
    <row r="925" spans="1:77" s="214" customFormat="1" x14ac:dyDescent="0.3">
      <c r="A925" s="41"/>
      <c r="B925" s="41"/>
      <c r="C925" s="41"/>
      <c r="D925" s="41"/>
      <c r="E925" s="41"/>
      <c r="F925" s="41"/>
      <c r="G925" s="41"/>
      <c r="H925" s="210"/>
      <c r="I925" s="210"/>
      <c r="J925" s="213"/>
      <c r="K925" s="213"/>
      <c r="L925" s="210"/>
      <c r="M925" s="210"/>
      <c r="N925" s="210"/>
      <c r="O925" s="210"/>
      <c r="P925" s="210"/>
      <c r="Q925" s="210"/>
      <c r="R925" s="210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165"/>
      <c r="AH925" s="41"/>
      <c r="AI925" s="41"/>
      <c r="AJ925" s="41"/>
      <c r="AK925" s="165"/>
      <c r="AL925" s="41"/>
      <c r="AM925" s="42"/>
      <c r="AN925" s="42"/>
      <c r="AO925" s="41"/>
      <c r="AP925" s="41"/>
      <c r="AR925" s="41"/>
      <c r="AS925" s="41"/>
      <c r="AT925" s="41"/>
      <c r="AU925" s="41"/>
      <c r="AV925" s="41"/>
      <c r="AW925" s="41"/>
      <c r="AX925" s="41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  <c r="BS925" s="41"/>
      <c r="BT925" s="41"/>
      <c r="BU925" s="41"/>
      <c r="BV925" s="41"/>
      <c r="BW925" s="41"/>
      <c r="BX925" s="41"/>
      <c r="BY925" s="41"/>
    </row>
    <row r="926" spans="1:77" s="214" customFormat="1" x14ac:dyDescent="0.3">
      <c r="A926" s="41"/>
      <c r="B926" s="41"/>
      <c r="C926" s="41"/>
      <c r="D926" s="41"/>
      <c r="E926" s="41"/>
      <c r="F926" s="210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2"/>
      <c r="AD926" s="42"/>
      <c r="AE926" s="41"/>
      <c r="AF926" s="41"/>
      <c r="AG926" s="165"/>
      <c r="AH926" s="41"/>
      <c r="AI926" s="41"/>
      <c r="AJ926" s="41"/>
      <c r="AK926" s="165"/>
      <c r="AL926" s="41"/>
      <c r="AM926" s="41"/>
      <c r="AN926" s="41"/>
      <c r="AO926" s="41"/>
      <c r="AP926" s="41"/>
      <c r="AR926" s="41"/>
      <c r="AS926" s="41"/>
      <c r="AT926" s="41"/>
      <c r="AU926" s="41"/>
      <c r="AV926" s="41"/>
      <c r="AW926" s="41"/>
      <c r="AX926" s="41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  <c r="BS926" s="41"/>
      <c r="BT926" s="41"/>
      <c r="BU926" s="41"/>
      <c r="BV926" s="41"/>
      <c r="BW926" s="41"/>
      <c r="BX926" s="41"/>
      <c r="BY926" s="41"/>
    </row>
    <row r="927" spans="1:77" s="214" customFormat="1" x14ac:dyDescent="0.3">
      <c r="A927" s="41"/>
      <c r="B927" s="41"/>
      <c r="C927" s="41"/>
      <c r="D927" s="41"/>
      <c r="E927" s="41"/>
      <c r="F927" s="123"/>
      <c r="G927" s="41"/>
      <c r="H927" s="123"/>
      <c r="I927" s="123"/>
      <c r="J927" s="219"/>
      <c r="K927" s="219"/>
      <c r="L927" s="123"/>
      <c r="M927" s="123"/>
      <c r="N927" s="123"/>
      <c r="O927" s="123"/>
      <c r="P927" s="123"/>
      <c r="Q927" s="123"/>
      <c r="R927" s="123"/>
      <c r="S927" s="41"/>
      <c r="T927" s="135"/>
      <c r="U927" s="135"/>
      <c r="V927" s="135"/>
      <c r="W927" s="135"/>
      <c r="X927" s="135"/>
      <c r="Y927" s="135"/>
      <c r="Z927" s="135"/>
      <c r="AA927" s="135"/>
      <c r="AB927" s="135"/>
      <c r="AC927" s="135"/>
      <c r="AD927" s="135"/>
      <c r="AE927" s="135"/>
      <c r="AF927" s="135"/>
      <c r="AG927" s="207"/>
      <c r="AH927" s="135"/>
      <c r="AI927" s="135"/>
      <c r="AJ927" s="135"/>
      <c r="AK927" s="207"/>
      <c r="AL927" s="135"/>
      <c r="AM927" s="135"/>
      <c r="AN927" s="135"/>
      <c r="AO927" s="135"/>
      <c r="AP927" s="135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</row>
    <row r="928" spans="1:77" s="214" customFormat="1" x14ac:dyDescent="0.3">
      <c r="A928" s="42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4"/>
      <c r="AD928" s="44"/>
      <c r="AE928" s="44"/>
      <c r="AF928" s="44"/>
      <c r="AG928" s="168"/>
      <c r="AH928" s="44"/>
      <c r="AI928" s="44"/>
      <c r="AJ928" s="44"/>
      <c r="AK928" s="165"/>
      <c r="AL928" s="41"/>
      <c r="AM928" s="44"/>
      <c r="AN928" s="44"/>
      <c r="AO928" s="44"/>
      <c r="AP928" s="44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</row>
    <row r="929" spans="1:77" s="214" customFormat="1" x14ac:dyDescent="0.3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4"/>
      <c r="AC929" s="44"/>
      <c r="AD929" s="44"/>
      <c r="AE929" s="44"/>
      <c r="AF929" s="44"/>
      <c r="AG929" s="168"/>
      <c r="AH929" s="44"/>
      <c r="AI929" s="44"/>
      <c r="AJ929" s="44"/>
      <c r="AK929" s="165"/>
      <c r="AL929" s="41"/>
      <c r="AM929" s="44"/>
      <c r="AN929" s="44"/>
      <c r="AO929" s="44"/>
      <c r="AP929" s="44"/>
      <c r="AR929" s="41"/>
      <c r="AS929" s="41"/>
      <c r="AT929" s="41"/>
      <c r="AU929" s="41"/>
      <c r="AV929" s="41"/>
      <c r="AW929" s="41"/>
      <c r="AX929" s="41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BL929" s="41"/>
      <c r="BM929" s="41"/>
      <c r="BN929" s="41"/>
      <c r="BO929" s="41"/>
      <c r="BP929" s="41"/>
      <c r="BQ929" s="41"/>
      <c r="BR929" s="41"/>
      <c r="BS929" s="41"/>
      <c r="BT929" s="41"/>
      <c r="BU929" s="41"/>
      <c r="BV929" s="41"/>
      <c r="BW929" s="41"/>
      <c r="BX929" s="41"/>
      <c r="BY929" s="41"/>
    </row>
    <row r="930" spans="1:77" s="214" customFormat="1" x14ac:dyDescent="0.3">
      <c r="A930" s="41"/>
      <c r="B930" s="41"/>
      <c r="C930" s="41"/>
      <c r="D930" s="41"/>
      <c r="E930" s="41"/>
      <c r="F930" s="41"/>
      <c r="G930" s="41"/>
      <c r="H930" s="42"/>
      <c r="I930" s="42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4"/>
      <c r="U930" s="44"/>
      <c r="V930" s="44"/>
      <c r="W930" s="41"/>
      <c r="X930" s="41"/>
      <c r="Y930" s="41"/>
      <c r="Z930" s="41"/>
      <c r="AA930" s="41"/>
      <c r="AB930" s="44"/>
      <c r="AC930" s="44"/>
      <c r="AD930" s="44"/>
      <c r="AE930" s="44"/>
      <c r="AF930" s="44"/>
      <c r="AG930" s="168"/>
      <c r="AH930" s="44"/>
      <c r="AI930" s="44"/>
      <c r="AJ930" s="44"/>
      <c r="AK930" s="168"/>
      <c r="AL930" s="44"/>
      <c r="AM930" s="44"/>
      <c r="AN930" s="44"/>
      <c r="AO930" s="44"/>
      <c r="AP930" s="44"/>
      <c r="AR930" s="41"/>
      <c r="AS930" s="41"/>
      <c r="AT930" s="41"/>
      <c r="AU930" s="41"/>
      <c r="AV930" s="41"/>
      <c r="AW930" s="41"/>
      <c r="AX930" s="41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BL930" s="41"/>
      <c r="BM930" s="41"/>
      <c r="BN930" s="41"/>
      <c r="BO930" s="41"/>
      <c r="BP930" s="41"/>
      <c r="BQ930" s="41"/>
      <c r="BR930" s="41"/>
      <c r="BS930" s="41"/>
      <c r="BT930" s="41"/>
      <c r="BU930" s="41"/>
      <c r="BV930" s="41"/>
      <c r="BW930" s="41"/>
      <c r="BX930" s="41"/>
      <c r="BY930" s="41"/>
    </row>
    <row r="931" spans="1:77" s="214" customFormat="1" x14ac:dyDescent="0.3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4"/>
      <c r="U931" s="44"/>
      <c r="V931" s="44"/>
      <c r="W931" s="41"/>
      <c r="X931" s="41"/>
      <c r="Y931" s="41"/>
      <c r="Z931" s="41"/>
      <c r="AA931" s="44"/>
      <c r="AB931" s="44"/>
      <c r="AC931" s="44"/>
      <c r="AD931" s="44"/>
      <c r="AE931" s="44"/>
      <c r="AF931" s="44"/>
      <c r="AG931" s="168"/>
      <c r="AH931" s="44"/>
      <c r="AI931" s="44"/>
      <c r="AJ931" s="44"/>
      <c r="AK931" s="168"/>
      <c r="AL931" s="44"/>
      <c r="AM931" s="44"/>
      <c r="AN931" s="44"/>
      <c r="AO931" s="44"/>
      <c r="AP931" s="44"/>
      <c r="AR931" s="41"/>
      <c r="AS931" s="41"/>
      <c r="AT931" s="41"/>
      <c r="AU931" s="41"/>
      <c r="AV931" s="41"/>
      <c r="AW931" s="41"/>
      <c r="AX931" s="41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  <c r="BY931" s="41"/>
    </row>
    <row r="932" spans="1:77" s="214" customFormat="1" x14ac:dyDescent="0.3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2"/>
      <c r="M932" s="42"/>
      <c r="N932" s="41"/>
      <c r="O932" s="41"/>
      <c r="P932" s="41"/>
      <c r="Q932" s="41"/>
      <c r="R932" s="41"/>
      <c r="S932" s="41"/>
      <c r="T932" s="44"/>
      <c r="U932" s="44"/>
      <c r="V932" s="44"/>
      <c r="W932" s="41"/>
      <c r="X932" s="41"/>
      <c r="Y932" s="41"/>
      <c r="Z932" s="41"/>
      <c r="AA932" s="44"/>
      <c r="AB932" s="44"/>
      <c r="AC932" s="44"/>
      <c r="AD932" s="44"/>
      <c r="AE932" s="44"/>
      <c r="AF932" s="44"/>
      <c r="AG932" s="168"/>
      <c r="AH932" s="44"/>
      <c r="AI932" s="44"/>
      <c r="AJ932" s="44"/>
      <c r="AK932" s="168"/>
      <c r="AL932" s="44"/>
      <c r="AM932" s="44"/>
      <c r="AN932" s="44"/>
      <c r="AO932" s="44"/>
      <c r="AP932" s="44"/>
      <c r="AR932" s="41"/>
      <c r="AS932" s="41"/>
      <c r="AT932" s="41"/>
      <c r="AU932" s="41"/>
      <c r="AV932" s="41"/>
      <c r="AW932" s="41"/>
      <c r="AX932" s="41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  <c r="BS932" s="41"/>
      <c r="BT932" s="41"/>
      <c r="BU932" s="41"/>
      <c r="BV932" s="41"/>
      <c r="BW932" s="41"/>
      <c r="BX932" s="41"/>
      <c r="BY932" s="41"/>
    </row>
    <row r="933" spans="1:77" s="214" customFormat="1" x14ac:dyDescent="0.3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2"/>
      <c r="S933" s="41"/>
      <c r="T933" s="135"/>
      <c r="U933" s="135"/>
      <c r="V933" s="135"/>
      <c r="W933" s="135"/>
      <c r="X933" s="135"/>
      <c r="Y933" s="135"/>
      <c r="Z933" s="135"/>
      <c r="AA933" s="135"/>
      <c r="AB933" s="135"/>
      <c r="AC933" s="135"/>
      <c r="AD933" s="135"/>
      <c r="AE933" s="135"/>
      <c r="AF933" s="135"/>
      <c r="AG933" s="207"/>
      <c r="AH933" s="135"/>
      <c r="AI933" s="135"/>
      <c r="AJ933" s="135"/>
      <c r="AK933" s="207"/>
      <c r="AL933" s="135"/>
      <c r="AM933" s="135"/>
      <c r="AN933" s="135"/>
      <c r="AO933" s="135"/>
      <c r="AP933" s="135"/>
      <c r="AR933" s="41"/>
      <c r="AS933" s="41"/>
      <c r="AT933" s="41"/>
      <c r="AU933" s="41"/>
      <c r="AV933" s="41"/>
      <c r="AW933" s="41"/>
      <c r="AX933" s="41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  <c r="BS933" s="41"/>
      <c r="BT933" s="41"/>
      <c r="BU933" s="41"/>
      <c r="BV933" s="41"/>
      <c r="BW933" s="41"/>
      <c r="BX933" s="41"/>
      <c r="BY933" s="41"/>
    </row>
    <row r="934" spans="1:77" s="214" customFormat="1" x14ac:dyDescent="0.3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2"/>
      <c r="S934" s="41"/>
      <c r="T934" s="41"/>
      <c r="U934" s="41"/>
      <c r="V934" s="41"/>
      <c r="W934" s="41"/>
      <c r="X934" s="41"/>
      <c r="Y934" s="41"/>
      <c r="Z934" s="41"/>
      <c r="AA934" s="44"/>
      <c r="AB934" s="44"/>
      <c r="AC934" s="44"/>
      <c r="AD934" s="44"/>
      <c r="AE934" s="44"/>
      <c r="AF934" s="44"/>
      <c r="AG934" s="168"/>
      <c r="AH934" s="44"/>
      <c r="AI934" s="44"/>
      <c r="AJ934" s="44"/>
      <c r="AK934" s="168"/>
      <c r="AL934" s="44"/>
      <c r="AM934" s="44"/>
      <c r="AN934" s="44"/>
      <c r="AO934" s="44"/>
      <c r="AP934" s="44"/>
      <c r="AR934" s="41"/>
      <c r="AS934" s="41"/>
      <c r="AT934" s="41"/>
      <c r="AU934" s="41"/>
      <c r="AV934" s="41"/>
      <c r="AW934" s="41"/>
      <c r="AX934" s="41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  <c r="BY934" s="41"/>
    </row>
    <row r="935" spans="1:77" s="214" customFormat="1" x14ac:dyDescent="0.3">
      <c r="A935" s="42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2"/>
      <c r="S935" s="41"/>
      <c r="T935" s="42"/>
      <c r="U935" s="42"/>
      <c r="V935" s="123"/>
      <c r="W935" s="123"/>
      <c r="X935" s="123"/>
      <c r="Y935" s="123"/>
      <c r="Z935" s="123"/>
      <c r="AA935" s="123"/>
      <c r="AB935" s="237"/>
      <c r="AC935" s="41"/>
      <c r="AD935" s="41"/>
      <c r="AE935" s="41"/>
      <c r="AF935" s="41"/>
      <c r="AG935" s="165"/>
      <c r="AH935" s="41"/>
      <c r="AI935" s="41"/>
      <c r="AJ935" s="41"/>
      <c r="AK935" s="165"/>
      <c r="AL935" s="41"/>
      <c r="AM935" s="41"/>
      <c r="AN935" s="41"/>
      <c r="AO935" s="41"/>
      <c r="AP935" s="41"/>
      <c r="AR935" s="41"/>
      <c r="AS935" s="41"/>
      <c r="AT935" s="41"/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</row>
    <row r="936" spans="1:77" s="214" customFormat="1" x14ac:dyDescent="0.3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2"/>
      <c r="M936" s="42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165"/>
      <c r="AH936" s="41"/>
      <c r="AI936" s="41"/>
      <c r="AJ936" s="41"/>
      <c r="AK936" s="165"/>
      <c r="AL936" s="41"/>
      <c r="AM936" s="41"/>
      <c r="AN936" s="41"/>
      <c r="AO936" s="41"/>
      <c r="AP936" s="41"/>
      <c r="AR936" s="41"/>
      <c r="AS936" s="41"/>
      <c r="AT936" s="41"/>
      <c r="AU936" s="41"/>
      <c r="AV936" s="41"/>
      <c r="AW936" s="41"/>
      <c r="AX936" s="41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  <c r="BS936" s="41"/>
      <c r="BT936" s="41"/>
      <c r="BU936" s="41"/>
      <c r="BV936" s="41"/>
      <c r="BW936" s="41"/>
      <c r="BX936" s="41"/>
      <c r="BY936" s="41"/>
    </row>
    <row r="937" spans="1:77" s="214" customFormat="1" x14ac:dyDescent="0.3">
      <c r="A937" s="135"/>
      <c r="B937" s="135"/>
      <c r="C937" s="135"/>
      <c r="D937" s="135"/>
      <c r="E937" s="135"/>
      <c r="F937" s="135"/>
      <c r="G937" s="135"/>
      <c r="H937" s="135"/>
      <c r="I937" s="135"/>
      <c r="J937" s="135"/>
      <c r="K937" s="135"/>
      <c r="L937" s="135"/>
      <c r="M937" s="135"/>
      <c r="N937" s="135"/>
      <c r="O937" s="135"/>
      <c r="P937" s="135"/>
      <c r="Q937" s="135"/>
      <c r="R937" s="135"/>
      <c r="S937" s="41"/>
      <c r="T937" s="42"/>
      <c r="U937" s="41"/>
      <c r="V937" s="123"/>
      <c r="W937" s="123"/>
      <c r="X937" s="123"/>
      <c r="Y937" s="123"/>
      <c r="Z937" s="123"/>
      <c r="AA937" s="123"/>
      <c r="AB937" s="237"/>
      <c r="AC937" s="41"/>
      <c r="AD937" s="41"/>
      <c r="AE937" s="41"/>
      <c r="AF937" s="41"/>
      <c r="AG937" s="165"/>
      <c r="AH937" s="41"/>
      <c r="AI937" s="41"/>
      <c r="AJ937" s="41"/>
      <c r="AK937" s="165"/>
      <c r="AL937" s="41"/>
      <c r="AM937" s="41"/>
      <c r="AN937" s="41"/>
      <c r="AO937" s="41"/>
      <c r="AP937" s="41"/>
      <c r="AR937" s="41"/>
      <c r="AS937" s="41"/>
      <c r="AT937" s="41"/>
      <c r="AU937" s="41"/>
      <c r="AV937" s="41"/>
      <c r="AW937" s="41"/>
      <c r="AX937" s="41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  <c r="BS937" s="41"/>
      <c r="BT937" s="41"/>
      <c r="BU937" s="41"/>
      <c r="BV937" s="41"/>
      <c r="BW937" s="41"/>
      <c r="BX937" s="41"/>
      <c r="BY937" s="41"/>
    </row>
    <row r="938" spans="1:77" s="214" customFormat="1" x14ac:dyDescent="0.3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4"/>
      <c r="M938" s="44"/>
      <c r="N938" s="44"/>
      <c r="O938" s="44"/>
      <c r="P938" s="41"/>
      <c r="Q938" s="41"/>
      <c r="R938" s="44"/>
      <c r="S938" s="41"/>
      <c r="T938" s="42"/>
      <c r="U938" s="41"/>
      <c r="V938" s="123"/>
      <c r="W938" s="123"/>
      <c r="X938" s="123"/>
      <c r="Y938" s="123"/>
      <c r="Z938" s="123"/>
      <c r="AA938" s="123"/>
      <c r="AB938" s="238"/>
      <c r="AC938" s="123"/>
      <c r="AD938" s="123"/>
      <c r="AE938" s="160"/>
      <c r="AF938" s="160"/>
      <c r="AG938" s="165"/>
      <c r="AH938" s="123"/>
      <c r="AI938" s="236"/>
      <c r="AJ938" s="236"/>
      <c r="AK938" s="165"/>
      <c r="AL938" s="123"/>
      <c r="AM938" s="123"/>
      <c r="AN938" s="123"/>
      <c r="AO938" s="160"/>
      <c r="AP938" s="160"/>
      <c r="AR938" s="41"/>
      <c r="AS938" s="41"/>
      <c r="AT938" s="41"/>
      <c r="AU938" s="41"/>
      <c r="AV938" s="41"/>
      <c r="AW938" s="41"/>
      <c r="AX938" s="41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/>
      <c r="BU938" s="41"/>
      <c r="BV938" s="41"/>
      <c r="BW938" s="41"/>
      <c r="BX938" s="41"/>
      <c r="BY938" s="41"/>
    </row>
    <row r="939" spans="1:77" s="214" customFormat="1" x14ac:dyDescent="0.3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4"/>
      <c r="M939" s="44"/>
      <c r="N939" s="44"/>
      <c r="O939" s="44"/>
      <c r="P939" s="41"/>
      <c r="Q939" s="41"/>
      <c r="R939" s="44"/>
      <c r="S939" s="41"/>
      <c r="T939" s="42"/>
      <c r="U939" s="41"/>
      <c r="V939" s="123"/>
      <c r="W939" s="123"/>
      <c r="X939" s="123"/>
      <c r="Y939" s="123"/>
      <c r="Z939" s="123"/>
      <c r="AA939" s="123"/>
      <c r="AB939" s="238"/>
      <c r="AC939" s="123"/>
      <c r="AD939" s="123"/>
      <c r="AE939" s="160"/>
      <c r="AF939" s="160"/>
      <c r="AG939" s="165"/>
      <c r="AH939" s="123"/>
      <c r="AI939" s="236"/>
      <c r="AJ939" s="236"/>
      <c r="AK939" s="165"/>
      <c r="AL939" s="123"/>
      <c r="AM939" s="123"/>
      <c r="AN939" s="123"/>
      <c r="AO939" s="160"/>
      <c r="AP939" s="160"/>
      <c r="AR939" s="41"/>
      <c r="AS939" s="41"/>
      <c r="AT939" s="41"/>
      <c r="AU939" s="41"/>
      <c r="AV939" s="41"/>
      <c r="AW939" s="41"/>
      <c r="AX939" s="41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  <c r="BS939" s="41"/>
      <c r="BT939" s="41"/>
      <c r="BU939" s="41"/>
      <c r="BV939" s="41"/>
      <c r="BW939" s="41"/>
      <c r="BX939" s="41"/>
      <c r="BY939" s="41"/>
    </row>
    <row r="940" spans="1:77" s="214" customFormat="1" x14ac:dyDescent="0.3">
      <c r="A940" s="44"/>
      <c r="B940" s="41"/>
      <c r="C940" s="44"/>
      <c r="D940" s="44"/>
      <c r="E940" s="44"/>
      <c r="F940" s="44"/>
      <c r="G940" s="41"/>
      <c r="H940" s="41"/>
      <c r="I940" s="41"/>
      <c r="J940" s="44"/>
      <c r="K940" s="44"/>
      <c r="L940" s="44"/>
      <c r="M940" s="44"/>
      <c r="N940" s="44"/>
      <c r="O940" s="44"/>
      <c r="P940" s="44"/>
      <c r="Q940" s="44"/>
      <c r="R940" s="44"/>
      <c r="S940" s="41"/>
      <c r="T940" s="42"/>
      <c r="U940" s="41"/>
      <c r="V940" s="123"/>
      <c r="W940" s="123"/>
      <c r="X940" s="123"/>
      <c r="Y940" s="123"/>
      <c r="Z940" s="123"/>
      <c r="AA940" s="123"/>
      <c r="AB940" s="238"/>
      <c r="AC940" s="123"/>
      <c r="AD940" s="123"/>
      <c r="AE940" s="160"/>
      <c r="AF940" s="160"/>
      <c r="AG940" s="165"/>
      <c r="AH940" s="123"/>
      <c r="AI940" s="236"/>
      <c r="AJ940" s="236"/>
      <c r="AK940" s="165"/>
      <c r="AL940" s="123"/>
      <c r="AM940" s="123"/>
      <c r="AN940" s="123"/>
      <c r="AO940" s="160"/>
      <c r="AP940" s="160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</row>
    <row r="941" spans="1:77" s="214" customFormat="1" x14ac:dyDescent="0.3">
      <c r="A941" s="44"/>
      <c r="B941" s="41"/>
      <c r="C941" s="44"/>
      <c r="D941" s="44"/>
      <c r="E941" s="44"/>
      <c r="F941" s="44"/>
      <c r="G941" s="41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1"/>
      <c r="T941" s="42"/>
      <c r="U941" s="41"/>
      <c r="V941" s="123"/>
      <c r="W941" s="123"/>
      <c r="X941" s="123"/>
      <c r="Y941" s="123"/>
      <c r="Z941" s="123"/>
      <c r="AA941" s="123"/>
      <c r="AB941" s="238"/>
      <c r="AC941" s="123"/>
      <c r="AD941" s="123"/>
      <c r="AE941" s="160"/>
      <c r="AF941" s="160"/>
      <c r="AG941" s="165"/>
      <c r="AH941" s="123"/>
      <c r="AI941" s="236"/>
      <c r="AJ941" s="236"/>
      <c r="AK941" s="165"/>
      <c r="AL941" s="123"/>
      <c r="AM941" s="123"/>
      <c r="AN941" s="123"/>
      <c r="AO941" s="160"/>
      <c r="AP941" s="160"/>
      <c r="AR941" s="41"/>
      <c r="AS941" s="41"/>
      <c r="AT941" s="41"/>
      <c r="AU941" s="41"/>
      <c r="AV941" s="41"/>
      <c r="AW941" s="41"/>
      <c r="AX941" s="41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  <c r="BS941" s="41"/>
      <c r="BT941" s="41"/>
      <c r="BU941" s="41"/>
      <c r="BV941" s="41"/>
      <c r="BW941" s="41"/>
      <c r="BX941" s="41"/>
      <c r="BY941" s="41"/>
    </row>
    <row r="942" spans="1:77" s="214" customFormat="1" x14ac:dyDescent="0.3">
      <c r="A942" s="41"/>
      <c r="B942" s="41"/>
      <c r="C942" s="44"/>
      <c r="D942" s="44"/>
      <c r="E942" s="44"/>
      <c r="F942" s="44"/>
      <c r="G942" s="41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1"/>
      <c r="T942" s="41"/>
      <c r="U942" s="41"/>
      <c r="V942" s="123"/>
      <c r="W942" s="123"/>
      <c r="X942" s="123"/>
      <c r="Y942" s="123"/>
      <c r="Z942" s="123"/>
      <c r="AA942" s="123"/>
      <c r="AB942" s="238"/>
      <c r="AC942" s="41"/>
      <c r="AD942" s="41"/>
      <c r="AE942" s="41"/>
      <c r="AF942" s="41"/>
      <c r="AG942" s="165"/>
      <c r="AH942" s="41"/>
      <c r="AI942" s="41"/>
      <c r="AJ942" s="41"/>
      <c r="AK942" s="165"/>
      <c r="AL942" s="41"/>
      <c r="AM942" s="41"/>
      <c r="AN942" s="41"/>
      <c r="AO942" s="41"/>
      <c r="AP942" s="41"/>
      <c r="AR942" s="41"/>
      <c r="AS942" s="41"/>
      <c r="AT942" s="41"/>
      <c r="AU942" s="41"/>
      <c r="AV942" s="41"/>
      <c r="AW942" s="41"/>
      <c r="AX942" s="41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  <c r="BS942" s="41"/>
      <c r="BT942" s="41"/>
      <c r="BU942" s="41"/>
      <c r="BV942" s="41"/>
      <c r="BW942" s="41"/>
      <c r="BX942" s="41"/>
      <c r="BY942" s="41"/>
    </row>
    <row r="943" spans="1:77" s="214" customFormat="1" x14ac:dyDescent="0.3">
      <c r="A943" s="135"/>
      <c r="B943" s="135"/>
      <c r="C943" s="135"/>
      <c r="D943" s="135"/>
      <c r="E943" s="135"/>
      <c r="F943" s="135"/>
      <c r="G943" s="135"/>
      <c r="H943" s="135"/>
      <c r="I943" s="135"/>
      <c r="J943" s="135"/>
      <c r="K943" s="135"/>
      <c r="L943" s="135"/>
      <c r="M943" s="135"/>
      <c r="N943" s="135"/>
      <c r="O943" s="135"/>
      <c r="P943" s="135"/>
      <c r="Q943" s="135"/>
      <c r="R943" s="135"/>
      <c r="S943" s="41"/>
      <c r="T943" s="42"/>
      <c r="U943" s="41"/>
      <c r="V943" s="123"/>
      <c r="W943" s="123"/>
      <c r="X943" s="123"/>
      <c r="Y943" s="123"/>
      <c r="Z943" s="123"/>
      <c r="AA943" s="123"/>
      <c r="AB943" s="238"/>
      <c r="AC943" s="123"/>
      <c r="AD943" s="123"/>
      <c r="AE943" s="160"/>
      <c r="AF943" s="160"/>
      <c r="AG943" s="165"/>
      <c r="AH943" s="123"/>
      <c r="AI943" s="236"/>
      <c r="AJ943" s="236"/>
      <c r="AK943" s="165"/>
      <c r="AL943" s="123"/>
      <c r="AM943" s="123"/>
      <c r="AN943" s="123"/>
      <c r="AO943" s="236"/>
      <c r="AP943" s="236"/>
      <c r="AR943" s="41"/>
      <c r="AS943" s="41"/>
      <c r="AT943" s="41"/>
      <c r="AU943" s="41"/>
      <c r="AV943" s="41"/>
      <c r="AW943" s="41"/>
      <c r="AX943" s="41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  <c r="BY943" s="41"/>
    </row>
    <row r="944" spans="1:77" s="214" customFormat="1" x14ac:dyDescent="0.3">
      <c r="A944" s="41"/>
      <c r="B944" s="41"/>
      <c r="C944" s="41"/>
      <c r="D944" s="41"/>
      <c r="E944" s="41"/>
      <c r="F944" s="41"/>
      <c r="G944" s="41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1"/>
      <c r="T944" s="42"/>
      <c r="U944" s="41"/>
      <c r="V944" s="123"/>
      <c r="W944" s="123"/>
      <c r="X944" s="123"/>
      <c r="Y944" s="123"/>
      <c r="Z944" s="123"/>
      <c r="AA944" s="123"/>
      <c r="AB944" s="238"/>
      <c r="AC944" s="41"/>
      <c r="AD944" s="41"/>
      <c r="AE944" s="41"/>
      <c r="AF944" s="41"/>
      <c r="AG944" s="165"/>
      <c r="AH944" s="41"/>
      <c r="AI944" s="41"/>
      <c r="AJ944" s="41"/>
      <c r="AK944" s="165"/>
      <c r="AL944" s="41"/>
      <c r="AM944" s="41"/>
      <c r="AN944" s="41"/>
      <c r="AO944" s="41"/>
      <c r="AP944" s="41"/>
      <c r="AR944" s="41"/>
      <c r="AS944" s="41"/>
      <c r="AT944" s="41"/>
      <c r="AU944" s="41"/>
      <c r="AV944" s="41"/>
      <c r="AW944" s="41"/>
      <c r="AX944" s="41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  <c r="BY944" s="41"/>
    </row>
    <row r="945" spans="1:77" s="214" customFormat="1" x14ac:dyDescent="0.3">
      <c r="A945" s="41"/>
      <c r="B945" s="41"/>
      <c r="C945" s="42"/>
      <c r="D945" s="42"/>
      <c r="E945" s="42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2"/>
      <c r="U945" s="41"/>
      <c r="V945" s="123"/>
      <c r="W945" s="123"/>
      <c r="X945" s="123"/>
      <c r="Y945" s="123"/>
      <c r="Z945" s="123"/>
      <c r="AA945" s="123"/>
      <c r="AB945" s="238"/>
      <c r="AC945" s="123"/>
      <c r="AD945" s="123"/>
      <c r="AE945" s="160"/>
      <c r="AF945" s="160"/>
      <c r="AG945" s="165"/>
      <c r="AH945" s="123"/>
      <c r="AI945" s="236"/>
      <c r="AJ945" s="236"/>
      <c r="AK945" s="165"/>
      <c r="AL945" s="123"/>
      <c r="AM945" s="123"/>
      <c r="AN945" s="123"/>
      <c r="AO945" s="236"/>
      <c r="AP945" s="236"/>
      <c r="AR945" s="41"/>
      <c r="AS945" s="41"/>
      <c r="AT945" s="41"/>
      <c r="AU945" s="41"/>
      <c r="AV945" s="41"/>
      <c r="AW945" s="41"/>
      <c r="AX945" s="41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  <c r="BS945" s="41"/>
      <c r="BT945" s="41"/>
      <c r="BU945" s="41"/>
      <c r="BV945" s="41"/>
      <c r="BW945" s="41"/>
      <c r="BX945" s="41"/>
      <c r="BY945" s="41"/>
    </row>
    <row r="946" spans="1:77" x14ac:dyDescent="0.3">
      <c r="AB946" s="188"/>
    </row>
    <row r="947" spans="1:77" s="214" customFormat="1" x14ac:dyDescent="0.3">
      <c r="A947" s="41"/>
      <c r="B947" s="41"/>
      <c r="C947" s="42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2"/>
      <c r="U947" s="41"/>
      <c r="V947" s="123"/>
      <c r="W947" s="123"/>
      <c r="X947" s="123"/>
      <c r="Y947" s="123"/>
      <c r="Z947" s="123"/>
      <c r="AA947" s="123"/>
      <c r="AB947" s="238"/>
      <c r="AC947" s="41"/>
      <c r="AD947" s="41"/>
      <c r="AE947" s="41"/>
      <c r="AF947" s="41"/>
      <c r="AG947" s="165"/>
      <c r="AH947" s="41"/>
      <c r="AI947" s="41"/>
      <c r="AJ947" s="41"/>
      <c r="AK947" s="165"/>
      <c r="AL947" s="41"/>
      <c r="AM947" s="41"/>
      <c r="AN947" s="41"/>
      <c r="AO947" s="41"/>
      <c r="AP947" s="41"/>
      <c r="AR947" s="41"/>
      <c r="AS947" s="41"/>
      <c r="AT947" s="41"/>
      <c r="AU947" s="41"/>
      <c r="AV947" s="41"/>
      <c r="AW947" s="41"/>
      <c r="AX947" s="41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  <c r="BS947" s="41"/>
      <c r="BT947" s="41"/>
      <c r="BU947" s="41"/>
      <c r="BV947" s="41"/>
      <c r="BW947" s="41"/>
      <c r="BX947" s="41"/>
      <c r="BY947" s="41"/>
    </row>
    <row r="948" spans="1:77" s="214" customFormat="1" x14ac:dyDescent="0.3">
      <c r="A948" s="41"/>
      <c r="B948" s="41"/>
      <c r="C948" s="42"/>
      <c r="D948" s="41"/>
      <c r="E948" s="41"/>
      <c r="F948" s="184"/>
      <c r="G948" s="41"/>
      <c r="H948" s="184"/>
      <c r="I948" s="184"/>
      <c r="J948" s="238"/>
      <c r="K948" s="238"/>
      <c r="L948" s="123"/>
      <c r="M948" s="123"/>
      <c r="N948" s="160"/>
      <c r="O948" s="160"/>
      <c r="P948" s="123"/>
      <c r="Q948" s="123"/>
      <c r="R948" s="123"/>
      <c r="S948" s="41"/>
      <c r="T948" s="42"/>
      <c r="U948" s="41"/>
      <c r="V948" s="123"/>
      <c r="W948" s="123"/>
      <c r="X948" s="123"/>
      <c r="Y948" s="123"/>
      <c r="Z948" s="123"/>
      <c r="AA948" s="123"/>
      <c r="AB948" s="238"/>
      <c r="AC948" s="123"/>
      <c r="AD948" s="123"/>
      <c r="AE948" s="160"/>
      <c r="AF948" s="160"/>
      <c r="AG948" s="165"/>
      <c r="AH948" s="123"/>
      <c r="AI948" s="236"/>
      <c r="AJ948" s="236"/>
      <c r="AK948" s="165"/>
      <c r="AL948" s="123"/>
      <c r="AM948" s="123"/>
      <c r="AN948" s="123"/>
      <c r="AO948" s="236"/>
      <c r="AP948" s="236"/>
      <c r="AR948" s="41"/>
      <c r="AS948" s="41"/>
      <c r="AT948" s="41"/>
      <c r="AU948" s="41"/>
      <c r="AV948" s="41"/>
      <c r="AW948" s="41"/>
      <c r="AX948" s="41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  <c r="BY948" s="41"/>
    </row>
    <row r="949" spans="1:77" s="214" customFormat="1" x14ac:dyDescent="0.3">
      <c r="A949" s="41"/>
      <c r="B949" s="41"/>
      <c r="C949" s="42"/>
      <c r="D949" s="41"/>
      <c r="E949" s="41"/>
      <c r="F949" s="184"/>
      <c r="G949" s="41"/>
      <c r="H949" s="184"/>
      <c r="I949" s="184"/>
      <c r="J949" s="238"/>
      <c r="K949" s="238"/>
      <c r="L949" s="123"/>
      <c r="M949" s="123"/>
      <c r="N949" s="160"/>
      <c r="O949" s="160"/>
      <c r="P949" s="123"/>
      <c r="Q949" s="123"/>
      <c r="R949" s="123"/>
      <c r="S949" s="41"/>
      <c r="T949" s="42"/>
      <c r="U949" s="41"/>
      <c r="V949" s="123"/>
      <c r="W949" s="123"/>
      <c r="X949" s="123"/>
      <c r="Y949" s="123"/>
      <c r="Z949" s="123"/>
      <c r="AA949" s="123"/>
      <c r="AB949" s="238"/>
      <c r="AC949" s="123"/>
      <c r="AD949" s="123"/>
      <c r="AE949" s="160"/>
      <c r="AF949" s="160"/>
      <c r="AG949" s="165"/>
      <c r="AH949" s="123"/>
      <c r="AI949" s="236"/>
      <c r="AJ949" s="236"/>
      <c r="AK949" s="165"/>
      <c r="AL949" s="123"/>
      <c r="AM949" s="123"/>
      <c r="AN949" s="123"/>
      <c r="AO949" s="236"/>
      <c r="AP949" s="236"/>
      <c r="AR949" s="41"/>
      <c r="AS949" s="41"/>
      <c r="AT949" s="41"/>
      <c r="AU949" s="41"/>
      <c r="AV949" s="41"/>
      <c r="AW949" s="41"/>
      <c r="AX949" s="41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  <c r="BS949" s="41"/>
      <c r="BT949" s="41"/>
      <c r="BU949" s="41"/>
      <c r="BV949" s="41"/>
      <c r="BW949" s="41"/>
      <c r="BX949" s="41"/>
      <c r="BY949" s="41"/>
    </row>
    <row r="950" spans="1:77" s="214" customFormat="1" x14ac:dyDescent="0.3">
      <c r="A950" s="41"/>
      <c r="B950" s="41"/>
      <c r="C950" s="42"/>
      <c r="D950" s="41"/>
      <c r="E950" s="41"/>
      <c r="F950" s="184"/>
      <c r="G950" s="41"/>
      <c r="H950" s="184"/>
      <c r="I950" s="184"/>
      <c r="J950" s="238"/>
      <c r="K950" s="238"/>
      <c r="L950" s="123"/>
      <c r="M950" s="123"/>
      <c r="N950" s="160"/>
      <c r="O950" s="160"/>
      <c r="P950" s="123"/>
      <c r="Q950" s="123"/>
      <c r="R950" s="123"/>
      <c r="S950" s="41"/>
      <c r="T950" s="41"/>
      <c r="U950" s="41"/>
      <c r="V950" s="210"/>
      <c r="W950" s="41"/>
      <c r="X950" s="41"/>
      <c r="Y950" s="41"/>
      <c r="Z950" s="41"/>
      <c r="AA950" s="210"/>
      <c r="AB950" s="213"/>
      <c r="AC950" s="210"/>
      <c r="AD950" s="210"/>
      <c r="AE950" s="210"/>
      <c r="AF950" s="210"/>
      <c r="AH950" s="210"/>
      <c r="AI950" s="41"/>
      <c r="AJ950" s="41"/>
      <c r="AL950" s="210"/>
      <c r="AM950" s="210"/>
      <c r="AN950" s="210"/>
      <c r="AO950" s="41"/>
      <c r="AP950" s="41"/>
      <c r="AR950" s="41"/>
      <c r="AS950" s="41"/>
      <c r="AT950" s="41"/>
      <c r="AU950" s="41"/>
      <c r="AV950" s="41"/>
      <c r="AW950" s="41"/>
      <c r="AX950" s="41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</row>
    <row r="951" spans="1:77" s="214" customFormat="1" x14ac:dyDescent="0.3">
      <c r="A951" s="41"/>
      <c r="B951" s="41"/>
      <c r="C951" s="42"/>
      <c r="D951" s="41"/>
      <c r="E951" s="41"/>
      <c r="F951" s="184"/>
      <c r="G951" s="41"/>
      <c r="H951" s="184"/>
      <c r="I951" s="184"/>
      <c r="J951" s="238"/>
      <c r="K951" s="238"/>
      <c r="L951" s="123"/>
      <c r="M951" s="123"/>
      <c r="N951" s="160"/>
      <c r="O951" s="160"/>
      <c r="P951" s="123"/>
      <c r="Q951" s="123"/>
      <c r="R951" s="123"/>
      <c r="S951" s="41"/>
      <c r="T951" s="42"/>
      <c r="U951" s="41"/>
      <c r="V951" s="123"/>
      <c r="W951" s="123"/>
      <c r="X951" s="123"/>
      <c r="Y951" s="123"/>
      <c r="Z951" s="123"/>
      <c r="AA951" s="123"/>
      <c r="AB951" s="237"/>
      <c r="AC951" s="123"/>
      <c r="AD951" s="123"/>
      <c r="AE951" s="160"/>
      <c r="AF951" s="160"/>
      <c r="AG951" s="165"/>
      <c r="AH951" s="123"/>
      <c r="AI951" s="236"/>
      <c r="AJ951" s="236"/>
      <c r="AK951" s="233"/>
      <c r="AL951" s="184"/>
      <c r="AM951" s="123"/>
      <c r="AN951" s="123"/>
      <c r="AO951" s="236"/>
      <c r="AP951" s="236"/>
      <c r="AR951" s="41"/>
      <c r="AS951" s="41"/>
      <c r="AT951" s="41"/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</row>
    <row r="952" spans="1:77" s="214" customFormat="1" x14ac:dyDescent="0.3">
      <c r="A952" s="41"/>
      <c r="B952" s="41"/>
      <c r="C952" s="41"/>
      <c r="D952" s="41"/>
      <c r="E952" s="41"/>
      <c r="F952" s="41"/>
      <c r="G952" s="41"/>
      <c r="H952" s="41"/>
      <c r="I952" s="41"/>
      <c r="J952" s="188"/>
      <c r="K952" s="188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210"/>
      <c r="W952" s="41"/>
      <c r="X952" s="41"/>
      <c r="Y952" s="41"/>
      <c r="Z952" s="41"/>
      <c r="AA952" s="210"/>
      <c r="AB952" s="213"/>
      <c r="AC952" s="210"/>
      <c r="AD952" s="210"/>
      <c r="AE952" s="210"/>
      <c r="AF952" s="210"/>
      <c r="AH952" s="210"/>
      <c r="AI952" s="41"/>
      <c r="AJ952" s="41"/>
      <c r="AL952" s="210"/>
      <c r="AM952" s="210"/>
      <c r="AN952" s="210"/>
      <c r="AO952" s="41"/>
      <c r="AP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</row>
    <row r="953" spans="1:77" s="214" customFormat="1" x14ac:dyDescent="0.3">
      <c r="A953" s="41"/>
      <c r="B953" s="41"/>
      <c r="C953" s="42"/>
      <c r="D953" s="41"/>
      <c r="E953" s="41"/>
      <c r="F953" s="184"/>
      <c r="G953" s="41"/>
      <c r="H953" s="184"/>
      <c r="I953" s="184"/>
      <c r="J953" s="238"/>
      <c r="K953" s="238"/>
      <c r="L953" s="123"/>
      <c r="M953" s="123"/>
      <c r="N953" s="160"/>
      <c r="O953" s="160"/>
      <c r="P953" s="123"/>
      <c r="Q953" s="123"/>
      <c r="R953" s="123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  <c r="AG953" s="165"/>
      <c r="AH953" s="41"/>
      <c r="AI953" s="41"/>
      <c r="AJ953" s="41"/>
      <c r="AK953" s="165"/>
      <c r="AL953" s="41"/>
      <c r="AM953" s="41"/>
      <c r="AN953" s="41"/>
      <c r="AO953" s="41"/>
      <c r="AP953" s="41"/>
      <c r="AR953" s="41"/>
      <c r="AS953" s="41"/>
      <c r="AT953" s="41"/>
      <c r="AU953" s="41"/>
      <c r="AV953" s="41"/>
      <c r="AW953" s="41"/>
      <c r="AX953" s="41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  <c r="BS953" s="41"/>
      <c r="BT953" s="41"/>
      <c r="BU953" s="41"/>
      <c r="BV953" s="41"/>
      <c r="BW953" s="41"/>
      <c r="BX953" s="41"/>
      <c r="BY953" s="41"/>
    </row>
    <row r="954" spans="1:77" s="214" customFormat="1" x14ac:dyDescent="0.3">
      <c r="A954" s="41"/>
      <c r="B954" s="41"/>
      <c r="C954" s="42"/>
      <c r="D954" s="41"/>
      <c r="E954" s="41"/>
      <c r="F954" s="41"/>
      <c r="G954" s="41"/>
      <c r="H954" s="41"/>
      <c r="I954" s="41"/>
      <c r="J954" s="188"/>
      <c r="K954" s="188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165"/>
      <c r="AH954" s="41"/>
      <c r="AI954" s="41"/>
      <c r="AJ954" s="41"/>
      <c r="AK954" s="165"/>
      <c r="AL954" s="41"/>
      <c r="AM954" s="41"/>
      <c r="AN954" s="41"/>
      <c r="AO954" s="41"/>
      <c r="AP954" s="41"/>
      <c r="AR954" s="41"/>
      <c r="AS954" s="41"/>
      <c r="AT954" s="41"/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</row>
    <row r="955" spans="1:77" s="214" customFormat="1" x14ac:dyDescent="0.3">
      <c r="A955" s="41"/>
      <c r="B955" s="41"/>
      <c r="C955" s="42"/>
      <c r="D955" s="41"/>
      <c r="E955" s="41"/>
      <c r="F955" s="184"/>
      <c r="G955" s="41"/>
      <c r="H955" s="184"/>
      <c r="I955" s="184"/>
      <c r="J955" s="238"/>
      <c r="K955" s="238"/>
      <c r="L955" s="123"/>
      <c r="M955" s="123"/>
      <c r="N955" s="160"/>
      <c r="O955" s="160"/>
      <c r="P955" s="123"/>
      <c r="Q955" s="123"/>
      <c r="R955" s="123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165"/>
      <c r="AH955" s="41"/>
      <c r="AI955" s="41"/>
      <c r="AJ955" s="41"/>
      <c r="AK955" s="165"/>
      <c r="AL955" s="41"/>
      <c r="AM955" s="41"/>
      <c r="AN955" s="41"/>
      <c r="AO955" s="41"/>
      <c r="AP955" s="41"/>
      <c r="AR955" s="41"/>
      <c r="AS955" s="41"/>
      <c r="AT955" s="41"/>
      <c r="AU955" s="41"/>
      <c r="AV955" s="41"/>
      <c r="AW955" s="41"/>
      <c r="AX955" s="41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  <c r="BS955" s="41"/>
      <c r="BT955" s="41"/>
      <c r="BU955" s="41"/>
      <c r="BV955" s="41"/>
      <c r="BW955" s="41"/>
      <c r="BX955" s="41"/>
      <c r="BY955" s="41"/>
    </row>
    <row r="956" spans="1:77" s="214" customFormat="1" x14ac:dyDescent="0.3">
      <c r="A956" s="41"/>
      <c r="B956" s="41"/>
      <c r="C956" s="41"/>
      <c r="D956" s="41"/>
      <c r="E956" s="41"/>
      <c r="F956" s="41"/>
      <c r="G956" s="41"/>
      <c r="H956" s="41"/>
      <c r="I956" s="41"/>
      <c r="J956" s="188"/>
      <c r="K956" s="188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165"/>
      <c r="AH956" s="41"/>
      <c r="AI956" s="41"/>
      <c r="AJ956" s="41"/>
      <c r="AK956" s="165"/>
      <c r="AL956" s="41"/>
      <c r="AM956" s="41"/>
      <c r="AN956" s="41"/>
      <c r="AO956" s="41"/>
      <c r="AP956" s="41"/>
      <c r="AR956" s="41"/>
      <c r="AS956" s="41"/>
      <c r="AT956" s="41"/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</row>
    <row r="957" spans="1:77" s="214" customFormat="1" x14ac:dyDescent="0.3">
      <c r="A957" s="41"/>
      <c r="B957" s="41"/>
      <c r="C957" s="42"/>
      <c r="D957" s="41"/>
      <c r="E957" s="41"/>
      <c r="F957" s="41"/>
      <c r="G957" s="41"/>
      <c r="H957" s="41"/>
      <c r="I957" s="41"/>
      <c r="J957" s="188"/>
      <c r="K957" s="188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2"/>
      <c r="AB957" s="41"/>
      <c r="AC957" s="41"/>
      <c r="AD957" s="41"/>
      <c r="AE957" s="41"/>
      <c r="AF957" s="41"/>
      <c r="AG957" s="165"/>
      <c r="AH957" s="41"/>
      <c r="AI957" s="41"/>
      <c r="AJ957" s="41"/>
      <c r="AK957" s="165"/>
      <c r="AL957" s="41"/>
      <c r="AM957" s="41"/>
      <c r="AN957" s="41"/>
      <c r="AO957" s="41"/>
      <c r="AP957" s="41"/>
      <c r="AR957" s="41"/>
      <c r="AS957" s="41"/>
      <c r="AT957" s="41"/>
      <c r="AU957" s="41"/>
      <c r="AV957" s="41"/>
      <c r="AW957" s="41"/>
      <c r="AX957" s="41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BL957" s="41"/>
      <c r="BM957" s="41"/>
      <c r="BN957" s="41"/>
      <c r="BO957" s="41"/>
      <c r="BP957" s="41"/>
      <c r="BQ957" s="41"/>
      <c r="BR957" s="41"/>
      <c r="BS957" s="41"/>
      <c r="BT957" s="41"/>
      <c r="BU957" s="41"/>
      <c r="BV957" s="41"/>
      <c r="BW957" s="41"/>
      <c r="BX957" s="41"/>
      <c r="BY957" s="41"/>
    </row>
    <row r="958" spans="1:77" s="214" customFormat="1" x14ac:dyDescent="0.3">
      <c r="A958" s="41"/>
      <c r="B958" s="41"/>
      <c r="C958" s="42"/>
      <c r="D958" s="41"/>
      <c r="E958" s="41"/>
      <c r="F958" s="184"/>
      <c r="G958" s="41"/>
      <c r="H958" s="184"/>
      <c r="I958" s="184"/>
      <c r="J958" s="238"/>
      <c r="K958" s="238"/>
      <c r="L958" s="123"/>
      <c r="M958" s="123"/>
      <c r="N958" s="160"/>
      <c r="O958" s="160"/>
      <c r="P958" s="123"/>
      <c r="Q958" s="123"/>
      <c r="R958" s="123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165"/>
      <c r="AH958" s="41"/>
      <c r="AI958" s="41"/>
      <c r="AJ958" s="41"/>
      <c r="AK958" s="165"/>
      <c r="AL958" s="41"/>
      <c r="AM958" s="41"/>
      <c r="AN958" s="41"/>
      <c r="AO958" s="41"/>
      <c r="AP958" s="41"/>
      <c r="AR958" s="41"/>
      <c r="AS958" s="41"/>
      <c r="AT958" s="41"/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</row>
    <row r="959" spans="1:77" s="214" customFormat="1" x14ac:dyDescent="0.3">
      <c r="A959" s="41"/>
      <c r="B959" s="41"/>
      <c r="C959" s="42"/>
      <c r="D959" s="41"/>
      <c r="E959" s="41"/>
      <c r="F959" s="184"/>
      <c r="G959" s="41"/>
      <c r="H959" s="184"/>
      <c r="I959" s="184"/>
      <c r="J959" s="238"/>
      <c r="K959" s="238"/>
      <c r="L959" s="123"/>
      <c r="M959" s="123"/>
      <c r="N959" s="160"/>
      <c r="O959" s="160"/>
      <c r="P959" s="123"/>
      <c r="Q959" s="123"/>
      <c r="R959" s="123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2"/>
      <c r="AD959" s="42"/>
      <c r="AE959" s="41"/>
      <c r="AF959" s="41"/>
      <c r="AG959" s="165"/>
      <c r="AH959" s="41"/>
      <c r="AI959" s="41"/>
      <c r="AJ959" s="41"/>
      <c r="AK959" s="165"/>
      <c r="AL959" s="41"/>
      <c r="AM959" s="41"/>
      <c r="AN959" s="41"/>
      <c r="AO959" s="41"/>
      <c r="AP959" s="41"/>
      <c r="AR959" s="41"/>
      <c r="AS959" s="41"/>
      <c r="AT959" s="41"/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  <c r="BY959" s="41"/>
    </row>
    <row r="960" spans="1:77" s="214" customFormat="1" x14ac:dyDescent="0.3">
      <c r="A960" s="41"/>
      <c r="B960" s="41"/>
      <c r="C960" s="41"/>
      <c r="D960" s="41"/>
      <c r="E960" s="41"/>
      <c r="F960" s="210"/>
      <c r="G960" s="41"/>
      <c r="H960" s="210"/>
      <c r="I960" s="210"/>
      <c r="J960" s="238"/>
      <c r="K960" s="238"/>
      <c r="L960" s="210"/>
      <c r="M960" s="210"/>
      <c r="N960" s="210"/>
      <c r="O960" s="210"/>
      <c r="P960" s="210"/>
      <c r="Q960" s="210"/>
      <c r="R960" s="210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165"/>
      <c r="AH960" s="41"/>
      <c r="AI960" s="41"/>
      <c r="AJ960" s="41"/>
      <c r="AK960" s="165"/>
      <c r="AL960" s="41"/>
      <c r="AM960" s="42"/>
      <c r="AN960" s="42"/>
      <c r="AO960" s="41"/>
      <c r="AP960" s="41"/>
      <c r="AR960" s="41"/>
      <c r="AS960" s="41"/>
      <c r="AT960" s="41"/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</row>
    <row r="961" spans="1:77" s="214" customFormat="1" x14ac:dyDescent="0.3">
      <c r="A961" s="41"/>
      <c r="B961" s="41"/>
      <c r="C961" s="42"/>
      <c r="D961" s="41"/>
      <c r="E961" s="41"/>
      <c r="F961" s="123"/>
      <c r="G961" s="41"/>
      <c r="H961" s="123"/>
      <c r="I961" s="123"/>
      <c r="J961" s="41"/>
      <c r="K961" s="41"/>
      <c r="L961" s="123"/>
      <c r="M961" s="123"/>
      <c r="N961" s="160"/>
      <c r="O961" s="160"/>
      <c r="P961" s="184"/>
      <c r="Q961" s="184"/>
      <c r="R961" s="123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165"/>
      <c r="AH961" s="41"/>
      <c r="AI961" s="41"/>
      <c r="AJ961" s="41"/>
      <c r="AK961" s="165"/>
      <c r="AL961" s="41"/>
      <c r="AM961" s="42"/>
      <c r="AN961" s="42"/>
      <c r="AO961" s="41"/>
      <c r="AP961" s="41"/>
      <c r="AR961" s="41"/>
      <c r="AS961" s="41"/>
      <c r="AT961" s="41"/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</row>
    <row r="962" spans="1:77" s="214" customFormat="1" x14ac:dyDescent="0.3">
      <c r="A962" s="41"/>
      <c r="B962" s="41"/>
      <c r="C962" s="41"/>
      <c r="D962" s="41"/>
      <c r="E962" s="41"/>
      <c r="F962" s="41"/>
      <c r="G962" s="41"/>
      <c r="H962" s="210"/>
      <c r="I962" s="210"/>
      <c r="J962" s="213"/>
      <c r="K962" s="213"/>
      <c r="L962" s="210"/>
      <c r="M962" s="210"/>
      <c r="N962" s="210"/>
      <c r="O962" s="210"/>
      <c r="P962" s="210"/>
      <c r="Q962" s="210"/>
      <c r="R962" s="210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165"/>
      <c r="AH962" s="41"/>
      <c r="AI962" s="41"/>
      <c r="AJ962" s="41"/>
      <c r="AK962" s="165"/>
      <c r="AL962" s="41"/>
      <c r="AM962" s="42"/>
      <c r="AN962" s="42"/>
      <c r="AO962" s="41"/>
      <c r="AP962" s="41"/>
      <c r="AR962" s="41"/>
      <c r="AS962" s="41"/>
      <c r="AT962" s="41"/>
      <c r="AU962" s="41"/>
      <c r="AV962" s="41"/>
      <c r="AW962" s="41"/>
      <c r="AX962" s="41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</row>
    <row r="963" spans="1:77" s="214" customFormat="1" x14ac:dyDescent="0.3">
      <c r="A963" s="41"/>
      <c r="B963" s="41"/>
      <c r="C963" s="41"/>
      <c r="D963" s="41"/>
      <c r="E963" s="41"/>
      <c r="F963" s="210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2"/>
      <c r="AD963" s="42"/>
      <c r="AE963" s="41"/>
      <c r="AF963" s="41"/>
      <c r="AG963" s="165"/>
      <c r="AH963" s="41"/>
      <c r="AI963" s="41"/>
      <c r="AJ963" s="41"/>
      <c r="AK963" s="165"/>
      <c r="AL963" s="41"/>
      <c r="AM963" s="41"/>
      <c r="AN963" s="41"/>
      <c r="AO963" s="41"/>
      <c r="AP963" s="41"/>
      <c r="AR963" s="41"/>
      <c r="AS963" s="41"/>
      <c r="AT963" s="41"/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</row>
    <row r="964" spans="1:77" s="214" customFormat="1" x14ac:dyDescent="0.3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135"/>
      <c r="U964" s="135"/>
      <c r="V964" s="135"/>
      <c r="W964" s="135"/>
      <c r="X964" s="135"/>
      <c r="Y964" s="135"/>
      <c r="Z964" s="135"/>
      <c r="AA964" s="135"/>
      <c r="AB964" s="135"/>
      <c r="AC964" s="135"/>
      <c r="AD964" s="135"/>
      <c r="AE964" s="135"/>
      <c r="AF964" s="135"/>
      <c r="AG964" s="207"/>
      <c r="AH964" s="135"/>
      <c r="AI964" s="135"/>
      <c r="AJ964" s="135"/>
      <c r="AK964" s="207"/>
      <c r="AL964" s="135"/>
      <c r="AM964" s="135"/>
      <c r="AN964" s="135"/>
      <c r="AO964" s="135"/>
      <c r="AP964" s="135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</row>
    <row r="965" spans="1:77" s="214" customFormat="1" x14ac:dyDescent="0.3">
      <c r="A965" s="42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4"/>
      <c r="AD965" s="44"/>
      <c r="AE965" s="44"/>
      <c r="AF965" s="44"/>
      <c r="AG965" s="168"/>
      <c r="AH965" s="44"/>
      <c r="AI965" s="44"/>
      <c r="AJ965" s="44"/>
      <c r="AK965" s="165"/>
      <c r="AL965" s="41"/>
      <c r="AM965" s="44"/>
      <c r="AN965" s="44"/>
      <c r="AO965" s="44"/>
      <c r="AP965" s="44"/>
      <c r="AR965" s="41"/>
      <c r="AS965" s="41"/>
      <c r="AT965" s="41"/>
      <c r="AU965" s="41"/>
      <c r="AV965" s="41"/>
      <c r="AW965" s="41"/>
      <c r="AX965" s="41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</row>
    <row r="966" spans="1:77" s="214" customFormat="1" x14ac:dyDescent="0.3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4"/>
      <c r="AC966" s="44"/>
      <c r="AD966" s="44"/>
      <c r="AE966" s="44"/>
      <c r="AF966" s="44"/>
      <c r="AG966" s="168"/>
      <c r="AH966" s="44"/>
      <c r="AI966" s="44"/>
      <c r="AJ966" s="44"/>
      <c r="AK966" s="165"/>
      <c r="AL966" s="41"/>
      <c r="AM966" s="44"/>
      <c r="AN966" s="44"/>
      <c r="AO966" s="44"/>
      <c r="AP966" s="44"/>
      <c r="AR966" s="41"/>
      <c r="AS966" s="41"/>
      <c r="AT966" s="41"/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</row>
    <row r="967" spans="1:77" s="214" customFormat="1" x14ac:dyDescent="0.3">
      <c r="A967" s="41"/>
      <c r="B967" s="41"/>
      <c r="C967" s="41"/>
      <c r="D967" s="41"/>
      <c r="E967" s="41"/>
      <c r="F967" s="41"/>
      <c r="G967" s="41"/>
      <c r="H967" s="42"/>
      <c r="I967" s="42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4"/>
      <c r="U967" s="44"/>
      <c r="V967" s="44"/>
      <c r="W967" s="41"/>
      <c r="X967" s="41"/>
      <c r="Y967" s="41"/>
      <c r="Z967" s="41"/>
      <c r="AA967" s="41"/>
      <c r="AB967" s="44"/>
      <c r="AC967" s="44"/>
      <c r="AD967" s="44"/>
      <c r="AE967" s="44"/>
      <c r="AF967" s="44"/>
      <c r="AG967" s="168"/>
      <c r="AH967" s="44"/>
      <c r="AI967" s="44"/>
      <c r="AJ967" s="44"/>
      <c r="AK967" s="168"/>
      <c r="AL967" s="44"/>
      <c r="AM967" s="44"/>
      <c r="AN967" s="44"/>
      <c r="AO967" s="44"/>
      <c r="AP967" s="44"/>
      <c r="AR967" s="41"/>
      <c r="AS967" s="41"/>
      <c r="AT967" s="41"/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  <c r="BS967" s="41"/>
      <c r="BT967" s="41"/>
      <c r="BU967" s="41"/>
      <c r="BV967" s="41"/>
      <c r="BW967" s="41"/>
      <c r="BX967" s="41"/>
      <c r="BY967" s="41"/>
    </row>
    <row r="968" spans="1:77" s="214" customFormat="1" x14ac:dyDescent="0.3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4"/>
      <c r="U968" s="44"/>
      <c r="V968" s="44"/>
      <c r="W968" s="41"/>
      <c r="X968" s="41"/>
      <c r="Y968" s="41"/>
      <c r="Z968" s="41"/>
      <c r="AA968" s="44"/>
      <c r="AB968" s="44"/>
      <c r="AC968" s="44"/>
      <c r="AD968" s="44"/>
      <c r="AE968" s="44"/>
      <c r="AF968" s="44"/>
      <c r="AG968" s="168"/>
      <c r="AH968" s="44"/>
      <c r="AI968" s="44"/>
      <c r="AJ968" s="44"/>
      <c r="AK968" s="168"/>
      <c r="AL968" s="44"/>
      <c r="AM968" s="44"/>
      <c r="AN968" s="44"/>
      <c r="AO968" s="44"/>
      <c r="AP968" s="44"/>
      <c r="AR968" s="41"/>
      <c r="AS968" s="41"/>
      <c r="AT968" s="41"/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  <c r="BS968" s="41"/>
      <c r="BT968" s="41"/>
      <c r="BU968" s="41"/>
      <c r="BV968" s="41"/>
      <c r="BW968" s="41"/>
      <c r="BX968" s="41"/>
      <c r="BY968" s="41"/>
    </row>
    <row r="969" spans="1:77" s="214" customFormat="1" x14ac:dyDescent="0.3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2"/>
      <c r="M969" s="42"/>
      <c r="N969" s="41"/>
      <c r="O969" s="41"/>
      <c r="P969" s="41"/>
      <c r="Q969" s="41"/>
      <c r="R969" s="41"/>
      <c r="S969" s="41"/>
      <c r="T969" s="44"/>
      <c r="U969" s="44"/>
      <c r="V969" s="44"/>
      <c r="W969" s="41"/>
      <c r="X969" s="41"/>
      <c r="Y969" s="41"/>
      <c r="Z969" s="41"/>
      <c r="AA969" s="44"/>
      <c r="AB969" s="44"/>
      <c r="AC969" s="44"/>
      <c r="AD969" s="44"/>
      <c r="AE969" s="44"/>
      <c r="AF969" s="44"/>
      <c r="AG969" s="168"/>
      <c r="AH969" s="44"/>
      <c r="AI969" s="44"/>
      <c r="AJ969" s="44"/>
      <c r="AK969" s="168"/>
      <c r="AL969" s="44"/>
      <c r="AM969" s="44"/>
      <c r="AN969" s="44"/>
      <c r="AO969" s="44"/>
      <c r="AP969" s="44"/>
      <c r="AR969" s="41"/>
      <c r="AS969" s="41"/>
      <c r="AT969" s="41"/>
      <c r="AU969" s="41"/>
      <c r="AV969" s="41"/>
      <c r="AW969" s="41"/>
      <c r="AX969" s="41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  <c r="BS969" s="41"/>
      <c r="BT969" s="41"/>
      <c r="BU969" s="41"/>
      <c r="BV969" s="41"/>
      <c r="BW969" s="41"/>
      <c r="BX969" s="41"/>
      <c r="BY969" s="41"/>
    </row>
    <row r="970" spans="1:77" s="214" customFormat="1" x14ac:dyDescent="0.3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2"/>
      <c r="S970" s="41"/>
      <c r="T970" s="135"/>
      <c r="U970" s="135"/>
      <c r="V970" s="135"/>
      <c r="W970" s="135"/>
      <c r="X970" s="135"/>
      <c r="Y970" s="135"/>
      <c r="Z970" s="135"/>
      <c r="AA970" s="135"/>
      <c r="AB970" s="135"/>
      <c r="AC970" s="135"/>
      <c r="AD970" s="135"/>
      <c r="AE970" s="135"/>
      <c r="AF970" s="135"/>
      <c r="AG970" s="207"/>
      <c r="AH970" s="135"/>
      <c r="AI970" s="135"/>
      <c r="AJ970" s="135"/>
      <c r="AK970" s="207"/>
      <c r="AL970" s="135"/>
      <c r="AM970" s="135"/>
      <c r="AN970" s="135"/>
      <c r="AO970" s="135"/>
      <c r="AP970" s="135"/>
      <c r="AR970" s="41"/>
      <c r="AS970" s="41"/>
      <c r="AT970" s="41"/>
      <c r="AU970" s="41"/>
      <c r="AV970" s="41"/>
      <c r="AW970" s="41"/>
      <c r="AX970" s="41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  <c r="BS970" s="41"/>
      <c r="BT970" s="41"/>
      <c r="BU970" s="41"/>
      <c r="BV970" s="41"/>
      <c r="BW970" s="41"/>
      <c r="BX970" s="41"/>
      <c r="BY970" s="41"/>
    </row>
    <row r="971" spans="1:77" s="214" customFormat="1" x14ac:dyDescent="0.3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2"/>
      <c r="S971" s="41"/>
      <c r="T971" s="41"/>
      <c r="U971" s="41"/>
      <c r="V971" s="41"/>
      <c r="W971" s="41"/>
      <c r="X971" s="41"/>
      <c r="Y971" s="41"/>
      <c r="Z971" s="41"/>
      <c r="AA971" s="44"/>
      <c r="AB971" s="44"/>
      <c r="AC971" s="44"/>
      <c r="AD971" s="44"/>
      <c r="AE971" s="44"/>
      <c r="AF971" s="44"/>
      <c r="AG971" s="168"/>
      <c r="AH971" s="44"/>
      <c r="AI971" s="44"/>
      <c r="AJ971" s="44"/>
      <c r="AK971" s="168"/>
      <c r="AL971" s="44"/>
      <c r="AM971" s="44"/>
      <c r="AN971" s="44"/>
      <c r="AO971" s="44"/>
      <c r="AP971" s="44"/>
      <c r="AR971" s="41"/>
      <c r="AS971" s="41"/>
      <c r="AT971" s="41"/>
      <c r="AU971" s="41"/>
      <c r="AV971" s="41"/>
      <c r="AW971" s="41"/>
      <c r="AX971" s="41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/>
      <c r="BT971" s="41"/>
      <c r="BU971" s="41"/>
      <c r="BV971" s="41"/>
      <c r="BW971" s="41"/>
      <c r="BX971" s="41"/>
      <c r="BY971" s="41"/>
    </row>
    <row r="972" spans="1:77" s="214" customFormat="1" x14ac:dyDescent="0.3">
      <c r="A972" s="42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2"/>
      <c r="S972" s="41"/>
      <c r="T972" s="42"/>
      <c r="U972" s="42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165"/>
      <c r="AH972" s="41"/>
      <c r="AI972" s="41"/>
      <c r="AJ972" s="41"/>
      <c r="AK972" s="165"/>
      <c r="AL972" s="41"/>
      <c r="AM972" s="41"/>
      <c r="AN972" s="41"/>
      <c r="AO972" s="41"/>
      <c r="AP972" s="41"/>
      <c r="AR972" s="41"/>
      <c r="AS972" s="41"/>
      <c r="AT972" s="41"/>
      <c r="AU972" s="41"/>
      <c r="AV972" s="41"/>
      <c r="AW972" s="41"/>
      <c r="AX972" s="41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  <c r="BS972" s="41"/>
      <c r="BT972" s="41"/>
      <c r="BU972" s="41"/>
      <c r="BV972" s="41"/>
      <c r="BW972" s="41"/>
      <c r="BX972" s="41"/>
      <c r="BY972" s="41"/>
    </row>
    <row r="973" spans="1:77" s="214" customFormat="1" x14ac:dyDescent="0.3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2"/>
      <c r="M973" s="42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165"/>
      <c r="AH973" s="41"/>
      <c r="AI973" s="41"/>
      <c r="AJ973" s="41"/>
      <c r="AK973" s="165"/>
      <c r="AL973" s="41"/>
      <c r="AM973" s="41"/>
      <c r="AN973" s="41"/>
      <c r="AO973" s="41"/>
      <c r="AP973" s="41"/>
      <c r="AR973" s="41"/>
      <c r="AS973" s="41"/>
      <c r="AT973" s="41"/>
      <c r="AU973" s="41"/>
      <c r="AV973" s="41"/>
      <c r="AW973" s="41"/>
      <c r="AX973" s="41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  <c r="BS973" s="41"/>
      <c r="BT973" s="41"/>
      <c r="BU973" s="41"/>
      <c r="BV973" s="41"/>
      <c r="BW973" s="41"/>
      <c r="BX973" s="41"/>
      <c r="BY973" s="41"/>
    </row>
    <row r="974" spans="1:77" s="214" customFormat="1" x14ac:dyDescent="0.3">
      <c r="A974" s="135"/>
      <c r="B974" s="135"/>
      <c r="C974" s="135"/>
      <c r="D974" s="135"/>
      <c r="E974" s="135"/>
      <c r="F974" s="135"/>
      <c r="G974" s="135"/>
      <c r="H974" s="135"/>
      <c r="I974" s="135"/>
      <c r="J974" s="135"/>
      <c r="K974" s="135"/>
      <c r="L974" s="135"/>
      <c r="M974" s="135"/>
      <c r="N974" s="135"/>
      <c r="O974" s="135"/>
      <c r="P974" s="135"/>
      <c r="Q974" s="135"/>
      <c r="R974" s="135"/>
      <c r="S974" s="41"/>
      <c r="T974" s="42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165"/>
      <c r="AH974" s="41"/>
      <c r="AI974" s="41"/>
      <c r="AJ974" s="41"/>
      <c r="AK974" s="165"/>
      <c r="AL974" s="41"/>
      <c r="AM974" s="41"/>
      <c r="AN974" s="41"/>
      <c r="AO974" s="41"/>
      <c r="AP974" s="41"/>
      <c r="AR974" s="41"/>
      <c r="AS974" s="41"/>
      <c r="AT974" s="41"/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</row>
    <row r="975" spans="1:77" s="214" customFormat="1" x14ac:dyDescent="0.3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4"/>
      <c r="M975" s="44"/>
      <c r="N975" s="44"/>
      <c r="O975" s="44"/>
      <c r="P975" s="41"/>
      <c r="Q975" s="41"/>
      <c r="R975" s="44"/>
      <c r="S975" s="41"/>
      <c r="T975" s="42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165"/>
      <c r="AH975" s="41"/>
      <c r="AI975" s="41"/>
      <c r="AJ975" s="41"/>
      <c r="AK975" s="165"/>
      <c r="AL975" s="41"/>
      <c r="AM975" s="41"/>
      <c r="AN975" s="41"/>
      <c r="AO975" s="41"/>
      <c r="AP975" s="41"/>
      <c r="AR975" s="41"/>
      <c r="AS975" s="41"/>
      <c r="AT975" s="41"/>
      <c r="AU975" s="41"/>
      <c r="AV975" s="41"/>
      <c r="AW975" s="41"/>
      <c r="AX975" s="41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  <c r="BS975" s="41"/>
      <c r="BT975" s="41"/>
      <c r="BU975" s="41"/>
      <c r="BV975" s="41"/>
      <c r="BW975" s="41"/>
      <c r="BX975" s="41"/>
      <c r="BY975" s="41"/>
    </row>
    <row r="976" spans="1:77" s="214" customFormat="1" x14ac:dyDescent="0.3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4"/>
      <c r="M976" s="44"/>
      <c r="N976" s="44"/>
      <c r="O976" s="44"/>
      <c r="P976" s="41"/>
      <c r="Q976" s="41"/>
      <c r="R976" s="44"/>
      <c r="S976" s="41"/>
      <c r="T976" s="42"/>
      <c r="U976" s="41"/>
      <c r="V976" s="123"/>
      <c r="W976" s="123"/>
      <c r="X976" s="123"/>
      <c r="Y976" s="123"/>
      <c r="Z976" s="123"/>
      <c r="AA976" s="123"/>
      <c r="AB976" s="238"/>
      <c r="AC976" s="123"/>
      <c r="AD976" s="123"/>
      <c r="AE976" s="160"/>
      <c r="AF976" s="160"/>
      <c r="AG976" s="165"/>
      <c r="AH976" s="123"/>
      <c r="AI976" s="236"/>
      <c r="AJ976" s="236"/>
      <c r="AK976" s="165"/>
      <c r="AL976" s="123"/>
      <c r="AM976" s="123"/>
      <c r="AN976" s="123"/>
      <c r="AO976" s="236"/>
      <c r="AP976" s="236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</row>
    <row r="977" spans="1:77" s="214" customFormat="1" x14ac:dyDescent="0.3">
      <c r="A977" s="44"/>
      <c r="B977" s="41"/>
      <c r="C977" s="44"/>
      <c r="D977" s="44"/>
      <c r="E977" s="44"/>
      <c r="F977" s="44"/>
      <c r="G977" s="41"/>
      <c r="H977" s="41"/>
      <c r="I977" s="41"/>
      <c r="J977" s="44"/>
      <c r="K977" s="44"/>
      <c r="L977" s="44"/>
      <c r="M977" s="44"/>
      <c r="N977" s="44"/>
      <c r="O977" s="44"/>
      <c r="P977" s="44"/>
      <c r="Q977" s="44"/>
      <c r="R977" s="44"/>
      <c r="S977" s="41"/>
      <c r="T977" s="42"/>
      <c r="U977" s="41"/>
      <c r="V977" s="123"/>
      <c r="W977" s="123"/>
      <c r="X977" s="123"/>
      <c r="Y977" s="123"/>
      <c r="Z977" s="123"/>
      <c r="AA977" s="123"/>
      <c r="AB977" s="188"/>
      <c r="AC977" s="123"/>
      <c r="AD977" s="123"/>
      <c r="AE977" s="160"/>
      <c r="AF977" s="160"/>
      <c r="AG977" s="165"/>
      <c r="AH977" s="123"/>
      <c r="AI977" s="236"/>
      <c r="AJ977" s="236"/>
      <c r="AK977" s="165"/>
      <c r="AL977" s="123"/>
      <c r="AM977" s="123"/>
      <c r="AN977" s="123"/>
      <c r="AO977" s="236"/>
      <c r="AP977" s="236"/>
      <c r="AR977" s="41"/>
      <c r="AS977" s="41"/>
      <c r="AT977" s="41"/>
      <c r="AU977" s="41"/>
      <c r="AV977" s="41"/>
      <c r="AW977" s="41"/>
      <c r="AX977" s="41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  <c r="BS977" s="41"/>
      <c r="BT977" s="41"/>
      <c r="BU977" s="41"/>
      <c r="BV977" s="41"/>
      <c r="BW977" s="41"/>
      <c r="BX977" s="41"/>
      <c r="BY977" s="41"/>
    </row>
    <row r="978" spans="1:77" s="214" customFormat="1" x14ac:dyDescent="0.3">
      <c r="A978" s="44"/>
      <c r="B978" s="41"/>
      <c r="C978" s="44"/>
      <c r="D978" s="44"/>
      <c r="E978" s="44"/>
      <c r="F978" s="44"/>
      <c r="G978" s="41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1"/>
      <c r="T978" s="42"/>
      <c r="U978" s="41"/>
      <c r="V978" s="123"/>
      <c r="W978" s="123"/>
      <c r="X978" s="123"/>
      <c r="Y978" s="123"/>
      <c r="Z978" s="123"/>
      <c r="AA978" s="123"/>
      <c r="AB978" s="188"/>
      <c r="AC978" s="123"/>
      <c r="AD978" s="123"/>
      <c r="AE978" s="160"/>
      <c r="AF978" s="160"/>
      <c r="AG978" s="165"/>
      <c r="AH978" s="123"/>
      <c r="AI978" s="236"/>
      <c r="AJ978" s="236"/>
      <c r="AK978" s="165"/>
      <c r="AL978" s="123"/>
      <c r="AM978" s="123"/>
      <c r="AN978" s="123"/>
      <c r="AO978" s="236"/>
      <c r="AP978" s="236"/>
      <c r="AR978" s="41"/>
      <c r="AS978" s="41"/>
      <c r="AT978" s="41"/>
      <c r="AU978" s="41"/>
      <c r="AV978" s="41"/>
      <c r="AW978" s="41"/>
      <c r="AX978" s="41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  <c r="BY978" s="41"/>
    </row>
    <row r="979" spans="1:77" s="214" customFormat="1" x14ac:dyDescent="0.3">
      <c r="A979" s="41"/>
      <c r="B979" s="41"/>
      <c r="C979" s="44"/>
      <c r="D979" s="44"/>
      <c r="E979" s="44"/>
      <c r="F979" s="44"/>
      <c r="G979" s="41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1"/>
      <c r="T979" s="42"/>
      <c r="U979" s="41"/>
      <c r="V979" s="123"/>
      <c r="W979" s="41"/>
      <c r="X979" s="41"/>
      <c r="Y979" s="41"/>
      <c r="Z979" s="41"/>
      <c r="AA979" s="41"/>
      <c r="AB979" s="188"/>
      <c r="AC979" s="41"/>
      <c r="AD979" s="41"/>
      <c r="AE979" s="41"/>
      <c r="AF979" s="41"/>
      <c r="AG979" s="165"/>
      <c r="AH979" s="41"/>
      <c r="AI979" s="41"/>
      <c r="AJ979" s="41"/>
      <c r="AK979" s="165"/>
      <c r="AL979" s="41"/>
      <c r="AM979" s="41"/>
      <c r="AN979" s="41"/>
      <c r="AO979" s="41"/>
      <c r="AP979" s="41"/>
      <c r="AR979" s="41"/>
      <c r="AS979" s="41"/>
      <c r="AT979" s="41"/>
      <c r="AU979" s="41"/>
      <c r="AV979" s="41"/>
      <c r="AW979" s="41"/>
      <c r="AX979" s="41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BL979" s="41"/>
      <c r="BM979" s="41"/>
      <c r="BN979" s="41"/>
      <c r="BO979" s="41"/>
      <c r="BP979" s="41"/>
      <c r="BQ979" s="41"/>
      <c r="BR979" s="41"/>
      <c r="BS979" s="41"/>
      <c r="BT979" s="41"/>
      <c r="BU979" s="41"/>
      <c r="BV979" s="41"/>
      <c r="BW979" s="41"/>
      <c r="BX979" s="41"/>
      <c r="BY979" s="41"/>
    </row>
    <row r="980" spans="1:77" s="214" customFormat="1" x14ac:dyDescent="0.3">
      <c r="A980" s="135"/>
      <c r="B980" s="135"/>
      <c r="C980" s="135"/>
      <c r="D980" s="135"/>
      <c r="E980" s="135"/>
      <c r="F980" s="135"/>
      <c r="G980" s="135"/>
      <c r="H980" s="135"/>
      <c r="I980" s="135"/>
      <c r="J980" s="135"/>
      <c r="K980" s="135"/>
      <c r="L980" s="135"/>
      <c r="M980" s="135"/>
      <c r="N980" s="135"/>
      <c r="O980" s="135"/>
      <c r="P980" s="135"/>
      <c r="Q980" s="135"/>
      <c r="R980" s="135"/>
      <c r="S980" s="41"/>
      <c r="T980" s="42"/>
      <c r="U980" s="41"/>
      <c r="V980" s="123"/>
      <c r="W980" s="123"/>
      <c r="X980" s="123"/>
      <c r="Y980" s="123"/>
      <c r="Z980" s="123"/>
      <c r="AA980" s="123"/>
      <c r="AB980" s="238"/>
      <c r="AC980" s="123"/>
      <c r="AD980" s="123"/>
      <c r="AE980" s="160"/>
      <c r="AF980" s="160"/>
      <c r="AG980" s="165"/>
      <c r="AH980" s="123"/>
      <c r="AI980" s="236"/>
      <c r="AJ980" s="236"/>
      <c r="AK980" s="165"/>
      <c r="AL980" s="123"/>
      <c r="AM980" s="123"/>
      <c r="AN980" s="123"/>
      <c r="AO980" s="236"/>
      <c r="AP980" s="236"/>
      <c r="AR980" s="41"/>
      <c r="AS980" s="41"/>
      <c r="AT980" s="41"/>
      <c r="AU980" s="41"/>
      <c r="AV980" s="41"/>
      <c r="AW980" s="41"/>
      <c r="AX980" s="41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  <c r="BY980" s="41"/>
    </row>
    <row r="981" spans="1:77" s="214" customFormat="1" x14ac:dyDescent="0.3">
      <c r="A981" s="41"/>
      <c r="B981" s="41"/>
      <c r="C981" s="41"/>
      <c r="D981" s="41"/>
      <c r="E981" s="41"/>
      <c r="F981" s="41"/>
      <c r="G981" s="41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1"/>
      <c r="T981" s="42"/>
      <c r="U981" s="41"/>
      <c r="V981" s="123"/>
      <c r="W981" s="123"/>
      <c r="X981" s="123"/>
      <c r="Y981" s="123"/>
      <c r="Z981" s="123"/>
      <c r="AA981" s="123"/>
      <c r="AB981" s="188"/>
      <c r="AC981" s="41"/>
      <c r="AD981" s="41"/>
      <c r="AE981" s="160"/>
      <c r="AF981" s="160"/>
      <c r="AG981" s="165"/>
      <c r="AH981" s="123"/>
      <c r="AI981" s="236"/>
      <c r="AJ981" s="236"/>
      <c r="AK981" s="165"/>
      <c r="AL981" s="123"/>
      <c r="AM981" s="123"/>
      <c r="AN981" s="123"/>
      <c r="AO981" s="236"/>
      <c r="AP981" s="236"/>
      <c r="AR981" s="41"/>
      <c r="AS981" s="41"/>
      <c r="AT981" s="41"/>
      <c r="AU981" s="41"/>
      <c r="AV981" s="41"/>
      <c r="AW981" s="41"/>
      <c r="AX981" s="41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BL981" s="41"/>
      <c r="BM981" s="41"/>
      <c r="BN981" s="41"/>
      <c r="BO981" s="41"/>
      <c r="BP981" s="41"/>
      <c r="BQ981" s="41"/>
      <c r="BR981" s="41"/>
      <c r="BS981" s="41"/>
      <c r="BT981" s="41"/>
      <c r="BU981" s="41"/>
      <c r="BV981" s="41"/>
      <c r="BW981" s="41"/>
      <c r="BX981" s="41"/>
      <c r="BY981" s="41"/>
    </row>
    <row r="982" spans="1:77" s="214" customFormat="1" x14ac:dyDescent="0.3">
      <c r="A982" s="41"/>
      <c r="B982" s="41"/>
      <c r="C982" s="42"/>
      <c r="D982" s="42"/>
      <c r="E982" s="42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2"/>
      <c r="U982" s="41"/>
      <c r="V982" s="123"/>
      <c r="W982" s="123"/>
      <c r="X982" s="123"/>
      <c r="Y982" s="123"/>
      <c r="Z982" s="123"/>
      <c r="AA982" s="123"/>
      <c r="AB982" s="238"/>
      <c r="AC982" s="123"/>
      <c r="AD982" s="123"/>
      <c r="AE982" s="160"/>
      <c r="AF982" s="160"/>
      <c r="AG982" s="165"/>
      <c r="AH982" s="123"/>
      <c r="AI982" s="236"/>
      <c r="AJ982" s="236"/>
      <c r="AK982" s="165"/>
      <c r="AL982" s="123"/>
      <c r="AM982" s="123"/>
      <c r="AN982" s="123"/>
      <c r="AO982" s="236"/>
      <c r="AP982" s="236"/>
      <c r="AR982" s="41"/>
      <c r="AS982" s="41"/>
      <c r="AT982" s="41"/>
      <c r="AU982" s="41"/>
      <c r="AV982" s="41"/>
      <c r="AW982" s="41"/>
      <c r="AX982" s="41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  <c r="BY982" s="41"/>
    </row>
    <row r="983" spans="1:77" x14ac:dyDescent="0.3">
      <c r="T983" s="42"/>
      <c r="V983" s="123"/>
      <c r="W983" s="123"/>
      <c r="X983" s="123"/>
      <c r="Y983" s="123"/>
      <c r="Z983" s="123"/>
      <c r="AA983" s="123"/>
      <c r="AB983" s="188"/>
      <c r="AC983" s="123"/>
      <c r="AD983" s="123"/>
      <c r="AE983" s="160"/>
      <c r="AF983" s="160"/>
      <c r="AH983" s="123"/>
      <c r="AI983" s="236"/>
      <c r="AJ983" s="236"/>
      <c r="AL983" s="123"/>
      <c r="AM983" s="123"/>
      <c r="AN983" s="123"/>
      <c r="AO983" s="236"/>
      <c r="AP983" s="236"/>
    </row>
    <row r="984" spans="1:77" s="214" customFormat="1" x14ac:dyDescent="0.3">
      <c r="A984" s="41"/>
      <c r="B984" s="41"/>
      <c r="C984" s="42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188"/>
      <c r="AC984" s="41"/>
      <c r="AD984" s="41"/>
      <c r="AE984" s="41"/>
      <c r="AF984" s="41"/>
      <c r="AG984" s="165"/>
      <c r="AH984" s="41"/>
      <c r="AI984" s="41"/>
      <c r="AJ984" s="41"/>
      <c r="AK984" s="165"/>
      <c r="AL984" s="41"/>
      <c r="AM984" s="41"/>
      <c r="AN984" s="41"/>
      <c r="AO984" s="41"/>
      <c r="AP984" s="41"/>
      <c r="AR984" s="41"/>
      <c r="AS984" s="41"/>
      <c r="AT984" s="41"/>
      <c r="AU984" s="41"/>
      <c r="AV984" s="41"/>
      <c r="AW984" s="41"/>
      <c r="AX984" s="41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  <c r="BY984" s="41"/>
    </row>
    <row r="985" spans="1:77" s="214" customFormat="1" x14ac:dyDescent="0.3">
      <c r="A985" s="41"/>
      <c r="B985" s="41"/>
      <c r="C985" s="42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2"/>
      <c r="U985" s="41"/>
      <c r="V985" s="123"/>
      <c r="W985" s="123"/>
      <c r="X985" s="123"/>
      <c r="Y985" s="123"/>
      <c r="Z985" s="123"/>
      <c r="AA985" s="123"/>
      <c r="AB985" s="238"/>
      <c r="AC985" s="123"/>
      <c r="AD985" s="123"/>
      <c r="AE985" s="160"/>
      <c r="AF985" s="160"/>
      <c r="AG985" s="165"/>
      <c r="AH985" s="123"/>
      <c r="AI985" s="236"/>
      <c r="AJ985" s="236"/>
      <c r="AK985" s="165"/>
      <c r="AL985" s="123"/>
      <c r="AM985" s="123"/>
      <c r="AN985" s="123"/>
      <c r="AO985" s="236"/>
      <c r="AP985" s="236"/>
      <c r="AR985" s="41"/>
      <c r="AS985" s="41"/>
      <c r="AT985" s="41"/>
      <c r="AU985" s="41"/>
      <c r="AV985" s="41"/>
      <c r="AW985" s="41"/>
      <c r="AX985" s="41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BL985" s="41"/>
      <c r="BM985" s="41"/>
      <c r="BN985" s="41"/>
      <c r="BO985" s="41"/>
      <c r="BP985" s="41"/>
      <c r="BQ985" s="41"/>
      <c r="BR985" s="41"/>
      <c r="BS985" s="41"/>
      <c r="BT985" s="41"/>
      <c r="BU985" s="41"/>
      <c r="BV985" s="41"/>
      <c r="BW985" s="41"/>
      <c r="BX985" s="41"/>
      <c r="BY985" s="41"/>
    </row>
    <row r="986" spans="1:77" s="214" customFormat="1" x14ac:dyDescent="0.3">
      <c r="A986" s="41"/>
      <c r="B986" s="41"/>
      <c r="C986" s="42"/>
      <c r="D986" s="41"/>
      <c r="E986" s="41"/>
      <c r="F986" s="184"/>
      <c r="G986" s="41"/>
      <c r="H986" s="184"/>
      <c r="I986" s="184"/>
      <c r="J986" s="238"/>
      <c r="K986" s="238"/>
      <c r="L986" s="123"/>
      <c r="M986" s="123"/>
      <c r="N986" s="160"/>
      <c r="O986" s="160"/>
      <c r="P986" s="123"/>
      <c r="Q986" s="123"/>
      <c r="R986" s="123"/>
      <c r="S986" s="41"/>
      <c r="T986" s="41"/>
      <c r="U986" s="41"/>
      <c r="V986" s="210"/>
      <c r="W986" s="41"/>
      <c r="X986" s="41"/>
      <c r="Y986" s="41"/>
      <c r="Z986" s="41"/>
      <c r="AA986" s="210"/>
      <c r="AB986" s="238"/>
      <c r="AC986" s="210"/>
      <c r="AD986" s="210"/>
      <c r="AE986" s="210"/>
      <c r="AF986" s="210"/>
      <c r="AH986" s="210"/>
      <c r="AI986" s="41"/>
      <c r="AJ986" s="41"/>
      <c r="AL986" s="210"/>
      <c r="AM986" s="210"/>
      <c r="AN986" s="210"/>
      <c r="AO986" s="41"/>
      <c r="AP986" s="41"/>
      <c r="AR986" s="41"/>
      <c r="AS986" s="41"/>
      <c r="AT986" s="41"/>
      <c r="AU986" s="41"/>
      <c r="AV986" s="41"/>
      <c r="AW986" s="41"/>
      <c r="AX986" s="41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BL986" s="41"/>
      <c r="BM986" s="41"/>
      <c r="BN986" s="41"/>
      <c r="BO986" s="41"/>
      <c r="BP986" s="41"/>
      <c r="BQ986" s="41"/>
      <c r="BR986" s="41"/>
      <c r="BS986" s="41"/>
      <c r="BT986" s="41"/>
      <c r="BU986" s="41"/>
      <c r="BV986" s="41"/>
      <c r="BW986" s="41"/>
      <c r="BX986" s="41"/>
      <c r="BY986" s="41"/>
    </row>
    <row r="987" spans="1:77" s="214" customFormat="1" x14ac:dyDescent="0.3">
      <c r="A987" s="41"/>
      <c r="B987" s="41"/>
      <c r="C987" s="42"/>
      <c r="D987" s="41"/>
      <c r="E987" s="41"/>
      <c r="F987" s="123"/>
      <c r="G987" s="41"/>
      <c r="H987" s="123"/>
      <c r="I987" s="123"/>
      <c r="J987" s="188"/>
      <c r="K987" s="188"/>
      <c r="L987" s="123"/>
      <c r="M987" s="123"/>
      <c r="N987" s="160"/>
      <c r="O987" s="160"/>
      <c r="P987" s="123"/>
      <c r="Q987" s="123"/>
      <c r="R987" s="123"/>
      <c r="S987" s="41"/>
      <c r="T987" s="42"/>
      <c r="U987" s="41"/>
      <c r="V987" s="123"/>
      <c r="W987" s="41"/>
      <c r="X987" s="41"/>
      <c r="Y987" s="41"/>
      <c r="Z987" s="41"/>
      <c r="AA987" s="123"/>
      <c r="AB987" s="188"/>
      <c r="AC987" s="123"/>
      <c r="AD987" s="123"/>
      <c r="AE987" s="236"/>
      <c r="AF987" s="236"/>
      <c r="AG987" s="165"/>
      <c r="AH987" s="123"/>
      <c r="AI987" s="236"/>
      <c r="AJ987" s="236"/>
      <c r="AK987" s="165"/>
      <c r="AL987" s="123"/>
      <c r="AM987" s="123"/>
      <c r="AN987" s="123"/>
      <c r="AO987" s="236"/>
      <c r="AP987" s="236"/>
      <c r="AR987" s="41"/>
      <c r="AS987" s="41"/>
      <c r="AT987" s="41"/>
      <c r="AU987" s="41"/>
      <c r="AV987" s="41"/>
      <c r="AW987" s="41"/>
      <c r="AX987" s="41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BL987" s="41"/>
      <c r="BM987" s="41"/>
      <c r="BN987" s="41"/>
      <c r="BO987" s="41"/>
      <c r="BP987" s="41"/>
      <c r="BQ987" s="41"/>
      <c r="BR987" s="41"/>
      <c r="BS987" s="41"/>
      <c r="BT987" s="41"/>
      <c r="BU987" s="41"/>
      <c r="BV987" s="41"/>
      <c r="BW987" s="41"/>
      <c r="BX987" s="41"/>
      <c r="BY987" s="41"/>
    </row>
    <row r="988" spans="1:77" s="214" customFormat="1" x14ac:dyDescent="0.3">
      <c r="A988" s="41"/>
      <c r="B988" s="41"/>
      <c r="C988" s="42"/>
      <c r="D988" s="41"/>
      <c r="E988" s="41"/>
      <c r="F988" s="123"/>
      <c r="G988" s="41"/>
      <c r="H988" s="123"/>
      <c r="I988" s="123"/>
      <c r="J988" s="188"/>
      <c r="K988" s="188"/>
      <c r="L988" s="123"/>
      <c r="M988" s="123"/>
      <c r="N988" s="160"/>
      <c r="O988" s="160"/>
      <c r="P988" s="123"/>
      <c r="Q988" s="123"/>
      <c r="R988" s="123"/>
      <c r="S988" s="41"/>
      <c r="T988" s="41"/>
      <c r="U988" s="41"/>
      <c r="V988" s="210"/>
      <c r="W988" s="41"/>
      <c r="X988" s="41"/>
      <c r="Y988" s="41"/>
      <c r="Z988" s="41"/>
      <c r="AA988" s="210"/>
      <c r="AB988" s="238"/>
      <c r="AC988" s="210"/>
      <c r="AD988" s="210"/>
      <c r="AE988" s="210"/>
      <c r="AF988" s="210"/>
      <c r="AH988" s="210"/>
      <c r="AI988" s="41"/>
      <c r="AJ988" s="41"/>
      <c r="AL988" s="210"/>
      <c r="AM988" s="210"/>
      <c r="AN988" s="210"/>
      <c r="AO988" s="41"/>
      <c r="AP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</row>
    <row r="989" spans="1:77" s="214" customFormat="1" x14ac:dyDescent="0.3">
      <c r="A989" s="41"/>
      <c r="B989" s="41"/>
      <c r="C989" s="42"/>
      <c r="D989" s="41"/>
      <c r="E989" s="41"/>
      <c r="F989" s="123"/>
      <c r="G989" s="41"/>
      <c r="H989" s="123"/>
      <c r="I989" s="123"/>
      <c r="J989" s="188"/>
      <c r="K989" s="188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188"/>
      <c r="AC989" s="41"/>
      <c r="AD989" s="41"/>
      <c r="AE989" s="41"/>
      <c r="AF989" s="41"/>
      <c r="AG989" s="165"/>
      <c r="AH989" s="41"/>
      <c r="AI989" s="41"/>
      <c r="AJ989" s="41"/>
      <c r="AK989" s="165"/>
      <c r="AL989" s="41"/>
      <c r="AM989" s="41"/>
      <c r="AN989" s="41"/>
      <c r="AO989" s="41"/>
      <c r="AP989" s="41"/>
      <c r="AR989" s="41"/>
      <c r="AS989" s="41"/>
      <c r="AT989" s="41"/>
      <c r="AU989" s="41"/>
      <c r="AV989" s="41"/>
      <c r="AW989" s="41"/>
      <c r="AX989" s="41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BL989" s="41"/>
      <c r="BM989" s="41"/>
      <c r="BN989" s="41"/>
      <c r="BO989" s="41"/>
      <c r="BP989" s="41"/>
      <c r="BQ989" s="41"/>
      <c r="BR989" s="41"/>
      <c r="BS989" s="41"/>
      <c r="BT989" s="41"/>
      <c r="BU989" s="41"/>
      <c r="BV989" s="41"/>
      <c r="BW989" s="41"/>
      <c r="BX989" s="41"/>
      <c r="BY989" s="41"/>
    </row>
    <row r="990" spans="1:77" s="214" customFormat="1" x14ac:dyDescent="0.3">
      <c r="A990" s="41"/>
      <c r="B990" s="41"/>
      <c r="C990" s="42"/>
      <c r="D990" s="41"/>
      <c r="E990" s="41"/>
      <c r="F990" s="184"/>
      <c r="G990" s="41"/>
      <c r="H990" s="184"/>
      <c r="I990" s="184"/>
      <c r="J990" s="238"/>
      <c r="K990" s="238"/>
      <c r="L990" s="123"/>
      <c r="M990" s="123"/>
      <c r="N990" s="160"/>
      <c r="O990" s="160"/>
      <c r="P990" s="123"/>
      <c r="Q990" s="123"/>
      <c r="R990" s="123"/>
      <c r="S990" s="41"/>
      <c r="T990" s="42"/>
      <c r="U990" s="41"/>
      <c r="V990" s="41"/>
      <c r="W990" s="41"/>
      <c r="X990" s="41"/>
      <c r="Y990" s="41"/>
      <c r="Z990" s="41"/>
      <c r="AA990" s="41"/>
      <c r="AB990" s="188"/>
      <c r="AC990" s="41"/>
      <c r="AD990" s="41"/>
      <c r="AE990" s="41"/>
      <c r="AF990" s="41"/>
      <c r="AG990" s="165"/>
      <c r="AH990" s="41"/>
      <c r="AI990" s="41"/>
      <c r="AJ990" s="41"/>
      <c r="AK990" s="165"/>
      <c r="AL990" s="41"/>
      <c r="AM990" s="41"/>
      <c r="AN990" s="41"/>
      <c r="AO990" s="41"/>
      <c r="AP990" s="41"/>
      <c r="AR990" s="41"/>
      <c r="AS990" s="41"/>
      <c r="AT990" s="41"/>
      <c r="AU990" s="41"/>
      <c r="AV990" s="41"/>
      <c r="AW990" s="41"/>
      <c r="AX990" s="41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BL990" s="41"/>
      <c r="BM990" s="41"/>
      <c r="BN990" s="41"/>
      <c r="BO990" s="41"/>
      <c r="BP990" s="41"/>
      <c r="BQ990" s="41"/>
      <c r="BR990" s="41"/>
      <c r="BS990" s="41"/>
      <c r="BT990" s="41"/>
      <c r="BU990" s="41"/>
      <c r="BV990" s="41"/>
      <c r="BW990" s="41"/>
      <c r="BX990" s="41"/>
      <c r="BY990" s="41"/>
    </row>
    <row r="991" spans="1:77" s="214" customFormat="1" x14ac:dyDescent="0.3">
      <c r="A991" s="41"/>
      <c r="B991" s="41"/>
      <c r="C991" s="42"/>
      <c r="D991" s="41"/>
      <c r="E991" s="41"/>
      <c r="F991" s="123"/>
      <c r="G991" s="41"/>
      <c r="H991" s="123"/>
      <c r="I991" s="123"/>
      <c r="J991" s="188"/>
      <c r="K991" s="188"/>
      <c r="L991" s="41"/>
      <c r="M991" s="41"/>
      <c r="N991" s="41"/>
      <c r="O991" s="41"/>
      <c r="P991" s="41"/>
      <c r="Q991" s="41"/>
      <c r="R991" s="41"/>
      <c r="S991" s="41"/>
      <c r="T991" s="42"/>
      <c r="U991" s="41"/>
      <c r="V991" s="41"/>
      <c r="W991" s="41"/>
      <c r="X991" s="41"/>
      <c r="Y991" s="41"/>
      <c r="Z991" s="41"/>
      <c r="AA991" s="41"/>
      <c r="AB991" s="188"/>
      <c r="AC991" s="41"/>
      <c r="AD991" s="41"/>
      <c r="AE991" s="41"/>
      <c r="AF991" s="41"/>
      <c r="AG991" s="165"/>
      <c r="AH991" s="41"/>
      <c r="AI991" s="41"/>
      <c r="AJ991" s="41"/>
      <c r="AK991" s="165"/>
      <c r="AL991" s="41"/>
      <c r="AM991" s="41"/>
      <c r="AN991" s="41"/>
      <c r="AO991" s="41"/>
      <c r="AP991" s="41"/>
      <c r="AR991" s="41"/>
      <c r="AS991" s="41"/>
      <c r="AT991" s="41"/>
      <c r="AU991" s="41"/>
      <c r="AV991" s="41"/>
      <c r="AW991" s="41"/>
      <c r="AX991" s="41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BL991" s="41"/>
      <c r="BM991" s="41"/>
      <c r="BN991" s="41"/>
      <c r="BO991" s="41"/>
      <c r="BP991" s="41"/>
      <c r="BQ991" s="41"/>
      <c r="BR991" s="41"/>
      <c r="BS991" s="41"/>
      <c r="BT991" s="41"/>
      <c r="BU991" s="41"/>
      <c r="BV991" s="41"/>
      <c r="BW991" s="41"/>
      <c r="BX991" s="41"/>
      <c r="BY991" s="41"/>
    </row>
    <row r="992" spans="1:77" s="214" customFormat="1" x14ac:dyDescent="0.3">
      <c r="A992" s="41"/>
      <c r="B992" s="41"/>
      <c r="C992" s="42"/>
      <c r="D992" s="41"/>
      <c r="E992" s="41"/>
      <c r="F992" s="184"/>
      <c r="G992" s="41"/>
      <c r="H992" s="184"/>
      <c r="I992" s="184"/>
      <c r="J992" s="238"/>
      <c r="K992" s="238"/>
      <c r="L992" s="123"/>
      <c r="M992" s="123"/>
      <c r="N992" s="160"/>
      <c r="O992" s="160"/>
      <c r="P992" s="123"/>
      <c r="Q992" s="123"/>
      <c r="R992" s="123"/>
      <c r="S992" s="41"/>
      <c r="T992" s="42"/>
      <c r="U992" s="41"/>
      <c r="V992" s="123"/>
      <c r="W992" s="123"/>
      <c r="X992" s="123"/>
      <c r="Y992" s="123"/>
      <c r="Z992" s="123"/>
      <c r="AA992" s="123"/>
      <c r="AB992" s="238"/>
      <c r="AC992" s="123"/>
      <c r="AD992" s="123"/>
      <c r="AE992" s="160"/>
      <c r="AF992" s="160"/>
      <c r="AG992" s="165"/>
      <c r="AH992" s="123"/>
      <c r="AI992" s="236"/>
      <c r="AJ992" s="236"/>
      <c r="AK992" s="165"/>
      <c r="AL992" s="123"/>
      <c r="AM992" s="123"/>
      <c r="AN992" s="123"/>
      <c r="AO992" s="236"/>
      <c r="AP992" s="236"/>
      <c r="AR992" s="41"/>
      <c r="AS992" s="41"/>
      <c r="AT992" s="41"/>
      <c r="AU992" s="41"/>
      <c r="AV992" s="41"/>
      <c r="AW992" s="41"/>
      <c r="AX992" s="41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BL992" s="41"/>
      <c r="BM992" s="41"/>
      <c r="BN992" s="41"/>
      <c r="BO992" s="41"/>
      <c r="BP992" s="41"/>
      <c r="BQ992" s="41"/>
      <c r="BR992" s="41"/>
      <c r="BS992" s="41"/>
      <c r="BT992" s="41"/>
      <c r="BU992" s="41"/>
      <c r="BV992" s="41"/>
      <c r="BW992" s="41"/>
      <c r="BX992" s="41"/>
      <c r="BY992" s="41"/>
    </row>
    <row r="993" spans="1:77" s="214" customFormat="1" x14ac:dyDescent="0.3">
      <c r="A993" s="41"/>
      <c r="B993" s="41"/>
      <c r="C993" s="42"/>
      <c r="D993" s="41"/>
      <c r="E993" s="41"/>
      <c r="F993" s="123"/>
      <c r="G993" s="41"/>
      <c r="H993" s="123"/>
      <c r="I993" s="123"/>
      <c r="J993" s="188"/>
      <c r="K993" s="188"/>
      <c r="L993" s="123"/>
      <c r="M993" s="123"/>
      <c r="N993" s="160"/>
      <c r="O993" s="160"/>
      <c r="P993" s="123"/>
      <c r="Q993" s="123"/>
      <c r="R993" s="123"/>
      <c r="S993" s="41"/>
      <c r="T993" s="42"/>
      <c r="U993" s="41"/>
      <c r="V993" s="41"/>
      <c r="W993" s="41"/>
      <c r="X993" s="41"/>
      <c r="Y993" s="41"/>
      <c r="Z993" s="41"/>
      <c r="AA993" s="41"/>
      <c r="AB993" s="188"/>
      <c r="AC993" s="41"/>
      <c r="AD993" s="41"/>
      <c r="AE993" s="41"/>
      <c r="AF993" s="41"/>
      <c r="AG993" s="165"/>
      <c r="AH993" s="41"/>
      <c r="AI993" s="41"/>
      <c r="AJ993" s="41"/>
      <c r="AK993" s="165"/>
      <c r="AL993" s="41"/>
      <c r="AM993" s="41"/>
      <c r="AN993" s="41"/>
      <c r="AO993" s="41"/>
      <c r="AP993" s="41"/>
      <c r="AR993" s="41"/>
      <c r="AS993" s="41"/>
      <c r="AT993" s="41"/>
      <c r="AU993" s="41"/>
      <c r="AV993" s="41"/>
      <c r="AW993" s="41"/>
      <c r="AX993" s="41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BL993" s="41"/>
      <c r="BM993" s="41"/>
      <c r="BN993" s="41"/>
      <c r="BO993" s="41"/>
      <c r="BP993" s="41"/>
      <c r="BQ993" s="41"/>
      <c r="BR993" s="41"/>
      <c r="BS993" s="41"/>
      <c r="BT993" s="41"/>
      <c r="BU993" s="41"/>
      <c r="BV993" s="41"/>
      <c r="BW993" s="41"/>
      <c r="BX993" s="41"/>
      <c r="BY993" s="41"/>
    </row>
    <row r="994" spans="1:77" s="214" customFormat="1" x14ac:dyDescent="0.3">
      <c r="A994" s="41"/>
      <c r="B994" s="41"/>
      <c r="C994" s="41"/>
      <c r="D994" s="41"/>
      <c r="E994" s="41"/>
      <c r="F994" s="123"/>
      <c r="G994" s="41"/>
      <c r="H994" s="123"/>
      <c r="I994" s="123"/>
      <c r="J994" s="188"/>
      <c r="K994" s="188"/>
      <c r="L994" s="41"/>
      <c r="M994" s="41"/>
      <c r="N994" s="41"/>
      <c r="O994" s="41"/>
      <c r="P994" s="41"/>
      <c r="Q994" s="41"/>
      <c r="R994" s="41"/>
      <c r="S994" s="41"/>
      <c r="T994" s="42"/>
      <c r="U994" s="41"/>
      <c r="V994" s="123"/>
      <c r="W994" s="123"/>
      <c r="X994" s="123"/>
      <c r="Y994" s="123"/>
      <c r="Z994" s="123"/>
      <c r="AA994" s="123"/>
      <c r="AB994" s="238"/>
      <c r="AC994" s="123"/>
      <c r="AD994" s="123"/>
      <c r="AE994" s="160"/>
      <c r="AF994" s="160"/>
      <c r="AG994" s="165"/>
      <c r="AH994" s="123"/>
      <c r="AI994" s="236"/>
      <c r="AJ994" s="236"/>
      <c r="AK994" s="165"/>
      <c r="AL994" s="123"/>
      <c r="AM994" s="123"/>
      <c r="AN994" s="123"/>
      <c r="AO994" s="236"/>
      <c r="AP994" s="236"/>
      <c r="AR994" s="41"/>
      <c r="AS994" s="41"/>
      <c r="AT994" s="41"/>
      <c r="AU994" s="41"/>
      <c r="AV994" s="41"/>
      <c r="AW994" s="41"/>
      <c r="AX994" s="41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BL994" s="41"/>
      <c r="BM994" s="41"/>
      <c r="BN994" s="41"/>
      <c r="BO994" s="41"/>
      <c r="BP994" s="41"/>
      <c r="BQ994" s="41"/>
      <c r="BR994" s="41"/>
      <c r="BS994" s="41"/>
      <c r="BT994" s="41"/>
      <c r="BU994" s="41"/>
      <c r="BV994" s="41"/>
      <c r="BW994" s="41"/>
      <c r="BX994" s="41"/>
      <c r="BY994" s="41"/>
    </row>
    <row r="995" spans="1:77" s="214" customFormat="1" x14ac:dyDescent="0.3">
      <c r="A995" s="41"/>
      <c r="B995" s="41"/>
      <c r="C995" s="42"/>
      <c r="D995" s="41"/>
      <c r="E995" s="41"/>
      <c r="F995" s="123"/>
      <c r="G995" s="41"/>
      <c r="H995" s="184"/>
      <c r="I995" s="184"/>
      <c r="J995" s="238"/>
      <c r="K995" s="238"/>
      <c r="L995" s="123"/>
      <c r="M995" s="123"/>
      <c r="N995" s="160"/>
      <c r="O995" s="160"/>
      <c r="P995" s="123"/>
      <c r="Q995" s="123"/>
      <c r="R995" s="123"/>
      <c r="S995" s="41"/>
      <c r="T995" s="41"/>
      <c r="U995" s="41"/>
      <c r="V995" s="210"/>
      <c r="W995" s="41"/>
      <c r="X995" s="41"/>
      <c r="Y995" s="41"/>
      <c r="Z995" s="41"/>
      <c r="AA995" s="210"/>
      <c r="AB995" s="238"/>
      <c r="AC995" s="210"/>
      <c r="AD995" s="210"/>
      <c r="AE995" s="210"/>
      <c r="AF995" s="210"/>
      <c r="AH995" s="210"/>
      <c r="AI995" s="41"/>
      <c r="AJ995" s="41"/>
      <c r="AL995" s="210"/>
      <c r="AM995" s="210"/>
      <c r="AN995" s="210"/>
      <c r="AO995" s="41"/>
      <c r="AP995" s="41"/>
      <c r="AR995" s="41"/>
      <c r="AS995" s="41"/>
      <c r="AT995" s="41"/>
      <c r="AU995" s="41"/>
      <c r="AV995" s="41"/>
      <c r="AW995" s="41"/>
      <c r="AX995" s="41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BL995" s="41"/>
      <c r="BM995" s="41"/>
      <c r="BN995" s="41"/>
      <c r="BO995" s="41"/>
      <c r="BP995" s="41"/>
      <c r="BQ995" s="41"/>
      <c r="BR995" s="41"/>
      <c r="BS995" s="41"/>
      <c r="BT995" s="41"/>
      <c r="BU995" s="41"/>
      <c r="BV995" s="41"/>
      <c r="BW995" s="41"/>
      <c r="BX995" s="41"/>
      <c r="BY995" s="41"/>
    </row>
    <row r="996" spans="1:77" s="214" customFormat="1" x14ac:dyDescent="0.3">
      <c r="A996" s="41"/>
      <c r="B996" s="41"/>
      <c r="C996" s="41"/>
      <c r="D996" s="41"/>
      <c r="E996" s="41"/>
      <c r="F996" s="210"/>
      <c r="G996" s="41"/>
      <c r="H996" s="210"/>
      <c r="I996" s="210"/>
      <c r="J996" s="238"/>
      <c r="K996" s="238"/>
      <c r="L996" s="210"/>
      <c r="M996" s="210"/>
      <c r="N996" s="210"/>
      <c r="O996" s="210"/>
      <c r="P996" s="210"/>
      <c r="Q996" s="210"/>
      <c r="R996" s="210"/>
      <c r="S996" s="41"/>
      <c r="T996" s="42"/>
      <c r="U996" s="41"/>
      <c r="V996" s="123"/>
      <c r="W996" s="41"/>
      <c r="X996" s="41"/>
      <c r="Y996" s="41"/>
      <c r="Z996" s="41"/>
      <c r="AA996" s="123"/>
      <c r="AB996" s="188"/>
      <c r="AC996" s="123"/>
      <c r="AD996" s="123"/>
      <c r="AE996" s="236"/>
      <c r="AF996" s="236"/>
      <c r="AG996" s="165"/>
      <c r="AH996" s="123"/>
      <c r="AI996" s="236"/>
      <c r="AJ996" s="236"/>
      <c r="AK996" s="165"/>
      <c r="AL996" s="123"/>
      <c r="AM996" s="123"/>
      <c r="AN996" s="123"/>
      <c r="AO996" s="236"/>
      <c r="AP996" s="236"/>
      <c r="AR996" s="41"/>
      <c r="AS996" s="41"/>
      <c r="AT996" s="41"/>
      <c r="AU996" s="41"/>
      <c r="AV996" s="41"/>
      <c r="AW996" s="41"/>
      <c r="AX996" s="41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BL996" s="41"/>
      <c r="BM996" s="41"/>
      <c r="BN996" s="41"/>
      <c r="BO996" s="41"/>
      <c r="BP996" s="41"/>
      <c r="BQ996" s="41"/>
      <c r="BR996" s="41"/>
      <c r="BS996" s="41"/>
      <c r="BT996" s="41"/>
      <c r="BU996" s="41"/>
      <c r="BV996" s="41"/>
      <c r="BW996" s="41"/>
      <c r="BX996" s="41"/>
      <c r="BY996" s="41"/>
    </row>
    <row r="997" spans="1:77" s="214" customFormat="1" x14ac:dyDescent="0.3">
      <c r="A997" s="41"/>
      <c r="B997" s="41"/>
      <c r="C997" s="42"/>
      <c r="D997" s="41"/>
      <c r="E997" s="41"/>
      <c r="F997" s="123"/>
      <c r="G997" s="41"/>
      <c r="H997" s="123"/>
      <c r="I997" s="123"/>
      <c r="J997" s="188"/>
      <c r="K997" s="188"/>
      <c r="L997" s="123"/>
      <c r="M997" s="123"/>
      <c r="N997" s="41"/>
      <c r="O997" s="41"/>
      <c r="P997" s="123"/>
      <c r="Q997" s="123"/>
      <c r="R997" s="123"/>
      <c r="S997" s="41"/>
      <c r="T997" s="41"/>
      <c r="U997" s="41"/>
      <c r="V997" s="210"/>
      <c r="W997" s="41"/>
      <c r="X997" s="41"/>
      <c r="Y997" s="41"/>
      <c r="Z997" s="41"/>
      <c r="AA997" s="210"/>
      <c r="AB997" s="213"/>
      <c r="AC997" s="210"/>
      <c r="AD997" s="210"/>
      <c r="AE997" s="210"/>
      <c r="AF997" s="210"/>
      <c r="AH997" s="210"/>
      <c r="AI997" s="41"/>
      <c r="AJ997" s="41"/>
      <c r="AL997" s="210"/>
      <c r="AM997" s="210"/>
      <c r="AN997" s="210"/>
      <c r="AO997" s="41"/>
      <c r="AP997" s="41"/>
      <c r="AR997" s="41"/>
      <c r="AS997" s="41"/>
      <c r="AT997" s="41"/>
      <c r="AU997" s="41"/>
      <c r="AV997" s="41"/>
      <c r="AW997" s="41"/>
      <c r="AX997" s="41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BL997" s="41"/>
      <c r="BM997" s="41"/>
      <c r="BN997" s="41"/>
      <c r="BO997" s="41"/>
      <c r="BP997" s="41"/>
      <c r="BQ997" s="41"/>
      <c r="BR997" s="41"/>
      <c r="BS997" s="41"/>
      <c r="BT997" s="41"/>
      <c r="BU997" s="41"/>
      <c r="BV997" s="41"/>
      <c r="BW997" s="41"/>
      <c r="BX997" s="41"/>
      <c r="BY997" s="41"/>
    </row>
    <row r="998" spans="1:77" s="214" customFormat="1" x14ac:dyDescent="0.3">
      <c r="A998" s="41"/>
      <c r="B998" s="41"/>
      <c r="C998" s="41"/>
      <c r="D998" s="41"/>
      <c r="E998" s="41"/>
      <c r="F998" s="210"/>
      <c r="G998" s="41"/>
      <c r="H998" s="210"/>
      <c r="I998" s="210"/>
      <c r="J998" s="238"/>
      <c r="K998" s="238"/>
      <c r="L998" s="210"/>
      <c r="M998" s="210"/>
      <c r="N998" s="210"/>
      <c r="O998" s="210"/>
      <c r="P998" s="210"/>
      <c r="Q998" s="210"/>
      <c r="R998" s="210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F998" s="41"/>
      <c r="AG998" s="165"/>
      <c r="AH998" s="41"/>
      <c r="AI998" s="41"/>
      <c r="AJ998" s="41"/>
      <c r="AK998" s="165"/>
      <c r="AL998" s="41"/>
      <c r="AM998" s="41"/>
      <c r="AN998" s="41"/>
      <c r="AO998" s="41"/>
      <c r="AP998" s="41"/>
      <c r="AR998" s="41"/>
      <c r="AS998" s="41"/>
      <c r="AT998" s="41"/>
      <c r="AU998" s="41"/>
      <c r="AV998" s="41"/>
      <c r="AW998" s="41"/>
      <c r="AX998" s="41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BL998" s="41"/>
      <c r="BM998" s="41"/>
      <c r="BN998" s="41"/>
      <c r="BO998" s="41"/>
      <c r="BP998" s="41"/>
      <c r="BQ998" s="41"/>
      <c r="BR998" s="41"/>
      <c r="BS998" s="41"/>
      <c r="BT998" s="41"/>
      <c r="BU998" s="41"/>
      <c r="BV998" s="41"/>
      <c r="BW998" s="41"/>
      <c r="BX998" s="41"/>
      <c r="BY998" s="41"/>
    </row>
    <row r="999" spans="1:77" s="214" customFormat="1" x14ac:dyDescent="0.3">
      <c r="A999" s="41"/>
      <c r="B999" s="41"/>
      <c r="C999" s="41"/>
      <c r="D999" s="41"/>
      <c r="E999" s="41"/>
      <c r="F999" s="41"/>
      <c r="G999" s="41"/>
      <c r="H999" s="41"/>
      <c r="I999" s="41"/>
      <c r="J999" s="188"/>
      <c r="K999" s="188"/>
      <c r="L999" s="41"/>
      <c r="M999" s="41"/>
      <c r="N999" s="41"/>
      <c r="O999" s="41"/>
      <c r="P999" s="41"/>
      <c r="Q999" s="41"/>
      <c r="R999" s="41"/>
      <c r="S999" s="41"/>
      <c r="T999" s="42"/>
      <c r="U999" s="41"/>
      <c r="V999" s="123"/>
      <c r="W999" s="41"/>
      <c r="X999" s="41"/>
      <c r="Y999" s="41"/>
      <c r="Z999" s="41"/>
      <c r="AA999" s="123"/>
      <c r="AB999" s="41"/>
      <c r="AC999" s="123"/>
      <c r="AD999" s="123"/>
      <c r="AE999" s="236"/>
      <c r="AF999" s="236"/>
      <c r="AG999" s="165"/>
      <c r="AH999" s="123"/>
      <c r="AI999" s="236"/>
      <c r="AJ999" s="236"/>
      <c r="AK999" s="233"/>
      <c r="AL999" s="184"/>
      <c r="AM999" s="123"/>
      <c r="AN999" s="123"/>
      <c r="AO999" s="236"/>
      <c r="AP999" s="236"/>
      <c r="AR999" s="41"/>
      <c r="AS999" s="41"/>
      <c r="AT999" s="41"/>
      <c r="AU999" s="41"/>
      <c r="AV999" s="41"/>
      <c r="AW999" s="41"/>
      <c r="AX999" s="41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BL999" s="41"/>
      <c r="BM999" s="41"/>
      <c r="BN999" s="41"/>
      <c r="BO999" s="41"/>
      <c r="BP999" s="41"/>
      <c r="BQ999" s="41"/>
      <c r="BR999" s="41"/>
      <c r="BS999" s="41"/>
      <c r="BT999" s="41"/>
      <c r="BU999" s="41"/>
      <c r="BV999" s="41"/>
      <c r="BW999" s="41"/>
      <c r="BX999" s="41"/>
      <c r="BY999" s="41"/>
    </row>
    <row r="1000" spans="1:77" s="214" customFormat="1" x14ac:dyDescent="0.3">
      <c r="A1000" s="41"/>
      <c r="B1000" s="41"/>
      <c r="C1000" s="42"/>
      <c r="D1000" s="41"/>
      <c r="E1000" s="41"/>
      <c r="F1000" s="41"/>
      <c r="G1000" s="41"/>
      <c r="H1000" s="41"/>
      <c r="I1000" s="41"/>
      <c r="J1000" s="188"/>
      <c r="K1000" s="188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210"/>
      <c r="W1000" s="41"/>
      <c r="X1000" s="41"/>
      <c r="Y1000" s="41"/>
      <c r="Z1000" s="41"/>
      <c r="AA1000" s="210"/>
      <c r="AB1000" s="213"/>
      <c r="AC1000" s="210"/>
      <c r="AD1000" s="210"/>
      <c r="AE1000" s="210"/>
      <c r="AF1000" s="210"/>
      <c r="AH1000" s="210"/>
      <c r="AI1000" s="41"/>
      <c r="AJ1000" s="41"/>
      <c r="AL1000" s="210"/>
      <c r="AM1000" s="210"/>
      <c r="AN1000" s="210"/>
      <c r="AO1000" s="41"/>
      <c r="AP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</row>
    <row r="1001" spans="1:77" s="214" customFormat="1" x14ac:dyDescent="0.3">
      <c r="A1001" s="41"/>
      <c r="B1001" s="41"/>
      <c r="C1001" s="42"/>
      <c r="D1001" s="41"/>
      <c r="E1001" s="41"/>
      <c r="F1001" s="41"/>
      <c r="G1001" s="41"/>
      <c r="H1001" s="41"/>
      <c r="I1001" s="41"/>
      <c r="J1001" s="188"/>
      <c r="K1001" s="188"/>
      <c r="L1001" s="41"/>
      <c r="M1001" s="41"/>
      <c r="N1001" s="41"/>
      <c r="O1001" s="41"/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  <c r="Z1001" s="41"/>
      <c r="AA1001" s="41"/>
      <c r="AB1001" s="41"/>
      <c r="AC1001" s="41"/>
      <c r="AD1001" s="41"/>
      <c r="AE1001" s="41"/>
      <c r="AF1001" s="41"/>
      <c r="AG1001" s="165"/>
      <c r="AH1001" s="41"/>
      <c r="AI1001" s="41"/>
      <c r="AJ1001" s="41"/>
      <c r="AK1001" s="165"/>
      <c r="AL1001" s="41"/>
      <c r="AM1001" s="41"/>
      <c r="AN1001" s="41"/>
      <c r="AO1001" s="41"/>
      <c r="AP1001" s="41"/>
      <c r="AR1001" s="41"/>
      <c r="AS1001" s="41"/>
      <c r="AT1001" s="41"/>
      <c r="AU1001" s="41"/>
      <c r="AV1001" s="41"/>
      <c r="AW1001" s="41"/>
      <c r="AX1001" s="41"/>
      <c r="AY1001" s="41"/>
      <c r="AZ1001" s="41"/>
      <c r="BA1001" s="41"/>
      <c r="BB1001" s="41"/>
      <c r="BC1001" s="41"/>
      <c r="BD1001" s="41"/>
      <c r="BE1001" s="41"/>
      <c r="BF1001" s="41"/>
      <c r="BG1001" s="41"/>
      <c r="BH1001" s="41"/>
      <c r="BI1001" s="41"/>
      <c r="BJ1001" s="41"/>
      <c r="BK1001" s="41"/>
      <c r="BL1001" s="41"/>
      <c r="BM1001" s="41"/>
      <c r="BN1001" s="41"/>
      <c r="BO1001" s="41"/>
      <c r="BP1001" s="41"/>
      <c r="BQ1001" s="41"/>
      <c r="BR1001" s="41"/>
      <c r="BS1001" s="41"/>
      <c r="BT1001" s="41"/>
      <c r="BU1001" s="41"/>
      <c r="BV1001" s="41"/>
      <c r="BW1001" s="41"/>
      <c r="BX1001" s="41"/>
      <c r="BY1001" s="41"/>
    </row>
    <row r="1002" spans="1:77" s="214" customFormat="1" x14ac:dyDescent="0.3">
      <c r="A1002" s="41"/>
      <c r="B1002" s="41"/>
      <c r="C1002" s="42"/>
      <c r="D1002" s="41"/>
      <c r="E1002" s="41"/>
      <c r="F1002" s="184"/>
      <c r="G1002" s="41"/>
      <c r="H1002" s="184"/>
      <c r="I1002" s="184"/>
      <c r="J1002" s="238"/>
      <c r="K1002" s="238"/>
      <c r="L1002" s="123"/>
      <c r="M1002" s="123"/>
      <c r="N1002" s="160"/>
      <c r="O1002" s="160"/>
      <c r="P1002" s="123"/>
      <c r="Q1002" s="123"/>
      <c r="R1002" s="123"/>
      <c r="S1002" s="41"/>
      <c r="T1002" s="41"/>
      <c r="U1002" s="41"/>
      <c r="V1002" s="41"/>
      <c r="W1002" s="41"/>
      <c r="X1002" s="41"/>
      <c r="Y1002" s="41"/>
      <c r="Z1002" s="41"/>
      <c r="AA1002" s="41"/>
      <c r="AB1002" s="41"/>
      <c r="AC1002" s="41"/>
      <c r="AD1002" s="41"/>
      <c r="AE1002" s="41"/>
      <c r="AF1002" s="41"/>
      <c r="AG1002" s="165"/>
      <c r="AH1002" s="41"/>
      <c r="AI1002" s="41"/>
      <c r="AJ1002" s="41"/>
      <c r="AK1002" s="165"/>
      <c r="AL1002" s="41"/>
      <c r="AM1002" s="41"/>
      <c r="AN1002" s="41"/>
      <c r="AO1002" s="41"/>
      <c r="AP1002" s="41"/>
      <c r="AR1002" s="41"/>
      <c r="AS1002" s="41"/>
      <c r="AT1002" s="41"/>
      <c r="AU1002" s="41"/>
      <c r="AV1002" s="41"/>
      <c r="AW1002" s="41"/>
      <c r="AX1002" s="41"/>
      <c r="AY1002" s="41"/>
      <c r="AZ1002" s="41"/>
      <c r="BA1002" s="41"/>
      <c r="BB1002" s="41"/>
      <c r="BC1002" s="41"/>
      <c r="BD1002" s="41"/>
      <c r="BE1002" s="41"/>
      <c r="BF1002" s="41"/>
      <c r="BG1002" s="41"/>
      <c r="BH1002" s="41"/>
      <c r="BI1002" s="41"/>
      <c r="BJ1002" s="41"/>
      <c r="BK1002" s="41"/>
      <c r="BL1002" s="41"/>
      <c r="BM1002" s="41"/>
      <c r="BN1002" s="41"/>
      <c r="BO1002" s="41"/>
      <c r="BP1002" s="41"/>
      <c r="BQ1002" s="41"/>
      <c r="BR1002" s="41"/>
      <c r="BS1002" s="41"/>
      <c r="BT1002" s="41"/>
      <c r="BU1002" s="41"/>
      <c r="BV1002" s="41"/>
      <c r="BW1002" s="41"/>
      <c r="BX1002" s="41"/>
      <c r="BY1002" s="41"/>
    </row>
    <row r="1003" spans="1:77" s="214" customFormat="1" x14ac:dyDescent="0.3">
      <c r="A1003" s="41"/>
      <c r="B1003" s="41"/>
      <c r="C1003" s="42"/>
      <c r="D1003" s="41"/>
      <c r="E1003" s="41"/>
      <c r="F1003" s="41"/>
      <c r="G1003" s="41"/>
      <c r="H1003" s="41"/>
      <c r="I1003" s="41"/>
      <c r="J1003" s="188"/>
      <c r="K1003" s="188"/>
      <c r="L1003" s="41"/>
      <c r="M1003" s="41"/>
      <c r="N1003" s="41"/>
      <c r="O1003" s="41"/>
      <c r="P1003" s="41"/>
      <c r="Q1003" s="41"/>
      <c r="R1003" s="41"/>
      <c r="S1003" s="41"/>
      <c r="T1003" s="41"/>
      <c r="U1003" s="41"/>
      <c r="V1003" s="41"/>
      <c r="W1003" s="41"/>
      <c r="X1003" s="41"/>
      <c r="Y1003" s="41"/>
      <c r="Z1003" s="41"/>
      <c r="AA1003" s="41"/>
      <c r="AB1003" s="41"/>
      <c r="AC1003" s="41"/>
      <c r="AD1003" s="41"/>
      <c r="AE1003" s="41"/>
      <c r="AF1003" s="41"/>
      <c r="AG1003" s="165"/>
      <c r="AH1003" s="41"/>
      <c r="AI1003" s="41"/>
      <c r="AJ1003" s="41"/>
      <c r="AK1003" s="165"/>
      <c r="AL1003" s="41"/>
      <c r="AM1003" s="41"/>
      <c r="AN1003" s="41"/>
      <c r="AO1003" s="41"/>
      <c r="AP1003" s="41"/>
      <c r="AR1003" s="41"/>
      <c r="AS1003" s="41"/>
      <c r="AT1003" s="41"/>
      <c r="AU1003" s="41"/>
      <c r="AV1003" s="41"/>
      <c r="AW1003" s="41"/>
      <c r="AX1003" s="41"/>
      <c r="AY1003" s="41"/>
      <c r="AZ1003" s="41"/>
      <c r="BA1003" s="41"/>
      <c r="BB1003" s="41"/>
      <c r="BC1003" s="41"/>
      <c r="BD1003" s="41"/>
      <c r="BE1003" s="41"/>
      <c r="BF1003" s="41"/>
      <c r="BG1003" s="41"/>
      <c r="BH1003" s="41"/>
      <c r="BI1003" s="41"/>
      <c r="BJ1003" s="41"/>
      <c r="BK1003" s="41"/>
      <c r="BL1003" s="41"/>
      <c r="BM1003" s="41"/>
      <c r="BN1003" s="41"/>
      <c r="BO1003" s="41"/>
      <c r="BP1003" s="41"/>
      <c r="BQ1003" s="41"/>
      <c r="BR1003" s="41"/>
      <c r="BS1003" s="41"/>
      <c r="BT1003" s="41"/>
      <c r="BU1003" s="41"/>
      <c r="BV1003" s="41"/>
      <c r="BW1003" s="41"/>
      <c r="BX1003" s="41"/>
      <c r="BY1003" s="41"/>
    </row>
    <row r="1004" spans="1:77" s="214" customFormat="1" x14ac:dyDescent="0.3">
      <c r="A1004" s="41"/>
      <c r="B1004" s="41"/>
      <c r="C1004" s="42"/>
      <c r="D1004" s="41"/>
      <c r="E1004" s="41"/>
      <c r="F1004" s="184"/>
      <c r="G1004" s="41"/>
      <c r="H1004" s="184"/>
      <c r="I1004" s="184"/>
      <c r="J1004" s="238"/>
      <c r="K1004" s="238"/>
      <c r="L1004" s="123"/>
      <c r="M1004" s="123"/>
      <c r="N1004" s="160"/>
      <c r="O1004" s="160"/>
      <c r="P1004" s="123"/>
      <c r="Q1004" s="123"/>
      <c r="R1004" s="123"/>
      <c r="S1004" s="41"/>
      <c r="T1004" s="41"/>
      <c r="U1004" s="41"/>
      <c r="V1004" s="41"/>
      <c r="W1004" s="41"/>
      <c r="X1004" s="41"/>
      <c r="Y1004" s="41"/>
      <c r="Z1004" s="41"/>
      <c r="AA1004" s="41"/>
      <c r="AB1004" s="41"/>
      <c r="AC1004" s="41"/>
      <c r="AD1004" s="41"/>
      <c r="AE1004" s="41"/>
      <c r="AF1004" s="41"/>
      <c r="AG1004" s="165"/>
      <c r="AH1004" s="41"/>
      <c r="AI1004" s="41"/>
      <c r="AJ1004" s="41"/>
      <c r="AK1004" s="165"/>
      <c r="AL1004" s="41"/>
      <c r="AM1004" s="41"/>
      <c r="AN1004" s="41"/>
      <c r="AO1004" s="41"/>
      <c r="AP1004" s="41"/>
      <c r="AR1004" s="41"/>
      <c r="AS1004" s="41"/>
      <c r="AT1004" s="41"/>
      <c r="AU1004" s="41"/>
      <c r="AV1004" s="41"/>
      <c r="AW1004" s="41"/>
      <c r="AX1004" s="41"/>
      <c r="AY1004" s="41"/>
      <c r="AZ1004" s="41"/>
      <c r="BA1004" s="41"/>
      <c r="BB1004" s="41"/>
      <c r="BC1004" s="41"/>
      <c r="BD1004" s="41"/>
      <c r="BE1004" s="41"/>
      <c r="BF1004" s="41"/>
      <c r="BG1004" s="41"/>
      <c r="BH1004" s="41"/>
      <c r="BI1004" s="41"/>
      <c r="BJ1004" s="41"/>
      <c r="BK1004" s="41"/>
      <c r="BL1004" s="41"/>
      <c r="BM1004" s="41"/>
      <c r="BN1004" s="41"/>
      <c r="BO1004" s="41"/>
      <c r="BP1004" s="41"/>
      <c r="BQ1004" s="41"/>
      <c r="BR1004" s="41"/>
      <c r="BS1004" s="41"/>
      <c r="BT1004" s="41"/>
      <c r="BU1004" s="41"/>
      <c r="BV1004" s="41"/>
      <c r="BW1004" s="41"/>
      <c r="BX1004" s="41"/>
      <c r="BY1004" s="41"/>
    </row>
    <row r="1005" spans="1:77" s="214" customFormat="1" x14ac:dyDescent="0.3">
      <c r="A1005" s="41"/>
      <c r="B1005" s="41"/>
      <c r="C1005" s="41"/>
      <c r="D1005" s="41"/>
      <c r="E1005" s="41"/>
      <c r="F1005" s="210"/>
      <c r="G1005" s="41"/>
      <c r="H1005" s="210"/>
      <c r="I1005" s="210"/>
      <c r="J1005" s="238"/>
      <c r="K1005" s="238"/>
      <c r="L1005" s="210"/>
      <c r="M1005" s="210"/>
      <c r="N1005" s="210"/>
      <c r="O1005" s="210"/>
      <c r="P1005" s="210"/>
      <c r="Q1005" s="210"/>
      <c r="R1005" s="210"/>
      <c r="S1005" s="41"/>
      <c r="T1005" s="41"/>
      <c r="U1005" s="41"/>
      <c r="V1005" s="41"/>
      <c r="W1005" s="41"/>
      <c r="X1005" s="41"/>
      <c r="Y1005" s="41"/>
      <c r="Z1005" s="41"/>
      <c r="AA1005" s="42"/>
      <c r="AB1005" s="41"/>
      <c r="AC1005" s="41"/>
      <c r="AD1005" s="41"/>
      <c r="AE1005" s="41"/>
      <c r="AF1005" s="41"/>
      <c r="AG1005" s="165"/>
      <c r="AH1005" s="41"/>
      <c r="AI1005" s="41"/>
      <c r="AJ1005" s="41"/>
      <c r="AK1005" s="165"/>
      <c r="AL1005" s="41"/>
      <c r="AM1005" s="41"/>
      <c r="AN1005" s="41"/>
      <c r="AO1005" s="41"/>
      <c r="AP1005" s="41"/>
      <c r="AR1005" s="41"/>
      <c r="AS1005" s="41"/>
      <c r="AT1005" s="41"/>
      <c r="AU1005" s="41"/>
      <c r="AV1005" s="41"/>
      <c r="AW1005" s="41"/>
      <c r="AX1005" s="41"/>
      <c r="AY1005" s="41"/>
      <c r="AZ1005" s="41"/>
      <c r="BA1005" s="41"/>
      <c r="BB1005" s="41"/>
      <c r="BC1005" s="41"/>
      <c r="BD1005" s="41"/>
      <c r="BE1005" s="41"/>
      <c r="BF1005" s="41"/>
      <c r="BG1005" s="41"/>
      <c r="BH1005" s="41"/>
      <c r="BI1005" s="41"/>
      <c r="BJ1005" s="41"/>
      <c r="BK1005" s="41"/>
      <c r="BL1005" s="41"/>
      <c r="BM1005" s="41"/>
      <c r="BN1005" s="41"/>
      <c r="BO1005" s="41"/>
      <c r="BP1005" s="41"/>
      <c r="BQ1005" s="41"/>
      <c r="BR1005" s="41"/>
      <c r="BS1005" s="41"/>
      <c r="BT1005" s="41"/>
      <c r="BU1005" s="41"/>
      <c r="BV1005" s="41"/>
      <c r="BW1005" s="41"/>
      <c r="BX1005" s="41"/>
      <c r="BY1005" s="41"/>
    </row>
    <row r="1006" spans="1:77" s="214" customFormat="1" x14ac:dyDescent="0.3">
      <c r="A1006" s="41"/>
      <c r="B1006" s="41"/>
      <c r="C1006" s="42"/>
      <c r="D1006" s="41"/>
      <c r="E1006" s="41"/>
      <c r="F1006" s="123"/>
      <c r="G1006" s="41"/>
      <c r="H1006" s="123"/>
      <c r="I1006" s="123"/>
      <c r="J1006" s="188"/>
      <c r="K1006" s="188"/>
      <c r="L1006" s="123"/>
      <c r="M1006" s="123"/>
      <c r="N1006" s="236"/>
      <c r="O1006" s="236"/>
      <c r="P1006" s="123"/>
      <c r="Q1006" s="123"/>
      <c r="R1006" s="123"/>
      <c r="S1006" s="41"/>
      <c r="T1006" s="41"/>
      <c r="U1006" s="41"/>
      <c r="V1006" s="41"/>
      <c r="W1006" s="41"/>
      <c r="X1006" s="41"/>
      <c r="Y1006" s="41"/>
      <c r="Z1006" s="41"/>
      <c r="AA1006" s="41"/>
      <c r="AB1006" s="41"/>
      <c r="AC1006" s="41"/>
      <c r="AD1006" s="41"/>
      <c r="AE1006" s="41"/>
      <c r="AF1006" s="41"/>
      <c r="AG1006" s="165"/>
      <c r="AH1006" s="41"/>
      <c r="AI1006" s="41"/>
      <c r="AJ1006" s="41"/>
      <c r="AK1006" s="165"/>
      <c r="AL1006" s="41"/>
      <c r="AM1006" s="41"/>
      <c r="AN1006" s="41"/>
      <c r="AO1006" s="41"/>
      <c r="AP1006" s="41"/>
      <c r="AR1006" s="41"/>
      <c r="AS1006" s="41"/>
      <c r="AT1006" s="41"/>
      <c r="AU1006" s="41"/>
      <c r="AV1006" s="41"/>
      <c r="AW1006" s="41"/>
      <c r="AX1006" s="41"/>
      <c r="AY1006" s="41"/>
      <c r="AZ1006" s="41"/>
      <c r="BA1006" s="41"/>
      <c r="BB1006" s="41"/>
      <c r="BC1006" s="41"/>
      <c r="BD1006" s="41"/>
      <c r="BE1006" s="41"/>
      <c r="BF1006" s="41"/>
      <c r="BG1006" s="41"/>
      <c r="BH1006" s="41"/>
      <c r="BI1006" s="41"/>
      <c r="BJ1006" s="41"/>
      <c r="BK1006" s="41"/>
      <c r="BL1006" s="41"/>
      <c r="BM1006" s="41"/>
      <c r="BN1006" s="41"/>
      <c r="BO1006" s="41"/>
      <c r="BP1006" s="41"/>
      <c r="BQ1006" s="41"/>
      <c r="BR1006" s="41"/>
      <c r="BS1006" s="41"/>
      <c r="BT1006" s="41"/>
      <c r="BU1006" s="41"/>
      <c r="BV1006" s="41"/>
      <c r="BW1006" s="41"/>
      <c r="BX1006" s="41"/>
      <c r="BY1006" s="41"/>
    </row>
    <row r="1007" spans="1:77" s="214" customFormat="1" x14ac:dyDescent="0.3">
      <c r="A1007" s="41"/>
      <c r="B1007" s="41"/>
      <c r="C1007" s="41"/>
      <c r="D1007" s="41"/>
      <c r="E1007" s="41"/>
      <c r="F1007" s="210"/>
      <c r="G1007" s="41"/>
      <c r="H1007" s="210"/>
      <c r="I1007" s="210"/>
      <c r="J1007" s="238"/>
      <c r="K1007" s="238"/>
      <c r="L1007" s="210"/>
      <c r="M1007" s="210"/>
      <c r="N1007" s="210"/>
      <c r="O1007" s="210"/>
      <c r="P1007" s="210"/>
      <c r="Q1007" s="210"/>
      <c r="R1007" s="210"/>
      <c r="S1007" s="41"/>
      <c r="T1007" s="41"/>
      <c r="U1007" s="41"/>
      <c r="V1007" s="41"/>
      <c r="W1007" s="41"/>
      <c r="X1007" s="41"/>
      <c r="Y1007" s="41"/>
      <c r="Z1007" s="41"/>
      <c r="AA1007" s="41"/>
      <c r="AB1007" s="41"/>
      <c r="AC1007" s="42"/>
      <c r="AD1007" s="42"/>
      <c r="AE1007" s="41"/>
      <c r="AF1007" s="41"/>
      <c r="AG1007" s="165"/>
      <c r="AH1007" s="41"/>
      <c r="AI1007" s="41"/>
      <c r="AJ1007" s="41"/>
      <c r="AK1007" s="165"/>
      <c r="AL1007" s="41"/>
      <c r="AM1007" s="41"/>
      <c r="AN1007" s="41"/>
      <c r="AO1007" s="41"/>
      <c r="AP1007" s="41"/>
      <c r="AR1007" s="41"/>
      <c r="AS1007" s="41"/>
      <c r="AT1007" s="41"/>
      <c r="AU1007" s="41"/>
      <c r="AV1007" s="41"/>
      <c r="AW1007" s="41"/>
      <c r="AX1007" s="41"/>
      <c r="AY1007" s="41"/>
      <c r="AZ1007" s="41"/>
      <c r="BA1007" s="41"/>
      <c r="BB1007" s="41"/>
      <c r="BC1007" s="41"/>
      <c r="BD1007" s="41"/>
      <c r="BE1007" s="41"/>
      <c r="BF1007" s="41"/>
      <c r="BG1007" s="41"/>
      <c r="BH1007" s="41"/>
      <c r="BI1007" s="41"/>
      <c r="BJ1007" s="41"/>
      <c r="BK1007" s="41"/>
      <c r="BL1007" s="41"/>
      <c r="BM1007" s="41"/>
      <c r="BN1007" s="41"/>
      <c r="BO1007" s="41"/>
      <c r="BP1007" s="41"/>
      <c r="BQ1007" s="41"/>
      <c r="BR1007" s="41"/>
      <c r="BS1007" s="41"/>
      <c r="BT1007" s="41"/>
      <c r="BU1007" s="41"/>
      <c r="BV1007" s="41"/>
      <c r="BW1007" s="41"/>
      <c r="BX1007" s="41"/>
      <c r="BY1007" s="41"/>
    </row>
    <row r="1008" spans="1:77" s="214" customFormat="1" x14ac:dyDescent="0.3">
      <c r="A1008" s="41"/>
      <c r="B1008" s="41"/>
      <c r="C1008" s="41"/>
      <c r="D1008" s="41"/>
      <c r="E1008" s="41"/>
      <c r="F1008" s="41"/>
      <c r="G1008" s="41"/>
      <c r="H1008" s="41"/>
      <c r="I1008" s="41"/>
      <c r="J1008" s="188"/>
      <c r="K1008" s="188"/>
      <c r="L1008" s="41"/>
      <c r="M1008" s="41"/>
      <c r="N1008" s="41"/>
      <c r="O1008" s="41"/>
      <c r="P1008" s="41"/>
      <c r="Q1008" s="41"/>
      <c r="R1008" s="41"/>
      <c r="S1008" s="41"/>
      <c r="T1008" s="41"/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F1008" s="41"/>
      <c r="AG1008" s="165"/>
      <c r="AH1008" s="41"/>
      <c r="AI1008" s="41"/>
      <c r="AJ1008" s="41"/>
      <c r="AK1008" s="165"/>
      <c r="AL1008" s="41"/>
      <c r="AM1008" s="42"/>
      <c r="AN1008" s="42"/>
      <c r="AO1008" s="41"/>
      <c r="AP1008" s="41"/>
      <c r="AR1008" s="41"/>
      <c r="AS1008" s="41"/>
      <c r="AT1008" s="41"/>
      <c r="AU1008" s="41"/>
      <c r="AV1008" s="41"/>
      <c r="AW1008" s="41"/>
      <c r="AX1008" s="41"/>
      <c r="AY1008" s="41"/>
      <c r="AZ1008" s="41"/>
      <c r="BA1008" s="41"/>
      <c r="BB1008" s="41"/>
      <c r="BC1008" s="41"/>
      <c r="BD1008" s="41"/>
      <c r="BE1008" s="41"/>
      <c r="BF1008" s="41"/>
      <c r="BG1008" s="41"/>
      <c r="BH1008" s="41"/>
      <c r="BI1008" s="41"/>
      <c r="BJ1008" s="41"/>
      <c r="BK1008" s="41"/>
      <c r="BL1008" s="41"/>
      <c r="BM1008" s="41"/>
      <c r="BN1008" s="41"/>
      <c r="BO1008" s="41"/>
      <c r="BP1008" s="41"/>
      <c r="BQ1008" s="41"/>
      <c r="BR1008" s="41"/>
      <c r="BS1008" s="41"/>
      <c r="BT1008" s="41"/>
      <c r="BU1008" s="41"/>
      <c r="BV1008" s="41"/>
      <c r="BW1008" s="41"/>
      <c r="BX1008" s="41"/>
      <c r="BY1008" s="41"/>
    </row>
    <row r="1009" spans="1:77" s="214" customFormat="1" x14ac:dyDescent="0.3">
      <c r="A1009" s="41"/>
      <c r="B1009" s="41"/>
      <c r="C1009" s="42"/>
      <c r="D1009" s="41"/>
      <c r="E1009" s="41"/>
      <c r="F1009" s="123"/>
      <c r="G1009" s="41"/>
      <c r="H1009" s="123"/>
      <c r="I1009" s="123"/>
      <c r="J1009" s="188"/>
      <c r="K1009" s="188"/>
      <c r="L1009" s="123"/>
      <c r="M1009" s="123"/>
      <c r="N1009" s="160"/>
      <c r="O1009" s="160"/>
      <c r="P1009" s="184"/>
      <c r="Q1009" s="184"/>
      <c r="R1009" s="123"/>
      <c r="S1009" s="41"/>
      <c r="T1009" s="41"/>
      <c r="U1009" s="41"/>
      <c r="V1009" s="41"/>
      <c r="W1009" s="41"/>
      <c r="X1009" s="41"/>
      <c r="Y1009" s="41"/>
      <c r="Z1009" s="41"/>
      <c r="AA1009" s="41"/>
      <c r="AB1009" s="41"/>
      <c r="AC1009" s="41"/>
      <c r="AD1009" s="41"/>
      <c r="AE1009" s="41"/>
      <c r="AF1009" s="41"/>
      <c r="AG1009" s="165"/>
      <c r="AH1009" s="41"/>
      <c r="AI1009" s="41"/>
      <c r="AJ1009" s="41"/>
      <c r="AK1009" s="165"/>
      <c r="AL1009" s="41"/>
      <c r="AM1009" s="42"/>
      <c r="AN1009" s="42"/>
      <c r="AO1009" s="41"/>
      <c r="AP1009" s="41"/>
      <c r="AR1009" s="41"/>
      <c r="AS1009" s="41"/>
      <c r="AT1009" s="41"/>
      <c r="AU1009" s="41"/>
      <c r="AV1009" s="41"/>
      <c r="AW1009" s="41"/>
      <c r="AX1009" s="41"/>
      <c r="AY1009" s="41"/>
      <c r="AZ1009" s="41"/>
      <c r="BA1009" s="41"/>
      <c r="BB1009" s="41"/>
      <c r="BC1009" s="41"/>
      <c r="BD1009" s="41"/>
      <c r="BE1009" s="41"/>
      <c r="BF1009" s="41"/>
      <c r="BG1009" s="41"/>
      <c r="BH1009" s="41"/>
      <c r="BI1009" s="41"/>
      <c r="BJ1009" s="41"/>
      <c r="BK1009" s="41"/>
      <c r="BL1009" s="41"/>
      <c r="BM1009" s="41"/>
      <c r="BN1009" s="41"/>
      <c r="BO1009" s="41"/>
      <c r="BP1009" s="41"/>
      <c r="BQ1009" s="41"/>
      <c r="BR1009" s="41"/>
      <c r="BS1009" s="41"/>
      <c r="BT1009" s="41"/>
      <c r="BU1009" s="41"/>
      <c r="BV1009" s="41"/>
      <c r="BW1009" s="41"/>
      <c r="BX1009" s="41"/>
      <c r="BY1009" s="41"/>
    </row>
    <row r="1010" spans="1:77" s="214" customFormat="1" x14ac:dyDescent="0.3">
      <c r="A1010" s="41"/>
      <c r="B1010" s="41"/>
      <c r="C1010" s="41"/>
      <c r="D1010" s="41"/>
      <c r="E1010" s="41"/>
      <c r="F1010" s="41"/>
      <c r="G1010" s="41"/>
      <c r="H1010" s="210"/>
      <c r="I1010" s="210"/>
      <c r="J1010" s="238"/>
      <c r="K1010" s="238"/>
      <c r="L1010" s="210"/>
      <c r="M1010" s="210"/>
      <c r="N1010" s="210"/>
      <c r="O1010" s="210"/>
      <c r="P1010" s="210"/>
      <c r="Q1010" s="210"/>
      <c r="R1010" s="210"/>
      <c r="S1010" s="41"/>
      <c r="T1010" s="41"/>
      <c r="U1010" s="41"/>
      <c r="V1010" s="41"/>
      <c r="W1010" s="41"/>
      <c r="X1010" s="41"/>
      <c r="Y1010" s="41"/>
      <c r="Z1010" s="41"/>
      <c r="AA1010" s="41"/>
      <c r="AB1010" s="41"/>
      <c r="AC1010" s="41"/>
      <c r="AD1010" s="41"/>
      <c r="AE1010" s="41"/>
      <c r="AF1010" s="41"/>
      <c r="AG1010" s="165"/>
      <c r="AH1010" s="41"/>
      <c r="AI1010" s="41"/>
      <c r="AJ1010" s="41"/>
      <c r="AK1010" s="165"/>
      <c r="AL1010" s="41"/>
      <c r="AM1010" s="42"/>
      <c r="AN1010" s="42"/>
      <c r="AO1010" s="41"/>
      <c r="AP1010" s="41"/>
      <c r="AR1010" s="41"/>
      <c r="AS1010" s="41"/>
      <c r="AT1010" s="41"/>
      <c r="AU1010" s="41"/>
      <c r="AV1010" s="41"/>
      <c r="AW1010" s="41"/>
      <c r="AX1010" s="41"/>
      <c r="AY1010" s="41"/>
      <c r="AZ1010" s="41"/>
      <c r="BA1010" s="41"/>
      <c r="BB1010" s="41"/>
      <c r="BC1010" s="41"/>
      <c r="BD1010" s="41"/>
      <c r="BE1010" s="41"/>
      <c r="BF1010" s="41"/>
      <c r="BG1010" s="41"/>
      <c r="BH1010" s="41"/>
      <c r="BI1010" s="41"/>
      <c r="BJ1010" s="41"/>
      <c r="BK1010" s="41"/>
      <c r="BL1010" s="41"/>
      <c r="BM1010" s="41"/>
      <c r="BN1010" s="41"/>
      <c r="BO1010" s="41"/>
      <c r="BP1010" s="41"/>
      <c r="BQ1010" s="41"/>
      <c r="BR1010" s="41"/>
      <c r="BS1010" s="41"/>
      <c r="BT1010" s="41"/>
      <c r="BU1010" s="41"/>
      <c r="BV1010" s="41"/>
      <c r="BW1010" s="41"/>
      <c r="BX1010" s="41"/>
      <c r="BY1010" s="41"/>
    </row>
    <row r="1011" spans="1:77" s="214" customFormat="1" x14ac:dyDescent="0.3">
      <c r="A1011" s="41"/>
      <c r="B1011" s="41"/>
      <c r="C1011" s="41"/>
      <c r="D1011" s="41"/>
      <c r="E1011" s="41"/>
      <c r="F1011" s="210"/>
      <c r="G1011" s="41"/>
      <c r="H1011" s="41"/>
      <c r="I1011" s="41"/>
      <c r="J1011" s="41"/>
      <c r="K1011" s="41"/>
      <c r="L1011" s="41"/>
      <c r="M1011" s="41"/>
      <c r="N1011" s="41"/>
      <c r="O1011" s="41"/>
      <c r="P1011" s="41"/>
      <c r="Q1011" s="41"/>
      <c r="R1011" s="41"/>
      <c r="S1011" s="41"/>
      <c r="T1011" s="41"/>
      <c r="U1011" s="41"/>
      <c r="V1011" s="41"/>
      <c r="W1011" s="41"/>
      <c r="X1011" s="41"/>
      <c r="Y1011" s="41"/>
      <c r="Z1011" s="41"/>
      <c r="AA1011" s="41"/>
      <c r="AB1011" s="41"/>
      <c r="AC1011" s="42"/>
      <c r="AD1011" s="42"/>
      <c r="AE1011" s="41"/>
      <c r="AF1011" s="41"/>
      <c r="AG1011" s="165"/>
      <c r="AH1011" s="41"/>
      <c r="AI1011" s="41"/>
      <c r="AJ1011" s="41"/>
      <c r="AK1011" s="165"/>
      <c r="AL1011" s="41"/>
      <c r="AM1011" s="41"/>
      <c r="AN1011" s="41"/>
      <c r="AO1011" s="41"/>
      <c r="AP1011" s="41"/>
      <c r="AR1011" s="41"/>
      <c r="AS1011" s="41"/>
      <c r="AT1011" s="41"/>
      <c r="AU1011" s="41"/>
      <c r="AV1011" s="41"/>
      <c r="AW1011" s="41"/>
      <c r="AX1011" s="41"/>
      <c r="AY1011" s="41"/>
      <c r="AZ1011" s="41"/>
      <c r="BA1011" s="41"/>
      <c r="BB1011" s="41"/>
      <c r="BC1011" s="41"/>
      <c r="BD1011" s="41"/>
      <c r="BE1011" s="41"/>
      <c r="BF1011" s="41"/>
      <c r="BG1011" s="41"/>
      <c r="BH1011" s="41"/>
      <c r="BI1011" s="41"/>
      <c r="BJ1011" s="41"/>
      <c r="BK1011" s="41"/>
      <c r="BL1011" s="41"/>
      <c r="BM1011" s="41"/>
      <c r="BN1011" s="41"/>
      <c r="BO1011" s="41"/>
      <c r="BP1011" s="41"/>
      <c r="BQ1011" s="41"/>
      <c r="BR1011" s="41"/>
      <c r="BS1011" s="41"/>
      <c r="BT1011" s="41"/>
      <c r="BU1011" s="41"/>
      <c r="BV1011" s="41"/>
      <c r="BW1011" s="41"/>
      <c r="BX1011" s="41"/>
      <c r="BY1011" s="41"/>
    </row>
    <row r="1012" spans="1:77" s="214" customFormat="1" x14ac:dyDescent="0.3">
      <c r="A1012" s="41"/>
      <c r="B1012" s="41"/>
      <c r="C1012" s="41"/>
      <c r="D1012" s="41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135"/>
      <c r="U1012" s="135"/>
      <c r="V1012" s="135"/>
      <c r="W1012" s="135"/>
      <c r="X1012" s="135"/>
      <c r="Y1012" s="135"/>
      <c r="Z1012" s="135"/>
      <c r="AA1012" s="135"/>
      <c r="AB1012" s="135"/>
      <c r="AC1012" s="135"/>
      <c r="AD1012" s="135"/>
      <c r="AE1012" s="135"/>
      <c r="AF1012" s="135"/>
      <c r="AG1012" s="207"/>
      <c r="AH1012" s="135"/>
      <c r="AI1012" s="135"/>
      <c r="AJ1012" s="135"/>
      <c r="AK1012" s="207"/>
      <c r="AL1012" s="135"/>
      <c r="AM1012" s="135"/>
      <c r="AN1012" s="135"/>
      <c r="AO1012" s="135"/>
      <c r="AP1012" s="135"/>
      <c r="AR1012" s="41"/>
      <c r="AS1012" s="41"/>
      <c r="AT1012" s="41"/>
      <c r="AU1012" s="41"/>
      <c r="AV1012" s="41"/>
      <c r="AW1012" s="41"/>
      <c r="AX1012" s="41"/>
      <c r="AY1012" s="41"/>
      <c r="AZ1012" s="41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  <c r="BK1012" s="41"/>
      <c r="BL1012" s="41"/>
      <c r="BM1012" s="41"/>
      <c r="BN1012" s="41"/>
      <c r="BO1012" s="41"/>
      <c r="BP1012" s="41"/>
      <c r="BQ1012" s="41"/>
      <c r="BR1012" s="41"/>
      <c r="BS1012" s="41"/>
      <c r="BT1012" s="41"/>
      <c r="BU1012" s="41"/>
      <c r="BV1012" s="41"/>
      <c r="BW1012" s="41"/>
      <c r="BX1012" s="41"/>
      <c r="BY1012" s="41"/>
    </row>
    <row r="1013" spans="1:77" s="214" customFormat="1" x14ac:dyDescent="0.3">
      <c r="A1013" s="42"/>
      <c r="B1013" s="41"/>
      <c r="C1013" s="41"/>
      <c r="D1013" s="41"/>
      <c r="E1013" s="41"/>
      <c r="F1013" s="41"/>
      <c r="G1013" s="41"/>
      <c r="H1013" s="41"/>
      <c r="I1013" s="41"/>
      <c r="J1013" s="41"/>
      <c r="K1013" s="41"/>
      <c r="L1013" s="41"/>
      <c r="M1013" s="41"/>
      <c r="N1013" s="41"/>
      <c r="O1013" s="41"/>
      <c r="P1013" s="41"/>
      <c r="Q1013" s="41"/>
      <c r="R1013" s="41"/>
      <c r="S1013" s="41"/>
      <c r="T1013" s="41"/>
      <c r="U1013" s="41"/>
      <c r="V1013" s="41"/>
      <c r="W1013" s="41"/>
      <c r="X1013" s="41"/>
      <c r="Y1013" s="41"/>
      <c r="Z1013" s="41"/>
      <c r="AA1013" s="41"/>
      <c r="AB1013" s="41"/>
      <c r="AC1013" s="44"/>
      <c r="AD1013" s="44"/>
      <c r="AE1013" s="44"/>
      <c r="AF1013" s="44"/>
      <c r="AG1013" s="168"/>
      <c r="AH1013" s="44"/>
      <c r="AI1013" s="44"/>
      <c r="AJ1013" s="44"/>
      <c r="AK1013" s="165"/>
      <c r="AL1013" s="41"/>
      <c r="AM1013" s="44"/>
      <c r="AN1013" s="44"/>
      <c r="AO1013" s="44"/>
      <c r="AP1013" s="44"/>
      <c r="AR1013" s="41"/>
      <c r="AS1013" s="41"/>
      <c r="AT1013" s="41"/>
      <c r="AU1013" s="41"/>
      <c r="AV1013" s="41"/>
      <c r="AW1013" s="41"/>
      <c r="AX1013" s="41"/>
      <c r="AY1013" s="41"/>
      <c r="AZ1013" s="41"/>
      <c r="BA1013" s="41"/>
      <c r="BB1013" s="41"/>
      <c r="BC1013" s="41"/>
      <c r="BD1013" s="41"/>
      <c r="BE1013" s="41"/>
      <c r="BF1013" s="41"/>
      <c r="BG1013" s="41"/>
      <c r="BH1013" s="41"/>
      <c r="BI1013" s="41"/>
      <c r="BJ1013" s="41"/>
      <c r="BK1013" s="41"/>
      <c r="BL1013" s="41"/>
      <c r="BM1013" s="41"/>
      <c r="BN1013" s="41"/>
      <c r="BO1013" s="41"/>
      <c r="BP1013" s="41"/>
      <c r="BQ1013" s="41"/>
      <c r="BR1013" s="41"/>
      <c r="BS1013" s="41"/>
      <c r="BT1013" s="41"/>
      <c r="BU1013" s="41"/>
      <c r="BV1013" s="41"/>
      <c r="BW1013" s="41"/>
      <c r="BX1013" s="41"/>
      <c r="BY1013" s="41"/>
    </row>
    <row r="1014" spans="1:77" s="214" customFormat="1" x14ac:dyDescent="0.3">
      <c r="A1014" s="41"/>
      <c r="B1014" s="41"/>
      <c r="C1014" s="41"/>
      <c r="D1014" s="41"/>
      <c r="E1014" s="41"/>
      <c r="F1014" s="41"/>
      <c r="G1014" s="41"/>
      <c r="H1014" s="41"/>
      <c r="I1014" s="41"/>
      <c r="J1014" s="41"/>
      <c r="K1014" s="41"/>
      <c r="L1014" s="41"/>
      <c r="M1014" s="41"/>
      <c r="N1014" s="41"/>
      <c r="O1014" s="41"/>
      <c r="P1014" s="41"/>
      <c r="Q1014" s="41"/>
      <c r="R1014" s="41"/>
      <c r="S1014" s="41"/>
      <c r="T1014" s="41"/>
      <c r="U1014" s="41"/>
      <c r="V1014" s="41"/>
      <c r="W1014" s="41"/>
      <c r="X1014" s="41"/>
      <c r="Y1014" s="41"/>
      <c r="Z1014" s="41"/>
      <c r="AA1014" s="41"/>
      <c r="AB1014" s="44"/>
      <c r="AC1014" s="44"/>
      <c r="AD1014" s="44"/>
      <c r="AE1014" s="44"/>
      <c r="AF1014" s="44"/>
      <c r="AG1014" s="168"/>
      <c r="AH1014" s="44"/>
      <c r="AI1014" s="44"/>
      <c r="AJ1014" s="44"/>
      <c r="AK1014" s="165"/>
      <c r="AL1014" s="41"/>
      <c r="AM1014" s="44"/>
      <c r="AN1014" s="44"/>
      <c r="AO1014" s="44"/>
      <c r="AP1014" s="44"/>
      <c r="AR1014" s="41"/>
      <c r="AS1014" s="41"/>
      <c r="AT1014" s="41"/>
      <c r="AU1014" s="41"/>
      <c r="AV1014" s="41"/>
      <c r="AW1014" s="41"/>
      <c r="AX1014" s="41"/>
      <c r="AY1014" s="41"/>
      <c r="AZ1014" s="41"/>
      <c r="BA1014" s="41"/>
      <c r="BB1014" s="41"/>
      <c r="BC1014" s="41"/>
      <c r="BD1014" s="41"/>
      <c r="BE1014" s="41"/>
      <c r="BF1014" s="41"/>
      <c r="BG1014" s="41"/>
      <c r="BH1014" s="41"/>
      <c r="BI1014" s="41"/>
      <c r="BJ1014" s="41"/>
      <c r="BK1014" s="41"/>
      <c r="BL1014" s="41"/>
      <c r="BM1014" s="41"/>
      <c r="BN1014" s="41"/>
      <c r="BO1014" s="41"/>
      <c r="BP1014" s="41"/>
      <c r="BQ1014" s="41"/>
      <c r="BR1014" s="41"/>
      <c r="BS1014" s="41"/>
      <c r="BT1014" s="41"/>
      <c r="BU1014" s="41"/>
      <c r="BV1014" s="41"/>
      <c r="BW1014" s="41"/>
      <c r="BX1014" s="41"/>
      <c r="BY1014" s="41"/>
    </row>
    <row r="1015" spans="1:77" s="214" customFormat="1" x14ac:dyDescent="0.3">
      <c r="A1015" s="41"/>
      <c r="B1015" s="41"/>
      <c r="C1015" s="41"/>
      <c r="D1015" s="41"/>
      <c r="E1015" s="41"/>
      <c r="F1015" s="41"/>
      <c r="G1015" s="41"/>
      <c r="H1015" s="42"/>
      <c r="I1015" s="42"/>
      <c r="J1015" s="41"/>
      <c r="K1015" s="41"/>
      <c r="L1015" s="41"/>
      <c r="M1015" s="41"/>
      <c r="N1015" s="41"/>
      <c r="O1015" s="41"/>
      <c r="P1015" s="41"/>
      <c r="Q1015" s="41"/>
      <c r="R1015" s="41"/>
      <c r="S1015" s="41"/>
      <c r="T1015" s="44"/>
      <c r="U1015" s="44"/>
      <c r="V1015" s="44"/>
      <c r="W1015" s="41"/>
      <c r="X1015" s="41"/>
      <c r="Y1015" s="41"/>
      <c r="Z1015" s="41"/>
      <c r="AA1015" s="41"/>
      <c r="AB1015" s="44"/>
      <c r="AC1015" s="44"/>
      <c r="AD1015" s="44"/>
      <c r="AE1015" s="44"/>
      <c r="AF1015" s="44"/>
      <c r="AG1015" s="168"/>
      <c r="AH1015" s="44"/>
      <c r="AI1015" s="44"/>
      <c r="AJ1015" s="44"/>
      <c r="AK1015" s="168"/>
      <c r="AL1015" s="44"/>
      <c r="AM1015" s="44"/>
      <c r="AN1015" s="44"/>
      <c r="AO1015" s="44"/>
      <c r="AP1015" s="44"/>
      <c r="AR1015" s="41"/>
      <c r="AS1015" s="41"/>
      <c r="AT1015" s="41"/>
      <c r="AU1015" s="41"/>
      <c r="AV1015" s="41"/>
      <c r="AW1015" s="41"/>
      <c r="AX1015" s="41"/>
      <c r="AY1015" s="41"/>
      <c r="AZ1015" s="41"/>
      <c r="BA1015" s="41"/>
      <c r="BB1015" s="41"/>
      <c r="BC1015" s="41"/>
      <c r="BD1015" s="41"/>
      <c r="BE1015" s="41"/>
      <c r="BF1015" s="41"/>
      <c r="BG1015" s="41"/>
      <c r="BH1015" s="41"/>
      <c r="BI1015" s="41"/>
      <c r="BJ1015" s="41"/>
      <c r="BK1015" s="41"/>
      <c r="BL1015" s="41"/>
      <c r="BM1015" s="41"/>
      <c r="BN1015" s="41"/>
      <c r="BO1015" s="41"/>
      <c r="BP1015" s="41"/>
      <c r="BQ1015" s="41"/>
      <c r="BR1015" s="41"/>
      <c r="BS1015" s="41"/>
      <c r="BT1015" s="41"/>
      <c r="BU1015" s="41"/>
      <c r="BV1015" s="41"/>
      <c r="BW1015" s="41"/>
      <c r="BX1015" s="41"/>
      <c r="BY1015" s="41"/>
    </row>
    <row r="1016" spans="1:77" s="214" customFormat="1" x14ac:dyDescent="0.3">
      <c r="A1016" s="41"/>
      <c r="B1016" s="41"/>
      <c r="C1016" s="41"/>
      <c r="D1016" s="41"/>
      <c r="E1016" s="41"/>
      <c r="F1016" s="41"/>
      <c r="G1016" s="41"/>
      <c r="H1016" s="41"/>
      <c r="I1016" s="41"/>
      <c r="J1016" s="41"/>
      <c r="K1016" s="41"/>
      <c r="L1016" s="41"/>
      <c r="M1016" s="41"/>
      <c r="N1016" s="41"/>
      <c r="O1016" s="41"/>
      <c r="P1016" s="41"/>
      <c r="Q1016" s="41"/>
      <c r="R1016" s="41"/>
      <c r="S1016" s="41"/>
      <c r="T1016" s="44"/>
      <c r="U1016" s="44"/>
      <c r="V1016" s="44"/>
      <c r="W1016" s="41"/>
      <c r="X1016" s="41"/>
      <c r="Y1016" s="41"/>
      <c r="Z1016" s="41"/>
      <c r="AA1016" s="44"/>
      <c r="AB1016" s="44"/>
      <c r="AC1016" s="44"/>
      <c r="AD1016" s="44"/>
      <c r="AE1016" s="44"/>
      <c r="AF1016" s="44"/>
      <c r="AG1016" s="168"/>
      <c r="AH1016" s="44"/>
      <c r="AI1016" s="44"/>
      <c r="AJ1016" s="44"/>
      <c r="AK1016" s="168"/>
      <c r="AL1016" s="44"/>
      <c r="AM1016" s="44"/>
      <c r="AN1016" s="44"/>
      <c r="AO1016" s="44"/>
      <c r="AP1016" s="44"/>
      <c r="AR1016" s="41"/>
      <c r="AS1016" s="41"/>
      <c r="AT1016" s="41"/>
      <c r="AU1016" s="41"/>
      <c r="AV1016" s="41"/>
      <c r="AW1016" s="41"/>
      <c r="AX1016" s="41"/>
      <c r="AY1016" s="41"/>
      <c r="AZ1016" s="41"/>
      <c r="BA1016" s="41"/>
      <c r="BB1016" s="41"/>
      <c r="BC1016" s="41"/>
      <c r="BD1016" s="41"/>
      <c r="BE1016" s="41"/>
      <c r="BF1016" s="41"/>
      <c r="BG1016" s="41"/>
      <c r="BH1016" s="41"/>
      <c r="BI1016" s="41"/>
      <c r="BJ1016" s="41"/>
      <c r="BK1016" s="41"/>
      <c r="BL1016" s="41"/>
      <c r="BM1016" s="41"/>
      <c r="BN1016" s="41"/>
      <c r="BO1016" s="41"/>
      <c r="BP1016" s="41"/>
      <c r="BQ1016" s="41"/>
      <c r="BR1016" s="41"/>
      <c r="BS1016" s="41"/>
      <c r="BT1016" s="41"/>
      <c r="BU1016" s="41"/>
      <c r="BV1016" s="41"/>
      <c r="BW1016" s="41"/>
      <c r="BX1016" s="41"/>
      <c r="BY1016" s="41"/>
    </row>
    <row r="1017" spans="1:77" s="214" customFormat="1" x14ac:dyDescent="0.3">
      <c r="A1017" s="41"/>
      <c r="B1017" s="41"/>
      <c r="C1017" s="41"/>
      <c r="D1017" s="41"/>
      <c r="E1017" s="41"/>
      <c r="F1017" s="41"/>
      <c r="G1017" s="41"/>
      <c r="H1017" s="41"/>
      <c r="I1017" s="41"/>
      <c r="J1017" s="41"/>
      <c r="K1017" s="41"/>
      <c r="L1017" s="42"/>
      <c r="M1017" s="42"/>
      <c r="N1017" s="41"/>
      <c r="O1017" s="41"/>
      <c r="P1017" s="41"/>
      <c r="Q1017" s="41"/>
      <c r="R1017" s="41"/>
      <c r="S1017" s="41"/>
      <c r="T1017" s="44"/>
      <c r="U1017" s="44"/>
      <c r="V1017" s="44"/>
      <c r="W1017" s="41"/>
      <c r="X1017" s="41"/>
      <c r="Y1017" s="41"/>
      <c r="Z1017" s="41"/>
      <c r="AA1017" s="44"/>
      <c r="AB1017" s="44"/>
      <c r="AC1017" s="44"/>
      <c r="AD1017" s="44"/>
      <c r="AE1017" s="44"/>
      <c r="AF1017" s="44"/>
      <c r="AG1017" s="168"/>
      <c r="AH1017" s="44"/>
      <c r="AI1017" s="44"/>
      <c r="AJ1017" s="44"/>
      <c r="AK1017" s="168"/>
      <c r="AL1017" s="44"/>
      <c r="AM1017" s="44"/>
      <c r="AN1017" s="44"/>
      <c r="AO1017" s="44"/>
      <c r="AP1017" s="44"/>
      <c r="AR1017" s="41"/>
      <c r="AS1017" s="41"/>
      <c r="AT1017" s="41"/>
      <c r="AU1017" s="41"/>
      <c r="AV1017" s="41"/>
      <c r="AW1017" s="41"/>
      <c r="AX1017" s="41"/>
      <c r="AY1017" s="41"/>
      <c r="AZ1017" s="41"/>
      <c r="BA1017" s="41"/>
      <c r="BB1017" s="41"/>
      <c r="BC1017" s="41"/>
      <c r="BD1017" s="41"/>
      <c r="BE1017" s="41"/>
      <c r="BF1017" s="41"/>
      <c r="BG1017" s="41"/>
      <c r="BH1017" s="41"/>
      <c r="BI1017" s="41"/>
      <c r="BJ1017" s="41"/>
      <c r="BK1017" s="41"/>
      <c r="BL1017" s="41"/>
      <c r="BM1017" s="41"/>
      <c r="BN1017" s="41"/>
      <c r="BO1017" s="41"/>
      <c r="BP1017" s="41"/>
      <c r="BQ1017" s="41"/>
      <c r="BR1017" s="41"/>
      <c r="BS1017" s="41"/>
      <c r="BT1017" s="41"/>
      <c r="BU1017" s="41"/>
      <c r="BV1017" s="41"/>
      <c r="BW1017" s="41"/>
      <c r="BX1017" s="41"/>
      <c r="BY1017" s="41"/>
    </row>
    <row r="1018" spans="1:77" s="214" customFormat="1" x14ac:dyDescent="0.3">
      <c r="A1018" s="41"/>
      <c r="B1018" s="41"/>
      <c r="C1018" s="41"/>
      <c r="D1018" s="41"/>
      <c r="E1018" s="41"/>
      <c r="F1018" s="41"/>
      <c r="G1018" s="41"/>
      <c r="H1018" s="41"/>
      <c r="I1018" s="41"/>
      <c r="J1018" s="41"/>
      <c r="K1018" s="41"/>
      <c r="L1018" s="41"/>
      <c r="M1018" s="41"/>
      <c r="N1018" s="41"/>
      <c r="O1018" s="41"/>
      <c r="P1018" s="41"/>
      <c r="Q1018" s="41"/>
      <c r="R1018" s="42"/>
      <c r="S1018" s="41"/>
      <c r="T1018" s="135"/>
      <c r="U1018" s="135"/>
      <c r="V1018" s="135"/>
      <c r="W1018" s="135"/>
      <c r="X1018" s="135"/>
      <c r="Y1018" s="135"/>
      <c r="Z1018" s="135"/>
      <c r="AA1018" s="135"/>
      <c r="AB1018" s="135"/>
      <c r="AC1018" s="135"/>
      <c r="AD1018" s="135"/>
      <c r="AE1018" s="135"/>
      <c r="AF1018" s="135"/>
      <c r="AG1018" s="207"/>
      <c r="AH1018" s="135"/>
      <c r="AI1018" s="135"/>
      <c r="AJ1018" s="135"/>
      <c r="AK1018" s="207"/>
      <c r="AL1018" s="135"/>
      <c r="AM1018" s="135"/>
      <c r="AN1018" s="135"/>
      <c r="AO1018" s="135"/>
      <c r="AP1018" s="135"/>
      <c r="AR1018" s="41"/>
      <c r="AS1018" s="41"/>
      <c r="AT1018" s="41"/>
      <c r="AU1018" s="41"/>
      <c r="AV1018" s="41"/>
      <c r="AW1018" s="41"/>
      <c r="AX1018" s="41"/>
      <c r="AY1018" s="41"/>
      <c r="AZ1018" s="41"/>
      <c r="BA1018" s="41"/>
      <c r="BB1018" s="41"/>
      <c r="BC1018" s="41"/>
      <c r="BD1018" s="41"/>
      <c r="BE1018" s="41"/>
      <c r="BF1018" s="41"/>
      <c r="BG1018" s="41"/>
      <c r="BH1018" s="41"/>
      <c r="BI1018" s="41"/>
      <c r="BJ1018" s="41"/>
      <c r="BK1018" s="41"/>
      <c r="BL1018" s="41"/>
      <c r="BM1018" s="41"/>
      <c r="BN1018" s="41"/>
      <c r="BO1018" s="41"/>
      <c r="BP1018" s="41"/>
      <c r="BQ1018" s="41"/>
      <c r="BR1018" s="41"/>
      <c r="BS1018" s="41"/>
      <c r="BT1018" s="41"/>
      <c r="BU1018" s="41"/>
      <c r="BV1018" s="41"/>
      <c r="BW1018" s="41"/>
      <c r="BX1018" s="41"/>
      <c r="BY1018" s="41"/>
    </row>
    <row r="1019" spans="1:77" s="214" customFormat="1" x14ac:dyDescent="0.3">
      <c r="A1019" s="41"/>
      <c r="B1019" s="41"/>
      <c r="C1019" s="41"/>
      <c r="D1019" s="41"/>
      <c r="E1019" s="41"/>
      <c r="F1019" s="41"/>
      <c r="G1019" s="41"/>
      <c r="H1019" s="41"/>
      <c r="I1019" s="41"/>
      <c r="J1019" s="41"/>
      <c r="K1019" s="41"/>
      <c r="L1019" s="41"/>
      <c r="M1019" s="41"/>
      <c r="N1019" s="41"/>
      <c r="O1019" s="41"/>
      <c r="P1019" s="41"/>
      <c r="Q1019" s="41"/>
      <c r="R1019" s="42"/>
      <c r="S1019" s="41"/>
      <c r="T1019" s="41"/>
      <c r="U1019" s="41"/>
      <c r="V1019" s="41"/>
      <c r="W1019" s="41"/>
      <c r="X1019" s="41"/>
      <c r="Y1019" s="41"/>
      <c r="Z1019" s="41"/>
      <c r="AA1019" s="44"/>
      <c r="AB1019" s="44"/>
      <c r="AC1019" s="44"/>
      <c r="AD1019" s="44"/>
      <c r="AE1019" s="44"/>
      <c r="AF1019" s="44"/>
      <c r="AG1019" s="168"/>
      <c r="AH1019" s="44"/>
      <c r="AI1019" s="44"/>
      <c r="AJ1019" s="44"/>
      <c r="AK1019" s="168"/>
      <c r="AL1019" s="44"/>
      <c r="AM1019" s="44"/>
      <c r="AN1019" s="44"/>
      <c r="AO1019" s="44"/>
      <c r="AP1019" s="44"/>
      <c r="AR1019" s="41"/>
      <c r="AS1019" s="41"/>
      <c r="AT1019" s="41"/>
      <c r="AU1019" s="41"/>
      <c r="AV1019" s="41"/>
      <c r="AW1019" s="41"/>
      <c r="AX1019" s="41"/>
      <c r="AY1019" s="41"/>
      <c r="AZ1019" s="41"/>
      <c r="BA1019" s="41"/>
      <c r="BB1019" s="41"/>
      <c r="BC1019" s="41"/>
      <c r="BD1019" s="41"/>
      <c r="BE1019" s="41"/>
      <c r="BF1019" s="41"/>
      <c r="BG1019" s="41"/>
      <c r="BH1019" s="41"/>
      <c r="BI1019" s="41"/>
      <c r="BJ1019" s="41"/>
      <c r="BK1019" s="41"/>
      <c r="BL1019" s="41"/>
      <c r="BM1019" s="41"/>
      <c r="BN1019" s="41"/>
      <c r="BO1019" s="41"/>
      <c r="BP1019" s="41"/>
      <c r="BQ1019" s="41"/>
      <c r="BR1019" s="41"/>
      <c r="BS1019" s="41"/>
      <c r="BT1019" s="41"/>
      <c r="BU1019" s="41"/>
      <c r="BV1019" s="41"/>
      <c r="BW1019" s="41"/>
      <c r="BX1019" s="41"/>
      <c r="BY1019" s="41"/>
    </row>
    <row r="1020" spans="1:77" s="214" customFormat="1" x14ac:dyDescent="0.3">
      <c r="A1020" s="42"/>
      <c r="B1020" s="41"/>
      <c r="C1020" s="41"/>
      <c r="D1020" s="41"/>
      <c r="E1020" s="41"/>
      <c r="F1020" s="41"/>
      <c r="G1020" s="41"/>
      <c r="H1020" s="41"/>
      <c r="I1020" s="41"/>
      <c r="J1020" s="41"/>
      <c r="K1020" s="41"/>
      <c r="L1020" s="41"/>
      <c r="M1020" s="41"/>
      <c r="N1020" s="41"/>
      <c r="O1020" s="41"/>
      <c r="P1020" s="41"/>
      <c r="Q1020" s="41"/>
      <c r="R1020" s="42"/>
      <c r="S1020" s="41"/>
      <c r="T1020" s="42"/>
      <c r="U1020" s="42"/>
      <c r="V1020" s="41"/>
      <c r="W1020" s="41"/>
      <c r="X1020" s="41"/>
      <c r="Y1020" s="41"/>
      <c r="Z1020" s="41"/>
      <c r="AA1020" s="41"/>
      <c r="AB1020" s="41"/>
      <c r="AC1020" s="41"/>
      <c r="AD1020" s="41"/>
      <c r="AE1020" s="41"/>
      <c r="AF1020" s="41"/>
      <c r="AG1020" s="165"/>
      <c r="AH1020" s="41"/>
      <c r="AI1020" s="41"/>
      <c r="AJ1020" s="41"/>
      <c r="AK1020" s="165"/>
      <c r="AL1020" s="41"/>
      <c r="AM1020" s="41"/>
      <c r="AN1020" s="41"/>
      <c r="AO1020" s="41"/>
      <c r="AP1020" s="41"/>
      <c r="AR1020" s="41"/>
      <c r="AS1020" s="41"/>
      <c r="AT1020" s="41"/>
      <c r="AU1020" s="41"/>
      <c r="AV1020" s="41"/>
      <c r="AW1020" s="41"/>
      <c r="AX1020" s="41"/>
      <c r="AY1020" s="41"/>
      <c r="AZ1020" s="41"/>
      <c r="BA1020" s="41"/>
      <c r="BB1020" s="41"/>
      <c r="BC1020" s="41"/>
      <c r="BD1020" s="41"/>
      <c r="BE1020" s="41"/>
      <c r="BF1020" s="41"/>
      <c r="BG1020" s="41"/>
      <c r="BH1020" s="41"/>
      <c r="BI1020" s="41"/>
      <c r="BJ1020" s="41"/>
      <c r="BK1020" s="41"/>
      <c r="BL1020" s="41"/>
      <c r="BM1020" s="41"/>
      <c r="BN1020" s="41"/>
      <c r="BO1020" s="41"/>
      <c r="BP1020" s="41"/>
      <c r="BQ1020" s="41"/>
      <c r="BR1020" s="41"/>
      <c r="BS1020" s="41"/>
      <c r="BT1020" s="41"/>
      <c r="BU1020" s="41"/>
      <c r="BV1020" s="41"/>
      <c r="BW1020" s="41"/>
      <c r="BX1020" s="41"/>
      <c r="BY1020" s="41"/>
    </row>
    <row r="1021" spans="1:77" s="214" customFormat="1" x14ac:dyDescent="0.3">
      <c r="A1021" s="41"/>
      <c r="B1021" s="41"/>
      <c r="C1021" s="41"/>
      <c r="D1021" s="41"/>
      <c r="E1021" s="41"/>
      <c r="F1021" s="41"/>
      <c r="G1021" s="41"/>
      <c r="H1021" s="41"/>
      <c r="I1021" s="41"/>
      <c r="J1021" s="41"/>
      <c r="K1021" s="41"/>
      <c r="L1021" s="42"/>
      <c r="M1021" s="42"/>
      <c r="N1021" s="41"/>
      <c r="O1021" s="41"/>
      <c r="P1021" s="41"/>
      <c r="Q1021" s="41"/>
      <c r="R1021" s="41"/>
      <c r="S1021" s="41"/>
      <c r="T1021" s="41"/>
      <c r="U1021" s="41"/>
      <c r="V1021" s="41"/>
      <c r="W1021" s="41"/>
      <c r="X1021" s="41"/>
      <c r="Y1021" s="41"/>
      <c r="Z1021" s="41"/>
      <c r="AA1021" s="41"/>
      <c r="AB1021" s="41"/>
      <c r="AC1021" s="41"/>
      <c r="AD1021" s="41"/>
      <c r="AE1021" s="41"/>
      <c r="AF1021" s="41"/>
      <c r="AG1021" s="165"/>
      <c r="AH1021" s="41"/>
      <c r="AI1021" s="41"/>
      <c r="AJ1021" s="41"/>
      <c r="AK1021" s="165"/>
      <c r="AL1021" s="41"/>
      <c r="AM1021" s="41"/>
      <c r="AN1021" s="41"/>
      <c r="AO1021" s="41"/>
      <c r="AP1021" s="41"/>
      <c r="AR1021" s="41"/>
      <c r="AS1021" s="41"/>
      <c r="AT1021" s="41"/>
      <c r="AU1021" s="41"/>
      <c r="AV1021" s="41"/>
      <c r="AW1021" s="41"/>
      <c r="AX1021" s="41"/>
      <c r="AY1021" s="41"/>
      <c r="AZ1021" s="41"/>
      <c r="BA1021" s="41"/>
      <c r="BB1021" s="41"/>
      <c r="BC1021" s="41"/>
      <c r="BD1021" s="41"/>
      <c r="BE1021" s="41"/>
      <c r="BF1021" s="41"/>
      <c r="BG1021" s="41"/>
      <c r="BH1021" s="41"/>
      <c r="BI1021" s="41"/>
      <c r="BJ1021" s="41"/>
      <c r="BK1021" s="41"/>
      <c r="BL1021" s="41"/>
      <c r="BM1021" s="41"/>
      <c r="BN1021" s="41"/>
      <c r="BO1021" s="41"/>
      <c r="BP1021" s="41"/>
      <c r="BQ1021" s="41"/>
      <c r="BR1021" s="41"/>
      <c r="BS1021" s="41"/>
      <c r="BT1021" s="41"/>
      <c r="BU1021" s="41"/>
      <c r="BV1021" s="41"/>
      <c r="BW1021" s="41"/>
      <c r="BX1021" s="41"/>
      <c r="BY1021" s="41"/>
    </row>
    <row r="1022" spans="1:77" s="214" customFormat="1" x14ac:dyDescent="0.3">
      <c r="A1022" s="135"/>
      <c r="B1022" s="135"/>
      <c r="C1022" s="135"/>
      <c r="D1022" s="135"/>
      <c r="E1022" s="135"/>
      <c r="F1022" s="135"/>
      <c r="G1022" s="135"/>
      <c r="H1022" s="135"/>
      <c r="I1022" s="135"/>
      <c r="J1022" s="135"/>
      <c r="K1022" s="135"/>
      <c r="L1022" s="135"/>
      <c r="M1022" s="135"/>
      <c r="N1022" s="135"/>
      <c r="O1022" s="135"/>
      <c r="P1022" s="135"/>
      <c r="Q1022" s="135"/>
      <c r="R1022" s="135"/>
      <c r="S1022" s="41"/>
      <c r="T1022" s="42"/>
      <c r="U1022" s="42"/>
      <c r="V1022" s="41"/>
      <c r="W1022" s="41"/>
      <c r="X1022" s="41"/>
      <c r="Y1022" s="41"/>
      <c r="Z1022" s="41"/>
      <c r="AA1022" s="41"/>
      <c r="AB1022" s="41"/>
      <c r="AC1022" s="41"/>
      <c r="AD1022" s="41"/>
      <c r="AE1022" s="41"/>
      <c r="AF1022" s="41"/>
      <c r="AG1022" s="165"/>
      <c r="AH1022" s="41"/>
      <c r="AI1022" s="41"/>
      <c r="AJ1022" s="41"/>
      <c r="AK1022" s="165"/>
      <c r="AL1022" s="41"/>
      <c r="AM1022" s="41"/>
      <c r="AN1022" s="41"/>
      <c r="AO1022" s="41"/>
      <c r="AP1022" s="41"/>
      <c r="AR1022" s="41"/>
      <c r="AS1022" s="41"/>
      <c r="AT1022" s="41"/>
      <c r="AU1022" s="41"/>
      <c r="AV1022" s="41"/>
      <c r="AW1022" s="41"/>
      <c r="AX1022" s="41"/>
      <c r="AY1022" s="41"/>
      <c r="AZ1022" s="41"/>
      <c r="BA1022" s="41"/>
      <c r="BB1022" s="41"/>
      <c r="BC1022" s="41"/>
      <c r="BD1022" s="41"/>
      <c r="BE1022" s="41"/>
      <c r="BF1022" s="41"/>
      <c r="BG1022" s="41"/>
      <c r="BH1022" s="41"/>
      <c r="BI1022" s="41"/>
      <c r="BJ1022" s="41"/>
      <c r="BK1022" s="41"/>
      <c r="BL1022" s="41"/>
      <c r="BM1022" s="41"/>
      <c r="BN1022" s="41"/>
      <c r="BO1022" s="41"/>
      <c r="BP1022" s="41"/>
      <c r="BQ1022" s="41"/>
      <c r="BR1022" s="41"/>
      <c r="BS1022" s="41"/>
      <c r="BT1022" s="41"/>
      <c r="BU1022" s="41"/>
      <c r="BV1022" s="41"/>
      <c r="BW1022" s="41"/>
      <c r="BX1022" s="41"/>
      <c r="BY1022" s="41"/>
    </row>
    <row r="1023" spans="1:77" s="214" customFormat="1" x14ac:dyDescent="0.3">
      <c r="A1023" s="41"/>
      <c r="B1023" s="41"/>
      <c r="C1023" s="41"/>
      <c r="D1023" s="41"/>
      <c r="E1023" s="41"/>
      <c r="F1023" s="41"/>
      <c r="G1023" s="41"/>
      <c r="H1023" s="41"/>
      <c r="I1023" s="41"/>
      <c r="J1023" s="41"/>
      <c r="K1023" s="41"/>
      <c r="L1023" s="44"/>
      <c r="M1023" s="44"/>
      <c r="N1023" s="44"/>
      <c r="O1023" s="44"/>
      <c r="P1023" s="41"/>
      <c r="Q1023" s="41"/>
      <c r="R1023" s="44"/>
      <c r="S1023" s="41"/>
      <c r="T1023" s="42"/>
      <c r="U1023" s="41"/>
      <c r="V1023" s="41"/>
      <c r="W1023" s="41"/>
      <c r="X1023" s="41"/>
      <c r="Y1023" s="41"/>
      <c r="Z1023" s="41"/>
      <c r="AA1023" s="41"/>
      <c r="AB1023" s="41"/>
      <c r="AC1023" s="41"/>
      <c r="AD1023" s="41"/>
      <c r="AE1023" s="41"/>
      <c r="AF1023" s="41"/>
      <c r="AG1023" s="165"/>
      <c r="AH1023" s="41"/>
      <c r="AI1023" s="41"/>
      <c r="AJ1023" s="41"/>
      <c r="AK1023" s="165"/>
      <c r="AL1023" s="41"/>
      <c r="AM1023" s="41"/>
      <c r="AN1023" s="41"/>
      <c r="AO1023" s="41"/>
      <c r="AP1023" s="41"/>
      <c r="AR1023" s="41"/>
      <c r="AS1023" s="41"/>
      <c r="AT1023" s="41"/>
      <c r="AU1023" s="41"/>
      <c r="AV1023" s="41"/>
      <c r="AW1023" s="41"/>
      <c r="AX1023" s="41"/>
      <c r="AY1023" s="41"/>
      <c r="AZ1023" s="41"/>
      <c r="BA1023" s="41"/>
      <c r="BB1023" s="41"/>
      <c r="BC1023" s="41"/>
      <c r="BD1023" s="41"/>
      <c r="BE1023" s="41"/>
      <c r="BF1023" s="41"/>
      <c r="BG1023" s="41"/>
      <c r="BH1023" s="41"/>
      <c r="BI1023" s="41"/>
      <c r="BJ1023" s="41"/>
      <c r="BK1023" s="41"/>
      <c r="BL1023" s="41"/>
      <c r="BM1023" s="41"/>
      <c r="BN1023" s="41"/>
      <c r="BO1023" s="41"/>
      <c r="BP1023" s="41"/>
      <c r="BQ1023" s="41"/>
      <c r="BR1023" s="41"/>
      <c r="BS1023" s="41"/>
      <c r="BT1023" s="41"/>
      <c r="BU1023" s="41"/>
      <c r="BV1023" s="41"/>
      <c r="BW1023" s="41"/>
      <c r="BX1023" s="41"/>
      <c r="BY1023" s="41"/>
    </row>
    <row r="1024" spans="1:77" s="214" customFormat="1" x14ac:dyDescent="0.3">
      <c r="A1024" s="41"/>
      <c r="B1024" s="41"/>
      <c r="C1024" s="41"/>
      <c r="D1024" s="41"/>
      <c r="E1024" s="41"/>
      <c r="F1024" s="41"/>
      <c r="G1024" s="41"/>
      <c r="H1024" s="41"/>
      <c r="I1024" s="41"/>
      <c r="J1024" s="41"/>
      <c r="K1024" s="41"/>
      <c r="L1024" s="44"/>
      <c r="M1024" s="44"/>
      <c r="N1024" s="44"/>
      <c r="O1024" s="44"/>
      <c r="P1024" s="41"/>
      <c r="Q1024" s="41"/>
      <c r="R1024" s="44"/>
      <c r="S1024" s="41"/>
      <c r="T1024" s="42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F1024" s="41"/>
      <c r="AG1024" s="165"/>
      <c r="AH1024" s="41"/>
      <c r="AI1024" s="41"/>
      <c r="AJ1024" s="41"/>
      <c r="AK1024" s="165"/>
      <c r="AL1024" s="41"/>
      <c r="AM1024" s="41"/>
      <c r="AN1024" s="41"/>
      <c r="AO1024" s="41"/>
      <c r="AP1024" s="41"/>
      <c r="AR1024" s="41"/>
      <c r="AS1024" s="41"/>
      <c r="AT1024" s="41"/>
      <c r="AU1024" s="41"/>
      <c r="AV1024" s="41"/>
      <c r="AW1024" s="41"/>
      <c r="AX1024" s="41"/>
      <c r="AY1024" s="41"/>
      <c r="AZ1024" s="41"/>
      <c r="BA1024" s="41"/>
      <c r="BB1024" s="41"/>
      <c r="BC1024" s="41"/>
      <c r="BD1024" s="41"/>
      <c r="BE1024" s="41"/>
      <c r="BF1024" s="41"/>
      <c r="BG1024" s="41"/>
      <c r="BH1024" s="41"/>
      <c r="BI1024" s="41"/>
      <c r="BJ1024" s="41"/>
      <c r="BK1024" s="41"/>
      <c r="BL1024" s="41"/>
      <c r="BM1024" s="41"/>
      <c r="BN1024" s="41"/>
      <c r="BO1024" s="41"/>
      <c r="BP1024" s="41"/>
      <c r="BQ1024" s="41"/>
      <c r="BR1024" s="41"/>
      <c r="BS1024" s="41"/>
      <c r="BT1024" s="41"/>
      <c r="BU1024" s="41"/>
      <c r="BV1024" s="41"/>
      <c r="BW1024" s="41"/>
      <c r="BX1024" s="41"/>
      <c r="BY1024" s="41"/>
    </row>
    <row r="1025" spans="1:77" s="214" customFormat="1" x14ac:dyDescent="0.3">
      <c r="A1025" s="44"/>
      <c r="B1025" s="41"/>
      <c r="C1025" s="44"/>
      <c r="D1025" s="44"/>
      <c r="E1025" s="44"/>
      <c r="F1025" s="44"/>
      <c r="G1025" s="41"/>
      <c r="H1025" s="41"/>
      <c r="I1025" s="41"/>
      <c r="J1025" s="44"/>
      <c r="K1025" s="44"/>
      <c r="L1025" s="44"/>
      <c r="M1025" s="44"/>
      <c r="N1025" s="44"/>
      <c r="O1025" s="44"/>
      <c r="P1025" s="44"/>
      <c r="Q1025" s="44"/>
      <c r="R1025" s="44"/>
      <c r="S1025" s="41"/>
      <c r="T1025" s="42"/>
      <c r="U1025" s="41"/>
      <c r="V1025" s="123"/>
      <c r="W1025" s="123"/>
      <c r="X1025" s="123"/>
      <c r="Y1025" s="123"/>
      <c r="Z1025" s="123"/>
      <c r="AA1025" s="123"/>
      <c r="AB1025" s="238"/>
      <c r="AC1025" s="123"/>
      <c r="AD1025" s="123"/>
      <c r="AE1025" s="160"/>
      <c r="AF1025" s="160"/>
      <c r="AG1025" s="165"/>
      <c r="AH1025" s="123"/>
      <c r="AI1025" s="236"/>
      <c r="AJ1025" s="236"/>
      <c r="AK1025" s="165"/>
      <c r="AL1025" s="123"/>
      <c r="AM1025" s="123"/>
      <c r="AN1025" s="123"/>
      <c r="AO1025" s="160"/>
      <c r="AP1025" s="160"/>
      <c r="AR1025" s="41"/>
      <c r="AS1025" s="41"/>
      <c r="AT1025" s="41"/>
      <c r="AU1025" s="41"/>
      <c r="AV1025" s="41"/>
      <c r="AW1025" s="41"/>
      <c r="AX1025" s="41"/>
      <c r="AY1025" s="41"/>
      <c r="AZ1025" s="41"/>
      <c r="BA1025" s="41"/>
      <c r="BB1025" s="41"/>
      <c r="BC1025" s="41"/>
      <c r="BD1025" s="41"/>
      <c r="BE1025" s="41"/>
      <c r="BF1025" s="41"/>
      <c r="BG1025" s="41"/>
      <c r="BH1025" s="41"/>
      <c r="BI1025" s="41"/>
      <c r="BJ1025" s="41"/>
      <c r="BK1025" s="41"/>
      <c r="BL1025" s="41"/>
      <c r="BM1025" s="41"/>
      <c r="BN1025" s="41"/>
      <c r="BO1025" s="41"/>
      <c r="BP1025" s="41"/>
      <c r="BQ1025" s="41"/>
      <c r="BR1025" s="41"/>
      <c r="BS1025" s="41"/>
      <c r="BT1025" s="41"/>
      <c r="BU1025" s="41"/>
      <c r="BV1025" s="41"/>
      <c r="BW1025" s="41"/>
      <c r="BX1025" s="41"/>
      <c r="BY1025" s="41"/>
    </row>
    <row r="1026" spans="1:77" s="214" customFormat="1" x14ac:dyDescent="0.3">
      <c r="A1026" s="44"/>
      <c r="B1026" s="41"/>
      <c r="C1026" s="44"/>
      <c r="D1026" s="44"/>
      <c r="E1026" s="44"/>
      <c r="F1026" s="44"/>
      <c r="G1026" s="41"/>
      <c r="H1026" s="44"/>
      <c r="I1026" s="44"/>
      <c r="J1026" s="44"/>
      <c r="K1026" s="44"/>
      <c r="L1026" s="44"/>
      <c r="M1026" s="44"/>
      <c r="N1026" s="44"/>
      <c r="O1026" s="44"/>
      <c r="P1026" s="44"/>
      <c r="Q1026" s="44"/>
      <c r="R1026" s="44"/>
      <c r="S1026" s="41"/>
      <c r="T1026" s="42"/>
      <c r="U1026" s="41"/>
      <c r="V1026" s="123"/>
      <c r="W1026" s="123"/>
      <c r="X1026" s="123"/>
      <c r="Y1026" s="123"/>
      <c r="Z1026" s="123"/>
      <c r="AA1026" s="123"/>
      <c r="AB1026" s="238"/>
      <c r="AC1026" s="41"/>
      <c r="AD1026" s="41"/>
      <c r="AE1026" s="41"/>
      <c r="AF1026" s="41"/>
      <c r="AG1026" s="165"/>
      <c r="AH1026" s="41"/>
      <c r="AI1026" s="41"/>
      <c r="AJ1026" s="41"/>
      <c r="AK1026" s="165"/>
      <c r="AL1026" s="41"/>
      <c r="AM1026" s="41"/>
      <c r="AN1026" s="41"/>
      <c r="AO1026" s="41"/>
      <c r="AP1026" s="41"/>
      <c r="AR1026" s="41"/>
      <c r="AS1026" s="41"/>
      <c r="AT1026" s="41"/>
      <c r="AU1026" s="41"/>
      <c r="AV1026" s="41"/>
      <c r="AW1026" s="41"/>
      <c r="AX1026" s="41"/>
      <c r="AY1026" s="41"/>
      <c r="AZ1026" s="41"/>
      <c r="BA1026" s="41"/>
      <c r="BB1026" s="41"/>
      <c r="BC1026" s="41"/>
      <c r="BD1026" s="41"/>
      <c r="BE1026" s="41"/>
      <c r="BF1026" s="41"/>
      <c r="BG1026" s="41"/>
      <c r="BH1026" s="41"/>
      <c r="BI1026" s="41"/>
      <c r="BJ1026" s="41"/>
      <c r="BK1026" s="41"/>
      <c r="BL1026" s="41"/>
      <c r="BM1026" s="41"/>
      <c r="BN1026" s="41"/>
      <c r="BO1026" s="41"/>
      <c r="BP1026" s="41"/>
      <c r="BQ1026" s="41"/>
      <c r="BR1026" s="41"/>
      <c r="BS1026" s="41"/>
      <c r="BT1026" s="41"/>
      <c r="BU1026" s="41"/>
      <c r="BV1026" s="41"/>
      <c r="BW1026" s="41"/>
      <c r="BX1026" s="41"/>
      <c r="BY1026" s="41"/>
    </row>
    <row r="1027" spans="1:77" s="214" customFormat="1" x14ac:dyDescent="0.3">
      <c r="A1027" s="41"/>
      <c r="B1027" s="41"/>
      <c r="C1027" s="44"/>
      <c r="D1027" s="44"/>
      <c r="E1027" s="44"/>
      <c r="F1027" s="44"/>
      <c r="G1027" s="41"/>
      <c r="H1027" s="44"/>
      <c r="I1027" s="44"/>
      <c r="J1027" s="44"/>
      <c r="K1027" s="44"/>
      <c r="L1027" s="44"/>
      <c r="M1027" s="44"/>
      <c r="N1027" s="44"/>
      <c r="O1027" s="44"/>
      <c r="P1027" s="44"/>
      <c r="Q1027" s="44"/>
      <c r="R1027" s="44"/>
      <c r="S1027" s="41"/>
      <c r="T1027" s="42"/>
      <c r="U1027" s="41"/>
      <c r="V1027" s="123"/>
      <c r="W1027" s="123"/>
      <c r="X1027" s="123"/>
      <c r="Y1027" s="123"/>
      <c r="Z1027" s="123"/>
      <c r="AA1027" s="123"/>
      <c r="AB1027" s="238"/>
      <c r="AC1027" s="123"/>
      <c r="AD1027" s="123"/>
      <c r="AE1027" s="160"/>
      <c r="AF1027" s="160"/>
      <c r="AG1027" s="165"/>
      <c r="AH1027" s="123"/>
      <c r="AI1027" s="236"/>
      <c r="AJ1027" s="236"/>
      <c r="AK1027" s="165"/>
      <c r="AL1027" s="123"/>
      <c r="AM1027" s="123"/>
      <c r="AN1027" s="123"/>
      <c r="AO1027" s="160"/>
      <c r="AP1027" s="160"/>
      <c r="AR1027" s="41"/>
      <c r="AS1027" s="41"/>
      <c r="AT1027" s="41"/>
      <c r="AU1027" s="41"/>
      <c r="AV1027" s="41"/>
      <c r="AW1027" s="41"/>
      <c r="AX1027" s="41"/>
      <c r="AY1027" s="41"/>
      <c r="AZ1027" s="41"/>
      <c r="BA1027" s="41"/>
      <c r="BB1027" s="41"/>
      <c r="BC1027" s="41"/>
      <c r="BD1027" s="41"/>
      <c r="BE1027" s="41"/>
      <c r="BF1027" s="41"/>
      <c r="BG1027" s="41"/>
      <c r="BH1027" s="41"/>
      <c r="BI1027" s="41"/>
      <c r="BJ1027" s="41"/>
      <c r="BK1027" s="41"/>
      <c r="BL1027" s="41"/>
      <c r="BM1027" s="41"/>
      <c r="BN1027" s="41"/>
      <c r="BO1027" s="41"/>
      <c r="BP1027" s="41"/>
      <c r="BQ1027" s="41"/>
      <c r="BR1027" s="41"/>
      <c r="BS1027" s="41"/>
      <c r="BT1027" s="41"/>
      <c r="BU1027" s="41"/>
      <c r="BV1027" s="41"/>
      <c r="BW1027" s="41"/>
      <c r="BX1027" s="41"/>
      <c r="BY1027" s="41"/>
    </row>
    <row r="1028" spans="1:77" s="214" customFormat="1" x14ac:dyDescent="0.3">
      <c r="A1028" s="135"/>
      <c r="B1028" s="135"/>
      <c r="C1028" s="135"/>
      <c r="D1028" s="135"/>
      <c r="E1028" s="135"/>
      <c r="F1028" s="135"/>
      <c r="G1028" s="135"/>
      <c r="H1028" s="135"/>
      <c r="I1028" s="135"/>
      <c r="J1028" s="135"/>
      <c r="K1028" s="135"/>
      <c r="L1028" s="135"/>
      <c r="M1028" s="135"/>
      <c r="N1028" s="135"/>
      <c r="O1028" s="135"/>
      <c r="P1028" s="135"/>
      <c r="Q1028" s="135"/>
      <c r="R1028" s="135"/>
      <c r="S1028" s="41"/>
      <c r="T1028" s="42"/>
      <c r="U1028" s="41"/>
      <c r="V1028" s="123"/>
      <c r="W1028" s="123"/>
      <c r="X1028" s="123"/>
      <c r="Y1028" s="123"/>
      <c r="Z1028" s="123"/>
      <c r="AA1028" s="123"/>
      <c r="AB1028" s="238"/>
      <c r="AC1028" s="41"/>
      <c r="AD1028" s="41"/>
      <c r="AE1028" s="41"/>
      <c r="AF1028" s="41"/>
      <c r="AG1028" s="165"/>
      <c r="AH1028" s="41"/>
      <c r="AI1028" s="41"/>
      <c r="AJ1028" s="41"/>
      <c r="AK1028" s="165"/>
      <c r="AL1028" s="41"/>
      <c r="AM1028" s="41"/>
      <c r="AN1028" s="41"/>
      <c r="AO1028" s="41"/>
      <c r="AP1028" s="41"/>
      <c r="AR1028" s="41"/>
      <c r="AS1028" s="41"/>
      <c r="AT1028" s="41"/>
      <c r="AU1028" s="41"/>
      <c r="AV1028" s="41"/>
      <c r="AW1028" s="41"/>
      <c r="AX1028" s="41"/>
      <c r="AY1028" s="41"/>
      <c r="AZ1028" s="41"/>
      <c r="BA1028" s="41"/>
      <c r="BB1028" s="41"/>
      <c r="BC1028" s="41"/>
      <c r="BD1028" s="41"/>
      <c r="BE1028" s="41"/>
      <c r="BF1028" s="41"/>
      <c r="BG1028" s="41"/>
      <c r="BH1028" s="41"/>
      <c r="BI1028" s="41"/>
      <c r="BJ1028" s="41"/>
      <c r="BK1028" s="41"/>
      <c r="BL1028" s="41"/>
      <c r="BM1028" s="41"/>
      <c r="BN1028" s="41"/>
      <c r="BO1028" s="41"/>
      <c r="BP1028" s="41"/>
      <c r="BQ1028" s="41"/>
      <c r="BR1028" s="41"/>
      <c r="BS1028" s="41"/>
      <c r="BT1028" s="41"/>
      <c r="BU1028" s="41"/>
      <c r="BV1028" s="41"/>
      <c r="BW1028" s="41"/>
      <c r="BX1028" s="41"/>
      <c r="BY1028" s="41"/>
    </row>
    <row r="1029" spans="1:77" s="214" customFormat="1" x14ac:dyDescent="0.3">
      <c r="A1029" s="41"/>
      <c r="B1029" s="41"/>
      <c r="C1029" s="41"/>
      <c r="D1029" s="41"/>
      <c r="E1029" s="41"/>
      <c r="F1029" s="41"/>
      <c r="G1029" s="41"/>
      <c r="H1029" s="44"/>
      <c r="I1029" s="44"/>
      <c r="J1029" s="44"/>
      <c r="K1029" s="44"/>
      <c r="L1029" s="44"/>
      <c r="M1029" s="44"/>
      <c r="N1029" s="44"/>
      <c r="O1029" s="44"/>
      <c r="P1029" s="44"/>
      <c r="Q1029" s="44"/>
      <c r="R1029" s="44"/>
      <c r="S1029" s="41"/>
      <c r="T1029" s="42"/>
      <c r="U1029" s="41"/>
      <c r="V1029" s="123"/>
      <c r="W1029" s="123"/>
      <c r="X1029" s="123"/>
      <c r="Y1029" s="123"/>
      <c r="Z1029" s="123"/>
      <c r="AA1029" s="123"/>
      <c r="AB1029" s="238"/>
      <c r="AC1029" s="123"/>
      <c r="AD1029" s="123"/>
      <c r="AE1029" s="160"/>
      <c r="AF1029" s="160"/>
      <c r="AG1029" s="165"/>
      <c r="AH1029" s="123"/>
      <c r="AI1029" s="236"/>
      <c r="AJ1029" s="236"/>
      <c r="AK1029" s="165"/>
      <c r="AL1029" s="123"/>
      <c r="AM1029" s="123"/>
      <c r="AN1029" s="123"/>
      <c r="AO1029" s="160"/>
      <c r="AP1029" s="160"/>
      <c r="AR1029" s="41"/>
      <c r="AS1029" s="41"/>
      <c r="AT1029" s="41"/>
      <c r="AU1029" s="41"/>
      <c r="AV1029" s="41"/>
      <c r="AW1029" s="41"/>
      <c r="AX1029" s="41"/>
      <c r="AY1029" s="41"/>
      <c r="AZ1029" s="41"/>
      <c r="BA1029" s="41"/>
      <c r="BB1029" s="41"/>
      <c r="BC1029" s="41"/>
      <c r="BD1029" s="41"/>
      <c r="BE1029" s="41"/>
      <c r="BF1029" s="41"/>
      <c r="BG1029" s="41"/>
      <c r="BH1029" s="41"/>
      <c r="BI1029" s="41"/>
      <c r="BJ1029" s="41"/>
      <c r="BK1029" s="41"/>
      <c r="BL1029" s="41"/>
      <c r="BM1029" s="41"/>
      <c r="BN1029" s="41"/>
      <c r="BO1029" s="41"/>
      <c r="BP1029" s="41"/>
      <c r="BQ1029" s="41"/>
      <c r="BR1029" s="41"/>
      <c r="BS1029" s="41"/>
      <c r="BT1029" s="41"/>
      <c r="BU1029" s="41"/>
      <c r="BV1029" s="41"/>
      <c r="BW1029" s="41"/>
      <c r="BX1029" s="41"/>
      <c r="BY1029" s="41"/>
    </row>
    <row r="1030" spans="1:77" s="214" customFormat="1" x14ac:dyDescent="0.3">
      <c r="A1030" s="41"/>
      <c r="B1030" s="41"/>
      <c r="C1030" s="42"/>
      <c r="D1030" s="42"/>
      <c r="E1030" s="42"/>
      <c r="F1030" s="41"/>
      <c r="G1030" s="41"/>
      <c r="H1030" s="41"/>
      <c r="I1030" s="41"/>
      <c r="J1030" s="41"/>
      <c r="K1030" s="41"/>
      <c r="L1030" s="41"/>
      <c r="M1030" s="41"/>
      <c r="N1030" s="41"/>
      <c r="O1030" s="41"/>
      <c r="P1030" s="41"/>
      <c r="Q1030" s="41"/>
      <c r="R1030" s="41"/>
      <c r="S1030" s="41"/>
      <c r="T1030" s="42"/>
      <c r="U1030" s="41"/>
      <c r="V1030" s="123"/>
      <c r="W1030" s="123"/>
      <c r="X1030" s="123"/>
      <c r="Y1030" s="123"/>
      <c r="Z1030" s="123"/>
      <c r="AA1030" s="123"/>
      <c r="AB1030" s="238"/>
      <c r="AC1030" s="41"/>
      <c r="AD1030" s="41"/>
      <c r="AE1030" s="41"/>
      <c r="AF1030" s="41"/>
      <c r="AG1030" s="165"/>
      <c r="AH1030" s="41"/>
      <c r="AI1030" s="41"/>
      <c r="AJ1030" s="41"/>
      <c r="AK1030" s="165"/>
      <c r="AL1030" s="41"/>
      <c r="AM1030" s="41"/>
      <c r="AN1030" s="41"/>
      <c r="AO1030" s="41"/>
      <c r="AP1030" s="41"/>
      <c r="AR1030" s="41"/>
      <c r="AS1030" s="41"/>
      <c r="AT1030" s="41"/>
      <c r="AU1030" s="41"/>
      <c r="AV1030" s="41"/>
      <c r="AW1030" s="41"/>
      <c r="AX1030" s="41"/>
      <c r="AY1030" s="41"/>
      <c r="AZ1030" s="41"/>
      <c r="BA1030" s="41"/>
      <c r="BB1030" s="41"/>
      <c r="BC1030" s="41"/>
      <c r="BD1030" s="41"/>
      <c r="BE1030" s="41"/>
      <c r="BF1030" s="41"/>
      <c r="BG1030" s="41"/>
      <c r="BH1030" s="41"/>
      <c r="BI1030" s="41"/>
      <c r="BJ1030" s="41"/>
      <c r="BK1030" s="41"/>
      <c r="BL1030" s="41"/>
      <c r="BM1030" s="41"/>
      <c r="BN1030" s="41"/>
      <c r="BO1030" s="41"/>
      <c r="BP1030" s="41"/>
      <c r="BQ1030" s="41"/>
      <c r="BR1030" s="41"/>
      <c r="BS1030" s="41"/>
      <c r="BT1030" s="41"/>
      <c r="BU1030" s="41"/>
      <c r="BV1030" s="41"/>
      <c r="BW1030" s="41"/>
      <c r="BX1030" s="41"/>
      <c r="BY1030" s="41"/>
    </row>
    <row r="1031" spans="1:77" x14ac:dyDescent="0.3">
      <c r="T1031" s="42"/>
      <c r="V1031" s="123"/>
      <c r="W1031" s="123"/>
      <c r="X1031" s="123"/>
      <c r="Y1031" s="123"/>
      <c r="Z1031" s="123"/>
      <c r="AA1031" s="123"/>
      <c r="AB1031" s="238"/>
      <c r="AC1031" s="123"/>
      <c r="AD1031" s="123"/>
      <c r="AE1031" s="160"/>
      <c r="AF1031" s="160"/>
      <c r="AH1031" s="123"/>
      <c r="AI1031" s="236"/>
      <c r="AJ1031" s="236"/>
      <c r="AL1031" s="123"/>
      <c r="AM1031" s="123"/>
      <c r="AN1031" s="123"/>
      <c r="AO1031" s="160"/>
      <c r="AP1031" s="160"/>
    </row>
    <row r="1032" spans="1:77" s="214" customFormat="1" x14ac:dyDescent="0.3">
      <c r="A1032" s="41"/>
      <c r="B1032" s="41"/>
      <c r="C1032" s="42"/>
      <c r="D1032" s="42"/>
      <c r="E1032" s="42"/>
      <c r="F1032" s="41"/>
      <c r="G1032" s="41"/>
      <c r="H1032" s="41"/>
      <c r="I1032" s="41"/>
      <c r="J1032" s="41"/>
      <c r="K1032" s="41"/>
      <c r="L1032" s="41"/>
      <c r="M1032" s="41"/>
      <c r="N1032" s="41"/>
      <c r="O1032" s="41"/>
      <c r="P1032" s="41"/>
      <c r="Q1032" s="41"/>
      <c r="R1032" s="41"/>
      <c r="S1032" s="41"/>
      <c r="T1032" s="42"/>
      <c r="U1032" s="41"/>
      <c r="V1032" s="123"/>
      <c r="W1032" s="123"/>
      <c r="X1032" s="123"/>
      <c r="Y1032" s="123"/>
      <c r="Z1032" s="123"/>
      <c r="AA1032" s="123"/>
      <c r="AB1032" s="238"/>
      <c r="AC1032" s="41"/>
      <c r="AD1032" s="41"/>
      <c r="AE1032" s="41"/>
      <c r="AF1032" s="41"/>
      <c r="AG1032" s="165"/>
      <c r="AH1032" s="41"/>
      <c r="AI1032" s="41"/>
      <c r="AJ1032" s="41"/>
      <c r="AK1032" s="165"/>
      <c r="AL1032" s="41"/>
      <c r="AM1032" s="41"/>
      <c r="AN1032" s="41"/>
      <c r="AO1032" s="41"/>
      <c r="AP1032" s="41"/>
      <c r="AR1032" s="41"/>
      <c r="AS1032" s="41"/>
      <c r="AT1032" s="41"/>
      <c r="AU1032" s="41"/>
      <c r="AV1032" s="41"/>
      <c r="AW1032" s="41"/>
      <c r="AX1032" s="41"/>
      <c r="AY1032" s="41"/>
      <c r="AZ1032" s="41"/>
      <c r="BA1032" s="41"/>
      <c r="BB1032" s="41"/>
      <c r="BC1032" s="41"/>
      <c r="BD1032" s="41"/>
      <c r="BE1032" s="41"/>
      <c r="BF1032" s="41"/>
      <c r="BG1032" s="41"/>
      <c r="BH1032" s="41"/>
      <c r="BI1032" s="41"/>
      <c r="BJ1032" s="41"/>
      <c r="BK1032" s="41"/>
      <c r="BL1032" s="41"/>
      <c r="BM1032" s="41"/>
      <c r="BN1032" s="41"/>
      <c r="BO1032" s="41"/>
      <c r="BP1032" s="41"/>
      <c r="BQ1032" s="41"/>
      <c r="BR1032" s="41"/>
      <c r="BS1032" s="41"/>
      <c r="BT1032" s="41"/>
      <c r="BU1032" s="41"/>
      <c r="BV1032" s="41"/>
      <c r="BW1032" s="41"/>
      <c r="BX1032" s="41"/>
      <c r="BY1032" s="41"/>
    </row>
    <row r="1033" spans="1:77" s="214" customFormat="1" x14ac:dyDescent="0.3">
      <c r="A1033" s="41"/>
      <c r="B1033" s="41"/>
      <c r="C1033" s="42"/>
      <c r="D1033" s="41"/>
      <c r="E1033" s="41"/>
      <c r="F1033" s="41"/>
      <c r="G1033" s="41"/>
      <c r="H1033" s="41"/>
      <c r="I1033" s="41"/>
      <c r="J1033" s="41"/>
      <c r="K1033" s="41"/>
      <c r="L1033" s="41"/>
      <c r="M1033" s="41"/>
      <c r="N1033" s="41"/>
      <c r="O1033" s="41"/>
      <c r="P1033" s="41"/>
      <c r="Q1033" s="41"/>
      <c r="R1033" s="41"/>
      <c r="S1033" s="41"/>
      <c r="T1033" s="42"/>
      <c r="U1033" s="41"/>
      <c r="V1033" s="123"/>
      <c r="W1033" s="123"/>
      <c r="X1033" s="123"/>
      <c r="Y1033" s="123"/>
      <c r="Z1033" s="123"/>
      <c r="AA1033" s="123"/>
      <c r="AB1033" s="238"/>
      <c r="AC1033" s="123"/>
      <c r="AD1033" s="123"/>
      <c r="AE1033" s="160"/>
      <c r="AF1033" s="160"/>
      <c r="AG1033" s="165"/>
      <c r="AH1033" s="123"/>
      <c r="AI1033" s="236"/>
      <c r="AJ1033" s="236"/>
      <c r="AK1033" s="165"/>
      <c r="AL1033" s="123"/>
      <c r="AM1033" s="123"/>
      <c r="AN1033" s="123"/>
      <c r="AO1033" s="160"/>
      <c r="AP1033" s="160"/>
      <c r="AR1033" s="41"/>
      <c r="AS1033" s="41"/>
      <c r="AT1033" s="41"/>
      <c r="AU1033" s="41"/>
      <c r="AV1033" s="41"/>
      <c r="AW1033" s="41"/>
      <c r="AX1033" s="41"/>
      <c r="AY1033" s="41"/>
      <c r="AZ1033" s="41"/>
      <c r="BA1033" s="41"/>
      <c r="BB1033" s="41"/>
      <c r="BC1033" s="41"/>
      <c r="BD1033" s="41"/>
      <c r="BE1033" s="41"/>
      <c r="BF1033" s="41"/>
      <c r="BG1033" s="41"/>
      <c r="BH1033" s="41"/>
      <c r="BI1033" s="41"/>
      <c r="BJ1033" s="41"/>
      <c r="BK1033" s="41"/>
      <c r="BL1033" s="41"/>
      <c r="BM1033" s="41"/>
      <c r="BN1033" s="41"/>
      <c r="BO1033" s="41"/>
      <c r="BP1033" s="41"/>
      <c r="BQ1033" s="41"/>
      <c r="BR1033" s="41"/>
      <c r="BS1033" s="41"/>
      <c r="BT1033" s="41"/>
      <c r="BU1033" s="41"/>
      <c r="BV1033" s="41"/>
      <c r="BW1033" s="41"/>
      <c r="BX1033" s="41"/>
      <c r="BY1033" s="41"/>
    </row>
    <row r="1034" spans="1:77" s="214" customFormat="1" x14ac:dyDescent="0.3">
      <c r="A1034" s="41"/>
      <c r="B1034" s="41"/>
      <c r="C1034" s="42"/>
      <c r="D1034" s="41"/>
      <c r="E1034" s="41"/>
      <c r="F1034" s="41"/>
      <c r="G1034" s="41"/>
      <c r="H1034" s="41"/>
      <c r="I1034" s="41"/>
      <c r="J1034" s="41"/>
      <c r="K1034" s="41"/>
      <c r="L1034" s="41"/>
      <c r="M1034" s="41"/>
      <c r="N1034" s="41"/>
      <c r="O1034" s="41"/>
      <c r="P1034" s="41"/>
      <c r="Q1034" s="41"/>
      <c r="R1034" s="41"/>
      <c r="S1034" s="41"/>
      <c r="T1034" s="42"/>
      <c r="U1034" s="41"/>
      <c r="V1034" s="123"/>
      <c r="W1034" s="123"/>
      <c r="X1034" s="123"/>
      <c r="Y1034" s="123"/>
      <c r="Z1034" s="123"/>
      <c r="AA1034" s="123"/>
      <c r="AB1034" s="238"/>
      <c r="AC1034" s="41"/>
      <c r="AD1034" s="41"/>
      <c r="AE1034" s="41"/>
      <c r="AF1034" s="41"/>
      <c r="AG1034" s="165"/>
      <c r="AH1034" s="41"/>
      <c r="AI1034" s="41"/>
      <c r="AJ1034" s="41"/>
      <c r="AK1034" s="165"/>
      <c r="AL1034" s="41"/>
      <c r="AM1034" s="41"/>
      <c r="AN1034" s="41"/>
      <c r="AO1034" s="41"/>
      <c r="AP1034" s="41"/>
      <c r="AR1034" s="41"/>
      <c r="AS1034" s="41"/>
      <c r="AT1034" s="41"/>
      <c r="AU1034" s="41"/>
      <c r="AV1034" s="41"/>
      <c r="AW1034" s="41"/>
      <c r="AX1034" s="41"/>
      <c r="AY1034" s="41"/>
      <c r="AZ1034" s="41"/>
      <c r="BA1034" s="41"/>
      <c r="BB1034" s="41"/>
      <c r="BC1034" s="41"/>
      <c r="BD1034" s="41"/>
      <c r="BE1034" s="41"/>
      <c r="BF1034" s="41"/>
      <c r="BG1034" s="41"/>
      <c r="BH1034" s="41"/>
      <c r="BI1034" s="41"/>
      <c r="BJ1034" s="41"/>
      <c r="BK1034" s="41"/>
      <c r="BL1034" s="41"/>
      <c r="BM1034" s="41"/>
      <c r="BN1034" s="41"/>
      <c r="BO1034" s="41"/>
      <c r="BP1034" s="41"/>
      <c r="BQ1034" s="41"/>
      <c r="BR1034" s="41"/>
      <c r="BS1034" s="41"/>
      <c r="BT1034" s="41"/>
      <c r="BU1034" s="41"/>
      <c r="BV1034" s="41"/>
      <c r="BW1034" s="41"/>
      <c r="BX1034" s="41"/>
      <c r="BY1034" s="41"/>
    </row>
    <row r="1035" spans="1:77" s="214" customFormat="1" x14ac:dyDescent="0.3">
      <c r="A1035" s="41"/>
      <c r="B1035" s="41"/>
      <c r="C1035" s="42"/>
      <c r="D1035" s="41"/>
      <c r="E1035" s="41"/>
      <c r="F1035" s="41"/>
      <c r="G1035" s="41"/>
      <c r="H1035" s="184"/>
      <c r="I1035" s="184"/>
      <c r="J1035" s="238"/>
      <c r="K1035" s="238"/>
      <c r="L1035" s="123"/>
      <c r="M1035" s="123"/>
      <c r="N1035" s="160"/>
      <c r="O1035" s="160"/>
      <c r="P1035" s="123"/>
      <c r="Q1035" s="123"/>
      <c r="R1035" s="123"/>
      <c r="S1035" s="41"/>
      <c r="T1035" s="42"/>
      <c r="U1035" s="41"/>
      <c r="V1035" s="123"/>
      <c r="W1035" s="123"/>
      <c r="X1035" s="123"/>
      <c r="Y1035" s="123"/>
      <c r="Z1035" s="123"/>
      <c r="AA1035" s="123"/>
      <c r="AB1035" s="238"/>
      <c r="AC1035" s="123"/>
      <c r="AD1035" s="123"/>
      <c r="AE1035" s="160"/>
      <c r="AF1035" s="160"/>
      <c r="AG1035" s="165"/>
      <c r="AH1035" s="123"/>
      <c r="AI1035" s="236"/>
      <c r="AJ1035" s="236"/>
      <c r="AK1035" s="165"/>
      <c r="AL1035" s="123"/>
      <c r="AM1035" s="123"/>
      <c r="AN1035" s="123"/>
      <c r="AO1035" s="160"/>
      <c r="AP1035" s="160"/>
      <c r="AR1035" s="41"/>
      <c r="AS1035" s="41"/>
      <c r="AT1035" s="41"/>
      <c r="AU1035" s="41"/>
      <c r="AV1035" s="41"/>
      <c r="AW1035" s="41"/>
      <c r="AX1035" s="41"/>
      <c r="AY1035" s="41"/>
      <c r="AZ1035" s="41"/>
      <c r="BA1035" s="41"/>
      <c r="BB1035" s="41"/>
      <c r="BC1035" s="41"/>
      <c r="BD1035" s="41"/>
      <c r="BE1035" s="41"/>
      <c r="BF1035" s="41"/>
      <c r="BG1035" s="41"/>
      <c r="BH1035" s="41"/>
      <c r="BI1035" s="41"/>
      <c r="BJ1035" s="41"/>
      <c r="BK1035" s="41"/>
      <c r="BL1035" s="41"/>
      <c r="BM1035" s="41"/>
      <c r="BN1035" s="41"/>
      <c r="BO1035" s="41"/>
      <c r="BP1035" s="41"/>
      <c r="BQ1035" s="41"/>
      <c r="BR1035" s="41"/>
      <c r="BS1035" s="41"/>
      <c r="BT1035" s="41"/>
      <c r="BU1035" s="41"/>
      <c r="BV1035" s="41"/>
      <c r="BW1035" s="41"/>
      <c r="BX1035" s="41"/>
      <c r="BY1035" s="41"/>
    </row>
    <row r="1036" spans="1:77" s="214" customFormat="1" x14ac:dyDescent="0.3">
      <c r="A1036" s="41"/>
      <c r="B1036" s="41"/>
      <c r="C1036" s="42"/>
      <c r="D1036" s="41"/>
      <c r="E1036" s="41"/>
      <c r="F1036" s="184"/>
      <c r="G1036" s="41"/>
      <c r="H1036" s="41"/>
      <c r="I1036" s="41"/>
      <c r="J1036" s="188"/>
      <c r="K1036" s="188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210"/>
      <c r="W1036" s="41"/>
      <c r="X1036" s="41"/>
      <c r="Y1036" s="41"/>
      <c r="Z1036" s="41"/>
      <c r="AA1036" s="210"/>
      <c r="AB1036" s="238"/>
      <c r="AC1036" s="210"/>
      <c r="AD1036" s="210"/>
      <c r="AE1036" s="210"/>
      <c r="AF1036" s="210"/>
      <c r="AH1036" s="210"/>
      <c r="AI1036" s="41"/>
      <c r="AJ1036" s="41"/>
      <c r="AL1036" s="210"/>
      <c r="AM1036" s="210"/>
      <c r="AN1036" s="210"/>
      <c r="AO1036" s="160"/>
      <c r="AP1036" s="160"/>
      <c r="AR1036" s="41"/>
      <c r="AS1036" s="41"/>
      <c r="AT1036" s="41"/>
      <c r="AU1036" s="41"/>
      <c r="AV1036" s="41"/>
      <c r="AW1036" s="41"/>
      <c r="AX1036" s="41"/>
      <c r="AY1036" s="41"/>
      <c r="AZ1036" s="41"/>
      <c r="BA1036" s="41"/>
      <c r="BB1036" s="41"/>
      <c r="BC1036" s="41"/>
      <c r="BD1036" s="41"/>
      <c r="BE1036" s="41"/>
      <c r="BF1036" s="41"/>
      <c r="BG1036" s="41"/>
      <c r="BH1036" s="41"/>
      <c r="BI1036" s="41"/>
      <c r="BJ1036" s="41"/>
      <c r="BK1036" s="41"/>
      <c r="BL1036" s="41"/>
      <c r="BM1036" s="41"/>
      <c r="BN1036" s="41"/>
      <c r="BO1036" s="41"/>
      <c r="BP1036" s="41"/>
      <c r="BQ1036" s="41"/>
      <c r="BR1036" s="41"/>
      <c r="BS1036" s="41"/>
      <c r="BT1036" s="41"/>
      <c r="BU1036" s="41"/>
      <c r="BV1036" s="41"/>
      <c r="BW1036" s="41"/>
      <c r="BX1036" s="41"/>
      <c r="BY1036" s="41"/>
    </row>
    <row r="1037" spans="1:77" s="214" customFormat="1" x14ac:dyDescent="0.3">
      <c r="A1037" s="41"/>
      <c r="B1037" s="41"/>
      <c r="C1037" s="42"/>
      <c r="D1037" s="41"/>
      <c r="E1037" s="41"/>
      <c r="F1037" s="41"/>
      <c r="G1037" s="41"/>
      <c r="H1037" s="184"/>
      <c r="I1037" s="184"/>
      <c r="J1037" s="238"/>
      <c r="K1037" s="238"/>
      <c r="L1037" s="123"/>
      <c r="M1037" s="123"/>
      <c r="N1037" s="160"/>
      <c r="O1037" s="160"/>
      <c r="P1037" s="123"/>
      <c r="Q1037" s="123"/>
      <c r="R1037" s="123"/>
      <c r="S1037" s="41"/>
      <c r="T1037" s="42"/>
      <c r="U1037" s="41"/>
      <c r="V1037" s="123"/>
      <c r="W1037" s="123"/>
      <c r="X1037" s="123"/>
      <c r="Y1037" s="123"/>
      <c r="Z1037" s="123"/>
      <c r="AA1037" s="123"/>
      <c r="AB1037" s="238"/>
      <c r="AC1037" s="123"/>
      <c r="AD1037" s="123"/>
      <c r="AE1037" s="160"/>
      <c r="AF1037" s="160"/>
      <c r="AG1037" s="165"/>
      <c r="AH1037" s="123"/>
      <c r="AI1037" s="236"/>
      <c r="AJ1037" s="236"/>
      <c r="AK1037" s="233"/>
      <c r="AL1037" s="184"/>
      <c r="AM1037" s="123"/>
      <c r="AN1037" s="123"/>
      <c r="AO1037" s="160"/>
      <c r="AP1037" s="160"/>
      <c r="AR1037" s="41"/>
      <c r="AS1037" s="41"/>
      <c r="AT1037" s="41"/>
      <c r="AU1037" s="41"/>
      <c r="AV1037" s="41"/>
      <c r="AW1037" s="41"/>
      <c r="AX1037" s="41"/>
      <c r="AY1037" s="41"/>
      <c r="AZ1037" s="41"/>
      <c r="BA1037" s="41"/>
      <c r="BB1037" s="41"/>
      <c r="BC1037" s="41"/>
      <c r="BD1037" s="41"/>
      <c r="BE1037" s="41"/>
      <c r="BF1037" s="41"/>
      <c r="BG1037" s="41"/>
      <c r="BH1037" s="41"/>
      <c r="BI1037" s="41"/>
      <c r="BJ1037" s="41"/>
      <c r="BK1037" s="41"/>
      <c r="BL1037" s="41"/>
      <c r="BM1037" s="41"/>
      <c r="BN1037" s="41"/>
      <c r="BO1037" s="41"/>
      <c r="BP1037" s="41"/>
      <c r="BQ1037" s="41"/>
      <c r="BR1037" s="41"/>
      <c r="BS1037" s="41"/>
      <c r="BT1037" s="41"/>
      <c r="BU1037" s="41"/>
      <c r="BV1037" s="41"/>
      <c r="BW1037" s="41"/>
      <c r="BX1037" s="41"/>
      <c r="BY1037" s="41"/>
    </row>
    <row r="1038" spans="1:77" s="214" customFormat="1" x14ac:dyDescent="0.3">
      <c r="A1038" s="41"/>
      <c r="B1038" s="41"/>
      <c r="C1038" s="42"/>
      <c r="D1038" s="41"/>
      <c r="E1038" s="41"/>
      <c r="F1038" s="184"/>
      <c r="G1038" s="41"/>
      <c r="H1038" s="41"/>
      <c r="I1038" s="41"/>
      <c r="J1038" s="188"/>
      <c r="K1038" s="188"/>
      <c r="L1038" s="41"/>
      <c r="M1038" s="41"/>
      <c r="N1038" s="41"/>
      <c r="O1038" s="41"/>
      <c r="P1038" s="41"/>
      <c r="Q1038" s="41"/>
      <c r="R1038" s="41"/>
      <c r="S1038" s="41"/>
      <c r="T1038" s="41"/>
      <c r="U1038" s="41"/>
      <c r="V1038" s="210"/>
      <c r="W1038" s="41"/>
      <c r="X1038" s="41"/>
      <c r="Y1038" s="41"/>
      <c r="Z1038" s="41"/>
      <c r="AA1038" s="210"/>
      <c r="AB1038" s="238"/>
      <c r="AC1038" s="210"/>
      <c r="AD1038" s="210"/>
      <c r="AE1038" s="210"/>
      <c r="AF1038" s="210"/>
      <c r="AH1038" s="210"/>
      <c r="AI1038" s="41"/>
      <c r="AJ1038" s="41"/>
      <c r="AL1038" s="210"/>
      <c r="AM1038" s="210"/>
      <c r="AN1038" s="210"/>
      <c r="AO1038" s="41"/>
      <c r="AP1038" s="41"/>
      <c r="AR1038" s="41"/>
      <c r="AS1038" s="41"/>
      <c r="AT1038" s="41"/>
      <c r="AU1038" s="41"/>
      <c r="AV1038" s="41"/>
      <c r="AW1038" s="41"/>
      <c r="AX1038" s="41"/>
      <c r="AY1038" s="41"/>
      <c r="AZ1038" s="41"/>
      <c r="BA1038" s="41"/>
      <c r="BB1038" s="41"/>
      <c r="BC1038" s="41"/>
      <c r="BD1038" s="41"/>
      <c r="BE1038" s="41"/>
      <c r="BF1038" s="41"/>
      <c r="BG1038" s="41"/>
      <c r="BH1038" s="41"/>
      <c r="BI1038" s="41"/>
      <c r="BJ1038" s="41"/>
      <c r="BK1038" s="41"/>
      <c r="BL1038" s="41"/>
      <c r="BM1038" s="41"/>
      <c r="BN1038" s="41"/>
      <c r="BO1038" s="41"/>
      <c r="BP1038" s="41"/>
      <c r="BQ1038" s="41"/>
      <c r="BR1038" s="41"/>
      <c r="BS1038" s="41"/>
      <c r="BT1038" s="41"/>
      <c r="BU1038" s="41"/>
      <c r="BV1038" s="41"/>
      <c r="BW1038" s="41"/>
      <c r="BX1038" s="41"/>
      <c r="BY1038" s="41"/>
    </row>
    <row r="1039" spans="1:77" s="214" customFormat="1" x14ac:dyDescent="0.3">
      <c r="A1039" s="41"/>
      <c r="B1039" s="41"/>
      <c r="C1039" s="42"/>
      <c r="D1039" s="41"/>
      <c r="E1039" s="41"/>
      <c r="F1039" s="41"/>
      <c r="G1039" s="41"/>
      <c r="H1039" s="184"/>
      <c r="I1039" s="184"/>
      <c r="J1039" s="238"/>
      <c r="K1039" s="238"/>
      <c r="L1039" s="123"/>
      <c r="M1039" s="123"/>
      <c r="N1039" s="160"/>
      <c r="O1039" s="160"/>
      <c r="P1039" s="123"/>
      <c r="Q1039" s="123"/>
      <c r="R1039" s="123"/>
      <c r="S1039" s="41"/>
      <c r="T1039" s="42"/>
      <c r="U1039" s="42"/>
      <c r="V1039" s="123"/>
      <c r="W1039" s="123"/>
      <c r="X1039" s="123"/>
      <c r="Y1039" s="123"/>
      <c r="Z1039" s="123"/>
      <c r="AA1039" s="123"/>
      <c r="AB1039" s="238"/>
      <c r="AC1039" s="41"/>
      <c r="AD1039" s="41"/>
      <c r="AE1039" s="41"/>
      <c r="AF1039" s="41"/>
      <c r="AG1039" s="165"/>
      <c r="AH1039" s="41"/>
      <c r="AI1039" s="41"/>
      <c r="AJ1039" s="41"/>
      <c r="AK1039" s="165"/>
      <c r="AL1039" s="41"/>
      <c r="AM1039" s="41"/>
      <c r="AN1039" s="41"/>
      <c r="AO1039" s="41"/>
      <c r="AP1039" s="41"/>
      <c r="AR1039" s="41"/>
      <c r="AS1039" s="41"/>
      <c r="AT1039" s="41"/>
      <c r="AU1039" s="41"/>
      <c r="AV1039" s="41"/>
      <c r="AW1039" s="41"/>
      <c r="AX1039" s="41"/>
      <c r="AY1039" s="41"/>
      <c r="AZ1039" s="41"/>
      <c r="BA1039" s="41"/>
      <c r="BB1039" s="41"/>
      <c r="BC1039" s="41"/>
      <c r="BD1039" s="41"/>
      <c r="BE1039" s="41"/>
      <c r="BF1039" s="41"/>
      <c r="BG1039" s="41"/>
      <c r="BH1039" s="41"/>
      <c r="BI1039" s="41"/>
      <c r="BJ1039" s="41"/>
      <c r="BK1039" s="41"/>
      <c r="BL1039" s="41"/>
      <c r="BM1039" s="41"/>
      <c r="BN1039" s="41"/>
      <c r="BO1039" s="41"/>
      <c r="BP1039" s="41"/>
      <c r="BQ1039" s="41"/>
      <c r="BR1039" s="41"/>
      <c r="BS1039" s="41"/>
      <c r="BT1039" s="41"/>
      <c r="BU1039" s="41"/>
      <c r="BV1039" s="41"/>
      <c r="BW1039" s="41"/>
      <c r="BX1039" s="41"/>
      <c r="BY1039" s="41"/>
    </row>
    <row r="1040" spans="1:77" s="214" customFormat="1" x14ac:dyDescent="0.3">
      <c r="A1040" s="41"/>
      <c r="B1040" s="41"/>
      <c r="C1040" s="42"/>
      <c r="D1040" s="41"/>
      <c r="E1040" s="41"/>
      <c r="F1040" s="184"/>
      <c r="G1040" s="41"/>
      <c r="H1040" s="41"/>
      <c r="I1040" s="41"/>
      <c r="J1040" s="188"/>
      <c r="K1040" s="188"/>
      <c r="L1040" s="41"/>
      <c r="M1040" s="41"/>
      <c r="N1040" s="41"/>
      <c r="O1040" s="41"/>
      <c r="P1040" s="41"/>
      <c r="Q1040" s="41"/>
      <c r="R1040" s="41"/>
      <c r="S1040" s="41"/>
      <c r="T1040" s="42"/>
      <c r="U1040" s="41"/>
      <c r="V1040" s="123"/>
      <c r="W1040" s="123"/>
      <c r="X1040" s="123"/>
      <c r="Y1040" s="123"/>
      <c r="Z1040" s="123"/>
      <c r="AA1040" s="123"/>
      <c r="AB1040" s="238"/>
      <c r="AC1040" s="41"/>
      <c r="AD1040" s="41"/>
      <c r="AE1040" s="41"/>
      <c r="AF1040" s="41"/>
      <c r="AG1040" s="165"/>
      <c r="AH1040" s="41"/>
      <c r="AI1040" s="41"/>
      <c r="AJ1040" s="41"/>
      <c r="AK1040" s="165"/>
      <c r="AL1040" s="41"/>
      <c r="AM1040" s="41"/>
      <c r="AN1040" s="41"/>
      <c r="AO1040" s="41"/>
      <c r="AP1040" s="41"/>
      <c r="AR1040" s="41"/>
      <c r="AS1040" s="41"/>
      <c r="AT1040" s="41"/>
      <c r="AU1040" s="41"/>
      <c r="AV1040" s="41"/>
      <c r="AW1040" s="41"/>
      <c r="AX1040" s="41"/>
      <c r="AY1040" s="41"/>
      <c r="AZ1040" s="41"/>
      <c r="BA1040" s="41"/>
      <c r="BB1040" s="41"/>
      <c r="BC1040" s="41"/>
      <c r="BD1040" s="41"/>
      <c r="BE1040" s="41"/>
      <c r="BF1040" s="41"/>
      <c r="BG1040" s="41"/>
      <c r="BH1040" s="41"/>
      <c r="BI1040" s="41"/>
      <c r="BJ1040" s="41"/>
      <c r="BK1040" s="41"/>
      <c r="BL1040" s="41"/>
      <c r="BM1040" s="41"/>
      <c r="BN1040" s="41"/>
      <c r="BO1040" s="41"/>
      <c r="BP1040" s="41"/>
      <c r="BQ1040" s="41"/>
      <c r="BR1040" s="41"/>
      <c r="BS1040" s="41"/>
      <c r="BT1040" s="41"/>
      <c r="BU1040" s="41"/>
      <c r="BV1040" s="41"/>
      <c r="BW1040" s="41"/>
      <c r="BX1040" s="41"/>
      <c r="BY1040" s="41"/>
    </row>
    <row r="1041" spans="1:77" s="214" customFormat="1" x14ac:dyDescent="0.3">
      <c r="A1041" s="41"/>
      <c r="B1041" s="41"/>
      <c r="C1041" s="42"/>
      <c r="D1041" s="41"/>
      <c r="E1041" s="41"/>
      <c r="F1041" s="41"/>
      <c r="G1041" s="41"/>
      <c r="H1041" s="184"/>
      <c r="I1041" s="184"/>
      <c r="J1041" s="238"/>
      <c r="K1041" s="238"/>
      <c r="L1041" s="123"/>
      <c r="M1041" s="123"/>
      <c r="N1041" s="160"/>
      <c r="O1041" s="160"/>
      <c r="P1041" s="123"/>
      <c r="Q1041" s="123"/>
      <c r="R1041" s="123"/>
      <c r="S1041" s="41"/>
      <c r="T1041" s="42"/>
      <c r="U1041" s="41"/>
      <c r="V1041" s="123"/>
      <c r="W1041" s="123"/>
      <c r="X1041" s="123"/>
      <c r="Y1041" s="123"/>
      <c r="Z1041" s="123"/>
      <c r="AA1041" s="123"/>
      <c r="AB1041" s="238"/>
      <c r="AC1041" s="41"/>
      <c r="AD1041" s="41"/>
      <c r="AE1041" s="41"/>
      <c r="AF1041" s="41"/>
      <c r="AG1041" s="165"/>
      <c r="AH1041" s="41"/>
      <c r="AI1041" s="41"/>
      <c r="AJ1041" s="41"/>
      <c r="AK1041" s="165"/>
      <c r="AL1041" s="41"/>
      <c r="AM1041" s="41"/>
      <c r="AN1041" s="41"/>
      <c r="AO1041" s="41"/>
      <c r="AP1041" s="41"/>
      <c r="AR1041" s="41"/>
      <c r="AS1041" s="41"/>
      <c r="AT1041" s="41"/>
      <c r="AU1041" s="41"/>
      <c r="AV1041" s="41"/>
      <c r="AW1041" s="41"/>
      <c r="AX1041" s="41"/>
      <c r="AY1041" s="41"/>
      <c r="AZ1041" s="41"/>
      <c r="BA1041" s="41"/>
      <c r="BB1041" s="41"/>
      <c r="BC1041" s="41"/>
      <c r="BD1041" s="41"/>
      <c r="BE1041" s="41"/>
      <c r="BF1041" s="41"/>
      <c r="BG1041" s="41"/>
      <c r="BH1041" s="41"/>
      <c r="BI1041" s="41"/>
      <c r="BJ1041" s="41"/>
      <c r="BK1041" s="41"/>
      <c r="BL1041" s="41"/>
      <c r="BM1041" s="41"/>
      <c r="BN1041" s="41"/>
      <c r="BO1041" s="41"/>
      <c r="BP1041" s="41"/>
      <c r="BQ1041" s="41"/>
      <c r="BR1041" s="41"/>
      <c r="BS1041" s="41"/>
      <c r="BT1041" s="41"/>
      <c r="BU1041" s="41"/>
      <c r="BV1041" s="41"/>
      <c r="BW1041" s="41"/>
      <c r="BX1041" s="41"/>
      <c r="BY1041" s="41"/>
    </row>
    <row r="1042" spans="1:77" s="214" customFormat="1" x14ac:dyDescent="0.3">
      <c r="A1042" s="41"/>
      <c r="B1042" s="41"/>
      <c r="C1042" s="42"/>
      <c r="D1042" s="41"/>
      <c r="E1042" s="41"/>
      <c r="F1042" s="184"/>
      <c r="G1042" s="41"/>
      <c r="H1042" s="41"/>
      <c r="I1042" s="41"/>
      <c r="J1042" s="188"/>
      <c r="K1042" s="188"/>
      <c r="L1042" s="41"/>
      <c r="M1042" s="41"/>
      <c r="N1042" s="41"/>
      <c r="O1042" s="41"/>
      <c r="P1042" s="41"/>
      <c r="Q1042" s="41"/>
      <c r="R1042" s="41"/>
      <c r="S1042" s="41"/>
      <c r="T1042" s="42"/>
      <c r="U1042" s="41"/>
      <c r="V1042" s="123"/>
      <c r="W1042" s="123"/>
      <c r="X1042" s="123"/>
      <c r="Y1042" s="123"/>
      <c r="Z1042" s="123"/>
      <c r="AA1042" s="123"/>
      <c r="AB1042" s="238"/>
      <c r="AC1042" s="123"/>
      <c r="AD1042" s="123"/>
      <c r="AE1042" s="160"/>
      <c r="AF1042" s="160"/>
      <c r="AG1042" s="165"/>
      <c r="AH1042" s="123"/>
      <c r="AI1042" s="236"/>
      <c r="AJ1042" s="236"/>
      <c r="AK1042" s="165"/>
      <c r="AL1042" s="123"/>
      <c r="AM1042" s="123"/>
      <c r="AN1042" s="123"/>
      <c r="AO1042" s="160"/>
      <c r="AP1042" s="160"/>
      <c r="AR1042" s="41"/>
      <c r="AS1042" s="41"/>
      <c r="AT1042" s="41"/>
      <c r="AU1042" s="41"/>
      <c r="AV1042" s="41"/>
      <c r="AW1042" s="41"/>
      <c r="AX1042" s="41"/>
      <c r="AY1042" s="41"/>
      <c r="AZ1042" s="41"/>
      <c r="BA1042" s="41"/>
      <c r="BB1042" s="41"/>
      <c r="BC1042" s="41"/>
      <c r="BD1042" s="41"/>
      <c r="BE1042" s="41"/>
      <c r="BF1042" s="41"/>
      <c r="BG1042" s="41"/>
      <c r="BH1042" s="41"/>
      <c r="BI1042" s="41"/>
      <c r="BJ1042" s="41"/>
      <c r="BK1042" s="41"/>
      <c r="BL1042" s="41"/>
      <c r="BM1042" s="41"/>
      <c r="BN1042" s="41"/>
      <c r="BO1042" s="41"/>
      <c r="BP1042" s="41"/>
      <c r="BQ1042" s="41"/>
      <c r="BR1042" s="41"/>
      <c r="BS1042" s="41"/>
      <c r="BT1042" s="41"/>
      <c r="BU1042" s="41"/>
      <c r="BV1042" s="41"/>
      <c r="BW1042" s="41"/>
      <c r="BX1042" s="41"/>
      <c r="BY1042" s="41"/>
    </row>
    <row r="1043" spans="1:77" s="214" customFormat="1" x14ac:dyDescent="0.3">
      <c r="A1043" s="41"/>
      <c r="B1043" s="41"/>
      <c r="C1043" s="42"/>
      <c r="D1043" s="41"/>
      <c r="E1043" s="41"/>
      <c r="F1043" s="41"/>
      <c r="G1043" s="41"/>
      <c r="H1043" s="184"/>
      <c r="I1043" s="184"/>
      <c r="J1043" s="238"/>
      <c r="K1043" s="238"/>
      <c r="L1043" s="123"/>
      <c r="M1043" s="123"/>
      <c r="N1043" s="160"/>
      <c r="O1043" s="160"/>
      <c r="P1043" s="123"/>
      <c r="Q1043" s="123"/>
      <c r="R1043" s="123"/>
      <c r="S1043" s="41"/>
      <c r="T1043" s="42"/>
      <c r="U1043" s="41"/>
      <c r="V1043" s="123"/>
      <c r="W1043" s="123"/>
      <c r="X1043" s="123"/>
      <c r="Y1043" s="123"/>
      <c r="Z1043" s="123"/>
      <c r="AA1043" s="123"/>
      <c r="AB1043" s="238"/>
      <c r="AC1043" s="41"/>
      <c r="AD1043" s="41"/>
      <c r="AE1043" s="41"/>
      <c r="AF1043" s="41"/>
      <c r="AG1043" s="165"/>
      <c r="AH1043" s="41"/>
      <c r="AI1043" s="41"/>
      <c r="AJ1043" s="41"/>
      <c r="AK1043" s="165"/>
      <c r="AL1043" s="41"/>
      <c r="AM1043" s="41"/>
      <c r="AN1043" s="41"/>
      <c r="AO1043" s="41"/>
      <c r="AP1043" s="41"/>
      <c r="AR1043" s="41"/>
      <c r="AS1043" s="41"/>
      <c r="AT1043" s="41"/>
      <c r="AU1043" s="41"/>
      <c r="AV1043" s="41"/>
      <c r="AW1043" s="41"/>
      <c r="AX1043" s="41"/>
      <c r="AY1043" s="41"/>
      <c r="AZ1043" s="41"/>
      <c r="BA1043" s="41"/>
      <c r="BB1043" s="41"/>
      <c r="BC1043" s="41"/>
      <c r="BD1043" s="41"/>
      <c r="BE1043" s="41"/>
      <c r="BF1043" s="41"/>
      <c r="BG1043" s="41"/>
      <c r="BH1043" s="41"/>
      <c r="BI1043" s="41"/>
      <c r="BJ1043" s="41"/>
      <c r="BK1043" s="41"/>
      <c r="BL1043" s="41"/>
      <c r="BM1043" s="41"/>
      <c r="BN1043" s="41"/>
      <c r="BO1043" s="41"/>
      <c r="BP1043" s="41"/>
      <c r="BQ1043" s="41"/>
      <c r="BR1043" s="41"/>
      <c r="BS1043" s="41"/>
      <c r="BT1043" s="41"/>
      <c r="BU1043" s="41"/>
      <c r="BV1043" s="41"/>
      <c r="BW1043" s="41"/>
      <c r="BX1043" s="41"/>
      <c r="BY1043" s="41"/>
    </row>
    <row r="1044" spans="1:77" s="214" customFormat="1" x14ac:dyDescent="0.3">
      <c r="A1044" s="41"/>
      <c r="B1044" s="41"/>
      <c r="C1044" s="42"/>
      <c r="D1044" s="41"/>
      <c r="E1044" s="41"/>
      <c r="F1044" s="184"/>
      <c r="G1044" s="41"/>
      <c r="H1044" s="41"/>
      <c r="I1044" s="41"/>
      <c r="J1044" s="188"/>
      <c r="K1044" s="188"/>
      <c r="L1044" s="41"/>
      <c r="M1044" s="41"/>
      <c r="N1044" s="41"/>
      <c r="O1044" s="41"/>
      <c r="P1044" s="41"/>
      <c r="Q1044" s="41"/>
      <c r="R1044" s="41"/>
      <c r="S1044" s="41"/>
      <c r="T1044" s="42"/>
      <c r="U1044" s="41"/>
      <c r="V1044" s="123"/>
      <c r="W1044" s="123"/>
      <c r="X1044" s="123"/>
      <c r="Y1044" s="123"/>
      <c r="Z1044" s="123"/>
      <c r="AA1044" s="123"/>
      <c r="AB1044" s="238"/>
      <c r="AC1044" s="123"/>
      <c r="AD1044" s="123"/>
      <c r="AE1044" s="160"/>
      <c r="AF1044" s="160"/>
      <c r="AG1044" s="165"/>
      <c r="AH1044" s="123"/>
      <c r="AI1044" s="236"/>
      <c r="AJ1044" s="236"/>
      <c r="AK1044" s="165"/>
      <c r="AL1044" s="123"/>
      <c r="AM1044" s="123"/>
      <c r="AN1044" s="123"/>
      <c r="AO1044" s="160"/>
      <c r="AP1044" s="160"/>
      <c r="AR1044" s="41"/>
      <c r="AS1044" s="41"/>
      <c r="AT1044" s="41"/>
      <c r="AU1044" s="41"/>
      <c r="AV1044" s="41"/>
      <c r="AW1044" s="41"/>
      <c r="AX1044" s="41"/>
      <c r="AY1044" s="41"/>
      <c r="AZ1044" s="41"/>
      <c r="BA1044" s="41"/>
      <c r="BB1044" s="41"/>
      <c r="BC1044" s="41"/>
      <c r="BD1044" s="41"/>
      <c r="BE1044" s="41"/>
      <c r="BF1044" s="41"/>
      <c r="BG1044" s="41"/>
      <c r="BH1044" s="41"/>
      <c r="BI1044" s="41"/>
      <c r="BJ1044" s="41"/>
      <c r="BK1044" s="41"/>
      <c r="BL1044" s="41"/>
      <c r="BM1044" s="41"/>
      <c r="BN1044" s="41"/>
      <c r="BO1044" s="41"/>
      <c r="BP1044" s="41"/>
      <c r="BQ1044" s="41"/>
      <c r="BR1044" s="41"/>
      <c r="BS1044" s="41"/>
      <c r="BT1044" s="41"/>
      <c r="BU1044" s="41"/>
      <c r="BV1044" s="41"/>
      <c r="BW1044" s="41"/>
      <c r="BX1044" s="41"/>
      <c r="BY1044" s="41"/>
    </row>
    <row r="1045" spans="1:77" s="214" customFormat="1" x14ac:dyDescent="0.3">
      <c r="A1045" s="41"/>
      <c r="B1045" s="41"/>
      <c r="C1045" s="42"/>
      <c r="D1045" s="41"/>
      <c r="E1045" s="41"/>
      <c r="F1045" s="41"/>
      <c r="G1045" s="41"/>
      <c r="H1045" s="184"/>
      <c r="I1045" s="184"/>
      <c r="J1045" s="238"/>
      <c r="K1045" s="238"/>
      <c r="L1045" s="123"/>
      <c r="M1045" s="123"/>
      <c r="N1045" s="160"/>
      <c r="O1045" s="160"/>
      <c r="P1045" s="123"/>
      <c r="Q1045" s="123"/>
      <c r="R1045" s="123"/>
      <c r="S1045" s="41"/>
      <c r="T1045" s="41"/>
      <c r="U1045" s="41"/>
      <c r="V1045" s="210"/>
      <c r="W1045" s="41"/>
      <c r="X1045" s="41"/>
      <c r="Y1045" s="41"/>
      <c r="Z1045" s="41"/>
      <c r="AA1045" s="210"/>
      <c r="AB1045" s="213"/>
      <c r="AC1045" s="210"/>
      <c r="AD1045" s="210"/>
      <c r="AE1045" s="210"/>
      <c r="AF1045" s="210"/>
      <c r="AH1045" s="210"/>
      <c r="AI1045" s="41"/>
      <c r="AJ1045" s="41"/>
      <c r="AL1045" s="210"/>
      <c r="AM1045" s="210"/>
      <c r="AN1045" s="210"/>
      <c r="AO1045" s="41"/>
      <c r="AP1045" s="41"/>
      <c r="AR1045" s="41"/>
      <c r="AS1045" s="41"/>
      <c r="AT1045" s="41"/>
      <c r="AU1045" s="41"/>
      <c r="AV1045" s="41"/>
      <c r="AW1045" s="41"/>
      <c r="AX1045" s="41"/>
      <c r="AY1045" s="41"/>
      <c r="AZ1045" s="41"/>
      <c r="BA1045" s="41"/>
      <c r="BB1045" s="41"/>
      <c r="BC1045" s="41"/>
      <c r="BD1045" s="41"/>
      <c r="BE1045" s="41"/>
      <c r="BF1045" s="41"/>
      <c r="BG1045" s="41"/>
      <c r="BH1045" s="41"/>
      <c r="BI1045" s="41"/>
      <c r="BJ1045" s="41"/>
      <c r="BK1045" s="41"/>
      <c r="BL1045" s="41"/>
      <c r="BM1045" s="41"/>
      <c r="BN1045" s="41"/>
      <c r="BO1045" s="41"/>
      <c r="BP1045" s="41"/>
      <c r="BQ1045" s="41"/>
      <c r="BR1045" s="41"/>
      <c r="BS1045" s="41"/>
      <c r="BT1045" s="41"/>
      <c r="BU1045" s="41"/>
      <c r="BV1045" s="41"/>
      <c r="BW1045" s="41"/>
      <c r="BX1045" s="41"/>
      <c r="BY1045" s="41"/>
    </row>
    <row r="1046" spans="1:77" s="214" customFormat="1" x14ac:dyDescent="0.3">
      <c r="A1046" s="41"/>
      <c r="B1046" s="41"/>
      <c r="C1046" s="41"/>
      <c r="D1046" s="41"/>
      <c r="E1046" s="41"/>
      <c r="F1046" s="184"/>
      <c r="G1046" s="41"/>
      <c r="H1046" s="210"/>
      <c r="I1046" s="210"/>
      <c r="J1046" s="238"/>
      <c r="K1046" s="238"/>
      <c r="L1046" s="210"/>
      <c r="M1046" s="210"/>
      <c r="N1046" s="210"/>
      <c r="O1046" s="210"/>
      <c r="P1046" s="210"/>
      <c r="Q1046" s="210"/>
      <c r="R1046" s="210"/>
      <c r="S1046" s="41"/>
      <c r="T1046" s="42"/>
      <c r="U1046" s="41"/>
      <c r="V1046" s="123"/>
      <c r="W1046" s="123"/>
      <c r="X1046" s="123"/>
      <c r="Y1046" s="123"/>
      <c r="Z1046" s="123"/>
      <c r="AA1046" s="123"/>
      <c r="AB1046" s="237"/>
      <c r="AC1046" s="123"/>
      <c r="AD1046" s="123"/>
      <c r="AE1046" s="160"/>
      <c r="AF1046" s="160"/>
      <c r="AG1046" s="165"/>
      <c r="AH1046" s="123"/>
      <c r="AI1046" s="236"/>
      <c r="AJ1046" s="236"/>
      <c r="AK1046" s="233"/>
      <c r="AL1046" s="184"/>
      <c r="AM1046" s="123"/>
      <c r="AN1046" s="123"/>
      <c r="AO1046" s="160"/>
      <c r="AP1046" s="160"/>
      <c r="AR1046" s="41"/>
      <c r="AS1046" s="41"/>
      <c r="AT1046" s="41"/>
      <c r="AU1046" s="41"/>
      <c r="AV1046" s="41"/>
      <c r="AW1046" s="41"/>
      <c r="AX1046" s="41"/>
      <c r="AY1046" s="41"/>
      <c r="AZ1046" s="41"/>
      <c r="BA1046" s="41"/>
      <c r="BB1046" s="41"/>
      <c r="BC1046" s="41"/>
      <c r="BD1046" s="41"/>
      <c r="BE1046" s="41"/>
      <c r="BF1046" s="41"/>
      <c r="BG1046" s="41"/>
      <c r="BH1046" s="41"/>
      <c r="BI1046" s="41"/>
      <c r="BJ1046" s="41"/>
      <c r="BK1046" s="41"/>
      <c r="BL1046" s="41"/>
      <c r="BM1046" s="41"/>
      <c r="BN1046" s="41"/>
      <c r="BO1046" s="41"/>
      <c r="BP1046" s="41"/>
      <c r="BQ1046" s="41"/>
      <c r="BR1046" s="41"/>
      <c r="BS1046" s="41"/>
      <c r="BT1046" s="41"/>
      <c r="BU1046" s="41"/>
      <c r="BV1046" s="41"/>
      <c r="BW1046" s="41"/>
      <c r="BX1046" s="41"/>
      <c r="BY1046" s="41"/>
    </row>
    <row r="1047" spans="1:77" s="214" customFormat="1" x14ac:dyDescent="0.3">
      <c r="A1047" s="41"/>
      <c r="B1047" s="41"/>
      <c r="C1047" s="42"/>
      <c r="D1047" s="41"/>
      <c r="E1047" s="41"/>
      <c r="F1047" s="210"/>
      <c r="G1047" s="41"/>
      <c r="H1047" s="123"/>
      <c r="I1047" s="123"/>
      <c r="J1047" s="188"/>
      <c r="K1047" s="188"/>
      <c r="L1047" s="123"/>
      <c r="M1047" s="123"/>
      <c r="N1047" s="160"/>
      <c r="O1047" s="160"/>
      <c r="P1047" s="184"/>
      <c r="Q1047" s="184"/>
      <c r="R1047" s="123"/>
      <c r="S1047" s="41"/>
      <c r="T1047" s="41"/>
      <c r="U1047" s="41"/>
      <c r="V1047" s="210"/>
      <c r="W1047" s="41"/>
      <c r="X1047" s="41"/>
      <c r="Y1047" s="41"/>
      <c r="Z1047" s="41"/>
      <c r="AA1047" s="210"/>
      <c r="AB1047" s="213"/>
      <c r="AC1047" s="210"/>
      <c r="AD1047" s="210"/>
      <c r="AE1047" s="210"/>
      <c r="AF1047" s="210"/>
      <c r="AH1047" s="210"/>
      <c r="AI1047" s="41"/>
      <c r="AJ1047" s="41"/>
      <c r="AL1047" s="210"/>
      <c r="AM1047" s="210"/>
      <c r="AN1047" s="210"/>
      <c r="AO1047" s="41"/>
      <c r="AP1047" s="41"/>
      <c r="AR1047" s="41"/>
      <c r="AS1047" s="41"/>
      <c r="AT1047" s="41"/>
      <c r="AU1047" s="41"/>
      <c r="AV1047" s="41"/>
      <c r="AW1047" s="41"/>
      <c r="AX1047" s="41"/>
      <c r="AY1047" s="41"/>
      <c r="AZ1047" s="41"/>
      <c r="BA1047" s="41"/>
      <c r="BB1047" s="41"/>
      <c r="BC1047" s="41"/>
      <c r="BD1047" s="41"/>
      <c r="BE1047" s="41"/>
      <c r="BF1047" s="41"/>
      <c r="BG1047" s="41"/>
      <c r="BH1047" s="41"/>
      <c r="BI1047" s="41"/>
      <c r="BJ1047" s="41"/>
      <c r="BK1047" s="41"/>
      <c r="BL1047" s="41"/>
      <c r="BM1047" s="41"/>
      <c r="BN1047" s="41"/>
      <c r="BO1047" s="41"/>
      <c r="BP1047" s="41"/>
      <c r="BQ1047" s="41"/>
      <c r="BR1047" s="41"/>
      <c r="BS1047" s="41"/>
      <c r="BT1047" s="41"/>
      <c r="BU1047" s="41"/>
      <c r="BV1047" s="41"/>
      <c r="BW1047" s="41"/>
      <c r="BX1047" s="41"/>
      <c r="BY1047" s="41"/>
    </row>
    <row r="1048" spans="1:77" s="214" customFormat="1" x14ac:dyDescent="0.3">
      <c r="A1048" s="41"/>
      <c r="B1048" s="41"/>
      <c r="C1048" s="41"/>
      <c r="D1048" s="41"/>
      <c r="E1048" s="41"/>
      <c r="F1048" s="123"/>
      <c r="G1048" s="41"/>
      <c r="H1048" s="210"/>
      <c r="I1048" s="210"/>
      <c r="J1048" s="238"/>
      <c r="K1048" s="238"/>
      <c r="L1048" s="210"/>
      <c r="M1048" s="210"/>
      <c r="N1048" s="210"/>
      <c r="O1048" s="210"/>
      <c r="P1048" s="210"/>
      <c r="Q1048" s="210"/>
      <c r="R1048" s="210"/>
      <c r="S1048" s="41"/>
      <c r="T1048" s="42"/>
      <c r="U1048" s="42"/>
      <c r="V1048" s="123"/>
      <c r="W1048" s="123"/>
      <c r="X1048" s="123"/>
      <c r="Y1048" s="123"/>
      <c r="Z1048" s="123"/>
      <c r="AA1048" s="123"/>
      <c r="AB1048" s="237"/>
      <c r="AC1048" s="41"/>
      <c r="AD1048" s="41"/>
      <c r="AE1048" s="41"/>
      <c r="AF1048" s="41"/>
      <c r="AG1048" s="165"/>
      <c r="AH1048" s="41"/>
      <c r="AI1048" s="41"/>
      <c r="AJ1048" s="41"/>
      <c r="AK1048" s="165"/>
      <c r="AL1048" s="41"/>
      <c r="AM1048" s="41"/>
      <c r="AN1048" s="41"/>
      <c r="AO1048" s="41"/>
      <c r="AP1048" s="41"/>
      <c r="AR1048" s="41"/>
      <c r="AS1048" s="41"/>
      <c r="AT1048" s="41"/>
      <c r="AU1048" s="41"/>
      <c r="AV1048" s="41"/>
      <c r="AW1048" s="41"/>
      <c r="AX1048" s="41"/>
      <c r="AY1048" s="41"/>
      <c r="AZ1048" s="41"/>
      <c r="BA1048" s="41"/>
      <c r="BB1048" s="41"/>
      <c r="BC1048" s="41"/>
      <c r="BD1048" s="41"/>
      <c r="BE1048" s="41"/>
      <c r="BF1048" s="41"/>
      <c r="BG1048" s="41"/>
      <c r="BH1048" s="41"/>
      <c r="BI1048" s="41"/>
      <c r="BJ1048" s="41"/>
      <c r="BK1048" s="41"/>
      <c r="BL1048" s="41"/>
      <c r="BM1048" s="41"/>
      <c r="BN1048" s="41"/>
      <c r="BO1048" s="41"/>
      <c r="BP1048" s="41"/>
      <c r="BQ1048" s="41"/>
      <c r="BR1048" s="41"/>
      <c r="BS1048" s="41"/>
      <c r="BT1048" s="41"/>
      <c r="BU1048" s="41"/>
      <c r="BV1048" s="41"/>
      <c r="BW1048" s="41"/>
      <c r="BX1048" s="41"/>
      <c r="BY1048" s="41"/>
    </row>
    <row r="1049" spans="1:77" s="214" customFormat="1" x14ac:dyDescent="0.3">
      <c r="A1049" s="41"/>
      <c r="B1049" s="41"/>
      <c r="C1049" s="42"/>
      <c r="D1049" s="42"/>
      <c r="E1049" s="42"/>
      <c r="F1049" s="210"/>
      <c r="G1049" s="41"/>
      <c r="H1049" s="41"/>
      <c r="I1049" s="41"/>
      <c r="J1049" s="188"/>
      <c r="K1049" s="188"/>
      <c r="L1049" s="41"/>
      <c r="M1049" s="41"/>
      <c r="N1049" s="41"/>
      <c r="O1049" s="41"/>
      <c r="P1049" s="41"/>
      <c r="Q1049" s="41"/>
      <c r="R1049" s="41"/>
      <c r="S1049" s="41"/>
      <c r="T1049" s="42"/>
      <c r="U1049" s="41"/>
      <c r="V1049" s="123"/>
      <c r="W1049" s="123"/>
      <c r="X1049" s="123"/>
      <c r="Y1049" s="123"/>
      <c r="Z1049" s="123"/>
      <c r="AA1049" s="123"/>
      <c r="AB1049" s="237"/>
      <c r="AC1049" s="41"/>
      <c r="AD1049" s="41"/>
      <c r="AE1049" s="41"/>
      <c r="AF1049" s="41"/>
      <c r="AG1049" s="165"/>
      <c r="AH1049" s="41"/>
      <c r="AI1049" s="41"/>
      <c r="AJ1049" s="41"/>
      <c r="AK1049" s="165"/>
      <c r="AL1049" s="41"/>
      <c r="AM1049" s="41"/>
      <c r="AN1049" s="41"/>
      <c r="AO1049" s="41"/>
      <c r="AP1049" s="41"/>
      <c r="AR1049" s="41"/>
      <c r="AS1049" s="41"/>
      <c r="AT1049" s="41"/>
      <c r="AU1049" s="41"/>
      <c r="AV1049" s="41"/>
      <c r="AW1049" s="41"/>
      <c r="AX1049" s="41"/>
      <c r="AY1049" s="41"/>
      <c r="AZ1049" s="41"/>
      <c r="BA1049" s="41"/>
      <c r="BB1049" s="41"/>
      <c r="BC1049" s="41"/>
      <c r="BD1049" s="41"/>
      <c r="BE1049" s="41"/>
      <c r="BF1049" s="41"/>
      <c r="BG1049" s="41"/>
      <c r="BH1049" s="41"/>
      <c r="BI1049" s="41"/>
      <c r="BJ1049" s="41"/>
      <c r="BK1049" s="41"/>
      <c r="BL1049" s="41"/>
      <c r="BM1049" s="41"/>
      <c r="BN1049" s="41"/>
      <c r="BO1049" s="41"/>
      <c r="BP1049" s="41"/>
      <c r="BQ1049" s="41"/>
      <c r="BR1049" s="41"/>
      <c r="BS1049" s="41"/>
      <c r="BT1049" s="41"/>
      <c r="BU1049" s="41"/>
      <c r="BV1049" s="41"/>
      <c r="BW1049" s="41"/>
      <c r="BX1049" s="41"/>
      <c r="BY1049" s="41"/>
    </row>
    <row r="1050" spans="1:77" s="214" customFormat="1" x14ac:dyDescent="0.3">
      <c r="A1050" s="41"/>
      <c r="B1050" s="41"/>
      <c r="C1050" s="42"/>
      <c r="D1050" s="41"/>
      <c r="E1050" s="41"/>
      <c r="F1050" s="41"/>
      <c r="G1050" s="41"/>
      <c r="H1050" s="41"/>
      <c r="I1050" s="41"/>
      <c r="J1050" s="188"/>
      <c r="K1050" s="188"/>
      <c r="L1050" s="41"/>
      <c r="M1050" s="41"/>
      <c r="N1050" s="41"/>
      <c r="O1050" s="41"/>
      <c r="P1050" s="41"/>
      <c r="Q1050" s="41"/>
      <c r="R1050" s="41"/>
      <c r="S1050" s="41"/>
      <c r="T1050" s="42"/>
      <c r="U1050" s="41"/>
      <c r="V1050" s="123"/>
      <c r="W1050" s="123"/>
      <c r="X1050" s="123"/>
      <c r="Y1050" s="123"/>
      <c r="Z1050" s="123"/>
      <c r="AA1050" s="123"/>
      <c r="AB1050" s="237"/>
      <c r="AC1050" s="123"/>
      <c r="AD1050" s="123"/>
      <c r="AE1050" s="160"/>
      <c r="AF1050" s="160"/>
      <c r="AG1050" s="165"/>
      <c r="AH1050" s="123"/>
      <c r="AI1050" s="236"/>
      <c r="AJ1050" s="236"/>
      <c r="AK1050" s="165"/>
      <c r="AL1050" s="123"/>
      <c r="AM1050" s="123"/>
      <c r="AN1050" s="123"/>
      <c r="AO1050" s="160"/>
      <c r="AP1050" s="160"/>
      <c r="AR1050" s="41"/>
      <c r="AS1050" s="41"/>
      <c r="AT1050" s="41"/>
      <c r="AU1050" s="41"/>
      <c r="AV1050" s="41"/>
      <c r="AW1050" s="41"/>
      <c r="AX1050" s="41"/>
      <c r="AY1050" s="41"/>
      <c r="AZ1050" s="41"/>
      <c r="BA1050" s="41"/>
      <c r="BB1050" s="41"/>
      <c r="BC1050" s="41"/>
      <c r="BD1050" s="41"/>
      <c r="BE1050" s="41"/>
      <c r="BF1050" s="41"/>
      <c r="BG1050" s="41"/>
      <c r="BH1050" s="41"/>
      <c r="BI1050" s="41"/>
      <c r="BJ1050" s="41"/>
      <c r="BK1050" s="41"/>
      <c r="BL1050" s="41"/>
      <c r="BM1050" s="41"/>
      <c r="BN1050" s="41"/>
      <c r="BO1050" s="41"/>
      <c r="BP1050" s="41"/>
      <c r="BQ1050" s="41"/>
      <c r="BR1050" s="41"/>
      <c r="BS1050" s="41"/>
      <c r="BT1050" s="41"/>
      <c r="BU1050" s="41"/>
      <c r="BV1050" s="41"/>
      <c r="BW1050" s="41"/>
      <c r="BX1050" s="41"/>
      <c r="BY1050" s="41"/>
    </row>
    <row r="1051" spans="1:77" s="214" customFormat="1" x14ac:dyDescent="0.3">
      <c r="A1051" s="41"/>
      <c r="B1051" s="41"/>
      <c r="C1051" s="42"/>
      <c r="D1051" s="41"/>
      <c r="E1051" s="41"/>
      <c r="F1051" s="41"/>
      <c r="G1051" s="41"/>
      <c r="H1051" s="41"/>
      <c r="I1051" s="41"/>
      <c r="J1051" s="188"/>
      <c r="K1051" s="188"/>
      <c r="L1051" s="41"/>
      <c r="M1051" s="41"/>
      <c r="N1051" s="41"/>
      <c r="O1051" s="41"/>
      <c r="P1051" s="41"/>
      <c r="Q1051" s="41"/>
      <c r="R1051" s="41"/>
      <c r="S1051" s="41"/>
      <c r="T1051" s="42"/>
      <c r="U1051" s="41"/>
      <c r="V1051" s="123"/>
      <c r="W1051" s="123"/>
      <c r="X1051" s="123"/>
      <c r="Y1051" s="123"/>
      <c r="Z1051" s="123"/>
      <c r="AA1051" s="123"/>
      <c r="AB1051" s="237"/>
      <c r="AC1051" s="41"/>
      <c r="AD1051" s="41"/>
      <c r="AE1051" s="41"/>
      <c r="AF1051" s="41"/>
      <c r="AG1051" s="165"/>
      <c r="AH1051" s="41"/>
      <c r="AI1051" s="41"/>
      <c r="AJ1051" s="41"/>
      <c r="AK1051" s="165"/>
      <c r="AL1051" s="41"/>
      <c r="AM1051" s="41"/>
      <c r="AN1051" s="41"/>
      <c r="AO1051" s="41"/>
      <c r="AP1051" s="41"/>
      <c r="AR1051" s="41"/>
      <c r="AS1051" s="41"/>
      <c r="AT1051" s="41"/>
      <c r="AU1051" s="41"/>
      <c r="AV1051" s="41"/>
      <c r="AW1051" s="41"/>
      <c r="AX1051" s="41"/>
      <c r="AY1051" s="41"/>
      <c r="AZ1051" s="41"/>
      <c r="BA1051" s="41"/>
      <c r="BB1051" s="41"/>
      <c r="BC1051" s="41"/>
      <c r="BD1051" s="41"/>
      <c r="BE1051" s="41"/>
      <c r="BF1051" s="41"/>
      <c r="BG1051" s="41"/>
      <c r="BH1051" s="41"/>
      <c r="BI1051" s="41"/>
      <c r="BJ1051" s="41"/>
      <c r="BK1051" s="41"/>
      <c r="BL1051" s="41"/>
      <c r="BM1051" s="41"/>
      <c r="BN1051" s="41"/>
      <c r="BO1051" s="41"/>
      <c r="BP1051" s="41"/>
      <c r="BQ1051" s="41"/>
      <c r="BR1051" s="41"/>
      <c r="BS1051" s="41"/>
      <c r="BT1051" s="41"/>
      <c r="BU1051" s="41"/>
      <c r="BV1051" s="41"/>
      <c r="BW1051" s="41"/>
      <c r="BX1051" s="41"/>
      <c r="BY1051" s="41"/>
    </row>
    <row r="1052" spans="1:77" s="214" customFormat="1" x14ac:dyDescent="0.3">
      <c r="A1052" s="41"/>
      <c r="B1052" s="41"/>
      <c r="C1052" s="42"/>
      <c r="D1052" s="41"/>
      <c r="E1052" s="41"/>
      <c r="F1052" s="41"/>
      <c r="G1052" s="41"/>
      <c r="H1052" s="184"/>
      <c r="I1052" s="184"/>
      <c r="J1052" s="238"/>
      <c r="K1052" s="238"/>
      <c r="L1052" s="123"/>
      <c r="M1052" s="123"/>
      <c r="N1052" s="160"/>
      <c r="O1052" s="160"/>
      <c r="P1052" s="123"/>
      <c r="Q1052" s="123"/>
      <c r="R1052" s="123"/>
      <c r="S1052" s="41"/>
      <c r="T1052" s="42"/>
      <c r="U1052" s="41"/>
      <c r="V1052" s="123"/>
      <c r="W1052" s="123"/>
      <c r="X1052" s="123"/>
      <c r="Y1052" s="123"/>
      <c r="Z1052" s="123"/>
      <c r="AA1052" s="123"/>
      <c r="AB1052" s="237"/>
      <c r="AC1052" s="123"/>
      <c r="AD1052" s="123"/>
      <c r="AE1052" s="160"/>
      <c r="AF1052" s="160"/>
      <c r="AG1052" s="165"/>
      <c r="AH1052" s="123"/>
      <c r="AI1052" s="236"/>
      <c r="AJ1052" s="236"/>
      <c r="AK1052" s="165"/>
      <c r="AL1052" s="123"/>
      <c r="AM1052" s="123"/>
      <c r="AN1052" s="123"/>
      <c r="AO1052" s="160"/>
      <c r="AP1052" s="160"/>
      <c r="AR1052" s="41"/>
      <c r="AS1052" s="41"/>
      <c r="AT1052" s="41"/>
      <c r="AU1052" s="41"/>
      <c r="AV1052" s="41"/>
      <c r="AW1052" s="41"/>
      <c r="AX1052" s="41"/>
      <c r="AY1052" s="41"/>
      <c r="AZ1052" s="41"/>
      <c r="BA1052" s="41"/>
      <c r="BB1052" s="41"/>
      <c r="BC1052" s="41"/>
      <c r="BD1052" s="41"/>
      <c r="BE1052" s="41"/>
      <c r="BF1052" s="41"/>
      <c r="BG1052" s="41"/>
      <c r="BH1052" s="41"/>
      <c r="BI1052" s="41"/>
      <c r="BJ1052" s="41"/>
      <c r="BK1052" s="41"/>
      <c r="BL1052" s="41"/>
      <c r="BM1052" s="41"/>
      <c r="BN1052" s="41"/>
      <c r="BO1052" s="41"/>
      <c r="BP1052" s="41"/>
      <c r="BQ1052" s="41"/>
      <c r="BR1052" s="41"/>
      <c r="BS1052" s="41"/>
      <c r="BT1052" s="41"/>
      <c r="BU1052" s="41"/>
      <c r="BV1052" s="41"/>
      <c r="BW1052" s="41"/>
      <c r="BX1052" s="41"/>
      <c r="BY1052" s="41"/>
    </row>
    <row r="1053" spans="1:77" s="214" customFormat="1" x14ac:dyDescent="0.3">
      <c r="A1053" s="41"/>
      <c r="B1053" s="41"/>
      <c r="C1053" s="42"/>
      <c r="D1053" s="41"/>
      <c r="E1053" s="41"/>
      <c r="F1053" s="184"/>
      <c r="G1053" s="41"/>
      <c r="H1053" s="41"/>
      <c r="I1053" s="41"/>
      <c r="J1053" s="188"/>
      <c r="K1053" s="188"/>
      <c r="L1053" s="41"/>
      <c r="M1053" s="41"/>
      <c r="N1053" s="41"/>
      <c r="O1053" s="41"/>
      <c r="P1053" s="41"/>
      <c r="Q1053" s="41"/>
      <c r="R1053" s="41"/>
      <c r="S1053" s="41"/>
      <c r="T1053" s="42"/>
      <c r="U1053" s="41"/>
      <c r="V1053" s="123"/>
      <c r="W1053" s="123"/>
      <c r="X1053" s="123"/>
      <c r="Y1053" s="123"/>
      <c r="Z1053" s="123"/>
      <c r="AA1053" s="123"/>
      <c r="AB1053" s="237"/>
      <c r="AC1053" s="41"/>
      <c r="AD1053" s="41"/>
      <c r="AE1053" s="41"/>
      <c r="AF1053" s="41"/>
      <c r="AG1053" s="165"/>
      <c r="AH1053" s="41"/>
      <c r="AI1053" s="41"/>
      <c r="AJ1053" s="41"/>
      <c r="AK1053" s="165"/>
      <c r="AL1053" s="41"/>
      <c r="AM1053" s="41"/>
      <c r="AN1053" s="41"/>
      <c r="AO1053" s="41"/>
      <c r="AP1053" s="41"/>
      <c r="AR1053" s="41"/>
      <c r="AS1053" s="41"/>
      <c r="AT1053" s="41"/>
      <c r="AU1053" s="41"/>
      <c r="AV1053" s="41"/>
      <c r="AW1053" s="41"/>
      <c r="AX1053" s="41"/>
      <c r="AY1053" s="41"/>
      <c r="AZ1053" s="41"/>
      <c r="BA1053" s="41"/>
      <c r="BB1053" s="41"/>
      <c r="BC1053" s="41"/>
      <c r="BD1053" s="41"/>
      <c r="BE1053" s="41"/>
      <c r="BF1053" s="41"/>
      <c r="BG1053" s="41"/>
      <c r="BH1053" s="41"/>
      <c r="BI1053" s="41"/>
      <c r="BJ1053" s="41"/>
      <c r="BK1053" s="41"/>
      <c r="BL1053" s="41"/>
      <c r="BM1053" s="41"/>
      <c r="BN1053" s="41"/>
      <c r="BO1053" s="41"/>
      <c r="BP1053" s="41"/>
      <c r="BQ1053" s="41"/>
      <c r="BR1053" s="41"/>
      <c r="BS1053" s="41"/>
      <c r="BT1053" s="41"/>
      <c r="BU1053" s="41"/>
      <c r="BV1053" s="41"/>
      <c r="BW1053" s="41"/>
      <c r="BX1053" s="41"/>
      <c r="BY1053" s="41"/>
    </row>
    <row r="1054" spans="1:77" s="214" customFormat="1" x14ac:dyDescent="0.3">
      <c r="A1054" s="41"/>
      <c r="B1054" s="41"/>
      <c r="C1054" s="42"/>
      <c r="D1054" s="41"/>
      <c r="E1054" s="41"/>
      <c r="F1054" s="41"/>
      <c r="G1054" s="41"/>
      <c r="H1054" s="184"/>
      <c r="I1054" s="184"/>
      <c r="J1054" s="238"/>
      <c r="K1054" s="238"/>
      <c r="L1054" s="123"/>
      <c r="M1054" s="123"/>
      <c r="N1054" s="160"/>
      <c r="O1054" s="160"/>
      <c r="P1054" s="123"/>
      <c r="Q1054" s="123"/>
      <c r="R1054" s="123"/>
      <c r="S1054" s="41"/>
      <c r="T1054" s="42"/>
      <c r="U1054" s="41"/>
      <c r="V1054" s="123"/>
      <c r="W1054" s="123"/>
      <c r="X1054" s="123"/>
      <c r="Y1054" s="123"/>
      <c r="Z1054" s="123"/>
      <c r="AA1054" s="123"/>
      <c r="AB1054" s="237"/>
      <c r="AC1054" s="123"/>
      <c r="AD1054" s="123"/>
      <c r="AE1054" s="160"/>
      <c r="AF1054" s="160"/>
      <c r="AG1054" s="165"/>
      <c r="AH1054" s="123"/>
      <c r="AI1054" s="236"/>
      <c r="AJ1054" s="236"/>
      <c r="AK1054" s="165"/>
      <c r="AL1054" s="123"/>
      <c r="AM1054" s="123"/>
      <c r="AN1054" s="123"/>
      <c r="AO1054" s="160"/>
      <c r="AP1054" s="160"/>
      <c r="AR1054" s="41"/>
      <c r="AS1054" s="41"/>
      <c r="AT1054" s="41"/>
      <c r="AU1054" s="41"/>
      <c r="AV1054" s="41"/>
      <c r="AW1054" s="41"/>
      <c r="AX1054" s="41"/>
      <c r="AY1054" s="41"/>
      <c r="AZ1054" s="41"/>
      <c r="BA1054" s="41"/>
      <c r="BB1054" s="41"/>
      <c r="BC1054" s="41"/>
      <c r="BD1054" s="41"/>
      <c r="BE1054" s="41"/>
      <c r="BF1054" s="41"/>
      <c r="BG1054" s="41"/>
      <c r="BH1054" s="41"/>
      <c r="BI1054" s="41"/>
      <c r="BJ1054" s="41"/>
      <c r="BK1054" s="41"/>
      <c r="BL1054" s="41"/>
      <c r="BM1054" s="41"/>
      <c r="BN1054" s="41"/>
      <c r="BO1054" s="41"/>
      <c r="BP1054" s="41"/>
      <c r="BQ1054" s="41"/>
      <c r="BR1054" s="41"/>
      <c r="BS1054" s="41"/>
      <c r="BT1054" s="41"/>
      <c r="BU1054" s="41"/>
      <c r="BV1054" s="41"/>
      <c r="BW1054" s="41"/>
      <c r="BX1054" s="41"/>
      <c r="BY1054" s="41"/>
    </row>
    <row r="1055" spans="1:77" s="214" customFormat="1" x14ac:dyDescent="0.3">
      <c r="A1055" s="41"/>
      <c r="B1055" s="41"/>
      <c r="C1055" s="41"/>
      <c r="D1055" s="41"/>
      <c r="E1055" s="41"/>
      <c r="F1055" s="184"/>
      <c r="G1055" s="41"/>
      <c r="H1055" s="210"/>
      <c r="I1055" s="210"/>
      <c r="J1055" s="238"/>
      <c r="K1055" s="238"/>
      <c r="L1055" s="210"/>
      <c r="M1055" s="210"/>
      <c r="N1055" s="210"/>
      <c r="O1055" s="210"/>
      <c r="P1055" s="210"/>
      <c r="Q1055" s="210"/>
      <c r="R1055" s="210"/>
      <c r="S1055" s="41"/>
      <c r="T1055" s="42"/>
      <c r="U1055" s="41"/>
      <c r="V1055" s="123"/>
      <c r="W1055" s="123"/>
      <c r="X1055" s="123"/>
      <c r="Y1055" s="123"/>
      <c r="Z1055" s="123"/>
      <c r="AA1055" s="123"/>
      <c r="AB1055" s="237"/>
      <c r="AC1055" s="41"/>
      <c r="AD1055" s="41"/>
      <c r="AE1055" s="41"/>
      <c r="AF1055" s="41"/>
      <c r="AG1055" s="165"/>
      <c r="AH1055" s="41"/>
      <c r="AI1055" s="41"/>
      <c r="AJ1055" s="41"/>
      <c r="AK1055" s="165"/>
      <c r="AL1055" s="41"/>
      <c r="AM1055" s="41"/>
      <c r="AN1055" s="41"/>
      <c r="AO1055" s="41"/>
      <c r="AP1055" s="41"/>
      <c r="AR1055" s="41"/>
      <c r="AS1055" s="41"/>
      <c r="AT1055" s="41"/>
      <c r="AU1055" s="41"/>
      <c r="AV1055" s="41"/>
      <c r="AW1055" s="41"/>
      <c r="AX1055" s="41"/>
      <c r="AY1055" s="41"/>
      <c r="AZ1055" s="41"/>
      <c r="BA1055" s="41"/>
      <c r="BB1055" s="41"/>
      <c r="BC1055" s="41"/>
      <c r="BD1055" s="41"/>
      <c r="BE1055" s="41"/>
      <c r="BF1055" s="41"/>
      <c r="BG1055" s="41"/>
      <c r="BH1055" s="41"/>
      <c r="BI1055" s="41"/>
      <c r="BJ1055" s="41"/>
      <c r="BK1055" s="41"/>
      <c r="BL1055" s="41"/>
      <c r="BM1055" s="41"/>
      <c r="BN1055" s="41"/>
      <c r="BO1055" s="41"/>
      <c r="BP1055" s="41"/>
      <c r="BQ1055" s="41"/>
      <c r="BR1055" s="41"/>
      <c r="BS1055" s="41"/>
      <c r="BT1055" s="41"/>
      <c r="BU1055" s="41"/>
      <c r="BV1055" s="41"/>
      <c r="BW1055" s="41"/>
      <c r="BX1055" s="41"/>
      <c r="BY1055" s="41"/>
    </row>
    <row r="1056" spans="1:77" s="214" customFormat="1" x14ac:dyDescent="0.3">
      <c r="A1056" s="41"/>
      <c r="B1056" s="41"/>
      <c r="C1056" s="42"/>
      <c r="D1056" s="41"/>
      <c r="E1056" s="41"/>
      <c r="F1056" s="210"/>
      <c r="G1056" s="41"/>
      <c r="H1056" s="123"/>
      <c r="I1056" s="123"/>
      <c r="J1056" s="41"/>
      <c r="K1056" s="41"/>
      <c r="L1056" s="123"/>
      <c r="M1056" s="123"/>
      <c r="N1056" s="160"/>
      <c r="O1056" s="160"/>
      <c r="P1056" s="184"/>
      <c r="Q1056" s="184"/>
      <c r="R1056" s="123"/>
      <c r="S1056" s="41"/>
      <c r="T1056" s="42"/>
      <c r="U1056" s="41"/>
      <c r="V1056" s="123"/>
      <c r="W1056" s="123"/>
      <c r="X1056" s="123"/>
      <c r="Y1056" s="123"/>
      <c r="Z1056" s="123"/>
      <c r="AA1056" s="123"/>
      <c r="AB1056" s="237"/>
      <c r="AC1056" s="123"/>
      <c r="AD1056" s="123"/>
      <c r="AE1056" s="160"/>
      <c r="AF1056" s="160"/>
      <c r="AG1056" s="165"/>
      <c r="AH1056" s="123"/>
      <c r="AI1056" s="236"/>
      <c r="AJ1056" s="236"/>
      <c r="AK1056" s="165"/>
      <c r="AL1056" s="123"/>
      <c r="AM1056" s="123"/>
      <c r="AN1056" s="123"/>
      <c r="AO1056" s="160"/>
      <c r="AP1056" s="160"/>
      <c r="AR1056" s="41"/>
      <c r="AS1056" s="41"/>
      <c r="AT1056" s="41"/>
      <c r="AU1056" s="41"/>
      <c r="AV1056" s="41"/>
      <c r="AW1056" s="41"/>
      <c r="AX1056" s="41"/>
      <c r="AY1056" s="41"/>
      <c r="AZ1056" s="41"/>
      <c r="BA1056" s="41"/>
      <c r="BB1056" s="41"/>
      <c r="BC1056" s="41"/>
      <c r="BD1056" s="41"/>
      <c r="BE1056" s="41"/>
      <c r="BF1056" s="41"/>
      <c r="BG1056" s="41"/>
      <c r="BH1056" s="41"/>
      <c r="BI1056" s="41"/>
      <c r="BJ1056" s="41"/>
      <c r="BK1056" s="41"/>
      <c r="BL1056" s="41"/>
      <c r="BM1056" s="41"/>
      <c r="BN1056" s="41"/>
      <c r="BO1056" s="41"/>
      <c r="BP1056" s="41"/>
      <c r="BQ1056" s="41"/>
      <c r="BR1056" s="41"/>
      <c r="BS1056" s="41"/>
      <c r="BT1056" s="41"/>
      <c r="BU1056" s="41"/>
      <c r="BV1056" s="41"/>
      <c r="BW1056" s="41"/>
      <c r="BX1056" s="41"/>
      <c r="BY1056" s="41"/>
    </row>
    <row r="1057" spans="1:77" s="214" customFormat="1" x14ac:dyDescent="0.3">
      <c r="A1057" s="41"/>
      <c r="B1057" s="41"/>
      <c r="C1057" s="41"/>
      <c r="D1057" s="41"/>
      <c r="E1057" s="41"/>
      <c r="F1057" s="123"/>
      <c r="G1057" s="41"/>
      <c r="H1057" s="210"/>
      <c r="I1057" s="210"/>
      <c r="J1057" s="213"/>
      <c r="K1057" s="213"/>
      <c r="L1057" s="210"/>
      <c r="M1057" s="210"/>
      <c r="N1057" s="210"/>
      <c r="O1057" s="210"/>
      <c r="P1057" s="210"/>
      <c r="Q1057" s="210"/>
      <c r="R1057" s="210"/>
      <c r="S1057" s="41"/>
      <c r="T1057" s="41"/>
      <c r="U1057" s="41"/>
      <c r="V1057" s="210"/>
      <c r="W1057" s="41"/>
      <c r="X1057" s="41"/>
      <c r="Y1057" s="41"/>
      <c r="Z1057" s="41"/>
      <c r="AA1057" s="210"/>
      <c r="AB1057" s="213"/>
      <c r="AC1057" s="210"/>
      <c r="AD1057" s="210"/>
      <c r="AE1057" s="210"/>
      <c r="AF1057" s="210"/>
      <c r="AH1057" s="210"/>
      <c r="AI1057" s="41"/>
      <c r="AJ1057" s="41"/>
      <c r="AL1057" s="210"/>
      <c r="AM1057" s="210"/>
      <c r="AN1057" s="210"/>
      <c r="AO1057" s="41"/>
      <c r="AP1057" s="41"/>
      <c r="AR1057" s="41"/>
      <c r="AS1057" s="41"/>
      <c r="AT1057" s="41"/>
      <c r="AU1057" s="41"/>
      <c r="AV1057" s="41"/>
      <c r="AW1057" s="41"/>
      <c r="AX1057" s="41"/>
      <c r="AY1057" s="41"/>
      <c r="AZ1057" s="41"/>
      <c r="BA1057" s="41"/>
      <c r="BB1057" s="41"/>
      <c r="BC1057" s="41"/>
      <c r="BD1057" s="41"/>
      <c r="BE1057" s="41"/>
      <c r="BF1057" s="41"/>
      <c r="BG1057" s="41"/>
      <c r="BH1057" s="41"/>
      <c r="BI1057" s="41"/>
      <c r="BJ1057" s="41"/>
      <c r="BK1057" s="41"/>
      <c r="BL1057" s="41"/>
      <c r="BM1057" s="41"/>
      <c r="BN1057" s="41"/>
      <c r="BO1057" s="41"/>
      <c r="BP1057" s="41"/>
      <c r="BQ1057" s="41"/>
      <c r="BR1057" s="41"/>
      <c r="BS1057" s="41"/>
      <c r="BT1057" s="41"/>
      <c r="BU1057" s="41"/>
      <c r="BV1057" s="41"/>
      <c r="BW1057" s="41"/>
      <c r="BX1057" s="41"/>
      <c r="BY1057" s="41"/>
    </row>
    <row r="1058" spans="1:77" s="214" customFormat="1" x14ac:dyDescent="0.3">
      <c r="A1058" s="41"/>
      <c r="B1058" s="41"/>
      <c r="C1058" s="42"/>
      <c r="D1058" s="42"/>
      <c r="E1058" s="42"/>
      <c r="F1058" s="210"/>
      <c r="G1058" s="41"/>
      <c r="H1058" s="41"/>
      <c r="I1058" s="41"/>
      <c r="J1058" s="41"/>
      <c r="K1058" s="41"/>
      <c r="L1058" s="41"/>
      <c r="M1058" s="41"/>
      <c r="N1058" s="41"/>
      <c r="O1058" s="41"/>
      <c r="P1058" s="41"/>
      <c r="Q1058" s="41"/>
      <c r="R1058" s="41"/>
      <c r="S1058" s="41"/>
      <c r="T1058" s="42"/>
      <c r="U1058" s="41"/>
      <c r="V1058" s="123"/>
      <c r="W1058" s="123"/>
      <c r="X1058" s="123"/>
      <c r="Y1058" s="123"/>
      <c r="Z1058" s="123"/>
      <c r="AA1058" s="123"/>
      <c r="AB1058" s="237"/>
      <c r="AC1058" s="123"/>
      <c r="AD1058" s="123"/>
      <c r="AE1058" s="160"/>
      <c r="AF1058" s="160"/>
      <c r="AG1058" s="165"/>
      <c r="AH1058" s="123"/>
      <c r="AI1058" s="236"/>
      <c r="AJ1058" s="236"/>
      <c r="AK1058" s="233"/>
      <c r="AL1058" s="184"/>
      <c r="AM1058" s="123"/>
      <c r="AN1058" s="123"/>
      <c r="AO1058" s="160"/>
      <c r="AP1058" s="160"/>
      <c r="AR1058" s="41"/>
      <c r="AS1058" s="41"/>
      <c r="AT1058" s="41"/>
      <c r="AU1058" s="41"/>
      <c r="AV1058" s="41"/>
      <c r="AW1058" s="41"/>
      <c r="AX1058" s="41"/>
      <c r="AY1058" s="41"/>
      <c r="AZ1058" s="41"/>
      <c r="BA1058" s="41"/>
      <c r="BB1058" s="41"/>
      <c r="BC1058" s="41"/>
      <c r="BD1058" s="41"/>
      <c r="BE1058" s="41"/>
      <c r="BF1058" s="41"/>
      <c r="BG1058" s="41"/>
      <c r="BH1058" s="41"/>
      <c r="BI1058" s="41"/>
      <c r="BJ1058" s="41"/>
      <c r="BK1058" s="41"/>
      <c r="BL1058" s="41"/>
      <c r="BM1058" s="41"/>
      <c r="BN1058" s="41"/>
      <c r="BO1058" s="41"/>
      <c r="BP1058" s="41"/>
      <c r="BQ1058" s="41"/>
      <c r="BR1058" s="41"/>
      <c r="BS1058" s="41"/>
      <c r="BT1058" s="41"/>
      <c r="BU1058" s="41"/>
      <c r="BV1058" s="41"/>
      <c r="BW1058" s="41"/>
      <c r="BX1058" s="41"/>
      <c r="BY1058" s="41"/>
    </row>
    <row r="1059" spans="1:77" s="214" customFormat="1" x14ac:dyDescent="0.3">
      <c r="A1059" s="41"/>
      <c r="B1059" s="41"/>
      <c r="C1059" s="42"/>
      <c r="D1059" s="41"/>
      <c r="E1059" s="41"/>
      <c r="F1059" s="41"/>
      <c r="G1059" s="41"/>
      <c r="H1059" s="41"/>
      <c r="I1059" s="41"/>
      <c r="J1059" s="41"/>
      <c r="K1059" s="41"/>
      <c r="L1059" s="41"/>
      <c r="M1059" s="41"/>
      <c r="N1059" s="41"/>
      <c r="O1059" s="41"/>
      <c r="P1059" s="41"/>
      <c r="Q1059" s="41"/>
      <c r="R1059" s="41"/>
      <c r="S1059" s="41"/>
      <c r="T1059" s="41"/>
      <c r="U1059" s="41"/>
      <c r="V1059" s="210"/>
      <c r="W1059" s="41"/>
      <c r="X1059" s="41"/>
      <c r="Y1059" s="41"/>
      <c r="Z1059" s="41"/>
      <c r="AA1059" s="210"/>
      <c r="AB1059" s="213"/>
      <c r="AC1059" s="210"/>
      <c r="AD1059" s="210"/>
      <c r="AE1059" s="210"/>
      <c r="AF1059" s="210"/>
      <c r="AH1059" s="210"/>
      <c r="AI1059" s="41"/>
      <c r="AJ1059" s="41"/>
      <c r="AL1059" s="210"/>
      <c r="AM1059" s="210"/>
      <c r="AN1059" s="210"/>
      <c r="AO1059" s="41"/>
      <c r="AP1059" s="41"/>
      <c r="AR1059" s="41"/>
      <c r="AS1059" s="41"/>
      <c r="AT1059" s="41"/>
      <c r="AU1059" s="41"/>
      <c r="AV1059" s="41"/>
      <c r="AW1059" s="41"/>
      <c r="AX1059" s="41"/>
      <c r="AY1059" s="41"/>
      <c r="AZ1059" s="41"/>
      <c r="BA1059" s="41"/>
      <c r="BB1059" s="41"/>
      <c r="BC1059" s="41"/>
      <c r="BD1059" s="41"/>
      <c r="BE1059" s="41"/>
      <c r="BF1059" s="41"/>
      <c r="BG1059" s="41"/>
      <c r="BH1059" s="41"/>
      <c r="BI1059" s="41"/>
      <c r="BJ1059" s="41"/>
      <c r="BK1059" s="41"/>
      <c r="BL1059" s="41"/>
      <c r="BM1059" s="41"/>
      <c r="BN1059" s="41"/>
      <c r="BO1059" s="41"/>
      <c r="BP1059" s="41"/>
      <c r="BQ1059" s="41"/>
      <c r="BR1059" s="41"/>
      <c r="BS1059" s="41"/>
      <c r="BT1059" s="41"/>
      <c r="BU1059" s="41"/>
      <c r="BV1059" s="41"/>
      <c r="BW1059" s="41"/>
      <c r="BX1059" s="41"/>
      <c r="BY1059" s="41"/>
    </row>
    <row r="1060" spans="1:77" s="214" customFormat="1" x14ac:dyDescent="0.3">
      <c r="A1060" s="41"/>
      <c r="B1060" s="41"/>
      <c r="C1060" s="42"/>
      <c r="D1060" s="41"/>
      <c r="E1060" s="41"/>
      <c r="F1060" s="41"/>
      <c r="G1060" s="41"/>
      <c r="H1060" s="184"/>
      <c r="I1060" s="184"/>
      <c r="J1060" s="237"/>
      <c r="K1060" s="237"/>
      <c r="L1060" s="123"/>
      <c r="M1060" s="123"/>
      <c r="N1060" s="160"/>
      <c r="O1060" s="160"/>
      <c r="P1060" s="123"/>
      <c r="Q1060" s="123"/>
      <c r="R1060" s="123"/>
      <c r="S1060" s="41"/>
      <c r="T1060" s="42"/>
      <c r="U1060" s="41"/>
      <c r="V1060" s="123"/>
      <c r="W1060" s="123"/>
      <c r="X1060" s="123"/>
      <c r="Y1060" s="123"/>
      <c r="Z1060" s="123"/>
      <c r="AA1060" s="123"/>
      <c r="AB1060" s="41"/>
      <c r="AC1060" s="123"/>
      <c r="AD1060" s="123"/>
      <c r="AE1060" s="160"/>
      <c r="AF1060" s="160"/>
      <c r="AG1060" s="165"/>
      <c r="AH1060" s="123"/>
      <c r="AI1060" s="236"/>
      <c r="AJ1060" s="236"/>
      <c r="AK1060" s="165"/>
      <c r="AL1060" s="123"/>
      <c r="AM1060" s="123"/>
      <c r="AN1060" s="123"/>
      <c r="AO1060" s="236"/>
      <c r="AP1060" s="236"/>
      <c r="AR1060" s="41"/>
      <c r="AS1060" s="41"/>
      <c r="AT1060" s="41"/>
      <c r="AU1060" s="41"/>
      <c r="AV1060" s="41"/>
      <c r="AW1060" s="41"/>
      <c r="AX1060" s="41"/>
      <c r="AY1060" s="41"/>
      <c r="AZ1060" s="41"/>
      <c r="BA1060" s="41"/>
      <c r="BB1060" s="41"/>
      <c r="BC1060" s="41"/>
      <c r="BD1060" s="41"/>
      <c r="BE1060" s="41"/>
      <c r="BF1060" s="41"/>
      <c r="BG1060" s="41"/>
      <c r="BH1060" s="41"/>
      <c r="BI1060" s="41"/>
      <c r="BJ1060" s="41"/>
      <c r="BK1060" s="41"/>
      <c r="BL1060" s="41"/>
      <c r="BM1060" s="41"/>
      <c r="BN1060" s="41"/>
      <c r="BO1060" s="41"/>
      <c r="BP1060" s="41"/>
      <c r="BQ1060" s="41"/>
      <c r="BR1060" s="41"/>
      <c r="BS1060" s="41"/>
      <c r="BT1060" s="41"/>
      <c r="BU1060" s="41"/>
      <c r="BV1060" s="41"/>
      <c r="BW1060" s="41"/>
      <c r="BX1060" s="41"/>
      <c r="BY1060" s="41"/>
    </row>
    <row r="1061" spans="1:77" s="214" customFormat="1" x14ac:dyDescent="0.3">
      <c r="A1061" s="41"/>
      <c r="B1061" s="41"/>
      <c r="C1061" s="42"/>
      <c r="D1061" s="41"/>
      <c r="E1061" s="41"/>
      <c r="F1061" s="184"/>
      <c r="G1061" s="41"/>
      <c r="H1061" s="41"/>
      <c r="I1061" s="41"/>
      <c r="J1061" s="41"/>
      <c r="K1061" s="41"/>
      <c r="L1061" s="41"/>
      <c r="M1061" s="41"/>
      <c r="N1061" s="41"/>
      <c r="O1061" s="41"/>
      <c r="P1061" s="41"/>
      <c r="Q1061" s="41"/>
      <c r="R1061" s="41"/>
      <c r="S1061" s="41"/>
      <c r="T1061" s="41"/>
      <c r="U1061" s="41"/>
      <c r="V1061" s="210"/>
      <c r="W1061" s="41"/>
      <c r="X1061" s="41"/>
      <c r="Y1061" s="41"/>
      <c r="Z1061" s="41"/>
      <c r="AA1061" s="210"/>
      <c r="AB1061" s="213"/>
      <c r="AC1061" s="210"/>
      <c r="AD1061" s="210"/>
      <c r="AE1061" s="210"/>
      <c r="AF1061" s="210"/>
      <c r="AH1061" s="210"/>
      <c r="AI1061" s="41"/>
      <c r="AJ1061" s="41"/>
      <c r="AL1061" s="210"/>
      <c r="AM1061" s="210"/>
      <c r="AN1061" s="210"/>
      <c r="AO1061" s="41"/>
      <c r="AP1061" s="41"/>
      <c r="AR1061" s="41"/>
      <c r="AS1061" s="41"/>
      <c r="AT1061" s="41"/>
      <c r="AU1061" s="41"/>
      <c r="AV1061" s="41"/>
      <c r="AW1061" s="41"/>
      <c r="AX1061" s="41"/>
      <c r="AY1061" s="41"/>
      <c r="AZ1061" s="41"/>
      <c r="BA1061" s="41"/>
      <c r="BB1061" s="41"/>
      <c r="BC1061" s="41"/>
      <c r="BD1061" s="41"/>
      <c r="BE1061" s="41"/>
      <c r="BF1061" s="41"/>
      <c r="BG1061" s="41"/>
      <c r="BH1061" s="41"/>
      <c r="BI1061" s="41"/>
      <c r="BJ1061" s="41"/>
      <c r="BK1061" s="41"/>
      <c r="BL1061" s="41"/>
      <c r="BM1061" s="41"/>
      <c r="BN1061" s="41"/>
      <c r="BO1061" s="41"/>
      <c r="BP1061" s="41"/>
      <c r="BQ1061" s="41"/>
      <c r="BR1061" s="41"/>
      <c r="BS1061" s="41"/>
      <c r="BT1061" s="41"/>
      <c r="BU1061" s="41"/>
      <c r="BV1061" s="41"/>
      <c r="BW1061" s="41"/>
      <c r="BX1061" s="41"/>
      <c r="BY1061" s="41"/>
    </row>
    <row r="1062" spans="1:77" s="214" customFormat="1" x14ac:dyDescent="0.3">
      <c r="A1062" s="41"/>
      <c r="B1062" s="41"/>
      <c r="C1062" s="42"/>
      <c r="D1062" s="41"/>
      <c r="E1062" s="41"/>
      <c r="F1062" s="41"/>
      <c r="G1062" s="41"/>
      <c r="H1062" s="184"/>
      <c r="I1062" s="184"/>
      <c r="J1062" s="237"/>
      <c r="K1062" s="237"/>
      <c r="L1062" s="123"/>
      <c r="M1062" s="123"/>
      <c r="N1062" s="160"/>
      <c r="O1062" s="160"/>
      <c r="P1062" s="123"/>
      <c r="Q1062" s="123"/>
      <c r="R1062" s="123"/>
      <c r="S1062" s="41"/>
      <c r="T1062" s="41"/>
      <c r="U1062" s="41"/>
      <c r="V1062" s="41"/>
      <c r="W1062" s="41"/>
      <c r="X1062" s="41"/>
      <c r="Y1062" s="41"/>
      <c r="Z1062" s="41"/>
      <c r="AA1062" s="41"/>
      <c r="AB1062" s="41"/>
      <c r="AC1062" s="41"/>
      <c r="AD1062" s="41"/>
      <c r="AE1062" s="41"/>
      <c r="AF1062" s="41"/>
      <c r="AG1062" s="165"/>
      <c r="AH1062" s="41"/>
      <c r="AI1062" s="41"/>
      <c r="AJ1062" s="41"/>
      <c r="AK1062" s="165"/>
      <c r="AL1062" s="41"/>
      <c r="AM1062" s="41"/>
      <c r="AN1062" s="41"/>
      <c r="AO1062" s="41"/>
      <c r="AP1062" s="41"/>
      <c r="AR1062" s="41"/>
      <c r="AS1062" s="41"/>
      <c r="AT1062" s="41"/>
      <c r="AU1062" s="41"/>
      <c r="AV1062" s="41"/>
      <c r="AW1062" s="41"/>
      <c r="AX1062" s="41"/>
      <c r="AY1062" s="41"/>
      <c r="AZ1062" s="41"/>
      <c r="BA1062" s="41"/>
      <c r="BB1062" s="41"/>
      <c r="BC1062" s="41"/>
      <c r="BD1062" s="41"/>
      <c r="BE1062" s="41"/>
      <c r="BF1062" s="41"/>
      <c r="BG1062" s="41"/>
      <c r="BH1062" s="41"/>
      <c r="BI1062" s="41"/>
      <c r="BJ1062" s="41"/>
      <c r="BK1062" s="41"/>
      <c r="BL1062" s="41"/>
      <c r="BM1062" s="41"/>
      <c r="BN1062" s="41"/>
      <c r="BO1062" s="41"/>
      <c r="BP1062" s="41"/>
      <c r="BQ1062" s="41"/>
      <c r="BR1062" s="41"/>
      <c r="BS1062" s="41"/>
      <c r="BT1062" s="41"/>
      <c r="BU1062" s="41"/>
      <c r="BV1062" s="41"/>
      <c r="BW1062" s="41"/>
      <c r="BX1062" s="41"/>
      <c r="BY1062" s="41"/>
    </row>
    <row r="1063" spans="1:77" s="214" customFormat="1" x14ac:dyDescent="0.3">
      <c r="A1063" s="41"/>
      <c r="B1063" s="41"/>
      <c r="C1063" s="42"/>
      <c r="D1063" s="41"/>
      <c r="E1063" s="41"/>
      <c r="F1063" s="184"/>
      <c r="G1063" s="41"/>
      <c r="H1063" s="41"/>
      <c r="I1063" s="41"/>
      <c r="J1063" s="41"/>
      <c r="K1063" s="41"/>
      <c r="L1063" s="41"/>
      <c r="M1063" s="41"/>
      <c r="N1063" s="41"/>
      <c r="O1063" s="41"/>
      <c r="P1063" s="41"/>
      <c r="Q1063" s="41"/>
      <c r="R1063" s="41"/>
      <c r="S1063" s="41"/>
      <c r="T1063" s="41"/>
      <c r="U1063" s="41"/>
      <c r="V1063" s="41"/>
      <c r="W1063" s="41"/>
      <c r="X1063" s="41"/>
      <c r="Y1063" s="41"/>
      <c r="Z1063" s="41"/>
      <c r="AA1063" s="41"/>
      <c r="AB1063" s="41"/>
      <c r="AC1063" s="41"/>
      <c r="AD1063" s="41"/>
      <c r="AE1063" s="41"/>
      <c r="AF1063" s="41"/>
      <c r="AG1063" s="165"/>
      <c r="AH1063" s="41"/>
      <c r="AI1063" s="41"/>
      <c r="AJ1063" s="41"/>
      <c r="AK1063" s="165"/>
      <c r="AL1063" s="41"/>
      <c r="AM1063" s="41"/>
      <c r="AN1063" s="41"/>
      <c r="AO1063" s="41"/>
      <c r="AP1063" s="41"/>
      <c r="AR1063" s="41"/>
      <c r="AS1063" s="41"/>
      <c r="AT1063" s="41"/>
      <c r="AU1063" s="41"/>
      <c r="AV1063" s="41"/>
      <c r="AW1063" s="41"/>
      <c r="AX1063" s="41"/>
      <c r="AY1063" s="41"/>
      <c r="AZ1063" s="41"/>
      <c r="BA1063" s="41"/>
      <c r="BB1063" s="41"/>
      <c r="BC1063" s="41"/>
      <c r="BD1063" s="41"/>
      <c r="BE1063" s="41"/>
      <c r="BF1063" s="41"/>
      <c r="BG1063" s="41"/>
      <c r="BH1063" s="41"/>
      <c r="BI1063" s="41"/>
      <c r="BJ1063" s="41"/>
      <c r="BK1063" s="41"/>
      <c r="BL1063" s="41"/>
      <c r="BM1063" s="41"/>
      <c r="BN1063" s="41"/>
      <c r="BO1063" s="41"/>
      <c r="BP1063" s="41"/>
      <c r="BQ1063" s="41"/>
      <c r="BR1063" s="41"/>
      <c r="BS1063" s="41"/>
      <c r="BT1063" s="41"/>
      <c r="BU1063" s="41"/>
      <c r="BV1063" s="41"/>
      <c r="BW1063" s="41"/>
      <c r="BX1063" s="41"/>
      <c r="BY1063" s="41"/>
    </row>
    <row r="1064" spans="1:77" s="214" customFormat="1" x14ac:dyDescent="0.3">
      <c r="A1064" s="41"/>
      <c r="B1064" s="41"/>
      <c r="C1064" s="42"/>
      <c r="D1064" s="41"/>
      <c r="E1064" s="41"/>
      <c r="F1064" s="41"/>
      <c r="G1064" s="41"/>
      <c r="H1064" s="184"/>
      <c r="I1064" s="184"/>
      <c r="J1064" s="237"/>
      <c r="K1064" s="237"/>
      <c r="L1064" s="123"/>
      <c r="M1064" s="123"/>
      <c r="N1064" s="160"/>
      <c r="O1064" s="160"/>
      <c r="P1064" s="123"/>
      <c r="Q1064" s="123"/>
      <c r="R1064" s="123"/>
      <c r="S1064" s="41"/>
      <c r="T1064" s="41"/>
      <c r="U1064" s="41"/>
      <c r="V1064" s="41"/>
      <c r="W1064" s="41"/>
      <c r="X1064" s="41"/>
      <c r="Y1064" s="41"/>
      <c r="Z1064" s="41"/>
      <c r="AA1064" s="41"/>
      <c r="AB1064" s="41"/>
      <c r="AC1064" s="41"/>
      <c r="AD1064" s="41"/>
      <c r="AE1064" s="41"/>
      <c r="AF1064" s="41"/>
      <c r="AG1064" s="165"/>
      <c r="AH1064" s="41"/>
      <c r="AI1064" s="41"/>
      <c r="AJ1064" s="41"/>
      <c r="AK1064" s="165"/>
      <c r="AL1064" s="41"/>
      <c r="AM1064" s="41"/>
      <c r="AN1064" s="41"/>
      <c r="AO1064" s="41"/>
      <c r="AP1064" s="41"/>
      <c r="AR1064" s="41"/>
      <c r="AS1064" s="41"/>
      <c r="AT1064" s="41"/>
      <c r="AU1064" s="41"/>
      <c r="AV1064" s="41"/>
      <c r="AW1064" s="41"/>
      <c r="AX1064" s="41"/>
      <c r="AY1064" s="41"/>
      <c r="AZ1064" s="41"/>
      <c r="BA1064" s="41"/>
      <c r="BB1064" s="41"/>
      <c r="BC1064" s="41"/>
      <c r="BD1064" s="41"/>
      <c r="BE1064" s="41"/>
      <c r="BF1064" s="41"/>
      <c r="BG1064" s="41"/>
      <c r="BH1064" s="41"/>
      <c r="BI1064" s="41"/>
      <c r="BJ1064" s="41"/>
      <c r="BK1064" s="41"/>
      <c r="BL1064" s="41"/>
      <c r="BM1064" s="41"/>
      <c r="BN1064" s="41"/>
      <c r="BO1064" s="41"/>
      <c r="BP1064" s="41"/>
      <c r="BQ1064" s="41"/>
      <c r="BR1064" s="41"/>
      <c r="BS1064" s="41"/>
      <c r="BT1064" s="41"/>
      <c r="BU1064" s="41"/>
      <c r="BV1064" s="41"/>
      <c r="BW1064" s="41"/>
      <c r="BX1064" s="41"/>
      <c r="BY1064" s="41"/>
    </row>
    <row r="1065" spans="1:77" s="214" customFormat="1" x14ac:dyDescent="0.3">
      <c r="A1065" s="41"/>
      <c r="B1065" s="41"/>
      <c r="C1065" s="42"/>
      <c r="D1065" s="41"/>
      <c r="E1065" s="41"/>
      <c r="F1065" s="184"/>
      <c r="G1065" s="41"/>
      <c r="H1065" s="41"/>
      <c r="I1065" s="41"/>
      <c r="J1065" s="41"/>
      <c r="K1065" s="41"/>
      <c r="L1065" s="41"/>
      <c r="M1065" s="41"/>
      <c r="N1065" s="41"/>
      <c r="O1065" s="41"/>
      <c r="P1065" s="41"/>
      <c r="Q1065" s="41"/>
      <c r="R1065" s="41"/>
      <c r="S1065" s="41"/>
      <c r="T1065" s="41"/>
      <c r="U1065" s="41"/>
      <c r="V1065" s="41"/>
      <c r="W1065" s="41"/>
      <c r="X1065" s="41"/>
      <c r="Y1065" s="41"/>
      <c r="Z1065" s="41"/>
      <c r="AA1065" s="41"/>
      <c r="AB1065" s="41"/>
      <c r="AC1065" s="41"/>
      <c r="AD1065" s="41"/>
      <c r="AE1065" s="41"/>
      <c r="AF1065" s="41"/>
      <c r="AG1065" s="165"/>
      <c r="AH1065" s="41"/>
      <c r="AI1065" s="41"/>
      <c r="AJ1065" s="41"/>
      <c r="AK1065" s="165"/>
      <c r="AL1065" s="41"/>
      <c r="AM1065" s="41"/>
      <c r="AN1065" s="41"/>
      <c r="AO1065" s="41"/>
      <c r="AP1065" s="41"/>
      <c r="AR1065" s="41"/>
      <c r="AS1065" s="41"/>
      <c r="AT1065" s="41"/>
      <c r="AU1065" s="41"/>
      <c r="AV1065" s="41"/>
      <c r="AW1065" s="41"/>
      <c r="AX1065" s="41"/>
      <c r="AY1065" s="41"/>
      <c r="AZ1065" s="41"/>
      <c r="BA1065" s="41"/>
      <c r="BB1065" s="41"/>
      <c r="BC1065" s="41"/>
      <c r="BD1065" s="41"/>
      <c r="BE1065" s="41"/>
      <c r="BF1065" s="41"/>
      <c r="BG1065" s="41"/>
      <c r="BH1065" s="41"/>
      <c r="BI1065" s="41"/>
      <c r="BJ1065" s="41"/>
      <c r="BK1065" s="41"/>
      <c r="BL1065" s="41"/>
      <c r="BM1065" s="41"/>
      <c r="BN1065" s="41"/>
      <c r="BO1065" s="41"/>
      <c r="BP1065" s="41"/>
      <c r="BQ1065" s="41"/>
      <c r="BR1065" s="41"/>
      <c r="BS1065" s="41"/>
      <c r="BT1065" s="41"/>
      <c r="BU1065" s="41"/>
      <c r="BV1065" s="41"/>
      <c r="BW1065" s="41"/>
      <c r="BX1065" s="41"/>
      <c r="BY1065" s="41"/>
    </row>
    <row r="1066" spans="1:77" s="214" customFormat="1" x14ac:dyDescent="0.3">
      <c r="A1066" s="41"/>
      <c r="B1066" s="41"/>
      <c r="C1066" s="42"/>
      <c r="D1066" s="41"/>
      <c r="E1066" s="41"/>
      <c r="F1066" s="41"/>
      <c r="G1066" s="41"/>
      <c r="H1066" s="184"/>
      <c r="I1066" s="184"/>
      <c r="J1066" s="237"/>
      <c r="K1066" s="237"/>
      <c r="L1066" s="123"/>
      <c r="M1066" s="123"/>
      <c r="N1066" s="160"/>
      <c r="O1066" s="160"/>
      <c r="P1066" s="123"/>
      <c r="Q1066" s="123"/>
      <c r="R1066" s="123"/>
      <c r="S1066" s="41"/>
      <c r="T1066" s="41"/>
      <c r="U1066" s="41"/>
      <c r="V1066" s="41"/>
      <c r="W1066" s="41"/>
      <c r="X1066" s="41"/>
      <c r="Y1066" s="41"/>
      <c r="Z1066" s="41"/>
      <c r="AA1066" s="42"/>
      <c r="AB1066" s="41"/>
      <c r="AC1066" s="41"/>
      <c r="AD1066" s="41"/>
      <c r="AE1066" s="41"/>
      <c r="AF1066" s="41"/>
      <c r="AG1066" s="165"/>
      <c r="AH1066" s="41"/>
      <c r="AI1066" s="41"/>
      <c r="AJ1066" s="41"/>
      <c r="AK1066" s="165"/>
      <c r="AL1066" s="41"/>
      <c r="AM1066" s="41"/>
      <c r="AN1066" s="41"/>
      <c r="AO1066" s="41"/>
      <c r="AP1066" s="41"/>
      <c r="AR1066" s="41"/>
      <c r="AS1066" s="41"/>
      <c r="AT1066" s="41"/>
      <c r="AU1066" s="41"/>
      <c r="AV1066" s="41"/>
      <c r="AW1066" s="41"/>
      <c r="AX1066" s="41"/>
      <c r="AY1066" s="41"/>
      <c r="AZ1066" s="41"/>
      <c r="BA1066" s="41"/>
      <c r="BB1066" s="41"/>
      <c r="BC1066" s="41"/>
      <c r="BD1066" s="41"/>
      <c r="BE1066" s="41"/>
      <c r="BF1066" s="41"/>
      <c r="BG1066" s="41"/>
      <c r="BH1066" s="41"/>
      <c r="BI1066" s="41"/>
      <c r="BJ1066" s="41"/>
      <c r="BK1066" s="41"/>
      <c r="BL1066" s="41"/>
      <c r="BM1066" s="41"/>
      <c r="BN1066" s="41"/>
      <c r="BO1066" s="41"/>
      <c r="BP1066" s="41"/>
      <c r="BQ1066" s="41"/>
      <c r="BR1066" s="41"/>
      <c r="BS1066" s="41"/>
      <c r="BT1066" s="41"/>
      <c r="BU1066" s="41"/>
      <c r="BV1066" s="41"/>
      <c r="BW1066" s="41"/>
      <c r="BX1066" s="41"/>
      <c r="BY1066" s="41"/>
    </row>
    <row r="1067" spans="1:77" s="214" customFormat="1" x14ac:dyDescent="0.3">
      <c r="A1067" s="41"/>
      <c r="B1067" s="41"/>
      <c r="C1067" s="41"/>
      <c r="D1067" s="41"/>
      <c r="E1067" s="41"/>
      <c r="F1067" s="184"/>
      <c r="G1067" s="41"/>
      <c r="H1067" s="210"/>
      <c r="I1067" s="210"/>
      <c r="J1067" s="213"/>
      <c r="K1067" s="213"/>
      <c r="L1067" s="210"/>
      <c r="M1067" s="210"/>
      <c r="N1067" s="210"/>
      <c r="O1067" s="210"/>
      <c r="P1067" s="210"/>
      <c r="Q1067" s="210"/>
      <c r="R1067" s="210"/>
      <c r="S1067" s="41"/>
      <c r="T1067" s="41"/>
      <c r="U1067" s="41"/>
      <c r="V1067" s="41"/>
      <c r="W1067" s="41"/>
      <c r="X1067" s="41"/>
      <c r="Y1067" s="41"/>
      <c r="Z1067" s="41"/>
      <c r="AA1067" s="41"/>
      <c r="AB1067" s="41"/>
      <c r="AC1067" s="41"/>
      <c r="AD1067" s="41"/>
      <c r="AE1067" s="41"/>
      <c r="AF1067" s="41"/>
      <c r="AG1067" s="165"/>
      <c r="AH1067" s="41"/>
      <c r="AI1067" s="41"/>
      <c r="AJ1067" s="41"/>
      <c r="AK1067" s="165"/>
      <c r="AL1067" s="41"/>
      <c r="AM1067" s="41"/>
      <c r="AN1067" s="41"/>
      <c r="AO1067" s="41"/>
      <c r="AP1067" s="41"/>
      <c r="AR1067" s="41"/>
      <c r="AS1067" s="41"/>
      <c r="AT1067" s="41"/>
      <c r="AU1067" s="41"/>
      <c r="AV1067" s="41"/>
      <c r="AW1067" s="41"/>
      <c r="AX1067" s="41"/>
      <c r="AY1067" s="41"/>
      <c r="AZ1067" s="41"/>
      <c r="BA1067" s="41"/>
      <c r="BB1067" s="41"/>
      <c r="BC1067" s="41"/>
      <c r="BD1067" s="41"/>
      <c r="BE1067" s="41"/>
      <c r="BF1067" s="41"/>
      <c r="BG1067" s="41"/>
      <c r="BH1067" s="41"/>
      <c r="BI1067" s="41"/>
      <c r="BJ1067" s="41"/>
      <c r="BK1067" s="41"/>
      <c r="BL1067" s="41"/>
      <c r="BM1067" s="41"/>
      <c r="BN1067" s="41"/>
      <c r="BO1067" s="41"/>
      <c r="BP1067" s="41"/>
      <c r="BQ1067" s="41"/>
      <c r="BR1067" s="41"/>
      <c r="BS1067" s="41"/>
      <c r="BT1067" s="41"/>
      <c r="BU1067" s="41"/>
      <c r="BV1067" s="41"/>
      <c r="BW1067" s="41"/>
      <c r="BX1067" s="41"/>
      <c r="BY1067" s="41"/>
    </row>
    <row r="1068" spans="1:77" s="214" customFormat="1" x14ac:dyDescent="0.3">
      <c r="A1068" s="41"/>
      <c r="B1068" s="41"/>
      <c r="C1068" s="42"/>
      <c r="D1068" s="41"/>
      <c r="E1068" s="41"/>
      <c r="F1068" s="210"/>
      <c r="G1068" s="41"/>
      <c r="H1068" s="123"/>
      <c r="I1068" s="123"/>
      <c r="J1068" s="41"/>
      <c r="K1068" s="41"/>
      <c r="L1068" s="123"/>
      <c r="M1068" s="123"/>
      <c r="N1068" s="160"/>
      <c r="O1068" s="160"/>
      <c r="P1068" s="184"/>
      <c r="Q1068" s="184"/>
      <c r="R1068" s="123"/>
      <c r="S1068" s="41"/>
      <c r="T1068" s="41"/>
      <c r="U1068" s="41"/>
      <c r="V1068" s="41"/>
      <c r="W1068" s="41"/>
      <c r="X1068" s="41"/>
      <c r="Y1068" s="41"/>
      <c r="Z1068" s="41"/>
      <c r="AA1068" s="41"/>
      <c r="AB1068" s="41"/>
      <c r="AC1068" s="42"/>
      <c r="AD1068" s="42"/>
      <c r="AE1068" s="41"/>
      <c r="AF1068" s="41"/>
      <c r="AG1068" s="165"/>
      <c r="AH1068" s="41"/>
      <c r="AI1068" s="41"/>
      <c r="AJ1068" s="41"/>
      <c r="AK1068" s="165"/>
      <c r="AL1068" s="41"/>
      <c r="AM1068" s="41"/>
      <c r="AN1068" s="41"/>
      <c r="AO1068" s="41"/>
      <c r="AP1068" s="41"/>
      <c r="AR1068" s="41"/>
      <c r="AS1068" s="41"/>
      <c r="AT1068" s="41"/>
      <c r="AU1068" s="41"/>
      <c r="AV1068" s="41"/>
      <c r="AW1068" s="41"/>
      <c r="AX1068" s="41"/>
      <c r="AY1068" s="41"/>
      <c r="AZ1068" s="41"/>
      <c r="BA1068" s="41"/>
      <c r="BB1068" s="41"/>
      <c r="BC1068" s="41"/>
      <c r="BD1068" s="41"/>
      <c r="BE1068" s="41"/>
      <c r="BF1068" s="41"/>
      <c r="BG1068" s="41"/>
      <c r="BH1068" s="41"/>
      <c r="BI1068" s="41"/>
      <c r="BJ1068" s="41"/>
      <c r="BK1068" s="41"/>
      <c r="BL1068" s="41"/>
      <c r="BM1068" s="41"/>
      <c r="BN1068" s="41"/>
      <c r="BO1068" s="41"/>
      <c r="BP1068" s="41"/>
      <c r="BQ1068" s="41"/>
      <c r="BR1068" s="41"/>
      <c r="BS1068" s="41"/>
      <c r="BT1068" s="41"/>
      <c r="BU1068" s="41"/>
      <c r="BV1068" s="41"/>
      <c r="BW1068" s="41"/>
      <c r="BX1068" s="41"/>
      <c r="BY1068" s="41"/>
    </row>
    <row r="1069" spans="1:77" s="214" customFormat="1" x14ac:dyDescent="0.3">
      <c r="A1069" s="41"/>
      <c r="B1069" s="41"/>
      <c r="C1069" s="41"/>
      <c r="D1069" s="41"/>
      <c r="E1069" s="41"/>
      <c r="F1069" s="123"/>
      <c r="G1069" s="41"/>
      <c r="H1069" s="210"/>
      <c r="I1069" s="210"/>
      <c r="J1069" s="213"/>
      <c r="K1069" s="213"/>
      <c r="L1069" s="210"/>
      <c r="M1069" s="210"/>
      <c r="N1069" s="210"/>
      <c r="O1069" s="210"/>
      <c r="P1069" s="210"/>
      <c r="Q1069" s="210"/>
      <c r="R1069" s="210"/>
      <c r="S1069" s="41"/>
      <c r="T1069" s="41"/>
      <c r="U1069" s="41"/>
      <c r="V1069" s="41"/>
      <c r="W1069" s="41"/>
      <c r="X1069" s="41"/>
      <c r="Y1069" s="41"/>
      <c r="Z1069" s="41"/>
      <c r="AA1069" s="41"/>
      <c r="AB1069" s="41"/>
      <c r="AC1069" s="41"/>
      <c r="AD1069" s="41"/>
      <c r="AE1069" s="41"/>
      <c r="AF1069" s="41"/>
      <c r="AG1069" s="165"/>
      <c r="AH1069" s="41"/>
      <c r="AI1069" s="41"/>
      <c r="AJ1069" s="41"/>
      <c r="AK1069" s="165"/>
      <c r="AL1069" s="41"/>
      <c r="AM1069" s="42"/>
      <c r="AN1069" s="42"/>
      <c r="AO1069" s="41"/>
      <c r="AP1069" s="41"/>
      <c r="AR1069" s="41"/>
      <c r="AS1069" s="41"/>
      <c r="AT1069" s="41"/>
      <c r="AU1069" s="41"/>
      <c r="AV1069" s="41"/>
      <c r="AW1069" s="41"/>
      <c r="AX1069" s="41"/>
      <c r="AY1069" s="41"/>
      <c r="AZ1069" s="41"/>
      <c r="BA1069" s="41"/>
      <c r="BB1069" s="41"/>
      <c r="BC1069" s="41"/>
      <c r="BD1069" s="41"/>
      <c r="BE1069" s="41"/>
      <c r="BF1069" s="41"/>
      <c r="BG1069" s="41"/>
      <c r="BH1069" s="41"/>
      <c r="BI1069" s="41"/>
      <c r="BJ1069" s="41"/>
      <c r="BK1069" s="41"/>
      <c r="BL1069" s="41"/>
      <c r="BM1069" s="41"/>
      <c r="BN1069" s="41"/>
      <c r="BO1069" s="41"/>
      <c r="BP1069" s="41"/>
      <c r="BQ1069" s="41"/>
      <c r="BR1069" s="41"/>
      <c r="BS1069" s="41"/>
      <c r="BT1069" s="41"/>
      <c r="BU1069" s="41"/>
      <c r="BV1069" s="41"/>
      <c r="BW1069" s="41"/>
      <c r="BX1069" s="41"/>
      <c r="BY1069" s="41"/>
    </row>
    <row r="1070" spans="1:77" s="214" customFormat="1" x14ac:dyDescent="0.3">
      <c r="A1070" s="41"/>
      <c r="B1070" s="41"/>
      <c r="C1070" s="42"/>
      <c r="D1070" s="41"/>
      <c r="E1070" s="41"/>
      <c r="F1070" s="210"/>
      <c r="G1070" s="41"/>
      <c r="H1070" s="123"/>
      <c r="I1070" s="123"/>
      <c r="J1070" s="41"/>
      <c r="K1070" s="41"/>
      <c r="L1070" s="123"/>
      <c r="M1070" s="123"/>
      <c r="N1070" s="160"/>
      <c r="O1070" s="160"/>
      <c r="P1070" s="123"/>
      <c r="Q1070" s="123"/>
      <c r="R1070" s="123"/>
      <c r="S1070" s="41"/>
      <c r="T1070" s="41"/>
      <c r="U1070" s="41"/>
      <c r="V1070" s="41"/>
      <c r="W1070" s="41"/>
      <c r="X1070" s="41"/>
      <c r="Y1070" s="41"/>
      <c r="Z1070" s="41"/>
      <c r="AA1070" s="41"/>
      <c r="AB1070" s="41"/>
      <c r="AC1070" s="41"/>
      <c r="AD1070" s="41"/>
      <c r="AE1070" s="41"/>
      <c r="AF1070" s="41"/>
      <c r="AG1070" s="165"/>
      <c r="AH1070" s="41"/>
      <c r="AI1070" s="41"/>
      <c r="AJ1070" s="41"/>
      <c r="AK1070" s="165"/>
      <c r="AL1070" s="41"/>
      <c r="AM1070" s="42"/>
      <c r="AN1070" s="42"/>
      <c r="AO1070" s="41"/>
      <c r="AP1070" s="41"/>
      <c r="AR1070" s="41"/>
      <c r="AS1070" s="41"/>
      <c r="AT1070" s="41"/>
      <c r="AU1070" s="41"/>
      <c r="AV1070" s="41"/>
      <c r="AW1070" s="41"/>
      <c r="AX1070" s="41"/>
      <c r="AY1070" s="41"/>
      <c r="AZ1070" s="41"/>
      <c r="BA1070" s="41"/>
      <c r="BB1070" s="41"/>
      <c r="BC1070" s="41"/>
      <c r="BD1070" s="41"/>
      <c r="BE1070" s="41"/>
      <c r="BF1070" s="41"/>
      <c r="BG1070" s="41"/>
      <c r="BH1070" s="41"/>
      <c r="BI1070" s="41"/>
      <c r="BJ1070" s="41"/>
      <c r="BK1070" s="41"/>
      <c r="BL1070" s="41"/>
      <c r="BM1070" s="41"/>
      <c r="BN1070" s="41"/>
      <c r="BO1070" s="41"/>
      <c r="BP1070" s="41"/>
      <c r="BQ1070" s="41"/>
      <c r="BR1070" s="41"/>
      <c r="BS1070" s="41"/>
      <c r="BT1070" s="41"/>
      <c r="BU1070" s="41"/>
      <c r="BV1070" s="41"/>
      <c r="BW1070" s="41"/>
      <c r="BX1070" s="41"/>
      <c r="BY1070" s="41"/>
    </row>
    <row r="1071" spans="1:77" s="214" customFormat="1" x14ac:dyDescent="0.3">
      <c r="A1071" s="41"/>
      <c r="B1071" s="41"/>
      <c r="C1071" s="41"/>
      <c r="D1071" s="41"/>
      <c r="E1071" s="41"/>
      <c r="F1071" s="123"/>
      <c r="G1071" s="41"/>
      <c r="H1071" s="210"/>
      <c r="I1071" s="210"/>
      <c r="J1071" s="213"/>
      <c r="K1071" s="213"/>
      <c r="L1071" s="210"/>
      <c r="M1071" s="210"/>
      <c r="N1071" s="210"/>
      <c r="O1071" s="210"/>
      <c r="P1071" s="210"/>
      <c r="Q1071" s="210"/>
      <c r="R1071" s="210"/>
      <c r="S1071" s="41"/>
      <c r="T1071" s="41"/>
      <c r="U1071" s="41"/>
      <c r="V1071" s="41"/>
      <c r="W1071" s="41"/>
      <c r="X1071" s="41"/>
      <c r="Y1071" s="41"/>
      <c r="Z1071" s="41"/>
      <c r="AA1071" s="41"/>
      <c r="AB1071" s="41"/>
      <c r="AC1071" s="41"/>
      <c r="AD1071" s="41"/>
      <c r="AE1071" s="41"/>
      <c r="AF1071" s="41"/>
      <c r="AG1071" s="165"/>
      <c r="AH1071" s="41"/>
      <c r="AI1071" s="41"/>
      <c r="AJ1071" s="41"/>
      <c r="AK1071" s="165"/>
      <c r="AL1071" s="41"/>
      <c r="AM1071" s="42"/>
      <c r="AN1071" s="42"/>
      <c r="AO1071" s="41"/>
      <c r="AP1071" s="41"/>
      <c r="AR1071" s="41"/>
      <c r="AS1071" s="41"/>
      <c r="AT1071" s="41"/>
      <c r="AU1071" s="41"/>
      <c r="AV1071" s="41"/>
      <c r="AW1071" s="41"/>
      <c r="AX1071" s="41"/>
      <c r="AY1071" s="41"/>
      <c r="AZ1071" s="41"/>
      <c r="BA1071" s="41"/>
      <c r="BB1071" s="41"/>
      <c r="BC1071" s="41"/>
      <c r="BD1071" s="41"/>
      <c r="BE1071" s="41"/>
      <c r="BF1071" s="41"/>
      <c r="BG1071" s="41"/>
      <c r="BH1071" s="41"/>
      <c r="BI1071" s="41"/>
      <c r="BJ1071" s="41"/>
      <c r="BK1071" s="41"/>
      <c r="BL1071" s="41"/>
      <c r="BM1071" s="41"/>
      <c r="BN1071" s="41"/>
      <c r="BO1071" s="41"/>
      <c r="BP1071" s="41"/>
      <c r="BQ1071" s="41"/>
      <c r="BR1071" s="41"/>
      <c r="BS1071" s="41"/>
      <c r="BT1071" s="41"/>
      <c r="BU1071" s="41"/>
      <c r="BV1071" s="41"/>
      <c r="BW1071" s="41"/>
      <c r="BX1071" s="41"/>
      <c r="BY1071" s="41"/>
    </row>
    <row r="1072" spans="1:77" x14ac:dyDescent="0.3">
      <c r="AC1072" s="42"/>
      <c r="AD1072" s="42"/>
    </row>
    <row r="1073" spans="1:77" s="214" customFormat="1" x14ac:dyDescent="0.3">
      <c r="A1073" s="41"/>
      <c r="B1073" s="41"/>
      <c r="C1073" s="41"/>
      <c r="D1073" s="41"/>
      <c r="E1073" s="41"/>
      <c r="F1073" s="210"/>
      <c r="G1073" s="41"/>
      <c r="H1073" s="41"/>
      <c r="I1073" s="41"/>
      <c r="J1073" s="41"/>
      <c r="K1073" s="41"/>
      <c r="L1073" s="41"/>
      <c r="M1073" s="41"/>
      <c r="N1073" s="41"/>
      <c r="O1073" s="41"/>
      <c r="P1073" s="41"/>
      <c r="Q1073" s="41"/>
      <c r="R1073" s="41"/>
      <c r="S1073" s="41"/>
      <c r="T1073" s="135"/>
      <c r="U1073" s="135"/>
      <c r="V1073" s="135"/>
      <c r="W1073" s="135"/>
      <c r="X1073" s="135"/>
      <c r="Y1073" s="135"/>
      <c r="Z1073" s="135"/>
      <c r="AA1073" s="135"/>
      <c r="AB1073" s="135"/>
      <c r="AC1073" s="135"/>
      <c r="AD1073" s="135"/>
      <c r="AE1073" s="135"/>
      <c r="AF1073" s="135"/>
      <c r="AG1073" s="207"/>
      <c r="AH1073" s="135"/>
      <c r="AI1073" s="135"/>
      <c r="AJ1073" s="135"/>
      <c r="AK1073" s="207"/>
      <c r="AL1073" s="135"/>
      <c r="AM1073" s="135"/>
      <c r="AN1073" s="135"/>
      <c r="AO1073" s="135"/>
      <c r="AP1073" s="135"/>
      <c r="AR1073" s="41"/>
      <c r="AS1073" s="41"/>
      <c r="AT1073" s="41"/>
      <c r="AU1073" s="41"/>
      <c r="AV1073" s="41"/>
      <c r="AW1073" s="41"/>
      <c r="AX1073" s="41"/>
      <c r="AY1073" s="41"/>
      <c r="AZ1073" s="41"/>
      <c r="BA1073" s="41"/>
      <c r="BB1073" s="41"/>
      <c r="BC1073" s="41"/>
      <c r="BD1073" s="41"/>
      <c r="BE1073" s="41"/>
      <c r="BF1073" s="41"/>
      <c r="BG1073" s="41"/>
      <c r="BH1073" s="41"/>
      <c r="BI1073" s="41"/>
      <c r="BJ1073" s="41"/>
      <c r="BK1073" s="41"/>
      <c r="BL1073" s="41"/>
      <c r="BM1073" s="41"/>
      <c r="BN1073" s="41"/>
      <c r="BO1073" s="41"/>
      <c r="BP1073" s="41"/>
      <c r="BQ1073" s="41"/>
      <c r="BR1073" s="41"/>
      <c r="BS1073" s="41"/>
      <c r="BT1073" s="41"/>
      <c r="BU1073" s="41"/>
      <c r="BV1073" s="41"/>
      <c r="BW1073" s="41"/>
      <c r="BX1073" s="41"/>
      <c r="BY1073" s="41"/>
    </row>
    <row r="1074" spans="1:77" s="214" customFormat="1" x14ac:dyDescent="0.3">
      <c r="A1074" s="42"/>
      <c r="B1074" s="41"/>
      <c r="C1074" s="41"/>
      <c r="D1074" s="41"/>
      <c r="E1074" s="41"/>
      <c r="F1074" s="41"/>
      <c r="G1074" s="41"/>
      <c r="H1074" s="41"/>
      <c r="I1074" s="41"/>
      <c r="J1074" s="41"/>
      <c r="K1074" s="41"/>
      <c r="L1074" s="41"/>
      <c r="M1074" s="41"/>
      <c r="N1074" s="41"/>
      <c r="O1074" s="41"/>
      <c r="P1074" s="41"/>
      <c r="Q1074" s="41"/>
      <c r="R1074" s="41"/>
      <c r="S1074" s="41"/>
      <c r="T1074" s="41"/>
      <c r="U1074" s="41"/>
      <c r="V1074" s="41"/>
      <c r="W1074" s="41"/>
      <c r="X1074" s="41"/>
      <c r="Y1074" s="41"/>
      <c r="Z1074" s="41"/>
      <c r="AA1074" s="41"/>
      <c r="AB1074" s="41"/>
      <c r="AC1074" s="44"/>
      <c r="AD1074" s="44"/>
      <c r="AE1074" s="44"/>
      <c r="AF1074" s="44"/>
      <c r="AG1074" s="168"/>
      <c r="AH1074" s="44"/>
      <c r="AI1074" s="44"/>
      <c r="AJ1074" s="44"/>
      <c r="AK1074" s="165"/>
      <c r="AL1074" s="41"/>
      <c r="AM1074" s="44"/>
      <c r="AN1074" s="44"/>
      <c r="AO1074" s="44"/>
      <c r="AP1074" s="44"/>
      <c r="AR1074" s="41"/>
      <c r="AS1074" s="41"/>
      <c r="AT1074" s="41"/>
      <c r="AU1074" s="41"/>
      <c r="AV1074" s="41"/>
      <c r="AW1074" s="41"/>
      <c r="AX1074" s="41"/>
      <c r="AY1074" s="41"/>
      <c r="AZ1074" s="41"/>
      <c r="BA1074" s="41"/>
      <c r="BB1074" s="41"/>
      <c r="BC1074" s="41"/>
      <c r="BD1074" s="41"/>
      <c r="BE1074" s="41"/>
      <c r="BF1074" s="41"/>
      <c r="BG1074" s="41"/>
      <c r="BH1074" s="41"/>
      <c r="BI1074" s="41"/>
      <c r="BJ1074" s="41"/>
      <c r="BK1074" s="41"/>
      <c r="BL1074" s="41"/>
      <c r="BM1074" s="41"/>
      <c r="BN1074" s="41"/>
      <c r="BO1074" s="41"/>
      <c r="BP1074" s="41"/>
      <c r="BQ1074" s="41"/>
      <c r="BR1074" s="41"/>
      <c r="BS1074" s="41"/>
      <c r="BT1074" s="41"/>
      <c r="BU1074" s="41"/>
      <c r="BV1074" s="41"/>
      <c r="BW1074" s="41"/>
      <c r="BX1074" s="41"/>
      <c r="BY1074" s="41"/>
    </row>
    <row r="1075" spans="1:77" s="214" customFormat="1" x14ac:dyDescent="0.3">
      <c r="A1075" s="41"/>
      <c r="B1075" s="41"/>
      <c r="C1075" s="41"/>
      <c r="D1075" s="41"/>
      <c r="E1075" s="41"/>
      <c r="F1075" s="41"/>
      <c r="G1075" s="41"/>
      <c r="H1075" s="41"/>
      <c r="I1075" s="41"/>
      <c r="J1075" s="41"/>
      <c r="K1075" s="41"/>
      <c r="L1075" s="41"/>
      <c r="M1075" s="41"/>
      <c r="N1075" s="41"/>
      <c r="O1075" s="41"/>
      <c r="P1075" s="41"/>
      <c r="Q1075" s="41"/>
      <c r="R1075" s="41"/>
      <c r="S1075" s="41"/>
      <c r="T1075" s="41"/>
      <c r="U1075" s="41"/>
      <c r="V1075" s="41"/>
      <c r="W1075" s="41"/>
      <c r="X1075" s="41"/>
      <c r="Y1075" s="41"/>
      <c r="Z1075" s="41"/>
      <c r="AA1075" s="41"/>
      <c r="AB1075" s="44"/>
      <c r="AC1075" s="44"/>
      <c r="AD1075" s="44"/>
      <c r="AE1075" s="44"/>
      <c r="AF1075" s="44"/>
      <c r="AG1075" s="168"/>
      <c r="AH1075" s="44"/>
      <c r="AI1075" s="44"/>
      <c r="AJ1075" s="44"/>
      <c r="AK1075" s="165"/>
      <c r="AL1075" s="41"/>
      <c r="AM1075" s="44"/>
      <c r="AN1075" s="44"/>
      <c r="AO1075" s="44"/>
      <c r="AP1075" s="44"/>
      <c r="AR1075" s="41"/>
      <c r="AS1075" s="41"/>
      <c r="AT1075" s="41"/>
      <c r="AU1075" s="41"/>
      <c r="AV1075" s="41"/>
      <c r="AW1075" s="41"/>
      <c r="AX1075" s="41"/>
      <c r="AY1075" s="41"/>
      <c r="AZ1075" s="41"/>
      <c r="BA1075" s="41"/>
      <c r="BB1075" s="41"/>
      <c r="BC1075" s="41"/>
      <c r="BD1075" s="41"/>
      <c r="BE1075" s="41"/>
      <c r="BF1075" s="41"/>
      <c r="BG1075" s="41"/>
      <c r="BH1075" s="41"/>
      <c r="BI1075" s="41"/>
      <c r="BJ1075" s="41"/>
      <c r="BK1075" s="41"/>
      <c r="BL1075" s="41"/>
      <c r="BM1075" s="41"/>
      <c r="BN1075" s="41"/>
      <c r="BO1075" s="41"/>
      <c r="BP1075" s="41"/>
      <c r="BQ1075" s="41"/>
      <c r="BR1075" s="41"/>
      <c r="BS1075" s="41"/>
      <c r="BT1075" s="41"/>
      <c r="BU1075" s="41"/>
      <c r="BV1075" s="41"/>
      <c r="BW1075" s="41"/>
      <c r="BX1075" s="41"/>
      <c r="BY1075" s="41"/>
    </row>
    <row r="1076" spans="1:77" s="214" customFormat="1" x14ac:dyDescent="0.3">
      <c r="A1076" s="41"/>
      <c r="B1076" s="41"/>
      <c r="C1076" s="41"/>
      <c r="D1076" s="41"/>
      <c r="E1076" s="41"/>
      <c r="F1076" s="41"/>
      <c r="G1076" s="41"/>
      <c r="H1076" s="42"/>
      <c r="I1076" s="42"/>
      <c r="J1076" s="41"/>
      <c r="K1076" s="41"/>
      <c r="L1076" s="41"/>
      <c r="M1076" s="41"/>
      <c r="N1076" s="41"/>
      <c r="O1076" s="41"/>
      <c r="P1076" s="41"/>
      <c r="Q1076" s="41"/>
      <c r="R1076" s="41"/>
      <c r="S1076" s="41"/>
      <c r="T1076" s="44"/>
      <c r="U1076" s="44"/>
      <c r="V1076" s="44"/>
      <c r="W1076" s="41"/>
      <c r="X1076" s="41"/>
      <c r="Y1076" s="41"/>
      <c r="Z1076" s="41"/>
      <c r="AA1076" s="41"/>
      <c r="AB1076" s="44"/>
      <c r="AC1076" s="44"/>
      <c r="AD1076" s="44"/>
      <c r="AE1076" s="44"/>
      <c r="AF1076" s="44"/>
      <c r="AG1076" s="168"/>
      <c r="AH1076" s="44"/>
      <c r="AI1076" s="44"/>
      <c r="AJ1076" s="44"/>
      <c r="AK1076" s="168"/>
      <c r="AL1076" s="44"/>
      <c r="AM1076" s="44"/>
      <c r="AN1076" s="44"/>
      <c r="AO1076" s="44"/>
      <c r="AP1076" s="44"/>
      <c r="AR1076" s="41"/>
      <c r="AS1076" s="41"/>
      <c r="AT1076" s="41"/>
      <c r="AU1076" s="41"/>
      <c r="AV1076" s="41"/>
      <c r="AW1076" s="41"/>
      <c r="AX1076" s="41"/>
      <c r="AY1076" s="41"/>
      <c r="AZ1076" s="41"/>
      <c r="BA1076" s="41"/>
      <c r="BB1076" s="41"/>
      <c r="BC1076" s="41"/>
      <c r="BD1076" s="41"/>
      <c r="BE1076" s="41"/>
      <c r="BF1076" s="41"/>
      <c r="BG1076" s="41"/>
      <c r="BH1076" s="41"/>
      <c r="BI1076" s="41"/>
      <c r="BJ1076" s="41"/>
      <c r="BK1076" s="41"/>
      <c r="BL1076" s="41"/>
      <c r="BM1076" s="41"/>
      <c r="BN1076" s="41"/>
      <c r="BO1076" s="41"/>
      <c r="BP1076" s="41"/>
      <c r="BQ1076" s="41"/>
      <c r="BR1076" s="41"/>
      <c r="BS1076" s="41"/>
      <c r="BT1076" s="41"/>
      <c r="BU1076" s="41"/>
      <c r="BV1076" s="41"/>
      <c r="BW1076" s="41"/>
      <c r="BX1076" s="41"/>
      <c r="BY1076" s="41"/>
    </row>
    <row r="1077" spans="1:77" s="214" customFormat="1" x14ac:dyDescent="0.3">
      <c r="A1077" s="41"/>
      <c r="B1077" s="41"/>
      <c r="C1077" s="41"/>
      <c r="D1077" s="41"/>
      <c r="E1077" s="41"/>
      <c r="F1077" s="41"/>
      <c r="G1077" s="41"/>
      <c r="H1077" s="41"/>
      <c r="I1077" s="41"/>
      <c r="J1077" s="41"/>
      <c r="K1077" s="41"/>
      <c r="L1077" s="41"/>
      <c r="M1077" s="41"/>
      <c r="N1077" s="41"/>
      <c r="O1077" s="41"/>
      <c r="P1077" s="41"/>
      <c r="Q1077" s="41"/>
      <c r="R1077" s="41"/>
      <c r="S1077" s="41"/>
      <c r="T1077" s="44"/>
      <c r="U1077" s="44"/>
      <c r="V1077" s="44"/>
      <c r="W1077" s="41"/>
      <c r="X1077" s="41"/>
      <c r="Y1077" s="41"/>
      <c r="Z1077" s="41"/>
      <c r="AA1077" s="44"/>
      <c r="AB1077" s="44"/>
      <c r="AC1077" s="44"/>
      <c r="AD1077" s="44"/>
      <c r="AE1077" s="44"/>
      <c r="AF1077" s="44"/>
      <c r="AG1077" s="168"/>
      <c r="AH1077" s="44"/>
      <c r="AI1077" s="44"/>
      <c r="AJ1077" s="44"/>
      <c r="AK1077" s="168"/>
      <c r="AL1077" s="44"/>
      <c r="AM1077" s="44"/>
      <c r="AN1077" s="44"/>
      <c r="AO1077" s="44"/>
      <c r="AP1077" s="44"/>
      <c r="AR1077" s="41"/>
      <c r="AS1077" s="41"/>
      <c r="AT1077" s="41"/>
      <c r="AU1077" s="41"/>
      <c r="AV1077" s="41"/>
      <c r="AW1077" s="41"/>
      <c r="AX1077" s="41"/>
      <c r="AY1077" s="41"/>
      <c r="AZ1077" s="41"/>
      <c r="BA1077" s="41"/>
      <c r="BB1077" s="41"/>
      <c r="BC1077" s="41"/>
      <c r="BD1077" s="41"/>
      <c r="BE1077" s="41"/>
      <c r="BF1077" s="41"/>
      <c r="BG1077" s="41"/>
      <c r="BH1077" s="41"/>
      <c r="BI1077" s="41"/>
      <c r="BJ1077" s="41"/>
      <c r="BK1077" s="41"/>
      <c r="BL1077" s="41"/>
      <c r="BM1077" s="41"/>
      <c r="BN1077" s="41"/>
      <c r="BO1077" s="41"/>
      <c r="BP1077" s="41"/>
      <c r="BQ1077" s="41"/>
      <c r="BR1077" s="41"/>
      <c r="BS1077" s="41"/>
      <c r="BT1077" s="41"/>
      <c r="BU1077" s="41"/>
      <c r="BV1077" s="41"/>
      <c r="BW1077" s="41"/>
      <c r="BX1077" s="41"/>
      <c r="BY1077" s="41"/>
    </row>
    <row r="1078" spans="1:77" s="214" customFormat="1" x14ac:dyDescent="0.3">
      <c r="A1078" s="41"/>
      <c r="B1078" s="41"/>
      <c r="C1078" s="41"/>
      <c r="D1078" s="41"/>
      <c r="E1078" s="41"/>
      <c r="F1078" s="41"/>
      <c r="G1078" s="41"/>
      <c r="H1078" s="41"/>
      <c r="I1078" s="41"/>
      <c r="J1078" s="41"/>
      <c r="K1078" s="41"/>
      <c r="L1078" s="42"/>
      <c r="M1078" s="42"/>
      <c r="N1078" s="41"/>
      <c r="O1078" s="41"/>
      <c r="P1078" s="41"/>
      <c r="Q1078" s="41"/>
      <c r="R1078" s="41"/>
      <c r="S1078" s="41"/>
      <c r="T1078" s="44"/>
      <c r="U1078" s="44"/>
      <c r="V1078" s="44"/>
      <c r="W1078" s="41"/>
      <c r="X1078" s="41"/>
      <c r="Y1078" s="41"/>
      <c r="Z1078" s="41"/>
      <c r="AA1078" s="44"/>
      <c r="AB1078" s="44"/>
      <c r="AC1078" s="44"/>
      <c r="AD1078" s="44"/>
      <c r="AE1078" s="44"/>
      <c r="AF1078" s="44"/>
      <c r="AG1078" s="168"/>
      <c r="AH1078" s="44"/>
      <c r="AI1078" s="44"/>
      <c r="AJ1078" s="44"/>
      <c r="AK1078" s="168"/>
      <c r="AL1078" s="44"/>
      <c r="AM1078" s="44"/>
      <c r="AN1078" s="44"/>
      <c r="AO1078" s="44"/>
      <c r="AP1078" s="44"/>
      <c r="AR1078" s="41"/>
      <c r="AS1078" s="41"/>
      <c r="AT1078" s="41"/>
      <c r="AU1078" s="41"/>
      <c r="AV1078" s="41"/>
      <c r="AW1078" s="41"/>
      <c r="AX1078" s="41"/>
      <c r="AY1078" s="41"/>
      <c r="AZ1078" s="41"/>
      <c r="BA1078" s="41"/>
      <c r="BB1078" s="41"/>
      <c r="BC1078" s="41"/>
      <c r="BD1078" s="41"/>
      <c r="BE1078" s="41"/>
      <c r="BF1078" s="41"/>
      <c r="BG1078" s="41"/>
      <c r="BH1078" s="41"/>
      <c r="BI1078" s="41"/>
      <c r="BJ1078" s="41"/>
      <c r="BK1078" s="41"/>
      <c r="BL1078" s="41"/>
      <c r="BM1078" s="41"/>
      <c r="BN1078" s="41"/>
      <c r="BO1078" s="41"/>
      <c r="BP1078" s="41"/>
      <c r="BQ1078" s="41"/>
      <c r="BR1078" s="41"/>
      <c r="BS1078" s="41"/>
      <c r="BT1078" s="41"/>
      <c r="BU1078" s="41"/>
      <c r="BV1078" s="41"/>
      <c r="BW1078" s="41"/>
      <c r="BX1078" s="41"/>
      <c r="BY1078" s="41"/>
    </row>
    <row r="1079" spans="1:77" s="214" customFormat="1" x14ac:dyDescent="0.3">
      <c r="A1079" s="41"/>
      <c r="B1079" s="41"/>
      <c r="C1079" s="41"/>
      <c r="D1079" s="41"/>
      <c r="E1079" s="41"/>
      <c r="F1079" s="41"/>
      <c r="G1079" s="41"/>
      <c r="H1079" s="41"/>
      <c r="I1079" s="41"/>
      <c r="J1079" s="41"/>
      <c r="K1079" s="41"/>
      <c r="L1079" s="41"/>
      <c r="M1079" s="41"/>
      <c r="N1079" s="41"/>
      <c r="O1079" s="41"/>
      <c r="P1079" s="41"/>
      <c r="Q1079" s="41"/>
      <c r="R1079" s="42"/>
      <c r="S1079" s="41"/>
      <c r="T1079" s="135"/>
      <c r="U1079" s="135"/>
      <c r="V1079" s="135"/>
      <c r="W1079" s="135"/>
      <c r="X1079" s="135"/>
      <c r="Y1079" s="135"/>
      <c r="Z1079" s="135"/>
      <c r="AA1079" s="135"/>
      <c r="AB1079" s="135"/>
      <c r="AC1079" s="135"/>
      <c r="AD1079" s="135"/>
      <c r="AE1079" s="135"/>
      <c r="AF1079" s="135"/>
      <c r="AG1079" s="207"/>
      <c r="AH1079" s="135"/>
      <c r="AI1079" s="135"/>
      <c r="AJ1079" s="135"/>
      <c r="AK1079" s="207"/>
      <c r="AL1079" s="135"/>
      <c r="AM1079" s="135"/>
      <c r="AN1079" s="135"/>
      <c r="AO1079" s="135"/>
      <c r="AP1079" s="135"/>
      <c r="AR1079" s="41"/>
      <c r="AS1079" s="41"/>
      <c r="AT1079" s="41"/>
      <c r="AU1079" s="41"/>
      <c r="AV1079" s="41"/>
      <c r="AW1079" s="41"/>
      <c r="AX1079" s="41"/>
      <c r="AY1079" s="41"/>
      <c r="AZ1079" s="41"/>
      <c r="BA1079" s="41"/>
      <c r="BB1079" s="41"/>
      <c r="BC1079" s="41"/>
      <c r="BD1079" s="41"/>
      <c r="BE1079" s="41"/>
      <c r="BF1079" s="41"/>
      <c r="BG1079" s="41"/>
      <c r="BH1079" s="41"/>
      <c r="BI1079" s="41"/>
      <c r="BJ1079" s="41"/>
      <c r="BK1079" s="41"/>
      <c r="BL1079" s="41"/>
      <c r="BM1079" s="41"/>
      <c r="BN1079" s="41"/>
      <c r="BO1079" s="41"/>
      <c r="BP1079" s="41"/>
      <c r="BQ1079" s="41"/>
      <c r="BR1079" s="41"/>
      <c r="BS1079" s="41"/>
      <c r="BT1079" s="41"/>
      <c r="BU1079" s="41"/>
      <c r="BV1079" s="41"/>
      <c r="BW1079" s="41"/>
      <c r="BX1079" s="41"/>
      <c r="BY1079" s="41"/>
    </row>
    <row r="1080" spans="1:77" s="214" customFormat="1" x14ac:dyDescent="0.3">
      <c r="A1080" s="41"/>
      <c r="B1080" s="41"/>
      <c r="C1080" s="41"/>
      <c r="D1080" s="41"/>
      <c r="E1080" s="41"/>
      <c r="F1080" s="41"/>
      <c r="G1080" s="41"/>
      <c r="H1080" s="41"/>
      <c r="I1080" s="41"/>
      <c r="J1080" s="41"/>
      <c r="K1080" s="41"/>
      <c r="L1080" s="41"/>
      <c r="M1080" s="41"/>
      <c r="N1080" s="41"/>
      <c r="O1080" s="41"/>
      <c r="P1080" s="41"/>
      <c r="Q1080" s="41"/>
      <c r="R1080" s="42"/>
      <c r="S1080" s="41"/>
      <c r="T1080" s="41"/>
      <c r="U1080" s="41"/>
      <c r="V1080" s="41"/>
      <c r="W1080" s="41"/>
      <c r="X1080" s="41"/>
      <c r="Y1080" s="41"/>
      <c r="Z1080" s="41"/>
      <c r="AA1080" s="44"/>
      <c r="AB1080" s="44"/>
      <c r="AC1080" s="44"/>
      <c r="AD1080" s="44"/>
      <c r="AE1080" s="44"/>
      <c r="AF1080" s="44"/>
      <c r="AG1080" s="168"/>
      <c r="AH1080" s="44"/>
      <c r="AI1080" s="44"/>
      <c r="AJ1080" s="44"/>
      <c r="AK1080" s="168"/>
      <c r="AL1080" s="44"/>
      <c r="AM1080" s="44"/>
      <c r="AN1080" s="44"/>
      <c r="AO1080" s="44"/>
      <c r="AP1080" s="44"/>
      <c r="AR1080" s="41"/>
      <c r="AS1080" s="41"/>
      <c r="AT1080" s="41"/>
      <c r="AU1080" s="41"/>
      <c r="AV1080" s="41"/>
      <c r="AW1080" s="41"/>
      <c r="AX1080" s="41"/>
      <c r="AY1080" s="41"/>
      <c r="AZ1080" s="41"/>
      <c r="BA1080" s="41"/>
      <c r="BB1080" s="41"/>
      <c r="BC1080" s="41"/>
      <c r="BD1080" s="41"/>
      <c r="BE1080" s="41"/>
      <c r="BF1080" s="41"/>
      <c r="BG1080" s="41"/>
      <c r="BH1080" s="41"/>
      <c r="BI1080" s="41"/>
      <c r="BJ1080" s="41"/>
      <c r="BK1080" s="41"/>
      <c r="BL1080" s="41"/>
      <c r="BM1080" s="41"/>
      <c r="BN1080" s="41"/>
      <c r="BO1080" s="41"/>
      <c r="BP1080" s="41"/>
      <c r="BQ1080" s="41"/>
      <c r="BR1080" s="41"/>
      <c r="BS1080" s="41"/>
      <c r="BT1080" s="41"/>
      <c r="BU1080" s="41"/>
      <c r="BV1080" s="41"/>
      <c r="BW1080" s="41"/>
      <c r="BX1080" s="41"/>
      <c r="BY1080" s="41"/>
    </row>
    <row r="1081" spans="1:77" s="214" customFormat="1" x14ac:dyDescent="0.3">
      <c r="A1081" s="42"/>
      <c r="B1081" s="41"/>
      <c r="C1081" s="41"/>
      <c r="D1081" s="41"/>
      <c r="E1081" s="41"/>
      <c r="F1081" s="41"/>
      <c r="G1081" s="41"/>
      <c r="H1081" s="41"/>
      <c r="I1081" s="41"/>
      <c r="J1081" s="41"/>
      <c r="K1081" s="41"/>
      <c r="L1081" s="41"/>
      <c r="M1081" s="41"/>
      <c r="N1081" s="41"/>
      <c r="O1081" s="41"/>
      <c r="P1081" s="41"/>
      <c r="Q1081" s="41"/>
      <c r="R1081" s="42"/>
      <c r="S1081" s="41"/>
      <c r="T1081" s="42"/>
      <c r="U1081" s="42"/>
      <c r="V1081" s="123"/>
      <c r="W1081" s="41"/>
      <c r="X1081" s="41"/>
      <c r="Y1081" s="41"/>
      <c r="Z1081" s="41"/>
      <c r="AA1081" s="123"/>
      <c r="AB1081" s="219"/>
      <c r="AC1081" s="123"/>
      <c r="AD1081" s="123"/>
      <c r="AE1081" s="219"/>
      <c r="AF1081" s="219"/>
      <c r="AG1081" s="165"/>
      <c r="AH1081" s="123"/>
      <c r="AI1081" s="236"/>
      <c r="AJ1081" s="236"/>
      <c r="AK1081" s="165"/>
      <c r="AL1081" s="123"/>
      <c r="AM1081" s="123"/>
      <c r="AN1081" s="123"/>
      <c r="AO1081" s="160"/>
      <c r="AP1081" s="160"/>
      <c r="AR1081" s="41"/>
      <c r="AS1081" s="41"/>
      <c r="AT1081" s="41"/>
      <c r="AU1081" s="41"/>
      <c r="AV1081" s="41"/>
      <c r="AW1081" s="41"/>
      <c r="AX1081" s="41"/>
      <c r="AY1081" s="41"/>
      <c r="AZ1081" s="41"/>
      <c r="BA1081" s="41"/>
      <c r="BB1081" s="41"/>
      <c r="BC1081" s="41"/>
      <c r="BD1081" s="41"/>
      <c r="BE1081" s="41"/>
      <c r="BF1081" s="41"/>
      <c r="BG1081" s="41"/>
      <c r="BH1081" s="41"/>
      <c r="BI1081" s="41"/>
      <c r="BJ1081" s="41"/>
      <c r="BK1081" s="41"/>
      <c r="BL1081" s="41"/>
      <c r="BM1081" s="41"/>
      <c r="BN1081" s="41"/>
      <c r="BO1081" s="41"/>
      <c r="BP1081" s="41"/>
      <c r="BQ1081" s="41"/>
      <c r="BR1081" s="41"/>
      <c r="BS1081" s="41"/>
      <c r="BT1081" s="41"/>
      <c r="BU1081" s="41"/>
      <c r="BV1081" s="41"/>
      <c r="BW1081" s="41"/>
      <c r="BX1081" s="41"/>
      <c r="BY1081" s="41"/>
    </row>
    <row r="1082" spans="1:77" s="214" customFormat="1" x14ac:dyDescent="0.3">
      <c r="A1082" s="41"/>
      <c r="B1082" s="41"/>
      <c r="C1082" s="41"/>
      <c r="D1082" s="41"/>
      <c r="E1082" s="41"/>
      <c r="F1082" s="41"/>
      <c r="G1082" s="41"/>
      <c r="H1082" s="41"/>
      <c r="I1082" s="41"/>
      <c r="J1082" s="41"/>
      <c r="K1082" s="41"/>
      <c r="L1082" s="42"/>
      <c r="M1082" s="42"/>
      <c r="N1082" s="41"/>
      <c r="O1082" s="41"/>
      <c r="P1082" s="41"/>
      <c r="Q1082" s="41"/>
      <c r="R1082" s="41"/>
      <c r="S1082" s="41"/>
      <c r="T1082" s="41"/>
      <c r="U1082" s="41"/>
      <c r="V1082" s="210"/>
      <c r="W1082" s="41"/>
      <c r="X1082" s="41"/>
      <c r="Y1082" s="41"/>
      <c r="Z1082" s="41"/>
      <c r="AA1082" s="210"/>
      <c r="AB1082" s="213"/>
      <c r="AC1082" s="210"/>
      <c r="AD1082" s="210"/>
      <c r="AE1082" s="210"/>
      <c r="AF1082" s="210"/>
      <c r="AH1082" s="210"/>
      <c r="AI1082" s="41"/>
      <c r="AJ1082" s="41"/>
      <c r="AL1082" s="210"/>
      <c r="AM1082" s="210"/>
      <c r="AN1082" s="210"/>
      <c r="AO1082" s="160"/>
      <c r="AP1082" s="160"/>
      <c r="AR1082" s="41"/>
      <c r="AS1082" s="41"/>
      <c r="AT1082" s="41"/>
      <c r="AU1082" s="41"/>
      <c r="AV1082" s="41"/>
      <c r="AW1082" s="41"/>
      <c r="AX1082" s="41"/>
      <c r="AY1082" s="41"/>
      <c r="AZ1082" s="41"/>
      <c r="BA1082" s="41"/>
      <c r="BB1082" s="41"/>
      <c r="BC1082" s="41"/>
      <c r="BD1082" s="41"/>
      <c r="BE1082" s="41"/>
      <c r="BF1082" s="41"/>
      <c r="BG1082" s="41"/>
      <c r="BH1082" s="41"/>
      <c r="BI1082" s="41"/>
      <c r="BJ1082" s="41"/>
      <c r="BK1082" s="41"/>
      <c r="BL1082" s="41"/>
      <c r="BM1082" s="41"/>
      <c r="BN1082" s="41"/>
      <c r="BO1082" s="41"/>
      <c r="BP1082" s="41"/>
      <c r="BQ1082" s="41"/>
      <c r="BR1082" s="41"/>
      <c r="BS1082" s="41"/>
      <c r="BT1082" s="41"/>
      <c r="BU1082" s="41"/>
      <c r="BV1082" s="41"/>
      <c r="BW1082" s="41"/>
      <c r="BX1082" s="41"/>
      <c r="BY1082" s="41"/>
    </row>
    <row r="1083" spans="1:77" s="214" customFormat="1" x14ac:dyDescent="0.3">
      <c r="A1083" s="135"/>
      <c r="B1083" s="135"/>
      <c r="C1083" s="135"/>
      <c r="D1083" s="135"/>
      <c r="E1083" s="135"/>
      <c r="F1083" s="41"/>
      <c r="G1083" s="135"/>
      <c r="H1083" s="135"/>
      <c r="I1083" s="135"/>
      <c r="J1083" s="135"/>
      <c r="K1083" s="135"/>
      <c r="L1083" s="135"/>
      <c r="M1083" s="135"/>
      <c r="N1083" s="135"/>
      <c r="O1083" s="135"/>
      <c r="P1083" s="135"/>
      <c r="Q1083" s="135"/>
      <c r="R1083" s="135"/>
      <c r="S1083" s="41"/>
      <c r="T1083" s="42"/>
      <c r="U1083" s="41"/>
      <c r="V1083" s="123"/>
      <c r="W1083" s="41"/>
      <c r="X1083" s="41"/>
      <c r="Y1083" s="41"/>
      <c r="Z1083" s="41"/>
      <c r="AA1083" s="123"/>
      <c r="AB1083" s="219"/>
      <c r="AC1083" s="123"/>
      <c r="AD1083" s="123"/>
      <c r="AE1083" s="219"/>
      <c r="AF1083" s="219"/>
      <c r="AG1083" s="165"/>
      <c r="AH1083" s="123"/>
      <c r="AI1083" s="236"/>
      <c r="AJ1083" s="236"/>
      <c r="AK1083" s="165"/>
      <c r="AL1083" s="123"/>
      <c r="AM1083" s="123"/>
      <c r="AN1083" s="123"/>
      <c r="AO1083" s="160"/>
      <c r="AP1083" s="160"/>
      <c r="AR1083" s="41"/>
      <c r="AS1083" s="41"/>
      <c r="AT1083" s="41"/>
      <c r="AU1083" s="41"/>
      <c r="AV1083" s="41"/>
      <c r="AW1083" s="41"/>
      <c r="AX1083" s="41"/>
      <c r="AY1083" s="41"/>
      <c r="AZ1083" s="41"/>
      <c r="BA1083" s="41"/>
      <c r="BB1083" s="41"/>
      <c r="BC1083" s="41"/>
      <c r="BD1083" s="41"/>
      <c r="BE1083" s="41"/>
      <c r="BF1083" s="41"/>
      <c r="BG1083" s="41"/>
      <c r="BH1083" s="41"/>
      <c r="BI1083" s="41"/>
      <c r="BJ1083" s="41"/>
      <c r="BK1083" s="41"/>
      <c r="BL1083" s="41"/>
      <c r="BM1083" s="41"/>
      <c r="BN1083" s="41"/>
      <c r="BO1083" s="41"/>
      <c r="BP1083" s="41"/>
      <c r="BQ1083" s="41"/>
      <c r="BR1083" s="41"/>
      <c r="BS1083" s="41"/>
      <c r="BT1083" s="41"/>
      <c r="BU1083" s="41"/>
      <c r="BV1083" s="41"/>
      <c r="BW1083" s="41"/>
      <c r="BX1083" s="41"/>
      <c r="BY1083" s="41"/>
    </row>
    <row r="1084" spans="1:77" s="214" customFormat="1" x14ac:dyDescent="0.3">
      <c r="A1084" s="41"/>
      <c r="B1084" s="41"/>
      <c r="C1084" s="41"/>
      <c r="D1084" s="41"/>
      <c r="E1084" s="41"/>
      <c r="F1084" s="135"/>
      <c r="G1084" s="41"/>
      <c r="H1084" s="41"/>
      <c r="I1084" s="41"/>
      <c r="J1084" s="41"/>
      <c r="K1084" s="41"/>
      <c r="L1084" s="44"/>
      <c r="M1084" s="44"/>
      <c r="N1084" s="44"/>
      <c r="O1084" s="44"/>
      <c r="P1084" s="41"/>
      <c r="Q1084" s="41"/>
      <c r="R1084" s="44"/>
      <c r="S1084" s="41"/>
      <c r="T1084" s="41"/>
      <c r="U1084" s="41"/>
      <c r="V1084" s="123"/>
      <c r="W1084" s="41"/>
      <c r="X1084" s="41"/>
      <c r="Y1084" s="41"/>
      <c r="Z1084" s="41"/>
      <c r="AA1084" s="123"/>
      <c r="AB1084" s="219"/>
      <c r="AC1084" s="123"/>
      <c r="AD1084" s="123"/>
      <c r="AE1084" s="219"/>
      <c r="AF1084" s="219"/>
      <c r="AG1084" s="165"/>
      <c r="AH1084" s="41"/>
      <c r="AI1084" s="236"/>
      <c r="AJ1084" s="236"/>
      <c r="AK1084" s="165"/>
      <c r="AL1084" s="123"/>
      <c r="AM1084" s="123"/>
      <c r="AN1084" s="123"/>
      <c r="AO1084" s="160"/>
      <c r="AP1084" s="160"/>
      <c r="AR1084" s="41"/>
      <c r="AS1084" s="41"/>
      <c r="AT1084" s="41"/>
      <c r="AU1084" s="41"/>
      <c r="AV1084" s="41"/>
      <c r="AW1084" s="41"/>
      <c r="AX1084" s="41"/>
      <c r="AY1084" s="41"/>
      <c r="AZ1084" s="41"/>
      <c r="BA1084" s="41"/>
      <c r="BB1084" s="41"/>
      <c r="BC1084" s="41"/>
      <c r="BD1084" s="41"/>
      <c r="BE1084" s="41"/>
      <c r="BF1084" s="41"/>
      <c r="BG1084" s="41"/>
      <c r="BH1084" s="41"/>
      <c r="BI1084" s="41"/>
      <c r="BJ1084" s="41"/>
      <c r="BK1084" s="41"/>
      <c r="BL1084" s="41"/>
      <c r="BM1084" s="41"/>
      <c r="BN1084" s="41"/>
      <c r="BO1084" s="41"/>
      <c r="BP1084" s="41"/>
      <c r="BQ1084" s="41"/>
      <c r="BR1084" s="41"/>
      <c r="BS1084" s="41"/>
      <c r="BT1084" s="41"/>
      <c r="BU1084" s="41"/>
      <c r="BV1084" s="41"/>
      <c r="BW1084" s="41"/>
      <c r="BX1084" s="41"/>
      <c r="BY1084" s="41"/>
    </row>
    <row r="1085" spans="1:77" s="214" customFormat="1" x14ac:dyDescent="0.3">
      <c r="A1085" s="41"/>
      <c r="B1085" s="41"/>
      <c r="C1085" s="41"/>
      <c r="D1085" s="41"/>
      <c r="E1085" s="41"/>
      <c r="F1085" s="41"/>
      <c r="G1085" s="41"/>
      <c r="H1085" s="41"/>
      <c r="I1085" s="41"/>
      <c r="J1085" s="41"/>
      <c r="K1085" s="41"/>
      <c r="L1085" s="44"/>
      <c r="M1085" s="44"/>
      <c r="N1085" s="44"/>
      <c r="O1085" s="44"/>
      <c r="P1085" s="41"/>
      <c r="Q1085" s="41"/>
      <c r="R1085" s="44"/>
      <c r="S1085" s="41"/>
      <c r="T1085" s="42"/>
      <c r="U1085" s="42"/>
      <c r="V1085" s="123"/>
      <c r="W1085" s="41"/>
      <c r="X1085" s="41"/>
      <c r="Y1085" s="41"/>
      <c r="Z1085" s="41"/>
      <c r="AA1085" s="123"/>
      <c r="AB1085" s="219"/>
      <c r="AC1085" s="123"/>
      <c r="AD1085" s="123"/>
      <c r="AE1085" s="219"/>
      <c r="AF1085" s="219"/>
      <c r="AG1085" s="165"/>
      <c r="AH1085" s="123"/>
      <c r="AI1085" s="236"/>
      <c r="AJ1085" s="236"/>
      <c r="AK1085" s="165"/>
      <c r="AL1085" s="123"/>
      <c r="AM1085" s="123"/>
      <c r="AN1085" s="123"/>
      <c r="AO1085" s="160"/>
      <c r="AP1085" s="160"/>
      <c r="AR1085" s="41"/>
      <c r="AS1085" s="41"/>
      <c r="AT1085" s="41"/>
      <c r="AU1085" s="41"/>
      <c r="AV1085" s="41"/>
      <c r="AW1085" s="41"/>
      <c r="AX1085" s="41"/>
      <c r="AY1085" s="41"/>
      <c r="AZ1085" s="41"/>
      <c r="BA1085" s="41"/>
      <c r="BB1085" s="41"/>
      <c r="BC1085" s="41"/>
      <c r="BD1085" s="41"/>
      <c r="BE1085" s="41"/>
      <c r="BF1085" s="41"/>
      <c r="BG1085" s="41"/>
      <c r="BH1085" s="41"/>
      <c r="BI1085" s="41"/>
      <c r="BJ1085" s="41"/>
      <c r="BK1085" s="41"/>
      <c r="BL1085" s="41"/>
      <c r="BM1085" s="41"/>
      <c r="BN1085" s="41"/>
      <c r="BO1085" s="41"/>
      <c r="BP1085" s="41"/>
      <c r="BQ1085" s="41"/>
      <c r="BR1085" s="41"/>
      <c r="BS1085" s="41"/>
      <c r="BT1085" s="41"/>
      <c r="BU1085" s="41"/>
      <c r="BV1085" s="41"/>
      <c r="BW1085" s="41"/>
      <c r="BX1085" s="41"/>
      <c r="BY1085" s="41"/>
    </row>
    <row r="1086" spans="1:77" s="214" customFormat="1" x14ac:dyDescent="0.3">
      <c r="A1086" s="44"/>
      <c r="B1086" s="41"/>
      <c r="C1086" s="44"/>
      <c r="D1086" s="44"/>
      <c r="E1086" s="44"/>
      <c r="F1086" s="41"/>
      <c r="G1086" s="41"/>
      <c r="H1086" s="41"/>
      <c r="I1086" s="41"/>
      <c r="J1086" s="44"/>
      <c r="K1086" s="44"/>
      <c r="L1086" s="44"/>
      <c r="M1086" s="44"/>
      <c r="N1086" s="44"/>
      <c r="O1086" s="44"/>
      <c r="P1086" s="44"/>
      <c r="Q1086" s="44"/>
      <c r="R1086" s="44"/>
      <c r="S1086" s="41"/>
      <c r="T1086" s="42"/>
      <c r="U1086" s="42"/>
      <c r="V1086" s="123"/>
      <c r="W1086" s="41"/>
      <c r="X1086" s="41"/>
      <c r="Y1086" s="41"/>
      <c r="Z1086" s="41"/>
      <c r="AA1086" s="123"/>
      <c r="AB1086" s="219"/>
      <c r="AC1086" s="123"/>
      <c r="AD1086" s="123"/>
      <c r="AE1086" s="219"/>
      <c r="AF1086" s="219"/>
      <c r="AG1086" s="165"/>
      <c r="AH1086" s="123"/>
      <c r="AI1086" s="236"/>
      <c r="AJ1086" s="236"/>
      <c r="AK1086" s="165"/>
      <c r="AL1086" s="123"/>
      <c r="AM1086" s="123"/>
      <c r="AN1086" s="123"/>
      <c r="AO1086" s="160"/>
      <c r="AP1086" s="160"/>
      <c r="AR1086" s="41"/>
      <c r="AS1086" s="41"/>
      <c r="AT1086" s="41"/>
      <c r="AU1086" s="41"/>
      <c r="AV1086" s="41"/>
      <c r="AW1086" s="41"/>
      <c r="AX1086" s="41"/>
      <c r="AY1086" s="41"/>
      <c r="AZ1086" s="41"/>
      <c r="BA1086" s="41"/>
      <c r="BB1086" s="41"/>
      <c r="BC1086" s="41"/>
      <c r="BD1086" s="41"/>
      <c r="BE1086" s="41"/>
      <c r="BF1086" s="41"/>
      <c r="BG1086" s="41"/>
      <c r="BH1086" s="41"/>
      <c r="BI1086" s="41"/>
      <c r="BJ1086" s="41"/>
      <c r="BK1086" s="41"/>
      <c r="BL1086" s="41"/>
      <c r="BM1086" s="41"/>
      <c r="BN1086" s="41"/>
      <c r="BO1086" s="41"/>
      <c r="BP1086" s="41"/>
      <c r="BQ1086" s="41"/>
      <c r="BR1086" s="41"/>
      <c r="BS1086" s="41"/>
      <c r="BT1086" s="41"/>
      <c r="BU1086" s="41"/>
      <c r="BV1086" s="41"/>
      <c r="BW1086" s="41"/>
      <c r="BX1086" s="41"/>
      <c r="BY1086" s="41"/>
    </row>
    <row r="1087" spans="1:77" s="214" customFormat="1" x14ac:dyDescent="0.3">
      <c r="A1087" s="44"/>
      <c r="B1087" s="41"/>
      <c r="C1087" s="44"/>
      <c r="D1087" s="44"/>
      <c r="E1087" s="44"/>
      <c r="F1087" s="44"/>
      <c r="G1087" s="41"/>
      <c r="H1087" s="44"/>
      <c r="I1087" s="44"/>
      <c r="J1087" s="44"/>
      <c r="K1087" s="44"/>
      <c r="L1087" s="44"/>
      <c r="M1087" s="44"/>
      <c r="N1087" s="44"/>
      <c r="O1087" s="44"/>
      <c r="P1087" s="44"/>
      <c r="Q1087" s="44"/>
      <c r="R1087" s="44"/>
      <c r="S1087" s="41"/>
      <c r="T1087" s="42"/>
      <c r="U1087" s="42"/>
      <c r="V1087" s="123"/>
      <c r="W1087" s="41"/>
      <c r="X1087" s="41"/>
      <c r="Y1087" s="41"/>
      <c r="Z1087" s="41"/>
      <c r="AA1087" s="123"/>
      <c r="AB1087" s="219"/>
      <c r="AC1087" s="123"/>
      <c r="AD1087" s="123"/>
      <c r="AE1087" s="219"/>
      <c r="AF1087" s="219"/>
      <c r="AG1087" s="165"/>
      <c r="AH1087" s="123"/>
      <c r="AI1087" s="236"/>
      <c r="AJ1087" s="236"/>
      <c r="AK1087" s="165"/>
      <c r="AL1087" s="123"/>
      <c r="AM1087" s="123"/>
      <c r="AN1087" s="123"/>
      <c r="AO1087" s="160"/>
      <c r="AP1087" s="160"/>
      <c r="AR1087" s="41"/>
      <c r="AS1087" s="41"/>
      <c r="AT1087" s="41"/>
      <c r="AU1087" s="41"/>
      <c r="AV1087" s="41"/>
      <c r="AW1087" s="41"/>
      <c r="AX1087" s="41"/>
      <c r="AY1087" s="41"/>
      <c r="AZ1087" s="41"/>
      <c r="BA1087" s="41"/>
      <c r="BB1087" s="41"/>
      <c r="BC1087" s="41"/>
      <c r="BD1087" s="41"/>
      <c r="BE1087" s="41"/>
      <c r="BF1087" s="41"/>
      <c r="BG1087" s="41"/>
      <c r="BH1087" s="41"/>
      <c r="BI1087" s="41"/>
      <c r="BJ1087" s="41"/>
      <c r="BK1087" s="41"/>
      <c r="BL1087" s="41"/>
      <c r="BM1087" s="41"/>
      <c r="BN1087" s="41"/>
      <c r="BO1087" s="41"/>
      <c r="BP1087" s="41"/>
      <c r="BQ1087" s="41"/>
      <c r="BR1087" s="41"/>
      <c r="BS1087" s="41"/>
      <c r="BT1087" s="41"/>
      <c r="BU1087" s="41"/>
      <c r="BV1087" s="41"/>
      <c r="BW1087" s="41"/>
      <c r="BX1087" s="41"/>
      <c r="BY1087" s="41"/>
    </row>
    <row r="1088" spans="1:77" s="214" customFormat="1" x14ac:dyDescent="0.3">
      <c r="A1088" s="41"/>
      <c r="B1088" s="41"/>
      <c r="C1088" s="44"/>
      <c r="D1088" s="44"/>
      <c r="E1088" s="44"/>
      <c r="F1088" s="44"/>
      <c r="G1088" s="41"/>
      <c r="H1088" s="44"/>
      <c r="I1088" s="44"/>
      <c r="J1088" s="44"/>
      <c r="K1088" s="44"/>
      <c r="L1088" s="44"/>
      <c r="M1088" s="44"/>
      <c r="N1088" s="44"/>
      <c r="O1088" s="44"/>
      <c r="P1088" s="44"/>
      <c r="Q1088" s="44"/>
      <c r="R1088" s="44"/>
      <c r="S1088" s="41"/>
      <c r="T1088" s="42"/>
      <c r="U1088" s="42"/>
      <c r="V1088" s="123"/>
      <c r="W1088" s="41"/>
      <c r="X1088" s="41"/>
      <c r="Y1088" s="41"/>
      <c r="Z1088" s="41"/>
      <c r="AA1088" s="123"/>
      <c r="AB1088" s="219"/>
      <c r="AC1088" s="123"/>
      <c r="AD1088" s="123"/>
      <c r="AE1088" s="219"/>
      <c r="AF1088" s="219"/>
      <c r="AG1088" s="165"/>
      <c r="AH1088" s="123"/>
      <c r="AI1088" s="236"/>
      <c r="AJ1088" s="236"/>
      <c r="AK1088" s="165"/>
      <c r="AL1088" s="123"/>
      <c r="AM1088" s="123"/>
      <c r="AN1088" s="123"/>
      <c r="AO1088" s="160"/>
      <c r="AP1088" s="160"/>
      <c r="AR1088" s="41"/>
      <c r="AS1088" s="41"/>
      <c r="AT1088" s="41"/>
      <c r="AU1088" s="41"/>
      <c r="AV1088" s="41"/>
      <c r="AW1088" s="41"/>
      <c r="AX1088" s="41"/>
      <c r="AY1088" s="41"/>
      <c r="AZ1088" s="41"/>
      <c r="BA1088" s="41"/>
      <c r="BB1088" s="41"/>
      <c r="BC1088" s="41"/>
      <c r="BD1088" s="41"/>
      <c r="BE1088" s="41"/>
      <c r="BF1088" s="41"/>
      <c r="BG1088" s="41"/>
      <c r="BH1088" s="41"/>
      <c r="BI1088" s="41"/>
      <c r="BJ1088" s="41"/>
      <c r="BK1088" s="41"/>
      <c r="BL1088" s="41"/>
      <c r="BM1088" s="41"/>
      <c r="BN1088" s="41"/>
      <c r="BO1088" s="41"/>
      <c r="BP1088" s="41"/>
      <c r="BQ1088" s="41"/>
      <c r="BR1088" s="41"/>
      <c r="BS1088" s="41"/>
      <c r="BT1088" s="41"/>
      <c r="BU1088" s="41"/>
      <c r="BV1088" s="41"/>
      <c r="BW1088" s="41"/>
      <c r="BX1088" s="41"/>
      <c r="BY1088" s="41"/>
    </row>
    <row r="1089" spans="1:77" s="214" customFormat="1" x14ac:dyDescent="0.3">
      <c r="A1089" s="135"/>
      <c r="B1089" s="135"/>
      <c r="C1089" s="135"/>
      <c r="D1089" s="135"/>
      <c r="E1089" s="135"/>
      <c r="F1089" s="44"/>
      <c r="G1089" s="135"/>
      <c r="H1089" s="135"/>
      <c r="I1089" s="135"/>
      <c r="J1089" s="135"/>
      <c r="K1089" s="135"/>
      <c r="L1089" s="135"/>
      <c r="M1089" s="135"/>
      <c r="N1089" s="135"/>
      <c r="O1089" s="135"/>
      <c r="P1089" s="135"/>
      <c r="Q1089" s="135"/>
      <c r="R1089" s="135"/>
      <c r="S1089" s="41"/>
      <c r="T1089" s="42"/>
      <c r="U1089" s="42"/>
      <c r="V1089" s="123"/>
      <c r="W1089" s="41"/>
      <c r="X1089" s="41"/>
      <c r="Y1089" s="41"/>
      <c r="Z1089" s="41"/>
      <c r="AA1089" s="123"/>
      <c r="AB1089" s="219"/>
      <c r="AC1089" s="123"/>
      <c r="AD1089" s="123"/>
      <c r="AE1089" s="219"/>
      <c r="AF1089" s="219"/>
      <c r="AG1089" s="165"/>
      <c r="AH1089" s="123"/>
      <c r="AI1089" s="236"/>
      <c r="AJ1089" s="236"/>
      <c r="AK1089" s="165"/>
      <c r="AL1089" s="123"/>
      <c r="AM1089" s="123"/>
      <c r="AN1089" s="123"/>
      <c r="AO1089" s="160"/>
      <c r="AP1089" s="160"/>
      <c r="AR1089" s="41"/>
      <c r="AS1089" s="41"/>
      <c r="AT1089" s="41"/>
      <c r="AU1089" s="41"/>
      <c r="AV1089" s="41"/>
      <c r="AW1089" s="41"/>
      <c r="AX1089" s="41"/>
      <c r="AY1089" s="41"/>
      <c r="AZ1089" s="41"/>
      <c r="BA1089" s="41"/>
      <c r="BB1089" s="41"/>
      <c r="BC1089" s="41"/>
      <c r="BD1089" s="41"/>
      <c r="BE1089" s="41"/>
      <c r="BF1089" s="41"/>
      <c r="BG1089" s="41"/>
      <c r="BH1089" s="41"/>
      <c r="BI1089" s="41"/>
      <c r="BJ1089" s="41"/>
      <c r="BK1089" s="41"/>
      <c r="BL1089" s="41"/>
      <c r="BM1089" s="41"/>
      <c r="BN1089" s="41"/>
      <c r="BO1089" s="41"/>
      <c r="BP1089" s="41"/>
      <c r="BQ1089" s="41"/>
      <c r="BR1089" s="41"/>
      <c r="BS1089" s="41"/>
      <c r="BT1089" s="41"/>
      <c r="BU1089" s="41"/>
      <c r="BV1089" s="41"/>
      <c r="BW1089" s="41"/>
      <c r="BX1089" s="41"/>
      <c r="BY1089" s="41"/>
    </row>
    <row r="1090" spans="1:77" s="214" customFormat="1" x14ac:dyDescent="0.3">
      <c r="A1090" s="41"/>
      <c r="B1090" s="41"/>
      <c r="C1090" s="41"/>
      <c r="D1090" s="41"/>
      <c r="E1090" s="41"/>
      <c r="F1090" s="135"/>
      <c r="G1090" s="41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1"/>
      <c r="T1090" s="42"/>
      <c r="U1090" s="42"/>
      <c r="V1090" s="123"/>
      <c r="W1090" s="41"/>
      <c r="X1090" s="41"/>
      <c r="Y1090" s="41"/>
      <c r="Z1090" s="41"/>
      <c r="AA1090" s="123"/>
      <c r="AB1090" s="219"/>
      <c r="AC1090" s="123"/>
      <c r="AD1090" s="123"/>
      <c r="AE1090" s="219"/>
      <c r="AF1090" s="219"/>
      <c r="AG1090" s="165"/>
      <c r="AH1090" s="123"/>
      <c r="AI1090" s="236"/>
      <c r="AJ1090" s="236"/>
      <c r="AK1090" s="165"/>
      <c r="AL1090" s="123"/>
      <c r="AM1090" s="123"/>
      <c r="AN1090" s="123"/>
      <c r="AO1090" s="160"/>
      <c r="AP1090" s="160"/>
      <c r="AR1090" s="41"/>
      <c r="AS1090" s="41"/>
      <c r="AT1090" s="41"/>
      <c r="AU1090" s="41"/>
      <c r="AV1090" s="41"/>
      <c r="AW1090" s="41"/>
      <c r="AX1090" s="41"/>
      <c r="AY1090" s="41"/>
      <c r="AZ1090" s="41"/>
      <c r="BA1090" s="41"/>
      <c r="BB1090" s="41"/>
      <c r="BC1090" s="41"/>
      <c r="BD1090" s="41"/>
      <c r="BE1090" s="41"/>
      <c r="BF1090" s="41"/>
      <c r="BG1090" s="41"/>
      <c r="BH1090" s="41"/>
      <c r="BI1090" s="41"/>
      <c r="BJ1090" s="41"/>
      <c r="BK1090" s="41"/>
      <c r="BL1090" s="41"/>
      <c r="BM1090" s="41"/>
      <c r="BN1090" s="41"/>
      <c r="BO1090" s="41"/>
      <c r="BP1090" s="41"/>
      <c r="BQ1090" s="41"/>
      <c r="BR1090" s="41"/>
      <c r="BS1090" s="41"/>
      <c r="BT1090" s="41"/>
      <c r="BU1090" s="41"/>
      <c r="BV1090" s="41"/>
      <c r="BW1090" s="41"/>
      <c r="BX1090" s="41"/>
      <c r="BY1090" s="41"/>
    </row>
    <row r="1091" spans="1:77" s="214" customFormat="1" x14ac:dyDescent="0.3">
      <c r="A1091" s="41"/>
      <c r="B1091" s="41"/>
      <c r="C1091" s="42"/>
      <c r="D1091" s="42"/>
      <c r="E1091" s="42"/>
      <c r="F1091" s="41"/>
      <c r="G1091" s="41"/>
      <c r="H1091" s="123"/>
      <c r="I1091" s="123"/>
      <c r="J1091" s="219"/>
      <c r="K1091" s="219"/>
      <c r="L1091" s="123"/>
      <c r="M1091" s="123"/>
      <c r="N1091" s="219"/>
      <c r="O1091" s="219"/>
      <c r="P1091" s="123"/>
      <c r="Q1091" s="123"/>
      <c r="R1091" s="123"/>
      <c r="S1091" s="41"/>
      <c r="T1091" s="41"/>
      <c r="U1091" s="41"/>
      <c r="V1091" s="210"/>
      <c r="W1091" s="41"/>
      <c r="X1091" s="41"/>
      <c r="Y1091" s="41"/>
      <c r="Z1091" s="41"/>
      <c r="AA1091" s="210"/>
      <c r="AB1091" s="213"/>
      <c r="AC1091" s="210"/>
      <c r="AD1091" s="210"/>
      <c r="AE1091" s="210"/>
      <c r="AF1091" s="210"/>
      <c r="AH1091" s="210"/>
      <c r="AI1091" s="41"/>
      <c r="AJ1091" s="41"/>
      <c r="AL1091" s="210"/>
      <c r="AM1091" s="210"/>
      <c r="AN1091" s="210"/>
      <c r="AO1091" s="160"/>
      <c r="AP1091" s="160"/>
      <c r="AR1091" s="41"/>
      <c r="AS1091" s="41"/>
      <c r="AT1091" s="41"/>
      <c r="AU1091" s="41"/>
      <c r="AV1091" s="41"/>
      <c r="AW1091" s="41"/>
      <c r="AX1091" s="41"/>
      <c r="AY1091" s="41"/>
      <c r="AZ1091" s="41"/>
      <c r="BA1091" s="41"/>
      <c r="BB1091" s="41"/>
      <c r="BC1091" s="41"/>
      <c r="BD1091" s="41"/>
      <c r="BE1091" s="41"/>
      <c r="BF1091" s="41"/>
      <c r="BG1091" s="41"/>
      <c r="BH1091" s="41"/>
      <c r="BI1091" s="41"/>
      <c r="BJ1091" s="41"/>
      <c r="BK1091" s="41"/>
      <c r="BL1091" s="41"/>
      <c r="BM1091" s="41"/>
      <c r="BN1091" s="41"/>
      <c r="BO1091" s="41"/>
      <c r="BP1091" s="41"/>
      <c r="BQ1091" s="41"/>
      <c r="BR1091" s="41"/>
      <c r="BS1091" s="41"/>
      <c r="BT1091" s="41"/>
      <c r="BU1091" s="41"/>
      <c r="BV1091" s="41"/>
      <c r="BW1091" s="41"/>
      <c r="BX1091" s="41"/>
      <c r="BY1091" s="41"/>
    </row>
    <row r="1092" spans="1:77" s="214" customFormat="1" x14ac:dyDescent="0.3">
      <c r="A1092" s="41"/>
      <c r="B1092" s="41"/>
      <c r="C1092" s="41"/>
      <c r="D1092" s="41"/>
      <c r="E1092" s="41"/>
      <c r="F1092" s="123"/>
      <c r="G1092" s="41"/>
      <c r="H1092" s="210"/>
      <c r="I1092" s="210"/>
      <c r="J1092" s="213"/>
      <c r="K1092" s="213"/>
      <c r="L1092" s="210"/>
      <c r="M1092" s="210"/>
      <c r="N1092" s="210"/>
      <c r="O1092" s="210"/>
      <c r="P1092" s="210"/>
      <c r="Q1092" s="210"/>
      <c r="R1092" s="210"/>
      <c r="S1092" s="41"/>
      <c r="T1092" s="42"/>
      <c r="U1092" s="41"/>
      <c r="V1092" s="123"/>
      <c r="W1092" s="41"/>
      <c r="X1092" s="41"/>
      <c r="Y1092" s="41"/>
      <c r="Z1092" s="41"/>
      <c r="AA1092" s="123"/>
      <c r="AB1092" s="219"/>
      <c r="AC1092" s="123"/>
      <c r="AD1092" s="123"/>
      <c r="AE1092" s="219"/>
      <c r="AF1092" s="219"/>
      <c r="AG1092" s="165"/>
      <c r="AH1092" s="123"/>
      <c r="AI1092" s="236"/>
      <c r="AJ1092" s="236"/>
      <c r="AK1092" s="165"/>
      <c r="AL1092" s="123"/>
      <c r="AM1092" s="123"/>
      <c r="AN1092" s="123"/>
      <c r="AO1092" s="160"/>
      <c r="AP1092" s="160"/>
      <c r="AR1092" s="41"/>
      <c r="AS1092" s="41"/>
      <c r="AT1092" s="41"/>
      <c r="AU1092" s="41"/>
      <c r="AV1092" s="41"/>
      <c r="AW1092" s="41"/>
      <c r="AX1092" s="41"/>
      <c r="AY1092" s="41"/>
      <c r="AZ1092" s="41"/>
      <c r="BA1092" s="41"/>
      <c r="BB1092" s="41"/>
      <c r="BC1092" s="41"/>
      <c r="BD1092" s="41"/>
      <c r="BE1092" s="41"/>
      <c r="BF1092" s="41"/>
      <c r="BG1092" s="41"/>
      <c r="BH1092" s="41"/>
      <c r="BI1092" s="41"/>
      <c r="BJ1092" s="41"/>
      <c r="BK1092" s="41"/>
      <c r="BL1092" s="41"/>
      <c r="BM1092" s="41"/>
      <c r="BN1092" s="41"/>
      <c r="BO1092" s="41"/>
      <c r="BP1092" s="41"/>
      <c r="BQ1092" s="41"/>
      <c r="BR1092" s="41"/>
      <c r="BS1092" s="41"/>
      <c r="BT1092" s="41"/>
      <c r="BU1092" s="41"/>
      <c r="BV1092" s="41"/>
      <c r="BW1092" s="41"/>
      <c r="BX1092" s="41"/>
      <c r="BY1092" s="41"/>
    </row>
    <row r="1093" spans="1:77" s="214" customFormat="1" x14ac:dyDescent="0.3">
      <c r="A1093" s="41"/>
      <c r="B1093" s="41"/>
      <c r="C1093" s="42"/>
      <c r="D1093" s="41"/>
      <c r="E1093" s="41"/>
      <c r="F1093" s="210"/>
      <c r="G1093" s="41"/>
      <c r="H1093" s="123"/>
      <c r="I1093" s="123"/>
      <c r="J1093" s="219"/>
      <c r="K1093" s="219"/>
      <c r="L1093" s="123"/>
      <c r="M1093" s="123"/>
      <c r="N1093" s="219"/>
      <c r="O1093" s="219"/>
      <c r="P1093" s="123"/>
      <c r="Q1093" s="123"/>
      <c r="R1093" s="123"/>
      <c r="S1093" s="41"/>
      <c r="T1093" s="41"/>
      <c r="U1093" s="41"/>
      <c r="V1093" s="123"/>
      <c r="W1093" s="41"/>
      <c r="X1093" s="41"/>
      <c r="Y1093" s="41"/>
      <c r="Z1093" s="41"/>
      <c r="AA1093" s="123"/>
      <c r="AB1093" s="219"/>
      <c r="AC1093" s="123"/>
      <c r="AD1093" s="123"/>
      <c r="AE1093" s="219"/>
      <c r="AF1093" s="219"/>
      <c r="AG1093" s="165"/>
      <c r="AH1093" s="41"/>
      <c r="AI1093" s="236"/>
      <c r="AJ1093" s="236"/>
      <c r="AK1093" s="165"/>
      <c r="AL1093" s="123"/>
      <c r="AM1093" s="123"/>
      <c r="AN1093" s="123"/>
      <c r="AO1093" s="160"/>
      <c r="AP1093" s="160"/>
      <c r="AR1093" s="41"/>
      <c r="AS1093" s="41"/>
      <c r="AT1093" s="41"/>
      <c r="AU1093" s="41"/>
      <c r="AV1093" s="41"/>
      <c r="AW1093" s="41"/>
      <c r="AX1093" s="41"/>
      <c r="AY1093" s="41"/>
      <c r="AZ1093" s="41"/>
      <c r="BA1093" s="41"/>
      <c r="BB1093" s="41"/>
      <c r="BC1093" s="41"/>
      <c r="BD1093" s="41"/>
      <c r="BE1093" s="41"/>
      <c r="BF1093" s="41"/>
      <c r="BG1093" s="41"/>
      <c r="BH1093" s="41"/>
      <c r="BI1093" s="41"/>
      <c r="BJ1093" s="41"/>
      <c r="BK1093" s="41"/>
      <c r="BL1093" s="41"/>
      <c r="BM1093" s="41"/>
      <c r="BN1093" s="41"/>
      <c r="BO1093" s="41"/>
      <c r="BP1093" s="41"/>
      <c r="BQ1093" s="41"/>
      <c r="BR1093" s="41"/>
      <c r="BS1093" s="41"/>
      <c r="BT1093" s="41"/>
      <c r="BU1093" s="41"/>
      <c r="BV1093" s="41"/>
      <c r="BW1093" s="41"/>
      <c r="BX1093" s="41"/>
      <c r="BY1093" s="41"/>
    </row>
    <row r="1094" spans="1:77" s="214" customFormat="1" x14ac:dyDescent="0.3">
      <c r="A1094" s="41"/>
      <c r="B1094" s="41"/>
      <c r="C1094" s="41"/>
      <c r="D1094" s="41"/>
      <c r="E1094" s="41"/>
      <c r="F1094" s="123"/>
      <c r="G1094" s="41"/>
      <c r="H1094" s="123"/>
      <c r="I1094" s="123"/>
      <c r="J1094" s="219"/>
      <c r="K1094" s="219"/>
      <c r="L1094" s="123"/>
      <c r="M1094" s="123"/>
      <c r="N1094" s="219"/>
      <c r="O1094" s="219"/>
      <c r="P1094" s="123"/>
      <c r="Q1094" s="123"/>
      <c r="R1094" s="123"/>
      <c r="S1094" s="41"/>
      <c r="T1094" s="42"/>
      <c r="U1094" s="42"/>
      <c r="V1094" s="123"/>
      <c r="W1094" s="41"/>
      <c r="X1094" s="41"/>
      <c r="Y1094" s="41"/>
      <c r="Z1094" s="41"/>
      <c r="AA1094" s="123"/>
      <c r="AB1094" s="219"/>
      <c r="AC1094" s="123"/>
      <c r="AD1094" s="123"/>
      <c r="AE1094" s="219"/>
      <c r="AF1094" s="219"/>
      <c r="AG1094" s="165"/>
      <c r="AH1094" s="123"/>
      <c r="AI1094" s="236"/>
      <c r="AJ1094" s="236"/>
      <c r="AK1094" s="165"/>
      <c r="AL1094" s="123"/>
      <c r="AM1094" s="123"/>
      <c r="AN1094" s="123"/>
      <c r="AO1094" s="160"/>
      <c r="AP1094" s="160"/>
      <c r="AR1094" s="41"/>
      <c r="AS1094" s="41"/>
      <c r="AT1094" s="41"/>
      <c r="AU1094" s="41"/>
      <c r="AV1094" s="41"/>
      <c r="AW1094" s="41"/>
      <c r="AX1094" s="41"/>
      <c r="AY1094" s="41"/>
      <c r="AZ1094" s="41"/>
      <c r="BA1094" s="41"/>
      <c r="BB1094" s="41"/>
      <c r="BC1094" s="41"/>
      <c r="BD1094" s="41"/>
      <c r="BE1094" s="41"/>
      <c r="BF1094" s="41"/>
      <c r="BG1094" s="41"/>
      <c r="BH1094" s="41"/>
      <c r="BI1094" s="41"/>
      <c r="BJ1094" s="41"/>
      <c r="BK1094" s="41"/>
      <c r="BL1094" s="41"/>
      <c r="BM1094" s="41"/>
      <c r="BN1094" s="41"/>
      <c r="BO1094" s="41"/>
      <c r="BP1094" s="41"/>
      <c r="BQ1094" s="41"/>
      <c r="BR1094" s="41"/>
      <c r="BS1094" s="41"/>
      <c r="BT1094" s="41"/>
      <c r="BU1094" s="41"/>
      <c r="BV1094" s="41"/>
      <c r="BW1094" s="41"/>
      <c r="BX1094" s="41"/>
      <c r="BY1094" s="41"/>
    </row>
    <row r="1095" spans="1:77" s="214" customFormat="1" x14ac:dyDescent="0.3">
      <c r="A1095" s="41"/>
      <c r="B1095" s="41"/>
      <c r="C1095" s="42"/>
      <c r="D1095" s="42"/>
      <c r="E1095" s="42"/>
      <c r="F1095" s="123"/>
      <c r="G1095" s="41"/>
      <c r="H1095" s="123"/>
      <c r="I1095" s="123"/>
      <c r="J1095" s="219"/>
      <c r="K1095" s="219"/>
      <c r="L1095" s="123"/>
      <c r="M1095" s="123"/>
      <c r="N1095" s="219"/>
      <c r="O1095" s="219"/>
      <c r="P1095" s="123"/>
      <c r="Q1095" s="123"/>
      <c r="R1095" s="123"/>
      <c r="S1095" s="41"/>
      <c r="T1095" s="41"/>
      <c r="U1095" s="41"/>
      <c r="V1095" s="210"/>
      <c r="W1095" s="41"/>
      <c r="X1095" s="41"/>
      <c r="Y1095" s="41"/>
      <c r="Z1095" s="41"/>
      <c r="AA1095" s="210"/>
      <c r="AB1095" s="213"/>
      <c r="AC1095" s="210"/>
      <c r="AD1095" s="210"/>
      <c r="AE1095" s="210"/>
      <c r="AF1095" s="210"/>
      <c r="AH1095" s="210"/>
      <c r="AI1095" s="41"/>
      <c r="AJ1095" s="41"/>
      <c r="AL1095" s="210"/>
      <c r="AM1095" s="210"/>
      <c r="AN1095" s="210"/>
      <c r="AO1095" s="160"/>
      <c r="AP1095" s="160"/>
      <c r="AR1095" s="41"/>
      <c r="AS1095" s="41"/>
      <c r="AT1095" s="41"/>
      <c r="AU1095" s="41"/>
      <c r="AV1095" s="41"/>
      <c r="AW1095" s="41"/>
      <c r="AX1095" s="41"/>
      <c r="AY1095" s="41"/>
      <c r="AZ1095" s="41"/>
      <c r="BA1095" s="41"/>
      <c r="BB1095" s="41"/>
      <c r="BC1095" s="41"/>
      <c r="BD1095" s="41"/>
      <c r="BE1095" s="41"/>
      <c r="BF1095" s="41"/>
      <c r="BG1095" s="41"/>
      <c r="BH1095" s="41"/>
      <c r="BI1095" s="41"/>
      <c r="BJ1095" s="41"/>
      <c r="BK1095" s="41"/>
      <c r="BL1095" s="41"/>
      <c r="BM1095" s="41"/>
      <c r="BN1095" s="41"/>
      <c r="BO1095" s="41"/>
      <c r="BP1095" s="41"/>
      <c r="BQ1095" s="41"/>
      <c r="BR1095" s="41"/>
      <c r="BS1095" s="41"/>
      <c r="BT1095" s="41"/>
      <c r="BU1095" s="41"/>
      <c r="BV1095" s="41"/>
      <c r="BW1095" s="41"/>
      <c r="BX1095" s="41"/>
      <c r="BY1095" s="41"/>
    </row>
    <row r="1096" spans="1:77" s="214" customFormat="1" x14ac:dyDescent="0.3">
      <c r="A1096" s="41"/>
      <c r="B1096" s="41"/>
      <c r="C1096" s="42"/>
      <c r="D1096" s="42"/>
      <c r="E1096" s="42"/>
      <c r="F1096" s="123"/>
      <c r="G1096" s="41"/>
      <c r="H1096" s="123"/>
      <c r="I1096" s="123"/>
      <c r="J1096" s="219"/>
      <c r="K1096" s="219"/>
      <c r="L1096" s="123"/>
      <c r="M1096" s="123"/>
      <c r="N1096" s="219"/>
      <c r="O1096" s="219"/>
      <c r="P1096" s="123"/>
      <c r="Q1096" s="123"/>
      <c r="R1096" s="123"/>
      <c r="S1096" s="41"/>
      <c r="T1096" s="42"/>
      <c r="U1096" s="41"/>
      <c r="V1096" s="123"/>
      <c r="W1096" s="41"/>
      <c r="X1096" s="41"/>
      <c r="Y1096" s="41"/>
      <c r="Z1096" s="41"/>
      <c r="AA1096" s="123"/>
      <c r="AB1096" s="219"/>
      <c r="AC1096" s="123"/>
      <c r="AD1096" s="123"/>
      <c r="AE1096" s="219"/>
      <c r="AF1096" s="219"/>
      <c r="AG1096" s="165"/>
      <c r="AH1096" s="123"/>
      <c r="AI1096" s="236"/>
      <c r="AJ1096" s="236"/>
      <c r="AK1096" s="165"/>
      <c r="AL1096" s="123"/>
      <c r="AM1096" s="123"/>
      <c r="AN1096" s="123"/>
      <c r="AO1096" s="160"/>
      <c r="AP1096" s="160"/>
      <c r="AR1096" s="41"/>
      <c r="AS1096" s="41"/>
      <c r="AT1096" s="41"/>
      <c r="AU1096" s="41"/>
      <c r="AV1096" s="41"/>
      <c r="AW1096" s="41"/>
      <c r="AX1096" s="41"/>
      <c r="AY1096" s="41"/>
      <c r="AZ1096" s="41"/>
      <c r="BA1096" s="41"/>
      <c r="BB1096" s="41"/>
      <c r="BC1096" s="41"/>
      <c r="BD1096" s="41"/>
      <c r="BE1096" s="41"/>
      <c r="BF1096" s="41"/>
      <c r="BG1096" s="41"/>
      <c r="BH1096" s="41"/>
      <c r="BI1096" s="41"/>
      <c r="BJ1096" s="41"/>
      <c r="BK1096" s="41"/>
      <c r="BL1096" s="41"/>
      <c r="BM1096" s="41"/>
      <c r="BN1096" s="41"/>
      <c r="BO1096" s="41"/>
      <c r="BP1096" s="41"/>
      <c r="BQ1096" s="41"/>
      <c r="BR1096" s="41"/>
      <c r="BS1096" s="41"/>
      <c r="BT1096" s="41"/>
      <c r="BU1096" s="41"/>
      <c r="BV1096" s="41"/>
      <c r="BW1096" s="41"/>
      <c r="BX1096" s="41"/>
      <c r="BY1096" s="41"/>
    </row>
    <row r="1097" spans="1:77" s="214" customFormat="1" x14ac:dyDescent="0.3">
      <c r="A1097" s="41"/>
      <c r="B1097" s="41"/>
      <c r="C1097" s="42"/>
      <c r="D1097" s="42"/>
      <c r="E1097" s="42"/>
      <c r="F1097" s="123"/>
      <c r="G1097" s="41"/>
      <c r="H1097" s="123"/>
      <c r="I1097" s="123"/>
      <c r="J1097" s="219"/>
      <c r="K1097" s="219"/>
      <c r="L1097" s="123"/>
      <c r="M1097" s="123"/>
      <c r="N1097" s="219"/>
      <c r="O1097" s="219"/>
      <c r="P1097" s="123"/>
      <c r="Q1097" s="123"/>
      <c r="R1097" s="123"/>
      <c r="S1097" s="41"/>
      <c r="T1097" s="41"/>
      <c r="U1097" s="41"/>
      <c r="V1097" s="123"/>
      <c r="W1097" s="41"/>
      <c r="X1097" s="41"/>
      <c r="Y1097" s="41"/>
      <c r="Z1097" s="41"/>
      <c r="AA1097" s="123"/>
      <c r="AB1097" s="219"/>
      <c r="AC1097" s="123"/>
      <c r="AD1097" s="123"/>
      <c r="AE1097" s="219"/>
      <c r="AF1097" s="219"/>
      <c r="AG1097" s="165"/>
      <c r="AH1097" s="41"/>
      <c r="AI1097" s="236"/>
      <c r="AJ1097" s="236"/>
      <c r="AK1097" s="165"/>
      <c r="AL1097" s="123"/>
      <c r="AM1097" s="123"/>
      <c r="AN1097" s="123"/>
      <c r="AO1097" s="160"/>
      <c r="AP1097" s="160"/>
      <c r="AR1097" s="41"/>
      <c r="AS1097" s="41"/>
      <c r="AT1097" s="41"/>
      <c r="AU1097" s="41"/>
      <c r="AV1097" s="41"/>
      <c r="AW1097" s="41"/>
      <c r="AX1097" s="41"/>
      <c r="AY1097" s="41"/>
      <c r="AZ1097" s="41"/>
      <c r="BA1097" s="41"/>
      <c r="BB1097" s="41"/>
      <c r="BC1097" s="41"/>
      <c r="BD1097" s="41"/>
      <c r="BE1097" s="41"/>
      <c r="BF1097" s="41"/>
      <c r="BG1097" s="41"/>
      <c r="BH1097" s="41"/>
      <c r="BI1097" s="41"/>
      <c r="BJ1097" s="41"/>
      <c r="BK1097" s="41"/>
      <c r="BL1097" s="41"/>
      <c r="BM1097" s="41"/>
      <c r="BN1097" s="41"/>
      <c r="BO1097" s="41"/>
      <c r="BP1097" s="41"/>
      <c r="BQ1097" s="41"/>
      <c r="BR1097" s="41"/>
      <c r="BS1097" s="41"/>
      <c r="BT1097" s="41"/>
      <c r="BU1097" s="41"/>
      <c r="BV1097" s="41"/>
      <c r="BW1097" s="41"/>
      <c r="BX1097" s="41"/>
      <c r="BY1097" s="41"/>
    </row>
    <row r="1098" spans="1:77" s="214" customFormat="1" x14ac:dyDescent="0.3">
      <c r="A1098" s="41"/>
      <c r="B1098" s="41"/>
      <c r="C1098" s="42"/>
      <c r="D1098" s="42"/>
      <c r="E1098" s="42"/>
      <c r="F1098" s="123"/>
      <c r="G1098" s="41"/>
      <c r="H1098" s="123"/>
      <c r="I1098" s="123"/>
      <c r="J1098" s="219"/>
      <c r="K1098" s="219"/>
      <c r="L1098" s="123"/>
      <c r="M1098" s="123"/>
      <c r="N1098" s="219"/>
      <c r="O1098" s="219"/>
      <c r="P1098" s="123"/>
      <c r="Q1098" s="123"/>
      <c r="R1098" s="123"/>
      <c r="S1098" s="41"/>
      <c r="T1098" s="42"/>
      <c r="U1098" s="42"/>
      <c r="V1098" s="123"/>
      <c r="W1098" s="41"/>
      <c r="X1098" s="41"/>
      <c r="Y1098" s="41"/>
      <c r="Z1098" s="41"/>
      <c r="AA1098" s="123"/>
      <c r="AB1098" s="219"/>
      <c r="AC1098" s="123"/>
      <c r="AD1098" s="123"/>
      <c r="AE1098" s="219"/>
      <c r="AF1098" s="219"/>
      <c r="AG1098" s="165"/>
      <c r="AH1098" s="123"/>
      <c r="AI1098" s="236"/>
      <c r="AJ1098" s="236"/>
      <c r="AK1098" s="165"/>
      <c r="AL1098" s="123"/>
      <c r="AM1098" s="123"/>
      <c r="AN1098" s="123"/>
      <c r="AO1098" s="160"/>
      <c r="AP1098" s="160"/>
      <c r="AR1098" s="41"/>
      <c r="AS1098" s="41"/>
      <c r="AT1098" s="41"/>
      <c r="AU1098" s="41"/>
      <c r="AV1098" s="41"/>
      <c r="AW1098" s="41"/>
      <c r="AX1098" s="41"/>
      <c r="AY1098" s="41"/>
      <c r="AZ1098" s="41"/>
      <c r="BA1098" s="41"/>
      <c r="BB1098" s="41"/>
      <c r="BC1098" s="41"/>
      <c r="BD1098" s="41"/>
      <c r="BE1098" s="41"/>
      <c r="BF1098" s="41"/>
      <c r="BG1098" s="41"/>
      <c r="BH1098" s="41"/>
      <c r="BI1098" s="41"/>
      <c r="BJ1098" s="41"/>
      <c r="BK1098" s="41"/>
      <c r="BL1098" s="41"/>
      <c r="BM1098" s="41"/>
      <c r="BN1098" s="41"/>
      <c r="BO1098" s="41"/>
      <c r="BP1098" s="41"/>
      <c r="BQ1098" s="41"/>
      <c r="BR1098" s="41"/>
      <c r="BS1098" s="41"/>
      <c r="BT1098" s="41"/>
      <c r="BU1098" s="41"/>
      <c r="BV1098" s="41"/>
      <c r="BW1098" s="41"/>
      <c r="BX1098" s="41"/>
      <c r="BY1098" s="41"/>
    </row>
    <row r="1099" spans="1:77" s="214" customFormat="1" x14ac:dyDescent="0.3">
      <c r="A1099" s="41"/>
      <c r="B1099" s="41"/>
      <c r="C1099" s="42"/>
      <c r="D1099" s="42"/>
      <c r="E1099" s="42"/>
      <c r="F1099" s="123"/>
      <c r="G1099" s="41"/>
      <c r="H1099" s="123"/>
      <c r="I1099" s="123"/>
      <c r="J1099" s="219"/>
      <c r="K1099" s="219"/>
      <c r="L1099" s="123"/>
      <c r="M1099" s="123"/>
      <c r="N1099" s="219"/>
      <c r="O1099" s="219"/>
      <c r="P1099" s="123"/>
      <c r="Q1099" s="123"/>
      <c r="R1099" s="123"/>
      <c r="S1099" s="41"/>
      <c r="T1099" s="42"/>
      <c r="U1099" s="42"/>
      <c r="V1099" s="123"/>
      <c r="W1099" s="123"/>
      <c r="X1099" s="123"/>
      <c r="Y1099" s="123"/>
      <c r="Z1099" s="123"/>
      <c r="AA1099" s="123"/>
      <c r="AB1099" s="219"/>
      <c r="AC1099" s="123"/>
      <c r="AD1099" s="123"/>
      <c r="AE1099" s="219"/>
      <c r="AF1099" s="219"/>
      <c r="AG1099" s="165"/>
      <c r="AH1099" s="123"/>
      <c r="AI1099" s="236"/>
      <c r="AJ1099" s="236"/>
      <c r="AK1099" s="165"/>
      <c r="AL1099" s="123"/>
      <c r="AM1099" s="123"/>
      <c r="AN1099" s="123"/>
      <c r="AO1099" s="160"/>
      <c r="AP1099" s="160"/>
      <c r="AR1099" s="41"/>
      <c r="AS1099" s="41"/>
      <c r="AT1099" s="41"/>
      <c r="AU1099" s="41"/>
      <c r="AV1099" s="41"/>
      <c r="AW1099" s="41"/>
      <c r="AX1099" s="41"/>
      <c r="AY1099" s="41"/>
      <c r="AZ1099" s="41"/>
      <c r="BA1099" s="41"/>
      <c r="BB1099" s="41"/>
      <c r="BC1099" s="41"/>
      <c r="BD1099" s="41"/>
      <c r="BE1099" s="41"/>
      <c r="BF1099" s="41"/>
      <c r="BG1099" s="41"/>
      <c r="BH1099" s="41"/>
      <c r="BI1099" s="41"/>
      <c r="BJ1099" s="41"/>
      <c r="BK1099" s="41"/>
      <c r="BL1099" s="41"/>
      <c r="BM1099" s="41"/>
      <c r="BN1099" s="41"/>
      <c r="BO1099" s="41"/>
      <c r="BP1099" s="41"/>
      <c r="BQ1099" s="41"/>
      <c r="BR1099" s="41"/>
      <c r="BS1099" s="41"/>
      <c r="BT1099" s="41"/>
      <c r="BU1099" s="41"/>
      <c r="BV1099" s="41"/>
      <c r="BW1099" s="41"/>
      <c r="BX1099" s="41"/>
      <c r="BY1099" s="41"/>
    </row>
    <row r="1100" spans="1:77" s="214" customFormat="1" x14ac:dyDescent="0.3">
      <c r="A1100" s="41"/>
      <c r="B1100" s="41"/>
      <c r="C1100" s="42"/>
      <c r="D1100" s="42"/>
      <c r="E1100" s="42"/>
      <c r="F1100" s="123"/>
      <c r="G1100" s="41"/>
      <c r="H1100" s="123"/>
      <c r="I1100" s="123"/>
      <c r="J1100" s="219"/>
      <c r="K1100" s="219"/>
      <c r="L1100" s="123"/>
      <c r="M1100" s="123"/>
      <c r="N1100" s="219"/>
      <c r="O1100" s="219"/>
      <c r="P1100" s="123"/>
      <c r="Q1100" s="123"/>
      <c r="R1100" s="123"/>
      <c r="S1100" s="41"/>
      <c r="T1100" s="42"/>
      <c r="U1100" s="42"/>
      <c r="V1100" s="123"/>
      <c r="W1100" s="123"/>
      <c r="X1100" s="123"/>
      <c r="Y1100" s="123"/>
      <c r="Z1100" s="123"/>
      <c r="AA1100" s="123"/>
      <c r="AB1100" s="219"/>
      <c r="AC1100" s="123"/>
      <c r="AD1100" s="123"/>
      <c r="AE1100" s="219"/>
      <c r="AF1100" s="219"/>
      <c r="AG1100" s="165"/>
      <c r="AH1100" s="123"/>
      <c r="AI1100" s="236"/>
      <c r="AJ1100" s="236"/>
      <c r="AK1100" s="165"/>
      <c r="AL1100" s="123"/>
      <c r="AM1100" s="123"/>
      <c r="AN1100" s="123"/>
      <c r="AO1100" s="160"/>
      <c r="AP1100" s="160"/>
      <c r="AR1100" s="41"/>
      <c r="AS1100" s="41"/>
      <c r="AT1100" s="41"/>
      <c r="AU1100" s="41"/>
      <c r="AV1100" s="41"/>
      <c r="AW1100" s="41"/>
      <c r="AX1100" s="41"/>
      <c r="AY1100" s="41"/>
      <c r="AZ1100" s="41"/>
      <c r="BA1100" s="41"/>
      <c r="BB1100" s="41"/>
      <c r="BC1100" s="41"/>
      <c r="BD1100" s="41"/>
      <c r="BE1100" s="41"/>
      <c r="BF1100" s="41"/>
      <c r="BG1100" s="41"/>
      <c r="BH1100" s="41"/>
      <c r="BI1100" s="41"/>
      <c r="BJ1100" s="41"/>
      <c r="BK1100" s="41"/>
      <c r="BL1100" s="41"/>
      <c r="BM1100" s="41"/>
      <c r="BN1100" s="41"/>
      <c r="BO1100" s="41"/>
      <c r="BP1100" s="41"/>
      <c r="BQ1100" s="41"/>
      <c r="BR1100" s="41"/>
      <c r="BS1100" s="41"/>
      <c r="BT1100" s="41"/>
      <c r="BU1100" s="41"/>
      <c r="BV1100" s="41"/>
      <c r="BW1100" s="41"/>
      <c r="BX1100" s="41"/>
      <c r="BY1100" s="41"/>
    </row>
    <row r="1101" spans="1:77" s="214" customFormat="1" x14ac:dyDescent="0.3">
      <c r="A1101" s="41"/>
      <c r="B1101" s="41"/>
      <c r="C1101" s="41"/>
      <c r="D1101" s="41"/>
      <c r="E1101" s="41"/>
      <c r="F1101" s="123"/>
      <c r="G1101" s="41"/>
      <c r="H1101" s="210"/>
      <c r="I1101" s="210"/>
      <c r="J1101" s="213"/>
      <c r="K1101" s="213"/>
      <c r="L1101" s="210"/>
      <c r="M1101" s="210"/>
      <c r="N1101" s="210"/>
      <c r="O1101" s="210"/>
      <c r="P1101" s="210"/>
      <c r="Q1101" s="210"/>
      <c r="R1101" s="210"/>
      <c r="S1101" s="41"/>
      <c r="T1101" s="42"/>
      <c r="U1101" s="42"/>
      <c r="V1101" s="123"/>
      <c r="W1101" s="41"/>
      <c r="X1101" s="41"/>
      <c r="Y1101" s="41"/>
      <c r="Z1101" s="41"/>
      <c r="AA1101" s="123"/>
      <c r="AB1101" s="219"/>
      <c r="AC1101" s="123"/>
      <c r="AD1101" s="123"/>
      <c r="AE1101" s="219"/>
      <c r="AF1101" s="219"/>
      <c r="AG1101" s="165"/>
      <c r="AH1101" s="123"/>
      <c r="AI1101" s="236"/>
      <c r="AJ1101" s="236"/>
      <c r="AK1101" s="165"/>
      <c r="AL1101" s="123"/>
      <c r="AM1101" s="123"/>
      <c r="AN1101" s="123"/>
      <c r="AO1101" s="160"/>
      <c r="AP1101" s="160"/>
      <c r="AR1101" s="41"/>
      <c r="AS1101" s="41"/>
      <c r="AT1101" s="41"/>
      <c r="AU1101" s="41"/>
      <c r="AV1101" s="41"/>
      <c r="AW1101" s="41"/>
      <c r="AX1101" s="41"/>
      <c r="AY1101" s="41"/>
      <c r="AZ1101" s="41"/>
      <c r="BA1101" s="41"/>
      <c r="BB1101" s="41"/>
      <c r="BC1101" s="41"/>
      <c r="BD1101" s="41"/>
      <c r="BE1101" s="41"/>
      <c r="BF1101" s="41"/>
      <c r="BG1101" s="41"/>
      <c r="BH1101" s="41"/>
      <c r="BI1101" s="41"/>
      <c r="BJ1101" s="41"/>
      <c r="BK1101" s="41"/>
      <c r="BL1101" s="41"/>
      <c r="BM1101" s="41"/>
      <c r="BN1101" s="41"/>
      <c r="BO1101" s="41"/>
      <c r="BP1101" s="41"/>
      <c r="BQ1101" s="41"/>
      <c r="BR1101" s="41"/>
      <c r="BS1101" s="41"/>
      <c r="BT1101" s="41"/>
      <c r="BU1101" s="41"/>
      <c r="BV1101" s="41"/>
      <c r="BW1101" s="41"/>
      <c r="BX1101" s="41"/>
      <c r="BY1101" s="41"/>
    </row>
    <row r="1102" spans="1:77" s="214" customFormat="1" x14ac:dyDescent="0.3">
      <c r="A1102" s="41"/>
      <c r="B1102" s="41"/>
      <c r="C1102" s="42"/>
      <c r="D1102" s="41"/>
      <c r="E1102" s="41"/>
      <c r="F1102" s="210"/>
      <c r="G1102" s="41"/>
      <c r="H1102" s="123"/>
      <c r="I1102" s="123"/>
      <c r="J1102" s="219"/>
      <c r="K1102" s="219"/>
      <c r="L1102" s="123"/>
      <c r="M1102" s="123"/>
      <c r="N1102" s="219"/>
      <c r="O1102" s="219"/>
      <c r="P1102" s="123"/>
      <c r="Q1102" s="123"/>
      <c r="R1102" s="123"/>
      <c r="S1102" s="41"/>
      <c r="T1102" s="42"/>
      <c r="U1102" s="42"/>
      <c r="V1102" s="123"/>
      <c r="W1102" s="41"/>
      <c r="X1102" s="41"/>
      <c r="Y1102" s="41"/>
      <c r="Z1102" s="41"/>
      <c r="AA1102" s="123"/>
      <c r="AB1102" s="219"/>
      <c r="AC1102" s="123"/>
      <c r="AD1102" s="123"/>
      <c r="AE1102" s="219"/>
      <c r="AF1102" s="219"/>
      <c r="AG1102" s="165"/>
      <c r="AH1102" s="123"/>
      <c r="AI1102" s="236"/>
      <c r="AJ1102" s="236"/>
      <c r="AK1102" s="165"/>
      <c r="AL1102" s="123"/>
      <c r="AM1102" s="123"/>
      <c r="AN1102" s="123"/>
      <c r="AO1102" s="160"/>
      <c r="AP1102" s="160"/>
      <c r="AR1102" s="41"/>
      <c r="AS1102" s="41"/>
      <c r="AT1102" s="41"/>
      <c r="AU1102" s="41"/>
      <c r="AV1102" s="41"/>
      <c r="AW1102" s="41"/>
      <c r="AX1102" s="41"/>
      <c r="AY1102" s="41"/>
      <c r="AZ1102" s="41"/>
      <c r="BA1102" s="41"/>
      <c r="BB1102" s="41"/>
      <c r="BC1102" s="41"/>
      <c r="BD1102" s="41"/>
      <c r="BE1102" s="41"/>
      <c r="BF1102" s="41"/>
      <c r="BG1102" s="41"/>
      <c r="BH1102" s="41"/>
      <c r="BI1102" s="41"/>
      <c r="BJ1102" s="41"/>
      <c r="BK1102" s="41"/>
      <c r="BL1102" s="41"/>
      <c r="BM1102" s="41"/>
      <c r="BN1102" s="41"/>
      <c r="BO1102" s="41"/>
      <c r="BP1102" s="41"/>
      <c r="BQ1102" s="41"/>
      <c r="BR1102" s="41"/>
      <c r="BS1102" s="41"/>
      <c r="BT1102" s="41"/>
      <c r="BU1102" s="41"/>
      <c r="BV1102" s="41"/>
      <c r="BW1102" s="41"/>
      <c r="BX1102" s="41"/>
      <c r="BY1102" s="41"/>
    </row>
    <row r="1103" spans="1:77" s="214" customFormat="1" x14ac:dyDescent="0.3">
      <c r="A1103" s="41"/>
      <c r="B1103" s="41"/>
      <c r="C1103" s="41"/>
      <c r="D1103" s="41"/>
      <c r="E1103" s="41"/>
      <c r="F1103" s="123"/>
      <c r="G1103" s="41"/>
      <c r="H1103" s="123"/>
      <c r="I1103" s="123"/>
      <c r="J1103" s="219"/>
      <c r="K1103" s="219"/>
      <c r="L1103" s="123"/>
      <c r="M1103" s="123"/>
      <c r="N1103" s="219"/>
      <c r="O1103" s="219"/>
      <c r="P1103" s="123"/>
      <c r="Q1103" s="123"/>
      <c r="R1103" s="123"/>
      <c r="S1103" s="41"/>
      <c r="T1103" s="42"/>
      <c r="U1103" s="42"/>
      <c r="V1103" s="123"/>
      <c r="W1103" s="41"/>
      <c r="X1103" s="41"/>
      <c r="Y1103" s="41"/>
      <c r="Z1103" s="41"/>
      <c r="AA1103" s="123"/>
      <c r="AB1103" s="219"/>
      <c r="AC1103" s="123"/>
      <c r="AD1103" s="123"/>
      <c r="AE1103" s="219"/>
      <c r="AF1103" s="219"/>
      <c r="AG1103" s="165"/>
      <c r="AH1103" s="123"/>
      <c r="AI1103" s="236"/>
      <c r="AJ1103" s="236"/>
      <c r="AK1103" s="165"/>
      <c r="AL1103" s="123"/>
      <c r="AM1103" s="123"/>
      <c r="AN1103" s="123"/>
      <c r="AO1103" s="160"/>
      <c r="AP1103" s="160"/>
      <c r="AR1103" s="41"/>
      <c r="AS1103" s="41"/>
      <c r="AT1103" s="41"/>
      <c r="AU1103" s="41"/>
      <c r="AV1103" s="41"/>
      <c r="AW1103" s="41"/>
      <c r="AX1103" s="41"/>
      <c r="AY1103" s="41"/>
      <c r="AZ1103" s="41"/>
      <c r="BA1103" s="41"/>
      <c r="BB1103" s="41"/>
      <c r="BC1103" s="41"/>
      <c r="BD1103" s="41"/>
      <c r="BE1103" s="41"/>
      <c r="BF1103" s="41"/>
      <c r="BG1103" s="41"/>
      <c r="BH1103" s="41"/>
      <c r="BI1103" s="41"/>
      <c r="BJ1103" s="41"/>
      <c r="BK1103" s="41"/>
      <c r="BL1103" s="41"/>
      <c r="BM1103" s="41"/>
      <c r="BN1103" s="41"/>
      <c r="BO1103" s="41"/>
      <c r="BP1103" s="41"/>
      <c r="BQ1103" s="41"/>
      <c r="BR1103" s="41"/>
      <c r="BS1103" s="41"/>
      <c r="BT1103" s="41"/>
      <c r="BU1103" s="41"/>
      <c r="BV1103" s="41"/>
      <c r="BW1103" s="41"/>
      <c r="BX1103" s="41"/>
      <c r="BY1103" s="41"/>
    </row>
    <row r="1104" spans="1:77" s="214" customFormat="1" x14ac:dyDescent="0.3">
      <c r="A1104" s="41"/>
      <c r="B1104" s="41"/>
      <c r="C1104" s="42"/>
      <c r="D1104" s="42"/>
      <c r="E1104" s="42"/>
      <c r="F1104" s="123"/>
      <c r="G1104" s="41"/>
      <c r="H1104" s="123"/>
      <c r="I1104" s="123"/>
      <c r="J1104" s="219"/>
      <c r="K1104" s="219"/>
      <c r="L1104" s="123"/>
      <c r="M1104" s="123"/>
      <c r="N1104" s="219"/>
      <c r="O1104" s="219"/>
      <c r="P1104" s="123"/>
      <c r="Q1104" s="123"/>
      <c r="R1104" s="123"/>
      <c r="S1104" s="41"/>
      <c r="T1104" s="42"/>
      <c r="U1104" s="42"/>
      <c r="V1104" s="123"/>
      <c r="W1104" s="41"/>
      <c r="X1104" s="41"/>
      <c r="Y1104" s="41"/>
      <c r="Z1104" s="41"/>
      <c r="AA1104" s="123"/>
      <c r="AB1104" s="219"/>
      <c r="AC1104" s="123"/>
      <c r="AD1104" s="123"/>
      <c r="AE1104" s="219"/>
      <c r="AF1104" s="219"/>
      <c r="AG1104" s="165"/>
      <c r="AH1104" s="123"/>
      <c r="AI1104" s="236"/>
      <c r="AJ1104" s="236"/>
      <c r="AK1104" s="165"/>
      <c r="AL1104" s="123"/>
      <c r="AM1104" s="123"/>
      <c r="AN1104" s="123"/>
      <c r="AO1104" s="160"/>
      <c r="AP1104" s="160"/>
      <c r="AR1104" s="41"/>
      <c r="AS1104" s="41"/>
      <c r="AT1104" s="41"/>
      <c r="AU1104" s="41"/>
      <c r="AV1104" s="41"/>
      <c r="AW1104" s="41"/>
      <c r="AX1104" s="41"/>
      <c r="AY1104" s="41"/>
      <c r="AZ1104" s="41"/>
      <c r="BA1104" s="41"/>
      <c r="BB1104" s="41"/>
      <c r="BC1104" s="41"/>
      <c r="BD1104" s="41"/>
      <c r="BE1104" s="41"/>
      <c r="BF1104" s="41"/>
      <c r="BG1104" s="41"/>
      <c r="BH1104" s="41"/>
      <c r="BI1104" s="41"/>
      <c r="BJ1104" s="41"/>
      <c r="BK1104" s="41"/>
      <c r="BL1104" s="41"/>
      <c r="BM1104" s="41"/>
      <c r="BN1104" s="41"/>
      <c r="BO1104" s="41"/>
      <c r="BP1104" s="41"/>
      <c r="BQ1104" s="41"/>
      <c r="BR1104" s="41"/>
      <c r="BS1104" s="41"/>
      <c r="BT1104" s="41"/>
      <c r="BU1104" s="41"/>
      <c r="BV1104" s="41"/>
      <c r="BW1104" s="41"/>
      <c r="BX1104" s="41"/>
      <c r="BY1104" s="41"/>
    </row>
    <row r="1105" spans="1:77" s="214" customFormat="1" x14ac:dyDescent="0.3">
      <c r="A1105" s="41"/>
      <c r="B1105" s="41"/>
      <c r="C1105" s="41"/>
      <c r="D1105" s="41"/>
      <c r="E1105" s="41"/>
      <c r="F1105" s="123"/>
      <c r="G1105" s="41"/>
      <c r="H1105" s="210"/>
      <c r="I1105" s="210"/>
      <c r="J1105" s="213"/>
      <c r="K1105" s="213"/>
      <c r="L1105" s="210"/>
      <c r="M1105" s="210"/>
      <c r="N1105" s="210"/>
      <c r="O1105" s="210"/>
      <c r="P1105" s="210"/>
      <c r="Q1105" s="210"/>
      <c r="R1105" s="210"/>
      <c r="S1105" s="41"/>
      <c r="T1105" s="41"/>
      <c r="U1105" s="41"/>
      <c r="V1105" s="210"/>
      <c r="W1105" s="41"/>
      <c r="X1105" s="41"/>
      <c r="Y1105" s="41"/>
      <c r="Z1105" s="41"/>
      <c r="AA1105" s="210"/>
      <c r="AB1105" s="213"/>
      <c r="AC1105" s="210"/>
      <c r="AD1105" s="210"/>
      <c r="AE1105" s="210"/>
      <c r="AF1105" s="210"/>
      <c r="AH1105" s="210"/>
      <c r="AI1105" s="41"/>
      <c r="AJ1105" s="41"/>
      <c r="AL1105" s="210"/>
      <c r="AM1105" s="210"/>
      <c r="AN1105" s="210"/>
      <c r="AO1105" s="160"/>
      <c r="AP1105" s="160"/>
      <c r="AR1105" s="41"/>
      <c r="AS1105" s="41"/>
      <c r="AT1105" s="41"/>
      <c r="AU1105" s="41"/>
      <c r="AV1105" s="41"/>
      <c r="AW1105" s="41"/>
      <c r="AX1105" s="41"/>
      <c r="AY1105" s="41"/>
      <c r="AZ1105" s="41"/>
      <c r="BA1105" s="41"/>
      <c r="BB1105" s="41"/>
      <c r="BC1105" s="41"/>
      <c r="BD1105" s="41"/>
      <c r="BE1105" s="41"/>
      <c r="BF1105" s="41"/>
      <c r="BG1105" s="41"/>
      <c r="BH1105" s="41"/>
      <c r="BI1105" s="41"/>
      <c r="BJ1105" s="41"/>
      <c r="BK1105" s="41"/>
      <c r="BL1105" s="41"/>
      <c r="BM1105" s="41"/>
      <c r="BN1105" s="41"/>
      <c r="BO1105" s="41"/>
      <c r="BP1105" s="41"/>
      <c r="BQ1105" s="41"/>
      <c r="BR1105" s="41"/>
      <c r="BS1105" s="41"/>
      <c r="BT1105" s="41"/>
      <c r="BU1105" s="41"/>
      <c r="BV1105" s="41"/>
      <c r="BW1105" s="41"/>
      <c r="BX1105" s="41"/>
      <c r="BY1105" s="41"/>
    </row>
    <row r="1106" spans="1:77" s="214" customFormat="1" x14ac:dyDescent="0.3">
      <c r="A1106" s="41"/>
      <c r="B1106" s="41"/>
      <c r="C1106" s="42"/>
      <c r="D1106" s="41"/>
      <c r="E1106" s="41"/>
      <c r="F1106" s="210"/>
      <c r="G1106" s="41"/>
      <c r="H1106" s="123"/>
      <c r="I1106" s="123"/>
      <c r="J1106" s="219"/>
      <c r="K1106" s="219"/>
      <c r="L1106" s="123"/>
      <c r="M1106" s="123"/>
      <c r="N1106" s="219"/>
      <c r="O1106" s="219"/>
      <c r="P1106" s="123"/>
      <c r="Q1106" s="123"/>
      <c r="R1106" s="123"/>
      <c r="S1106" s="41"/>
      <c r="T1106" s="42"/>
      <c r="U1106" s="41"/>
      <c r="V1106" s="123"/>
      <c r="W1106" s="41"/>
      <c r="X1106" s="41"/>
      <c r="Y1106" s="41"/>
      <c r="Z1106" s="41"/>
      <c r="AA1106" s="123"/>
      <c r="AB1106" s="219"/>
      <c r="AC1106" s="123"/>
      <c r="AD1106" s="123"/>
      <c r="AE1106" s="219"/>
      <c r="AF1106" s="219"/>
      <c r="AG1106" s="165"/>
      <c r="AH1106" s="123"/>
      <c r="AI1106" s="236"/>
      <c r="AJ1106" s="236"/>
      <c r="AK1106" s="165"/>
      <c r="AL1106" s="123"/>
      <c r="AM1106" s="123"/>
      <c r="AN1106" s="123"/>
      <c r="AO1106" s="160"/>
      <c r="AP1106" s="160"/>
      <c r="AR1106" s="41"/>
      <c r="AS1106" s="41"/>
      <c r="AT1106" s="41"/>
      <c r="AU1106" s="41"/>
      <c r="AV1106" s="41"/>
      <c r="AW1106" s="41"/>
      <c r="AX1106" s="41"/>
      <c r="AY1106" s="41"/>
      <c r="AZ1106" s="41"/>
      <c r="BA1106" s="41"/>
      <c r="BB1106" s="41"/>
      <c r="BC1106" s="41"/>
      <c r="BD1106" s="41"/>
      <c r="BE1106" s="41"/>
      <c r="BF1106" s="41"/>
      <c r="BG1106" s="41"/>
      <c r="BH1106" s="41"/>
      <c r="BI1106" s="41"/>
      <c r="BJ1106" s="41"/>
      <c r="BK1106" s="41"/>
      <c r="BL1106" s="41"/>
      <c r="BM1106" s="41"/>
      <c r="BN1106" s="41"/>
      <c r="BO1106" s="41"/>
      <c r="BP1106" s="41"/>
      <c r="BQ1106" s="41"/>
      <c r="BR1106" s="41"/>
      <c r="BS1106" s="41"/>
      <c r="BT1106" s="41"/>
      <c r="BU1106" s="41"/>
      <c r="BV1106" s="41"/>
      <c r="BW1106" s="41"/>
      <c r="BX1106" s="41"/>
      <c r="BY1106" s="41"/>
    </row>
    <row r="1107" spans="1:77" s="214" customFormat="1" x14ac:dyDescent="0.3">
      <c r="A1107" s="41"/>
      <c r="B1107" s="41"/>
      <c r="C1107" s="41"/>
      <c r="D1107" s="41"/>
      <c r="E1107" s="41"/>
      <c r="F1107" s="123"/>
      <c r="G1107" s="41"/>
      <c r="H1107" s="123"/>
      <c r="I1107" s="123"/>
      <c r="J1107" s="219"/>
      <c r="K1107" s="219"/>
      <c r="L1107" s="123"/>
      <c r="M1107" s="123"/>
      <c r="N1107" s="219"/>
      <c r="O1107" s="219"/>
      <c r="P1107" s="123"/>
      <c r="Q1107" s="123"/>
      <c r="R1107" s="123"/>
      <c r="S1107" s="41"/>
      <c r="T1107" s="41"/>
      <c r="U1107" s="41"/>
      <c r="V1107" s="123"/>
      <c r="W1107" s="41"/>
      <c r="X1107" s="41"/>
      <c r="Y1107" s="41"/>
      <c r="Z1107" s="41"/>
      <c r="AA1107" s="123"/>
      <c r="AB1107" s="213"/>
      <c r="AC1107" s="123"/>
      <c r="AD1107" s="123"/>
      <c r="AE1107" s="123"/>
      <c r="AF1107" s="123"/>
      <c r="AG1107" s="165"/>
      <c r="AH1107" s="123"/>
      <c r="AI1107" s="41"/>
      <c r="AJ1107" s="41"/>
      <c r="AK1107" s="165"/>
      <c r="AL1107" s="123"/>
      <c r="AM1107" s="123"/>
      <c r="AN1107" s="123"/>
      <c r="AO1107" s="160"/>
      <c r="AP1107" s="160"/>
      <c r="AR1107" s="41"/>
      <c r="AS1107" s="41"/>
      <c r="AT1107" s="41"/>
      <c r="AU1107" s="41"/>
      <c r="AV1107" s="41"/>
      <c r="AW1107" s="41"/>
      <c r="AX1107" s="41"/>
      <c r="AY1107" s="41"/>
      <c r="AZ1107" s="41"/>
      <c r="BA1107" s="41"/>
      <c r="BB1107" s="41"/>
      <c r="BC1107" s="41"/>
      <c r="BD1107" s="41"/>
      <c r="BE1107" s="41"/>
      <c r="BF1107" s="41"/>
      <c r="BG1107" s="41"/>
      <c r="BH1107" s="41"/>
      <c r="BI1107" s="41"/>
      <c r="BJ1107" s="41"/>
      <c r="BK1107" s="41"/>
      <c r="BL1107" s="41"/>
      <c r="BM1107" s="41"/>
      <c r="BN1107" s="41"/>
      <c r="BO1107" s="41"/>
      <c r="BP1107" s="41"/>
      <c r="BQ1107" s="41"/>
      <c r="BR1107" s="41"/>
      <c r="BS1107" s="41"/>
      <c r="BT1107" s="41"/>
      <c r="BU1107" s="41"/>
      <c r="BV1107" s="41"/>
      <c r="BW1107" s="41"/>
      <c r="BX1107" s="41"/>
      <c r="BY1107" s="41"/>
    </row>
    <row r="1108" spans="1:77" s="214" customFormat="1" x14ac:dyDescent="0.3">
      <c r="A1108" s="41"/>
      <c r="B1108" s="41"/>
      <c r="C1108" s="42"/>
      <c r="D1108" s="42"/>
      <c r="E1108" s="42"/>
      <c r="F1108" s="123"/>
      <c r="G1108" s="41"/>
      <c r="H1108" s="123"/>
      <c r="I1108" s="123"/>
      <c r="J1108" s="219"/>
      <c r="K1108" s="219"/>
      <c r="L1108" s="123"/>
      <c r="M1108" s="123"/>
      <c r="N1108" s="219"/>
      <c r="O1108" s="219"/>
      <c r="P1108" s="123"/>
      <c r="Q1108" s="123"/>
      <c r="R1108" s="123"/>
      <c r="S1108" s="41"/>
      <c r="T1108" s="42"/>
      <c r="U1108" s="42"/>
      <c r="V1108" s="41"/>
      <c r="W1108" s="41"/>
      <c r="X1108" s="41"/>
      <c r="Y1108" s="41"/>
      <c r="Z1108" s="41"/>
      <c r="AA1108" s="41"/>
      <c r="AB1108" s="41"/>
      <c r="AC1108" s="123"/>
      <c r="AD1108" s="123"/>
      <c r="AE1108" s="219"/>
      <c r="AF1108" s="219"/>
      <c r="AG1108" s="165"/>
      <c r="AH1108" s="123"/>
      <c r="AI1108" s="236"/>
      <c r="AJ1108" s="236"/>
      <c r="AK1108" s="165"/>
      <c r="AL1108" s="41"/>
      <c r="AM1108" s="123"/>
      <c r="AN1108" s="123"/>
      <c r="AO1108" s="160"/>
      <c r="AP1108" s="160"/>
      <c r="AR1108" s="41"/>
      <c r="AS1108" s="41"/>
      <c r="AT1108" s="41"/>
      <c r="AU1108" s="41"/>
      <c r="AV1108" s="41"/>
      <c r="AW1108" s="41"/>
      <c r="AX1108" s="41"/>
      <c r="AY1108" s="41"/>
      <c r="AZ1108" s="41"/>
      <c r="BA1108" s="41"/>
      <c r="BB1108" s="41"/>
      <c r="BC1108" s="41"/>
      <c r="BD1108" s="41"/>
      <c r="BE1108" s="41"/>
      <c r="BF1108" s="41"/>
      <c r="BG1108" s="41"/>
      <c r="BH1108" s="41"/>
      <c r="BI1108" s="41"/>
      <c r="BJ1108" s="41"/>
      <c r="BK1108" s="41"/>
      <c r="BL1108" s="41"/>
      <c r="BM1108" s="41"/>
      <c r="BN1108" s="41"/>
      <c r="BO1108" s="41"/>
      <c r="BP1108" s="41"/>
      <c r="BQ1108" s="41"/>
      <c r="BR1108" s="41"/>
      <c r="BS1108" s="41"/>
      <c r="BT1108" s="41"/>
      <c r="BU1108" s="41"/>
      <c r="BV1108" s="41"/>
      <c r="BW1108" s="41"/>
      <c r="BX1108" s="41"/>
      <c r="BY1108" s="41"/>
    </row>
    <row r="1109" spans="1:77" s="214" customFormat="1" x14ac:dyDescent="0.3">
      <c r="A1109" s="41"/>
      <c r="B1109" s="41"/>
      <c r="C1109" s="42"/>
      <c r="D1109" s="42"/>
      <c r="E1109" s="42"/>
      <c r="F1109" s="123"/>
      <c r="G1109" s="123"/>
      <c r="H1109" s="123"/>
      <c r="I1109" s="123"/>
      <c r="J1109" s="219"/>
      <c r="K1109" s="219"/>
      <c r="L1109" s="123"/>
      <c r="M1109" s="123"/>
      <c r="N1109" s="219"/>
      <c r="O1109" s="219"/>
      <c r="P1109" s="123"/>
      <c r="Q1109" s="123"/>
      <c r="R1109" s="123"/>
      <c r="S1109" s="41"/>
      <c r="T1109" s="41"/>
      <c r="U1109" s="42"/>
      <c r="V1109" s="123"/>
      <c r="W1109" s="41"/>
      <c r="X1109" s="41"/>
      <c r="Y1109" s="41"/>
      <c r="Z1109" s="41"/>
      <c r="AA1109" s="123"/>
      <c r="AB1109" s="219"/>
      <c r="AC1109" s="123"/>
      <c r="AD1109" s="123"/>
      <c r="AE1109" s="219"/>
      <c r="AF1109" s="219"/>
      <c r="AG1109" s="165"/>
      <c r="AH1109" s="123"/>
      <c r="AI1109" s="236"/>
      <c r="AJ1109" s="236"/>
      <c r="AK1109" s="165"/>
      <c r="AL1109" s="123"/>
      <c r="AM1109" s="123"/>
      <c r="AN1109" s="123"/>
      <c r="AO1109" s="160"/>
      <c r="AP1109" s="160"/>
      <c r="AR1109" s="41"/>
      <c r="AS1109" s="41"/>
      <c r="AT1109" s="41"/>
      <c r="AU1109" s="41"/>
      <c r="AV1109" s="41"/>
      <c r="AW1109" s="41"/>
      <c r="AX1109" s="41"/>
      <c r="AY1109" s="41"/>
      <c r="AZ1109" s="41"/>
      <c r="BA1109" s="41"/>
      <c r="BB1109" s="41"/>
      <c r="BC1109" s="41"/>
      <c r="BD1109" s="41"/>
      <c r="BE1109" s="41"/>
      <c r="BF1109" s="41"/>
      <c r="BG1109" s="41"/>
      <c r="BH1109" s="41"/>
      <c r="BI1109" s="41"/>
      <c r="BJ1109" s="41"/>
      <c r="BK1109" s="41"/>
      <c r="BL1109" s="41"/>
      <c r="BM1109" s="41"/>
      <c r="BN1109" s="41"/>
      <c r="BO1109" s="41"/>
      <c r="BP1109" s="41"/>
      <c r="BQ1109" s="41"/>
      <c r="BR1109" s="41"/>
      <c r="BS1109" s="41"/>
      <c r="BT1109" s="41"/>
      <c r="BU1109" s="41"/>
      <c r="BV1109" s="41"/>
      <c r="BW1109" s="41"/>
      <c r="BX1109" s="41"/>
      <c r="BY1109" s="41"/>
    </row>
    <row r="1110" spans="1:77" s="214" customFormat="1" x14ac:dyDescent="0.3">
      <c r="A1110" s="41"/>
      <c r="B1110" s="41"/>
      <c r="C1110" s="42"/>
      <c r="D1110" s="42"/>
      <c r="E1110" s="42"/>
      <c r="F1110" s="123"/>
      <c r="G1110" s="123"/>
      <c r="H1110" s="123"/>
      <c r="I1110" s="123"/>
      <c r="J1110" s="219"/>
      <c r="K1110" s="219"/>
      <c r="L1110" s="123"/>
      <c r="M1110" s="123"/>
      <c r="N1110" s="219"/>
      <c r="O1110" s="219"/>
      <c r="P1110" s="123"/>
      <c r="Q1110" s="123"/>
      <c r="R1110" s="123"/>
      <c r="S1110" s="41"/>
      <c r="T1110" s="41"/>
      <c r="U1110" s="41"/>
      <c r="V1110" s="210"/>
      <c r="W1110" s="41"/>
      <c r="X1110" s="41"/>
      <c r="Y1110" s="41"/>
      <c r="Z1110" s="41"/>
      <c r="AA1110" s="210"/>
      <c r="AB1110" s="213"/>
      <c r="AC1110" s="210"/>
      <c r="AD1110" s="210"/>
      <c r="AE1110" s="210"/>
      <c r="AF1110" s="210"/>
      <c r="AH1110" s="210"/>
      <c r="AI1110" s="41"/>
      <c r="AJ1110" s="41"/>
      <c r="AL1110" s="210"/>
      <c r="AM1110" s="210"/>
      <c r="AN1110" s="210"/>
      <c r="AO1110" s="160"/>
      <c r="AP1110" s="160"/>
      <c r="AR1110" s="41"/>
      <c r="AS1110" s="41"/>
      <c r="AT1110" s="41"/>
      <c r="AU1110" s="41"/>
      <c r="AV1110" s="41"/>
      <c r="AW1110" s="41"/>
      <c r="AX1110" s="41"/>
      <c r="AY1110" s="41"/>
      <c r="AZ1110" s="41"/>
      <c r="BA1110" s="41"/>
      <c r="BB1110" s="41"/>
      <c r="BC1110" s="41"/>
      <c r="BD1110" s="41"/>
      <c r="BE1110" s="41"/>
      <c r="BF1110" s="41"/>
      <c r="BG1110" s="41"/>
      <c r="BH1110" s="41"/>
      <c r="BI1110" s="41"/>
      <c r="BJ1110" s="41"/>
      <c r="BK1110" s="41"/>
      <c r="BL1110" s="41"/>
      <c r="BM1110" s="41"/>
      <c r="BN1110" s="41"/>
      <c r="BO1110" s="41"/>
      <c r="BP1110" s="41"/>
      <c r="BQ1110" s="41"/>
      <c r="BR1110" s="41"/>
      <c r="BS1110" s="41"/>
      <c r="BT1110" s="41"/>
      <c r="BU1110" s="41"/>
      <c r="BV1110" s="41"/>
      <c r="BW1110" s="41"/>
      <c r="BX1110" s="41"/>
      <c r="BY1110" s="41"/>
    </row>
    <row r="1111" spans="1:77" s="214" customFormat="1" x14ac:dyDescent="0.3">
      <c r="A1111" s="41"/>
      <c r="B1111" s="41"/>
      <c r="C1111" s="42"/>
      <c r="D1111" s="42"/>
      <c r="E1111" s="42"/>
      <c r="F1111" s="123"/>
      <c r="G1111" s="41"/>
      <c r="H1111" s="123"/>
      <c r="I1111" s="123"/>
      <c r="J1111" s="219"/>
      <c r="K1111" s="219"/>
      <c r="L1111" s="123"/>
      <c r="M1111" s="123"/>
      <c r="N1111" s="219"/>
      <c r="O1111" s="219"/>
      <c r="P1111" s="123"/>
      <c r="Q1111" s="123"/>
      <c r="R1111" s="123"/>
      <c r="S1111" s="41"/>
      <c r="T1111" s="42"/>
      <c r="U1111" s="41"/>
      <c r="V1111" s="123"/>
      <c r="W1111" s="41"/>
      <c r="X1111" s="41"/>
      <c r="Y1111" s="41"/>
      <c r="Z1111" s="41"/>
      <c r="AA1111" s="123"/>
      <c r="AB1111" s="219"/>
      <c r="AC1111" s="123"/>
      <c r="AD1111" s="123"/>
      <c r="AE1111" s="219"/>
      <c r="AF1111" s="219"/>
      <c r="AG1111" s="165"/>
      <c r="AH1111" s="123"/>
      <c r="AI1111" s="236"/>
      <c r="AJ1111" s="236"/>
      <c r="AK1111" s="165"/>
      <c r="AL1111" s="123"/>
      <c r="AM1111" s="123"/>
      <c r="AN1111" s="123"/>
      <c r="AO1111" s="160"/>
      <c r="AP1111" s="160"/>
      <c r="AR1111" s="41"/>
      <c r="AS1111" s="41"/>
      <c r="AT1111" s="41"/>
      <c r="AU1111" s="41"/>
      <c r="AV1111" s="41"/>
      <c r="AW1111" s="41"/>
      <c r="AX1111" s="41"/>
      <c r="AY1111" s="41"/>
      <c r="AZ1111" s="41"/>
      <c r="BA1111" s="41"/>
      <c r="BB1111" s="41"/>
      <c r="BC1111" s="41"/>
      <c r="BD1111" s="41"/>
      <c r="BE1111" s="41"/>
      <c r="BF1111" s="41"/>
      <c r="BG1111" s="41"/>
      <c r="BH1111" s="41"/>
      <c r="BI1111" s="41"/>
      <c r="BJ1111" s="41"/>
      <c r="BK1111" s="41"/>
      <c r="BL1111" s="41"/>
      <c r="BM1111" s="41"/>
      <c r="BN1111" s="41"/>
      <c r="BO1111" s="41"/>
      <c r="BP1111" s="41"/>
      <c r="BQ1111" s="41"/>
      <c r="BR1111" s="41"/>
      <c r="BS1111" s="41"/>
      <c r="BT1111" s="41"/>
      <c r="BU1111" s="41"/>
      <c r="BV1111" s="41"/>
      <c r="BW1111" s="41"/>
      <c r="BX1111" s="41"/>
      <c r="BY1111" s="41"/>
    </row>
    <row r="1112" spans="1:77" s="214" customFormat="1" x14ac:dyDescent="0.3">
      <c r="A1112" s="41"/>
      <c r="B1112" s="41"/>
      <c r="C1112" s="42"/>
      <c r="D1112" s="42"/>
      <c r="E1112" s="42"/>
      <c r="F1112" s="123"/>
      <c r="G1112" s="41"/>
      <c r="H1112" s="123"/>
      <c r="I1112" s="123"/>
      <c r="J1112" s="219"/>
      <c r="K1112" s="219"/>
      <c r="L1112" s="123"/>
      <c r="M1112" s="123"/>
      <c r="N1112" s="219"/>
      <c r="O1112" s="219"/>
      <c r="P1112" s="123"/>
      <c r="Q1112" s="123"/>
      <c r="R1112" s="123"/>
      <c r="S1112" s="41"/>
      <c r="T1112" s="41"/>
      <c r="U1112" s="41"/>
      <c r="V1112" s="123"/>
      <c r="W1112" s="41"/>
      <c r="X1112" s="41"/>
      <c r="Y1112" s="41"/>
      <c r="Z1112" s="41"/>
      <c r="AA1112" s="123"/>
      <c r="AB1112" s="219"/>
      <c r="AC1112" s="123"/>
      <c r="AD1112" s="123"/>
      <c r="AE1112" s="219"/>
      <c r="AF1112" s="219"/>
      <c r="AG1112" s="165"/>
      <c r="AH1112" s="41"/>
      <c r="AI1112" s="236"/>
      <c r="AJ1112" s="236"/>
      <c r="AK1112" s="165"/>
      <c r="AL1112" s="123"/>
      <c r="AM1112" s="123"/>
      <c r="AN1112" s="123"/>
      <c r="AO1112" s="160"/>
      <c r="AP1112" s="160"/>
      <c r="AR1112" s="41"/>
      <c r="AS1112" s="41"/>
      <c r="AT1112" s="41"/>
      <c r="AU1112" s="41"/>
      <c r="AV1112" s="41"/>
      <c r="AW1112" s="41"/>
      <c r="AX1112" s="41"/>
      <c r="AY1112" s="41"/>
      <c r="AZ1112" s="41"/>
      <c r="BA1112" s="41"/>
      <c r="BB1112" s="41"/>
      <c r="BC1112" s="41"/>
      <c r="BD1112" s="41"/>
      <c r="BE1112" s="41"/>
      <c r="BF1112" s="41"/>
      <c r="BG1112" s="41"/>
      <c r="BH1112" s="41"/>
      <c r="BI1112" s="41"/>
      <c r="BJ1112" s="41"/>
      <c r="BK1112" s="41"/>
      <c r="BL1112" s="41"/>
      <c r="BM1112" s="41"/>
      <c r="BN1112" s="41"/>
      <c r="BO1112" s="41"/>
      <c r="BP1112" s="41"/>
      <c r="BQ1112" s="41"/>
      <c r="BR1112" s="41"/>
      <c r="BS1112" s="41"/>
      <c r="BT1112" s="41"/>
      <c r="BU1112" s="41"/>
      <c r="BV1112" s="41"/>
      <c r="BW1112" s="41"/>
      <c r="BX1112" s="41"/>
      <c r="BY1112" s="41"/>
    </row>
    <row r="1113" spans="1:77" s="214" customFormat="1" x14ac:dyDescent="0.3">
      <c r="A1113" s="41"/>
      <c r="B1113" s="41"/>
      <c r="C1113" s="42"/>
      <c r="D1113" s="42"/>
      <c r="E1113" s="42"/>
      <c r="F1113" s="123"/>
      <c r="G1113" s="41"/>
      <c r="H1113" s="123"/>
      <c r="I1113" s="123"/>
      <c r="J1113" s="219"/>
      <c r="K1113" s="219"/>
      <c r="L1113" s="123"/>
      <c r="M1113" s="123"/>
      <c r="N1113" s="219"/>
      <c r="O1113" s="219"/>
      <c r="P1113" s="123"/>
      <c r="Q1113" s="123"/>
      <c r="R1113" s="123"/>
      <c r="S1113" s="41"/>
      <c r="T1113" s="41"/>
      <c r="U1113" s="42"/>
      <c r="V1113" s="123"/>
      <c r="W1113" s="41"/>
      <c r="X1113" s="41"/>
      <c r="Y1113" s="41"/>
      <c r="Z1113" s="41"/>
      <c r="AA1113" s="123"/>
      <c r="AB1113" s="219"/>
      <c r="AC1113" s="184"/>
      <c r="AD1113" s="184"/>
      <c r="AE1113" s="219"/>
      <c r="AF1113" s="219"/>
      <c r="AG1113" s="165"/>
      <c r="AH1113" s="123"/>
      <c r="AI1113" s="236"/>
      <c r="AJ1113" s="236"/>
      <c r="AK1113" s="165"/>
      <c r="AL1113" s="123"/>
      <c r="AM1113" s="123"/>
      <c r="AN1113" s="123"/>
      <c r="AO1113" s="160"/>
      <c r="AP1113" s="160"/>
      <c r="AR1113" s="41"/>
      <c r="AS1113" s="41"/>
      <c r="AT1113" s="41"/>
      <c r="AU1113" s="41"/>
      <c r="AV1113" s="41"/>
      <c r="AW1113" s="41"/>
      <c r="AX1113" s="41"/>
      <c r="AY1113" s="41"/>
      <c r="AZ1113" s="41"/>
      <c r="BA1113" s="41"/>
      <c r="BB1113" s="41"/>
      <c r="BC1113" s="41"/>
      <c r="BD1113" s="41"/>
      <c r="BE1113" s="41"/>
      <c r="BF1113" s="41"/>
      <c r="BG1113" s="41"/>
      <c r="BH1113" s="41"/>
      <c r="BI1113" s="41"/>
      <c r="BJ1113" s="41"/>
      <c r="BK1113" s="41"/>
      <c r="BL1113" s="41"/>
      <c r="BM1113" s="41"/>
      <c r="BN1113" s="41"/>
      <c r="BO1113" s="41"/>
      <c r="BP1113" s="41"/>
      <c r="BQ1113" s="41"/>
      <c r="BR1113" s="41"/>
      <c r="BS1113" s="41"/>
      <c r="BT1113" s="41"/>
      <c r="BU1113" s="41"/>
      <c r="BV1113" s="41"/>
      <c r="BW1113" s="41"/>
      <c r="BX1113" s="41"/>
      <c r="BY1113" s="41"/>
    </row>
    <row r="1114" spans="1:77" s="214" customFormat="1" x14ac:dyDescent="0.3">
      <c r="A1114" s="41"/>
      <c r="B1114" s="41"/>
      <c r="C1114" s="42"/>
      <c r="D1114" s="42"/>
      <c r="E1114" s="42"/>
      <c r="F1114" s="123"/>
      <c r="G1114" s="41"/>
      <c r="H1114" s="123"/>
      <c r="I1114" s="123"/>
      <c r="J1114" s="219"/>
      <c r="K1114" s="219"/>
      <c r="L1114" s="123"/>
      <c r="M1114" s="123"/>
      <c r="N1114" s="219"/>
      <c r="O1114" s="219"/>
      <c r="P1114" s="123"/>
      <c r="Q1114" s="123"/>
      <c r="R1114" s="123"/>
      <c r="S1114" s="41"/>
      <c r="T1114" s="41"/>
      <c r="U1114" s="42"/>
      <c r="V1114" s="123"/>
      <c r="W1114" s="41"/>
      <c r="X1114" s="41"/>
      <c r="Y1114" s="41"/>
      <c r="Z1114" s="41"/>
      <c r="AA1114" s="123"/>
      <c r="AB1114" s="219"/>
      <c r="AC1114" s="184"/>
      <c r="AD1114" s="184"/>
      <c r="AE1114" s="219"/>
      <c r="AF1114" s="219"/>
      <c r="AG1114" s="165"/>
      <c r="AH1114" s="123"/>
      <c r="AI1114" s="236"/>
      <c r="AJ1114" s="236"/>
      <c r="AK1114" s="165"/>
      <c r="AL1114" s="123"/>
      <c r="AM1114" s="123"/>
      <c r="AN1114" s="123"/>
      <c r="AO1114" s="160"/>
      <c r="AP1114" s="160"/>
      <c r="AR1114" s="41"/>
      <c r="AS1114" s="41"/>
      <c r="AT1114" s="41"/>
      <c r="AU1114" s="41"/>
      <c r="AV1114" s="41"/>
      <c r="AW1114" s="41"/>
      <c r="AX1114" s="41"/>
      <c r="AY1114" s="41"/>
      <c r="AZ1114" s="41"/>
      <c r="BA1114" s="41"/>
      <c r="BB1114" s="41"/>
      <c r="BC1114" s="41"/>
      <c r="BD1114" s="41"/>
      <c r="BE1114" s="41"/>
      <c r="BF1114" s="41"/>
      <c r="BG1114" s="41"/>
      <c r="BH1114" s="41"/>
      <c r="BI1114" s="41"/>
      <c r="BJ1114" s="41"/>
      <c r="BK1114" s="41"/>
      <c r="BL1114" s="41"/>
      <c r="BM1114" s="41"/>
      <c r="BN1114" s="41"/>
      <c r="BO1114" s="41"/>
      <c r="BP1114" s="41"/>
      <c r="BQ1114" s="41"/>
      <c r="BR1114" s="41"/>
      <c r="BS1114" s="41"/>
      <c r="BT1114" s="41"/>
      <c r="BU1114" s="41"/>
      <c r="BV1114" s="41"/>
      <c r="BW1114" s="41"/>
      <c r="BX1114" s="41"/>
      <c r="BY1114" s="41"/>
    </row>
    <row r="1115" spans="1:77" s="214" customFormat="1" x14ac:dyDescent="0.3">
      <c r="A1115" s="41"/>
      <c r="B1115" s="41"/>
      <c r="C1115" s="41"/>
      <c r="D1115" s="41"/>
      <c r="E1115" s="41"/>
      <c r="F1115" s="123"/>
      <c r="G1115" s="41"/>
      <c r="H1115" s="210"/>
      <c r="I1115" s="210"/>
      <c r="J1115" s="213"/>
      <c r="K1115" s="213"/>
      <c r="L1115" s="210"/>
      <c r="M1115" s="210"/>
      <c r="N1115" s="210"/>
      <c r="O1115" s="210"/>
      <c r="P1115" s="210"/>
      <c r="Q1115" s="210"/>
      <c r="R1115" s="210"/>
      <c r="S1115" s="41"/>
      <c r="T1115" s="41"/>
      <c r="U1115" s="42"/>
      <c r="V1115" s="123"/>
      <c r="W1115" s="41"/>
      <c r="X1115" s="41"/>
      <c r="Y1115" s="41"/>
      <c r="Z1115" s="41"/>
      <c r="AA1115" s="123"/>
      <c r="AB1115" s="219"/>
      <c r="AC1115" s="184"/>
      <c r="AD1115" s="184"/>
      <c r="AE1115" s="219"/>
      <c r="AF1115" s="219"/>
      <c r="AG1115" s="165"/>
      <c r="AH1115" s="123"/>
      <c r="AI1115" s="236"/>
      <c r="AJ1115" s="236"/>
      <c r="AK1115" s="165"/>
      <c r="AL1115" s="123"/>
      <c r="AM1115" s="123"/>
      <c r="AN1115" s="123"/>
      <c r="AO1115" s="160"/>
      <c r="AP1115" s="160"/>
      <c r="AR1115" s="41"/>
      <c r="AS1115" s="41"/>
      <c r="AT1115" s="41"/>
      <c r="AU1115" s="41"/>
      <c r="AV1115" s="41"/>
      <c r="AW1115" s="41"/>
      <c r="AX1115" s="41"/>
      <c r="AY1115" s="41"/>
      <c r="AZ1115" s="41"/>
      <c r="BA1115" s="41"/>
      <c r="BB1115" s="41"/>
      <c r="BC1115" s="41"/>
      <c r="BD1115" s="41"/>
      <c r="BE1115" s="41"/>
      <c r="BF1115" s="41"/>
      <c r="BG1115" s="41"/>
      <c r="BH1115" s="41"/>
      <c r="BI1115" s="41"/>
      <c r="BJ1115" s="41"/>
      <c r="BK1115" s="41"/>
      <c r="BL1115" s="41"/>
      <c r="BM1115" s="41"/>
      <c r="BN1115" s="41"/>
      <c r="BO1115" s="41"/>
      <c r="BP1115" s="41"/>
      <c r="BQ1115" s="41"/>
      <c r="BR1115" s="41"/>
      <c r="BS1115" s="41"/>
      <c r="BT1115" s="41"/>
      <c r="BU1115" s="41"/>
      <c r="BV1115" s="41"/>
      <c r="BW1115" s="41"/>
      <c r="BX1115" s="41"/>
      <c r="BY1115" s="41"/>
    </row>
    <row r="1116" spans="1:77" s="214" customFormat="1" x14ac:dyDescent="0.3">
      <c r="A1116" s="41"/>
      <c r="B1116" s="41"/>
      <c r="C1116" s="42"/>
      <c r="D1116" s="41"/>
      <c r="E1116" s="41"/>
      <c r="F1116" s="210"/>
      <c r="G1116" s="41"/>
      <c r="H1116" s="123"/>
      <c r="I1116" s="123"/>
      <c r="J1116" s="219"/>
      <c r="K1116" s="219"/>
      <c r="L1116" s="123"/>
      <c r="M1116" s="123"/>
      <c r="N1116" s="219"/>
      <c r="O1116" s="219"/>
      <c r="P1116" s="123"/>
      <c r="Q1116" s="123"/>
      <c r="R1116" s="123"/>
      <c r="S1116" s="41"/>
      <c r="T1116" s="41"/>
      <c r="U1116" s="41"/>
      <c r="V1116" s="210"/>
      <c r="W1116" s="41"/>
      <c r="X1116" s="41"/>
      <c r="Y1116" s="41"/>
      <c r="Z1116" s="41"/>
      <c r="AA1116" s="210"/>
      <c r="AB1116" s="213"/>
      <c r="AC1116" s="210"/>
      <c r="AD1116" s="210"/>
      <c r="AE1116" s="210"/>
      <c r="AF1116" s="210"/>
      <c r="AH1116" s="210"/>
      <c r="AI1116" s="41"/>
      <c r="AJ1116" s="41"/>
      <c r="AL1116" s="210"/>
      <c r="AM1116" s="210"/>
      <c r="AN1116" s="210"/>
      <c r="AO1116" s="160"/>
      <c r="AP1116" s="160"/>
      <c r="AR1116" s="41"/>
      <c r="AS1116" s="41"/>
      <c r="AT1116" s="41"/>
      <c r="AU1116" s="41"/>
      <c r="AV1116" s="41"/>
      <c r="AW1116" s="41"/>
      <c r="AX1116" s="41"/>
      <c r="AY1116" s="41"/>
      <c r="AZ1116" s="41"/>
      <c r="BA1116" s="41"/>
      <c r="BB1116" s="41"/>
      <c r="BC1116" s="41"/>
      <c r="BD1116" s="41"/>
      <c r="BE1116" s="41"/>
      <c r="BF1116" s="41"/>
      <c r="BG1116" s="41"/>
      <c r="BH1116" s="41"/>
      <c r="BI1116" s="41"/>
      <c r="BJ1116" s="41"/>
      <c r="BK1116" s="41"/>
      <c r="BL1116" s="41"/>
      <c r="BM1116" s="41"/>
      <c r="BN1116" s="41"/>
      <c r="BO1116" s="41"/>
      <c r="BP1116" s="41"/>
      <c r="BQ1116" s="41"/>
      <c r="BR1116" s="41"/>
      <c r="BS1116" s="41"/>
      <c r="BT1116" s="41"/>
      <c r="BU1116" s="41"/>
      <c r="BV1116" s="41"/>
      <c r="BW1116" s="41"/>
      <c r="BX1116" s="41"/>
      <c r="BY1116" s="41"/>
    </row>
    <row r="1117" spans="1:77" s="214" customFormat="1" x14ac:dyDescent="0.3">
      <c r="A1117" s="41"/>
      <c r="B1117" s="41"/>
      <c r="C1117" s="41"/>
      <c r="D1117" s="41"/>
      <c r="E1117" s="41"/>
      <c r="F1117" s="123"/>
      <c r="G1117" s="41"/>
      <c r="H1117" s="41"/>
      <c r="I1117" s="41"/>
      <c r="J1117" s="41"/>
      <c r="K1117" s="41"/>
      <c r="L1117" s="41"/>
      <c r="M1117" s="41"/>
      <c r="N1117" s="41"/>
      <c r="O1117" s="41"/>
      <c r="P1117" s="41"/>
      <c r="Q1117" s="41"/>
      <c r="R1117" s="41"/>
      <c r="S1117" s="41"/>
      <c r="T1117" s="42"/>
      <c r="U1117" s="41"/>
      <c r="V1117" s="123"/>
      <c r="W1117" s="41"/>
      <c r="X1117" s="41"/>
      <c r="Y1117" s="41"/>
      <c r="Z1117" s="41"/>
      <c r="AA1117" s="123"/>
      <c r="AB1117" s="219"/>
      <c r="AC1117" s="123"/>
      <c r="AD1117" s="123"/>
      <c r="AE1117" s="219"/>
      <c r="AF1117" s="219"/>
      <c r="AG1117" s="165"/>
      <c r="AH1117" s="123"/>
      <c r="AI1117" s="236"/>
      <c r="AJ1117" s="236"/>
      <c r="AK1117" s="165"/>
      <c r="AL1117" s="123"/>
      <c r="AM1117" s="123"/>
      <c r="AN1117" s="123"/>
      <c r="AO1117" s="160"/>
      <c r="AP1117" s="160"/>
      <c r="AR1117" s="41"/>
      <c r="AS1117" s="41"/>
      <c r="AT1117" s="41"/>
      <c r="AU1117" s="41"/>
      <c r="AV1117" s="41"/>
      <c r="AW1117" s="41"/>
      <c r="AX1117" s="41"/>
      <c r="AY1117" s="41"/>
      <c r="AZ1117" s="41"/>
      <c r="BA1117" s="41"/>
      <c r="BB1117" s="41"/>
      <c r="BC1117" s="41"/>
      <c r="BD1117" s="41"/>
      <c r="BE1117" s="41"/>
      <c r="BF1117" s="41"/>
      <c r="BG1117" s="41"/>
      <c r="BH1117" s="41"/>
      <c r="BI1117" s="41"/>
      <c r="BJ1117" s="41"/>
      <c r="BK1117" s="41"/>
      <c r="BL1117" s="41"/>
      <c r="BM1117" s="41"/>
      <c r="BN1117" s="41"/>
      <c r="BO1117" s="41"/>
      <c r="BP1117" s="41"/>
      <c r="BQ1117" s="41"/>
      <c r="BR1117" s="41"/>
      <c r="BS1117" s="41"/>
      <c r="BT1117" s="41"/>
      <c r="BU1117" s="41"/>
      <c r="BV1117" s="41"/>
      <c r="BW1117" s="41"/>
      <c r="BX1117" s="41"/>
      <c r="BY1117" s="41"/>
    </row>
    <row r="1118" spans="1:77" s="214" customFormat="1" x14ac:dyDescent="0.3">
      <c r="A1118" s="41"/>
      <c r="B1118" s="41"/>
      <c r="C1118" s="42"/>
      <c r="D1118" s="42"/>
      <c r="E1118" s="42"/>
      <c r="F1118" s="41"/>
      <c r="G1118" s="41"/>
      <c r="H1118" s="41"/>
      <c r="I1118" s="41"/>
      <c r="J1118" s="41"/>
      <c r="K1118" s="41"/>
      <c r="L1118" s="123"/>
      <c r="M1118" s="123"/>
      <c r="N1118" s="219"/>
      <c r="O1118" s="219"/>
      <c r="P1118" s="41"/>
      <c r="Q1118" s="41"/>
      <c r="R1118" s="123"/>
      <c r="S1118" s="41"/>
      <c r="T1118" s="41"/>
      <c r="U1118" s="41"/>
      <c r="V1118" s="123"/>
      <c r="W1118" s="41"/>
      <c r="X1118" s="41"/>
      <c r="Y1118" s="41"/>
      <c r="Z1118" s="41"/>
      <c r="AA1118" s="123"/>
      <c r="AB1118" s="219"/>
      <c r="AC1118" s="123"/>
      <c r="AD1118" s="123"/>
      <c r="AE1118" s="219"/>
      <c r="AF1118" s="219"/>
      <c r="AG1118" s="165"/>
      <c r="AH1118" s="41"/>
      <c r="AI1118" s="236"/>
      <c r="AJ1118" s="236"/>
      <c r="AK1118" s="165"/>
      <c r="AL1118" s="123"/>
      <c r="AM1118" s="123"/>
      <c r="AN1118" s="123"/>
      <c r="AO1118" s="160"/>
      <c r="AP1118" s="160"/>
      <c r="AR1118" s="41"/>
      <c r="AS1118" s="41"/>
      <c r="AT1118" s="41"/>
      <c r="AU1118" s="41"/>
      <c r="AV1118" s="41"/>
      <c r="AW1118" s="41"/>
      <c r="AX1118" s="41"/>
      <c r="AY1118" s="41"/>
      <c r="AZ1118" s="41"/>
      <c r="BA1118" s="41"/>
      <c r="BB1118" s="41"/>
      <c r="BC1118" s="41"/>
      <c r="BD1118" s="41"/>
      <c r="BE1118" s="41"/>
      <c r="BF1118" s="41"/>
      <c r="BG1118" s="41"/>
      <c r="BH1118" s="41"/>
      <c r="BI1118" s="41"/>
      <c r="BJ1118" s="41"/>
      <c r="BK1118" s="41"/>
      <c r="BL1118" s="41"/>
      <c r="BM1118" s="41"/>
      <c r="BN1118" s="41"/>
      <c r="BO1118" s="41"/>
      <c r="BP1118" s="41"/>
      <c r="BQ1118" s="41"/>
      <c r="BR1118" s="41"/>
      <c r="BS1118" s="41"/>
      <c r="BT1118" s="41"/>
      <c r="BU1118" s="41"/>
      <c r="BV1118" s="41"/>
      <c r="BW1118" s="41"/>
      <c r="BX1118" s="41"/>
      <c r="BY1118" s="41"/>
    </row>
    <row r="1119" spans="1:77" s="214" customFormat="1" x14ac:dyDescent="0.3">
      <c r="A1119" s="41"/>
      <c r="B1119" s="41"/>
      <c r="C1119" s="41"/>
      <c r="D1119" s="42"/>
      <c r="E1119" s="42"/>
      <c r="F1119" s="41"/>
      <c r="G1119" s="41"/>
      <c r="H1119" s="184"/>
      <c r="I1119" s="184"/>
      <c r="J1119" s="219"/>
      <c r="K1119" s="219"/>
      <c r="L1119" s="123"/>
      <c r="M1119" s="123"/>
      <c r="N1119" s="219"/>
      <c r="O1119" s="219"/>
      <c r="P1119" s="184"/>
      <c r="Q1119" s="184"/>
      <c r="R1119" s="123"/>
      <c r="S1119" s="41"/>
      <c r="T1119" s="42"/>
      <c r="U1119" s="41"/>
      <c r="V1119" s="123"/>
      <c r="W1119" s="41"/>
      <c r="X1119" s="41"/>
      <c r="Y1119" s="41"/>
      <c r="Z1119" s="41"/>
      <c r="AA1119" s="123"/>
      <c r="AB1119" s="219"/>
      <c r="AC1119" s="123"/>
      <c r="AD1119" s="123"/>
      <c r="AE1119" s="219"/>
      <c r="AF1119" s="219"/>
      <c r="AG1119" s="165"/>
      <c r="AH1119" s="123"/>
      <c r="AI1119" s="236"/>
      <c r="AJ1119" s="236"/>
      <c r="AK1119" s="165"/>
      <c r="AL1119" s="123"/>
      <c r="AM1119" s="123"/>
      <c r="AN1119" s="123"/>
      <c r="AO1119" s="160"/>
      <c r="AP1119" s="160"/>
      <c r="AR1119" s="41"/>
      <c r="AS1119" s="41"/>
      <c r="AT1119" s="41"/>
      <c r="AU1119" s="41"/>
      <c r="AV1119" s="41"/>
      <c r="AW1119" s="41"/>
      <c r="AX1119" s="41"/>
      <c r="AY1119" s="41"/>
      <c r="AZ1119" s="41"/>
      <c r="BA1119" s="41"/>
      <c r="BB1119" s="41"/>
      <c r="BC1119" s="41"/>
      <c r="BD1119" s="41"/>
      <c r="BE1119" s="41"/>
      <c r="BF1119" s="41"/>
      <c r="BG1119" s="41"/>
      <c r="BH1119" s="41"/>
      <c r="BI1119" s="41"/>
      <c r="BJ1119" s="41"/>
      <c r="BK1119" s="41"/>
      <c r="BL1119" s="41"/>
      <c r="BM1119" s="41"/>
      <c r="BN1119" s="41"/>
      <c r="BO1119" s="41"/>
      <c r="BP1119" s="41"/>
      <c r="BQ1119" s="41"/>
      <c r="BR1119" s="41"/>
      <c r="BS1119" s="41"/>
      <c r="BT1119" s="41"/>
      <c r="BU1119" s="41"/>
      <c r="BV1119" s="41"/>
      <c r="BW1119" s="41"/>
      <c r="BX1119" s="41"/>
      <c r="BY1119" s="41"/>
    </row>
    <row r="1120" spans="1:77" s="214" customFormat="1" x14ac:dyDescent="0.3">
      <c r="A1120" s="41"/>
      <c r="B1120" s="41"/>
      <c r="C1120" s="41"/>
      <c r="D1120" s="41"/>
      <c r="E1120" s="41"/>
      <c r="F1120" s="184"/>
      <c r="G1120" s="41"/>
      <c r="H1120" s="210"/>
      <c r="I1120" s="210"/>
      <c r="J1120" s="213"/>
      <c r="K1120" s="213"/>
      <c r="L1120" s="210"/>
      <c r="M1120" s="210"/>
      <c r="N1120" s="210"/>
      <c r="O1120" s="210"/>
      <c r="P1120" s="210"/>
      <c r="Q1120" s="210"/>
      <c r="R1120" s="210"/>
      <c r="S1120" s="41"/>
      <c r="T1120" s="41"/>
      <c r="U1120" s="41"/>
      <c r="V1120" s="210"/>
      <c r="W1120" s="41"/>
      <c r="X1120" s="41"/>
      <c r="Y1120" s="41"/>
      <c r="Z1120" s="41"/>
      <c r="AA1120" s="210"/>
      <c r="AB1120" s="213"/>
      <c r="AC1120" s="210"/>
      <c r="AD1120" s="210"/>
      <c r="AE1120" s="210"/>
      <c r="AF1120" s="210"/>
      <c r="AH1120" s="210"/>
      <c r="AI1120" s="41"/>
      <c r="AJ1120" s="41"/>
      <c r="AL1120" s="210"/>
      <c r="AM1120" s="210"/>
      <c r="AN1120" s="210"/>
      <c r="AO1120" s="41"/>
      <c r="AP1120" s="41"/>
      <c r="AR1120" s="41"/>
      <c r="AS1120" s="41"/>
      <c r="AT1120" s="41"/>
      <c r="AU1120" s="41"/>
      <c r="AV1120" s="41"/>
      <c r="AW1120" s="41"/>
      <c r="AX1120" s="41"/>
      <c r="AY1120" s="41"/>
      <c r="AZ1120" s="41"/>
      <c r="BA1120" s="41"/>
      <c r="BB1120" s="41"/>
      <c r="BC1120" s="41"/>
      <c r="BD1120" s="41"/>
      <c r="BE1120" s="41"/>
      <c r="BF1120" s="41"/>
      <c r="BG1120" s="41"/>
      <c r="BH1120" s="41"/>
      <c r="BI1120" s="41"/>
      <c r="BJ1120" s="41"/>
      <c r="BK1120" s="41"/>
      <c r="BL1120" s="41"/>
      <c r="BM1120" s="41"/>
      <c r="BN1120" s="41"/>
      <c r="BO1120" s="41"/>
      <c r="BP1120" s="41"/>
      <c r="BQ1120" s="41"/>
      <c r="BR1120" s="41"/>
      <c r="BS1120" s="41"/>
      <c r="BT1120" s="41"/>
      <c r="BU1120" s="41"/>
      <c r="BV1120" s="41"/>
      <c r="BW1120" s="41"/>
      <c r="BX1120" s="41"/>
      <c r="BY1120" s="41"/>
    </row>
    <row r="1121" spans="1:77" s="214" customFormat="1" x14ac:dyDescent="0.3">
      <c r="A1121" s="41"/>
      <c r="B1121" s="41"/>
      <c r="C1121" s="42"/>
      <c r="D1121" s="41"/>
      <c r="E1121" s="41"/>
      <c r="F1121" s="210"/>
      <c r="G1121" s="41"/>
      <c r="H1121" s="123"/>
      <c r="I1121" s="123"/>
      <c r="J1121" s="219"/>
      <c r="K1121" s="219"/>
      <c r="L1121" s="123"/>
      <c r="M1121" s="123"/>
      <c r="N1121" s="219"/>
      <c r="O1121" s="219"/>
      <c r="P1121" s="123"/>
      <c r="Q1121" s="123"/>
      <c r="R1121" s="123"/>
      <c r="S1121" s="41"/>
      <c r="T1121" s="41"/>
      <c r="U1121" s="41"/>
      <c r="V1121" s="41"/>
      <c r="W1121" s="41"/>
      <c r="X1121" s="41"/>
      <c r="Y1121" s="41"/>
      <c r="Z1121" s="41"/>
      <c r="AA1121" s="41"/>
      <c r="AB1121" s="41"/>
      <c r="AC1121" s="41"/>
      <c r="AD1121" s="41"/>
      <c r="AE1121" s="41"/>
      <c r="AF1121" s="41"/>
      <c r="AG1121" s="165"/>
      <c r="AH1121" s="41"/>
      <c r="AI1121" s="41"/>
      <c r="AJ1121" s="41"/>
      <c r="AK1121" s="165"/>
      <c r="AL1121" s="41"/>
      <c r="AM1121" s="41"/>
      <c r="AN1121" s="41"/>
      <c r="AO1121" s="41"/>
      <c r="AP1121" s="41"/>
      <c r="AR1121" s="41"/>
      <c r="AS1121" s="41"/>
      <c r="AT1121" s="41"/>
      <c r="AU1121" s="41"/>
      <c r="AV1121" s="41"/>
      <c r="AW1121" s="41"/>
      <c r="AX1121" s="41"/>
      <c r="AY1121" s="41"/>
      <c r="AZ1121" s="41"/>
      <c r="BA1121" s="41"/>
      <c r="BB1121" s="41"/>
      <c r="BC1121" s="41"/>
      <c r="BD1121" s="41"/>
      <c r="BE1121" s="41"/>
      <c r="BF1121" s="41"/>
      <c r="BG1121" s="41"/>
      <c r="BH1121" s="41"/>
      <c r="BI1121" s="41"/>
      <c r="BJ1121" s="41"/>
      <c r="BK1121" s="41"/>
      <c r="BL1121" s="41"/>
      <c r="BM1121" s="41"/>
      <c r="BN1121" s="41"/>
      <c r="BO1121" s="41"/>
      <c r="BP1121" s="41"/>
      <c r="BQ1121" s="41"/>
      <c r="BR1121" s="41"/>
      <c r="BS1121" s="41"/>
      <c r="BT1121" s="41"/>
      <c r="BU1121" s="41"/>
      <c r="BV1121" s="41"/>
      <c r="BW1121" s="41"/>
      <c r="BX1121" s="41"/>
      <c r="BY1121" s="41"/>
    </row>
    <row r="1122" spans="1:77" s="214" customFormat="1" x14ac:dyDescent="0.3">
      <c r="A1122" s="41"/>
      <c r="B1122" s="41"/>
      <c r="C1122" s="41"/>
      <c r="D1122" s="41"/>
      <c r="E1122" s="41"/>
      <c r="F1122" s="123"/>
      <c r="G1122" s="41"/>
      <c r="H1122" s="123"/>
      <c r="I1122" s="123"/>
      <c r="J1122" s="219"/>
      <c r="K1122" s="219"/>
      <c r="L1122" s="123"/>
      <c r="M1122" s="123"/>
      <c r="N1122" s="219"/>
      <c r="O1122" s="219"/>
      <c r="P1122" s="123"/>
      <c r="Q1122" s="123"/>
      <c r="R1122" s="123"/>
      <c r="S1122" s="41"/>
      <c r="T1122" s="42"/>
      <c r="U1122" s="41"/>
      <c r="V1122" s="41"/>
      <c r="W1122" s="41"/>
      <c r="X1122" s="41"/>
      <c r="Y1122" s="41"/>
      <c r="Z1122" s="41"/>
      <c r="AA1122" s="41"/>
      <c r="AB1122" s="41"/>
      <c r="AC1122" s="41"/>
      <c r="AD1122" s="41"/>
      <c r="AE1122" s="41"/>
      <c r="AF1122" s="41"/>
      <c r="AG1122" s="165"/>
      <c r="AH1122" s="41"/>
      <c r="AI1122" s="41"/>
      <c r="AJ1122" s="41"/>
      <c r="AK1122" s="165"/>
      <c r="AL1122" s="41"/>
      <c r="AM1122" s="41"/>
      <c r="AN1122" s="41"/>
      <c r="AO1122" s="41"/>
      <c r="AP1122" s="41"/>
      <c r="AR1122" s="41"/>
      <c r="AS1122" s="41"/>
      <c r="AT1122" s="41"/>
      <c r="AU1122" s="41"/>
      <c r="AV1122" s="41"/>
      <c r="AW1122" s="41"/>
      <c r="AX1122" s="41"/>
      <c r="AY1122" s="41"/>
      <c r="AZ1122" s="41"/>
      <c r="BA1122" s="41"/>
      <c r="BB1122" s="41"/>
      <c r="BC1122" s="41"/>
      <c r="BD1122" s="41"/>
      <c r="BE1122" s="41"/>
      <c r="BF1122" s="41"/>
      <c r="BG1122" s="41"/>
      <c r="BH1122" s="41"/>
      <c r="BI1122" s="41"/>
      <c r="BJ1122" s="41"/>
      <c r="BK1122" s="41"/>
      <c r="BL1122" s="41"/>
      <c r="BM1122" s="41"/>
      <c r="BN1122" s="41"/>
      <c r="BO1122" s="41"/>
      <c r="BP1122" s="41"/>
      <c r="BQ1122" s="41"/>
      <c r="BR1122" s="41"/>
      <c r="BS1122" s="41"/>
      <c r="BT1122" s="41"/>
      <c r="BU1122" s="41"/>
      <c r="BV1122" s="41"/>
      <c r="BW1122" s="41"/>
      <c r="BX1122" s="41"/>
      <c r="BY1122" s="41"/>
    </row>
    <row r="1123" spans="1:77" s="214" customFormat="1" x14ac:dyDescent="0.3">
      <c r="A1123" s="41"/>
      <c r="B1123" s="41"/>
      <c r="C1123" s="41"/>
      <c r="D1123" s="42"/>
      <c r="E1123" s="42"/>
      <c r="F1123" s="123"/>
      <c r="G1123" s="41"/>
      <c r="H1123" s="123"/>
      <c r="I1123" s="123"/>
      <c r="J1123" s="219"/>
      <c r="K1123" s="219"/>
      <c r="L1123" s="184"/>
      <c r="M1123" s="184"/>
      <c r="N1123" s="219"/>
      <c r="O1123" s="219"/>
      <c r="P1123" s="123"/>
      <c r="Q1123" s="123"/>
      <c r="R1123" s="123"/>
      <c r="S1123" s="41"/>
      <c r="T1123" s="41"/>
      <c r="U1123" s="41"/>
      <c r="V1123" s="41"/>
      <c r="W1123" s="41"/>
      <c r="X1123" s="41"/>
      <c r="Y1123" s="41"/>
      <c r="Z1123" s="41"/>
      <c r="AA1123" s="41"/>
      <c r="AB1123" s="41"/>
      <c r="AC1123" s="41"/>
      <c r="AD1123" s="41"/>
      <c r="AE1123" s="41"/>
      <c r="AF1123" s="41"/>
      <c r="AG1123" s="165"/>
      <c r="AH1123" s="41"/>
      <c r="AI1123" s="41"/>
      <c r="AJ1123" s="41"/>
      <c r="AK1123" s="165"/>
      <c r="AL1123" s="41"/>
      <c r="AM1123" s="41"/>
      <c r="AN1123" s="41"/>
      <c r="AO1123" s="41"/>
      <c r="AP1123" s="41"/>
      <c r="AR1123" s="41"/>
      <c r="AS1123" s="41"/>
      <c r="AT1123" s="41"/>
      <c r="AU1123" s="41"/>
      <c r="AV1123" s="41"/>
      <c r="AW1123" s="41"/>
      <c r="AX1123" s="41"/>
      <c r="AY1123" s="41"/>
      <c r="AZ1123" s="41"/>
      <c r="BA1123" s="41"/>
      <c r="BB1123" s="41"/>
      <c r="BC1123" s="41"/>
      <c r="BD1123" s="41"/>
      <c r="BE1123" s="41"/>
      <c r="BF1123" s="41"/>
      <c r="BG1123" s="41"/>
      <c r="BH1123" s="41"/>
      <c r="BI1123" s="41"/>
      <c r="BJ1123" s="41"/>
      <c r="BK1123" s="41"/>
      <c r="BL1123" s="41"/>
      <c r="BM1123" s="41"/>
      <c r="BN1123" s="41"/>
      <c r="BO1123" s="41"/>
      <c r="BP1123" s="41"/>
      <c r="BQ1123" s="41"/>
      <c r="BR1123" s="41"/>
      <c r="BS1123" s="41"/>
      <c r="BT1123" s="41"/>
      <c r="BU1123" s="41"/>
      <c r="BV1123" s="41"/>
      <c r="BW1123" s="41"/>
      <c r="BX1123" s="41"/>
      <c r="BY1123" s="41"/>
    </row>
    <row r="1124" spans="1:77" s="214" customFormat="1" x14ac:dyDescent="0.3">
      <c r="A1124" s="41"/>
      <c r="B1124" s="41"/>
      <c r="C1124" s="41"/>
      <c r="D1124" s="42"/>
      <c r="E1124" s="42"/>
      <c r="F1124" s="123"/>
      <c r="G1124" s="41"/>
      <c r="H1124" s="123"/>
      <c r="I1124" s="123"/>
      <c r="J1124" s="219"/>
      <c r="K1124" s="219"/>
      <c r="L1124" s="184"/>
      <c r="M1124" s="184"/>
      <c r="N1124" s="219"/>
      <c r="O1124" s="219"/>
      <c r="P1124" s="123"/>
      <c r="Q1124" s="123"/>
      <c r="R1124" s="123"/>
      <c r="S1124" s="41"/>
      <c r="T1124" s="41"/>
      <c r="U1124" s="41"/>
      <c r="V1124" s="41"/>
      <c r="W1124" s="41"/>
      <c r="X1124" s="41"/>
      <c r="Y1124" s="41"/>
      <c r="Z1124" s="41"/>
      <c r="AA1124" s="41"/>
      <c r="AB1124" s="41"/>
      <c r="AC1124" s="41"/>
      <c r="AD1124" s="41"/>
      <c r="AE1124" s="41"/>
      <c r="AF1124" s="41"/>
      <c r="AG1124" s="165"/>
      <c r="AH1124" s="41"/>
      <c r="AI1124" s="41"/>
      <c r="AJ1124" s="41"/>
      <c r="AK1124" s="165"/>
      <c r="AL1124" s="41"/>
      <c r="AM1124" s="41"/>
      <c r="AN1124" s="41"/>
      <c r="AO1124" s="41"/>
      <c r="AP1124" s="41"/>
      <c r="AR1124" s="41"/>
      <c r="AS1124" s="41"/>
      <c r="AT1124" s="41"/>
      <c r="AU1124" s="41"/>
      <c r="AV1124" s="41"/>
      <c r="AW1124" s="41"/>
      <c r="AX1124" s="41"/>
      <c r="AY1124" s="41"/>
      <c r="AZ1124" s="41"/>
      <c r="BA1124" s="41"/>
      <c r="BB1124" s="41"/>
      <c r="BC1124" s="41"/>
      <c r="BD1124" s="41"/>
      <c r="BE1124" s="41"/>
      <c r="BF1124" s="41"/>
      <c r="BG1124" s="41"/>
      <c r="BH1124" s="41"/>
      <c r="BI1124" s="41"/>
      <c r="BJ1124" s="41"/>
      <c r="BK1124" s="41"/>
      <c r="BL1124" s="41"/>
      <c r="BM1124" s="41"/>
      <c r="BN1124" s="41"/>
      <c r="BO1124" s="41"/>
      <c r="BP1124" s="41"/>
      <c r="BQ1124" s="41"/>
      <c r="BR1124" s="41"/>
      <c r="BS1124" s="41"/>
      <c r="BT1124" s="41"/>
      <c r="BU1124" s="41"/>
      <c r="BV1124" s="41"/>
      <c r="BW1124" s="41"/>
      <c r="BX1124" s="41"/>
      <c r="BY1124" s="41"/>
    </row>
    <row r="1125" spans="1:77" s="214" customFormat="1" x14ac:dyDescent="0.3">
      <c r="A1125" s="41"/>
      <c r="B1125" s="41"/>
      <c r="C1125" s="41"/>
      <c r="D1125" s="42"/>
      <c r="E1125" s="42"/>
      <c r="F1125" s="123"/>
      <c r="G1125" s="41"/>
      <c r="H1125" s="123"/>
      <c r="I1125" s="123"/>
      <c r="J1125" s="219"/>
      <c r="K1125" s="219"/>
      <c r="L1125" s="184"/>
      <c r="M1125" s="184"/>
      <c r="N1125" s="219"/>
      <c r="O1125" s="219"/>
      <c r="P1125" s="123"/>
      <c r="Q1125" s="123"/>
      <c r="R1125" s="123"/>
      <c r="S1125" s="41"/>
      <c r="T1125" s="41"/>
      <c r="U1125" s="41"/>
      <c r="V1125" s="41"/>
      <c r="W1125" s="41"/>
      <c r="X1125" s="41"/>
      <c r="Y1125" s="41"/>
      <c r="Z1125" s="41"/>
      <c r="AA1125" s="41"/>
      <c r="AB1125" s="41"/>
      <c r="AC1125" s="41"/>
      <c r="AD1125" s="41"/>
      <c r="AE1125" s="41"/>
      <c r="AF1125" s="41"/>
      <c r="AG1125" s="165"/>
      <c r="AH1125" s="41"/>
      <c r="AI1125" s="41"/>
      <c r="AJ1125" s="41"/>
      <c r="AK1125" s="165"/>
      <c r="AL1125" s="41"/>
      <c r="AM1125" s="41"/>
      <c r="AN1125" s="41"/>
      <c r="AO1125" s="41"/>
      <c r="AP1125" s="41"/>
      <c r="AR1125" s="41"/>
      <c r="AS1125" s="41"/>
      <c r="AT1125" s="41"/>
      <c r="AU1125" s="41"/>
      <c r="AV1125" s="41"/>
      <c r="AW1125" s="41"/>
      <c r="AX1125" s="41"/>
      <c r="AY1125" s="41"/>
      <c r="AZ1125" s="41"/>
      <c r="BA1125" s="41"/>
      <c r="BB1125" s="41"/>
      <c r="BC1125" s="41"/>
      <c r="BD1125" s="41"/>
      <c r="BE1125" s="41"/>
      <c r="BF1125" s="41"/>
      <c r="BG1125" s="41"/>
      <c r="BH1125" s="41"/>
      <c r="BI1125" s="41"/>
      <c r="BJ1125" s="41"/>
      <c r="BK1125" s="41"/>
      <c r="BL1125" s="41"/>
      <c r="BM1125" s="41"/>
      <c r="BN1125" s="41"/>
      <c r="BO1125" s="41"/>
      <c r="BP1125" s="41"/>
      <c r="BQ1125" s="41"/>
      <c r="BR1125" s="41"/>
      <c r="BS1125" s="41"/>
      <c r="BT1125" s="41"/>
      <c r="BU1125" s="41"/>
      <c r="BV1125" s="41"/>
      <c r="BW1125" s="41"/>
      <c r="BX1125" s="41"/>
      <c r="BY1125" s="41"/>
    </row>
    <row r="1126" spans="1:77" s="214" customFormat="1" x14ac:dyDescent="0.3">
      <c r="A1126" s="41"/>
      <c r="B1126" s="41"/>
      <c r="C1126" s="41"/>
      <c r="D1126" s="41"/>
      <c r="E1126" s="41"/>
      <c r="F1126" s="123"/>
      <c r="G1126" s="41"/>
      <c r="H1126" s="210"/>
      <c r="I1126" s="210"/>
      <c r="J1126" s="213"/>
      <c r="K1126" s="213"/>
      <c r="L1126" s="210"/>
      <c r="M1126" s="210"/>
      <c r="N1126" s="210"/>
      <c r="O1126" s="210"/>
      <c r="P1126" s="210"/>
      <c r="Q1126" s="210"/>
      <c r="R1126" s="210"/>
      <c r="S1126" s="41"/>
      <c r="T1126" s="41"/>
      <c r="U1126" s="41"/>
      <c r="V1126" s="41"/>
      <c r="W1126" s="41"/>
      <c r="X1126" s="41"/>
      <c r="Y1126" s="41"/>
      <c r="Z1126" s="41"/>
      <c r="AA1126" s="41"/>
      <c r="AB1126" s="41"/>
      <c r="AC1126" s="41"/>
      <c r="AD1126" s="41"/>
      <c r="AE1126" s="41"/>
      <c r="AF1126" s="41"/>
      <c r="AG1126" s="165"/>
      <c r="AH1126" s="41"/>
      <c r="AI1126" s="41"/>
      <c r="AJ1126" s="41"/>
      <c r="AK1126" s="165"/>
      <c r="AL1126" s="41"/>
      <c r="AM1126" s="41"/>
      <c r="AN1126" s="41"/>
      <c r="AO1126" s="41"/>
      <c r="AP1126" s="41"/>
      <c r="AR1126" s="41"/>
      <c r="AS1126" s="41"/>
      <c r="AT1126" s="41"/>
      <c r="AU1126" s="41"/>
      <c r="AV1126" s="41"/>
      <c r="AW1126" s="41"/>
      <c r="AX1126" s="41"/>
      <c r="AY1126" s="41"/>
      <c r="AZ1126" s="41"/>
      <c r="BA1126" s="41"/>
      <c r="BB1126" s="41"/>
      <c r="BC1126" s="41"/>
      <c r="BD1126" s="41"/>
      <c r="BE1126" s="41"/>
      <c r="BF1126" s="41"/>
      <c r="BG1126" s="41"/>
      <c r="BH1126" s="41"/>
      <c r="BI1126" s="41"/>
      <c r="BJ1126" s="41"/>
      <c r="BK1126" s="41"/>
      <c r="BL1126" s="41"/>
      <c r="BM1126" s="41"/>
      <c r="BN1126" s="41"/>
      <c r="BO1126" s="41"/>
      <c r="BP1126" s="41"/>
      <c r="BQ1126" s="41"/>
      <c r="BR1126" s="41"/>
      <c r="BS1126" s="41"/>
      <c r="BT1126" s="41"/>
      <c r="BU1126" s="41"/>
      <c r="BV1126" s="41"/>
      <c r="BW1126" s="41"/>
      <c r="BX1126" s="41"/>
      <c r="BY1126" s="41"/>
    </row>
    <row r="1127" spans="1:77" s="214" customFormat="1" x14ac:dyDescent="0.3">
      <c r="A1127" s="41"/>
      <c r="B1127" s="41"/>
      <c r="C1127" s="42"/>
      <c r="D1127" s="41"/>
      <c r="E1127" s="41"/>
      <c r="F1127" s="210"/>
      <c r="G1127" s="41"/>
      <c r="H1127" s="123"/>
      <c r="I1127" s="123"/>
      <c r="J1127" s="219"/>
      <c r="K1127" s="219"/>
      <c r="L1127" s="123"/>
      <c r="M1127" s="123"/>
      <c r="N1127" s="219"/>
      <c r="O1127" s="219"/>
      <c r="P1127" s="123"/>
      <c r="Q1127" s="123"/>
      <c r="R1127" s="123"/>
      <c r="S1127" s="41"/>
      <c r="T1127" s="41"/>
      <c r="U1127" s="41"/>
      <c r="V1127" s="41"/>
      <c r="W1127" s="41"/>
      <c r="X1127" s="41"/>
      <c r="Y1127" s="41"/>
      <c r="Z1127" s="41"/>
      <c r="AA1127" s="41"/>
      <c r="AB1127" s="41"/>
      <c r="AC1127" s="41"/>
      <c r="AD1127" s="41"/>
      <c r="AE1127" s="41"/>
      <c r="AF1127" s="41"/>
      <c r="AG1127" s="165"/>
      <c r="AH1127" s="41"/>
      <c r="AI1127" s="41"/>
      <c r="AJ1127" s="41"/>
      <c r="AK1127" s="165"/>
      <c r="AL1127" s="41"/>
      <c r="AM1127" s="41"/>
      <c r="AN1127" s="41"/>
      <c r="AO1127" s="41"/>
      <c r="AP1127" s="41"/>
      <c r="AR1127" s="41"/>
      <c r="AS1127" s="41"/>
      <c r="AT1127" s="41"/>
      <c r="AU1127" s="41"/>
      <c r="AV1127" s="41"/>
      <c r="AW1127" s="41"/>
      <c r="AX1127" s="41"/>
      <c r="AY1127" s="41"/>
      <c r="AZ1127" s="41"/>
      <c r="BA1127" s="41"/>
      <c r="BB1127" s="41"/>
      <c r="BC1127" s="41"/>
      <c r="BD1127" s="41"/>
      <c r="BE1127" s="41"/>
      <c r="BF1127" s="41"/>
      <c r="BG1127" s="41"/>
      <c r="BH1127" s="41"/>
      <c r="BI1127" s="41"/>
      <c r="BJ1127" s="41"/>
      <c r="BK1127" s="41"/>
      <c r="BL1127" s="41"/>
      <c r="BM1127" s="41"/>
      <c r="BN1127" s="41"/>
      <c r="BO1127" s="41"/>
      <c r="BP1127" s="41"/>
      <c r="BQ1127" s="41"/>
      <c r="BR1127" s="41"/>
      <c r="BS1127" s="41"/>
      <c r="BT1127" s="41"/>
      <c r="BU1127" s="41"/>
      <c r="BV1127" s="41"/>
      <c r="BW1127" s="41"/>
      <c r="BX1127" s="41"/>
      <c r="BY1127" s="41"/>
    </row>
    <row r="1128" spans="1:77" s="214" customFormat="1" x14ac:dyDescent="0.3">
      <c r="A1128" s="41"/>
      <c r="B1128" s="41"/>
      <c r="C1128" s="41"/>
      <c r="D1128" s="41"/>
      <c r="E1128" s="41"/>
      <c r="F1128" s="123"/>
      <c r="G1128" s="41"/>
      <c r="H1128" s="123"/>
      <c r="I1128" s="123"/>
      <c r="J1128" s="219"/>
      <c r="K1128" s="219"/>
      <c r="L1128" s="123"/>
      <c r="M1128" s="123"/>
      <c r="N1128" s="219"/>
      <c r="O1128" s="219"/>
      <c r="P1128" s="123"/>
      <c r="Q1128" s="123"/>
      <c r="R1128" s="123"/>
      <c r="S1128" s="41"/>
      <c r="T1128" s="41"/>
      <c r="U1128" s="41"/>
      <c r="V1128" s="41"/>
      <c r="W1128" s="41"/>
      <c r="X1128" s="41"/>
      <c r="Y1128" s="41"/>
      <c r="Z1128" s="41"/>
      <c r="AA1128" s="41"/>
      <c r="AB1128" s="41"/>
      <c r="AC1128" s="41"/>
      <c r="AD1128" s="41"/>
      <c r="AE1128" s="41"/>
      <c r="AF1128" s="41"/>
      <c r="AG1128" s="165"/>
      <c r="AH1128" s="41"/>
      <c r="AI1128" s="41"/>
      <c r="AJ1128" s="41"/>
      <c r="AK1128" s="165"/>
      <c r="AL1128" s="41"/>
      <c r="AM1128" s="41"/>
      <c r="AN1128" s="41"/>
      <c r="AO1128" s="41"/>
      <c r="AP1128" s="41"/>
      <c r="AR1128" s="41"/>
      <c r="AS1128" s="41"/>
      <c r="AT1128" s="41"/>
      <c r="AU1128" s="41"/>
      <c r="AV1128" s="41"/>
      <c r="AW1128" s="41"/>
      <c r="AX1128" s="41"/>
      <c r="AY1128" s="41"/>
      <c r="AZ1128" s="41"/>
      <c r="BA1128" s="41"/>
      <c r="BB1128" s="41"/>
      <c r="BC1128" s="41"/>
      <c r="BD1128" s="41"/>
      <c r="BE1128" s="41"/>
      <c r="BF1128" s="41"/>
      <c r="BG1128" s="41"/>
      <c r="BH1128" s="41"/>
      <c r="BI1128" s="41"/>
      <c r="BJ1128" s="41"/>
      <c r="BK1128" s="41"/>
      <c r="BL1128" s="41"/>
      <c r="BM1128" s="41"/>
      <c r="BN1128" s="41"/>
      <c r="BO1128" s="41"/>
      <c r="BP1128" s="41"/>
      <c r="BQ1128" s="41"/>
      <c r="BR1128" s="41"/>
      <c r="BS1128" s="41"/>
      <c r="BT1128" s="41"/>
      <c r="BU1128" s="41"/>
      <c r="BV1128" s="41"/>
      <c r="BW1128" s="41"/>
      <c r="BX1128" s="41"/>
      <c r="BY1128" s="41"/>
    </row>
    <row r="1129" spans="1:77" s="214" customFormat="1" x14ac:dyDescent="0.3">
      <c r="A1129" s="41"/>
      <c r="B1129" s="41"/>
      <c r="C1129" s="42"/>
      <c r="D1129" s="41"/>
      <c r="E1129" s="41"/>
      <c r="F1129" s="123"/>
      <c r="G1129" s="41"/>
      <c r="H1129" s="123"/>
      <c r="I1129" s="123"/>
      <c r="J1129" s="219"/>
      <c r="K1129" s="219"/>
      <c r="L1129" s="123"/>
      <c r="M1129" s="123"/>
      <c r="N1129" s="219"/>
      <c r="O1129" s="219"/>
      <c r="P1129" s="123"/>
      <c r="Q1129" s="123"/>
      <c r="R1129" s="123"/>
      <c r="S1129" s="41"/>
      <c r="T1129" s="41"/>
      <c r="U1129" s="41"/>
      <c r="V1129" s="41"/>
      <c r="W1129" s="41"/>
      <c r="X1129" s="41"/>
      <c r="Y1129" s="41"/>
      <c r="Z1129" s="41"/>
      <c r="AA1129" s="41"/>
      <c r="AB1129" s="41"/>
      <c r="AC1129" s="41"/>
      <c r="AD1129" s="41"/>
      <c r="AE1129" s="41"/>
      <c r="AF1129" s="41"/>
      <c r="AG1129" s="165"/>
      <c r="AH1129" s="41"/>
      <c r="AI1129" s="41"/>
      <c r="AJ1129" s="41"/>
      <c r="AK1129" s="165"/>
      <c r="AL1129" s="41"/>
      <c r="AM1129" s="41"/>
      <c r="AN1129" s="41"/>
      <c r="AO1129" s="41"/>
      <c r="AP1129" s="41"/>
      <c r="AR1129" s="41"/>
      <c r="AS1129" s="41"/>
      <c r="AT1129" s="41"/>
      <c r="AU1129" s="41"/>
      <c r="AV1129" s="41"/>
      <c r="AW1129" s="41"/>
      <c r="AX1129" s="41"/>
      <c r="AY1129" s="41"/>
      <c r="AZ1129" s="41"/>
      <c r="BA1129" s="41"/>
      <c r="BB1129" s="41"/>
      <c r="BC1129" s="41"/>
      <c r="BD1129" s="41"/>
      <c r="BE1129" s="41"/>
      <c r="BF1129" s="41"/>
      <c r="BG1129" s="41"/>
      <c r="BH1129" s="41"/>
      <c r="BI1129" s="41"/>
      <c r="BJ1129" s="41"/>
      <c r="BK1129" s="41"/>
      <c r="BL1129" s="41"/>
      <c r="BM1129" s="41"/>
      <c r="BN1129" s="41"/>
      <c r="BO1129" s="41"/>
      <c r="BP1129" s="41"/>
      <c r="BQ1129" s="41"/>
      <c r="BR1129" s="41"/>
      <c r="BS1129" s="41"/>
      <c r="BT1129" s="41"/>
      <c r="BU1129" s="41"/>
      <c r="BV1129" s="41"/>
      <c r="BW1129" s="41"/>
      <c r="BX1129" s="41"/>
      <c r="BY1129" s="41"/>
    </row>
    <row r="1130" spans="1:77" s="214" customFormat="1" x14ac:dyDescent="0.3">
      <c r="A1130" s="41"/>
      <c r="B1130" s="41"/>
      <c r="C1130" s="41"/>
      <c r="D1130" s="41"/>
      <c r="E1130" s="41"/>
      <c r="F1130" s="123"/>
      <c r="G1130" s="41"/>
      <c r="H1130" s="210"/>
      <c r="I1130" s="210"/>
      <c r="J1130" s="213"/>
      <c r="K1130" s="213"/>
      <c r="L1130" s="210"/>
      <c r="M1130" s="210"/>
      <c r="N1130" s="210"/>
      <c r="O1130" s="210"/>
      <c r="P1130" s="210"/>
      <c r="Q1130" s="210"/>
      <c r="R1130" s="210"/>
      <c r="S1130" s="41"/>
      <c r="T1130" s="41"/>
      <c r="U1130" s="41"/>
      <c r="V1130" s="41"/>
      <c r="W1130" s="41"/>
      <c r="X1130" s="41"/>
      <c r="Y1130" s="41"/>
      <c r="Z1130" s="41"/>
      <c r="AA1130" s="41"/>
      <c r="AB1130" s="41"/>
      <c r="AC1130" s="41"/>
      <c r="AD1130" s="41"/>
      <c r="AE1130" s="41"/>
      <c r="AF1130" s="41"/>
      <c r="AG1130" s="165"/>
      <c r="AH1130" s="41"/>
      <c r="AI1130" s="41"/>
      <c r="AJ1130" s="41"/>
      <c r="AK1130" s="165"/>
      <c r="AL1130" s="41"/>
      <c r="AM1130" s="41"/>
      <c r="AN1130" s="41"/>
      <c r="AO1130" s="41"/>
      <c r="AP1130" s="41"/>
      <c r="AR1130" s="41"/>
      <c r="AS1130" s="41"/>
      <c r="AT1130" s="41"/>
      <c r="AU1130" s="41"/>
      <c r="AV1130" s="41"/>
      <c r="AW1130" s="41"/>
      <c r="AX1130" s="41"/>
      <c r="AY1130" s="41"/>
      <c r="AZ1130" s="41"/>
      <c r="BA1130" s="41"/>
      <c r="BB1130" s="41"/>
      <c r="BC1130" s="41"/>
      <c r="BD1130" s="41"/>
      <c r="BE1130" s="41"/>
      <c r="BF1130" s="41"/>
      <c r="BG1130" s="41"/>
      <c r="BH1130" s="41"/>
      <c r="BI1130" s="41"/>
      <c r="BJ1130" s="41"/>
      <c r="BK1130" s="41"/>
      <c r="BL1130" s="41"/>
      <c r="BM1130" s="41"/>
      <c r="BN1130" s="41"/>
      <c r="BO1130" s="41"/>
      <c r="BP1130" s="41"/>
      <c r="BQ1130" s="41"/>
      <c r="BR1130" s="41"/>
      <c r="BS1130" s="41"/>
      <c r="BT1130" s="41"/>
      <c r="BU1130" s="41"/>
      <c r="BV1130" s="41"/>
      <c r="BW1130" s="41"/>
      <c r="BX1130" s="41"/>
      <c r="BY1130" s="41"/>
    </row>
    <row r="1132" spans="1:77" x14ac:dyDescent="0.3">
      <c r="C1132" s="42"/>
      <c r="F1132" s="210"/>
      <c r="L1132" s="123"/>
      <c r="M1132" s="123"/>
      <c r="P1132" s="123"/>
      <c r="Q1132" s="123"/>
      <c r="R1132" s="123"/>
    </row>
    <row r="1133" spans="1:77" x14ac:dyDescent="0.3">
      <c r="A1133" s="42"/>
      <c r="L1133" s="123"/>
      <c r="M1133" s="123"/>
      <c r="P1133" s="123"/>
      <c r="Q1133" s="123"/>
      <c r="R1133" s="123"/>
    </row>
    <row r="1134" spans="1:77" x14ac:dyDescent="0.3">
      <c r="L1134" s="123"/>
      <c r="M1134" s="123"/>
      <c r="P1134" s="123"/>
      <c r="Q1134" s="123"/>
      <c r="R1134" s="123"/>
    </row>
    <row r="1135" spans="1:77" x14ac:dyDescent="0.3">
      <c r="L1135" s="123"/>
      <c r="M1135" s="123"/>
      <c r="P1135" s="123"/>
      <c r="Q1135" s="123"/>
      <c r="R1135" s="123"/>
    </row>
    <row r="1136" spans="1:77" x14ac:dyDescent="0.3">
      <c r="L1136" s="123"/>
      <c r="M1136" s="123"/>
      <c r="P1136" s="123"/>
      <c r="Q1136" s="123"/>
      <c r="R1136" s="123"/>
    </row>
    <row r="1137" spans="12:18" x14ac:dyDescent="0.3">
      <c r="L1137" s="123"/>
      <c r="M1137" s="123"/>
      <c r="P1137" s="123"/>
      <c r="Q1137" s="123"/>
      <c r="R1137" s="123"/>
    </row>
    <row r="1138" spans="12:18" x14ac:dyDescent="0.3">
      <c r="L1138" s="123"/>
      <c r="M1138" s="123"/>
      <c r="P1138" s="123"/>
      <c r="Q1138" s="123"/>
      <c r="R1138" s="123"/>
    </row>
    <row r="1171" spans="51:51" x14ac:dyDescent="0.3">
      <c r="AY1171" s="123"/>
    </row>
    <row r="1172" spans="51:51" x14ac:dyDescent="0.3">
      <c r="AY1172" s="123"/>
    </row>
    <row r="1173" spans="51:51" x14ac:dyDescent="0.3">
      <c r="AY1173" s="123"/>
    </row>
    <row r="1174" spans="51:51" x14ac:dyDescent="0.3">
      <c r="AY1174" s="123"/>
    </row>
    <row r="1175" spans="51:51" x14ac:dyDescent="0.3">
      <c r="AY1175" s="123"/>
    </row>
    <row r="1176" spans="51:51" x14ac:dyDescent="0.3">
      <c r="AY1176" s="123"/>
    </row>
    <row r="1179" spans="51:51" x14ac:dyDescent="0.3">
      <c r="AY1179" s="123"/>
    </row>
    <row r="1180" spans="51:51" x14ac:dyDescent="0.3">
      <c r="AY1180" s="123"/>
    </row>
    <row r="1181" spans="51:51" x14ac:dyDescent="0.3">
      <c r="AY1181" s="123"/>
    </row>
    <row r="1182" spans="51:51" x14ac:dyDescent="0.3">
      <c r="AY1182" s="123"/>
    </row>
    <row r="1183" spans="51:51" x14ac:dyDescent="0.3">
      <c r="AY1183" s="123"/>
    </row>
    <row r="1184" spans="51:51" x14ac:dyDescent="0.3">
      <c r="AY1184" s="123"/>
    </row>
    <row r="1185" spans="51:51" x14ac:dyDescent="0.3">
      <c r="AY1185" s="123"/>
    </row>
    <row r="1186" spans="51:51" x14ac:dyDescent="0.3">
      <c r="AY1186" s="123"/>
    </row>
    <row r="1189" spans="51:51" x14ac:dyDescent="0.3">
      <c r="AY1189" s="123"/>
    </row>
    <row r="1190" spans="51:51" x14ac:dyDescent="0.3">
      <c r="AY1190" s="123"/>
    </row>
    <row r="1193" spans="51:51" x14ac:dyDescent="0.3">
      <c r="AY1193" s="123"/>
    </row>
    <row r="1194" spans="51:51" x14ac:dyDescent="0.3">
      <c r="AY1194" s="123"/>
    </row>
    <row r="1195" spans="51:51" x14ac:dyDescent="0.3">
      <c r="AY1195" s="123"/>
    </row>
    <row r="1196" spans="51:51" x14ac:dyDescent="0.3">
      <c r="AY1196" s="123"/>
    </row>
    <row r="1204" spans="47:71" x14ac:dyDescent="0.3">
      <c r="BA1204" s="42"/>
    </row>
    <row r="1205" spans="47:71" x14ac:dyDescent="0.3">
      <c r="BA1205" s="42"/>
    </row>
    <row r="1206" spans="47:71" x14ac:dyDescent="0.3">
      <c r="BF1206" s="42"/>
    </row>
    <row r="1207" spans="47:71" x14ac:dyDescent="0.3">
      <c r="BF1207" s="42"/>
    </row>
    <row r="1208" spans="47:71" x14ac:dyDescent="0.3">
      <c r="AU1208" s="42"/>
      <c r="BF1208" s="42"/>
    </row>
    <row r="1210" spans="47:71" x14ac:dyDescent="0.3">
      <c r="AU1210" s="135"/>
      <c r="AV1210" s="135"/>
      <c r="AW1210" s="135"/>
      <c r="AX1210" s="135"/>
      <c r="AY1210" s="135"/>
      <c r="AZ1210" s="135"/>
      <c r="BA1210" s="135"/>
      <c r="BB1210" s="135"/>
      <c r="BC1210" s="135"/>
      <c r="BD1210" s="135"/>
      <c r="BE1210" s="135"/>
      <c r="BF1210" s="135"/>
      <c r="BG1210" s="135"/>
    </row>
    <row r="1211" spans="47:71" x14ac:dyDescent="0.3">
      <c r="AZ1211" s="42"/>
    </row>
    <row r="1212" spans="47:71" x14ac:dyDescent="0.3">
      <c r="AZ1212" s="135"/>
      <c r="BA1212" s="135"/>
      <c r="BB1212" s="135"/>
      <c r="BC1212" s="135"/>
      <c r="BE1212" s="44"/>
      <c r="BF1212" s="44"/>
    </row>
    <row r="1213" spans="47:71" x14ac:dyDescent="0.3">
      <c r="AX1213" s="44"/>
      <c r="AY1213" s="44"/>
      <c r="BB1213" s="44"/>
      <c r="BC1213" s="44"/>
      <c r="BE1213" s="44"/>
      <c r="BF1213" s="44"/>
      <c r="BG1213" s="44"/>
      <c r="BI1213" s="135"/>
      <c r="BJ1213" s="42"/>
      <c r="BM1213" s="135"/>
      <c r="BO1213" s="135"/>
      <c r="BP1213" s="42"/>
      <c r="BS1213" s="135"/>
    </row>
    <row r="1214" spans="47:71" x14ac:dyDescent="0.3">
      <c r="AX1214" s="44"/>
      <c r="AY1214" s="44"/>
      <c r="AZ1214" s="44"/>
      <c r="BA1214" s="44"/>
      <c r="BB1214" s="44"/>
      <c r="BC1214" s="44"/>
      <c r="BD1214" s="44"/>
      <c r="BE1214" s="44"/>
      <c r="BF1214" s="44"/>
      <c r="BG1214" s="44"/>
      <c r="BJ1214" s="44"/>
      <c r="BK1214" s="44"/>
      <c r="BL1214" s="44"/>
      <c r="BP1214" s="44"/>
      <c r="BQ1214" s="44"/>
      <c r="BR1214" s="44"/>
    </row>
    <row r="1215" spans="47:71" x14ac:dyDescent="0.3">
      <c r="AU1215" s="44"/>
      <c r="AW1215" s="42"/>
      <c r="AX1215" s="44"/>
      <c r="AY1215" s="44"/>
      <c r="AZ1215" s="44"/>
      <c r="BA1215" s="44"/>
      <c r="BB1215" s="44"/>
      <c r="BC1215" s="44"/>
      <c r="BD1215" s="44"/>
      <c r="BE1215" s="44"/>
      <c r="BF1215" s="44"/>
      <c r="BG1215" s="44"/>
      <c r="BI1215" s="44"/>
      <c r="BJ1215" s="44"/>
      <c r="BK1215" s="44"/>
      <c r="BL1215" s="44"/>
      <c r="BM1215" s="44"/>
      <c r="BO1215" s="44"/>
      <c r="BP1215" s="44"/>
      <c r="BQ1215" s="44"/>
      <c r="BR1215" s="44"/>
      <c r="BS1215" s="44"/>
    </row>
    <row r="1216" spans="47:71" x14ac:dyDescent="0.3">
      <c r="AU1216" s="44"/>
      <c r="AW1216" s="42"/>
      <c r="AX1216" s="44"/>
      <c r="AY1216" s="44"/>
      <c r="AZ1216" s="44"/>
      <c r="BA1216" s="44"/>
      <c r="BB1216" s="44"/>
      <c r="BC1216" s="44"/>
      <c r="BD1216" s="44"/>
      <c r="BE1216" s="44"/>
      <c r="BF1216" s="44"/>
      <c r="BG1216" s="44"/>
      <c r="BI1216" s="44"/>
      <c r="BJ1216" s="44"/>
      <c r="BK1216" s="44"/>
      <c r="BL1216" s="44"/>
      <c r="BM1216" s="44"/>
      <c r="BO1216" s="44"/>
      <c r="BP1216" s="44"/>
      <c r="BQ1216" s="44"/>
      <c r="BR1216" s="44"/>
      <c r="BS1216" s="44"/>
    </row>
    <row r="1217" spans="47:71" x14ac:dyDescent="0.3">
      <c r="AU1217" s="135"/>
      <c r="AV1217" s="135"/>
      <c r="AW1217" s="135"/>
      <c r="AX1217" s="135"/>
      <c r="AY1217" s="135"/>
      <c r="AZ1217" s="135"/>
      <c r="BA1217" s="135"/>
      <c r="BB1217" s="135"/>
      <c r="BC1217" s="135"/>
      <c r="BD1217" s="135"/>
      <c r="BE1217" s="135"/>
      <c r="BF1217" s="135"/>
      <c r="BG1217" s="135"/>
      <c r="BI1217" s="135"/>
      <c r="BJ1217" s="135"/>
      <c r="BK1217" s="135"/>
      <c r="BL1217" s="135"/>
      <c r="BM1217" s="135"/>
      <c r="BO1217" s="135"/>
      <c r="BP1217" s="135"/>
      <c r="BQ1217" s="135"/>
      <c r="BR1217" s="135"/>
      <c r="BS1217" s="135"/>
    </row>
    <row r="1218" spans="47:71" x14ac:dyDescent="0.3">
      <c r="AX1218" s="44"/>
      <c r="AY1218" s="44"/>
      <c r="AZ1218" s="44"/>
      <c r="BA1218" s="44"/>
      <c r="BB1218" s="44"/>
      <c r="BC1218" s="44"/>
      <c r="BD1218" s="44"/>
      <c r="BE1218" s="44"/>
      <c r="BF1218" s="44"/>
      <c r="BG1218" s="44"/>
    </row>
    <row r="1219" spans="47:71" x14ac:dyDescent="0.3">
      <c r="AW1219" s="42"/>
      <c r="AX1219" s="44"/>
      <c r="BA1219" s="219"/>
    </row>
    <row r="1220" spans="47:71" x14ac:dyDescent="0.3">
      <c r="AX1220" s="44"/>
      <c r="AY1220" s="123"/>
      <c r="AZ1220" s="188"/>
      <c r="BA1220" s="188"/>
      <c r="BB1220" s="188"/>
      <c r="BC1220" s="160"/>
      <c r="BD1220" s="188"/>
      <c r="BE1220" s="219"/>
      <c r="BF1220" s="219"/>
      <c r="BG1220" s="160"/>
      <c r="BI1220" s="188"/>
      <c r="BJ1220" s="188"/>
      <c r="BK1220" s="188"/>
      <c r="BL1220" s="188"/>
      <c r="BM1220" s="188"/>
      <c r="BO1220" s="188"/>
      <c r="BP1220" s="188"/>
      <c r="BQ1220" s="188"/>
      <c r="BR1220" s="188"/>
      <c r="BS1220" s="188"/>
    </row>
    <row r="1221" spans="47:71" x14ac:dyDescent="0.3">
      <c r="AX1221" s="44"/>
      <c r="AY1221" s="123"/>
      <c r="AZ1221" s="188"/>
      <c r="BA1221" s="188"/>
      <c r="BB1221" s="188"/>
      <c r="BC1221" s="160"/>
      <c r="BD1221" s="188"/>
      <c r="BE1221" s="219"/>
      <c r="BF1221" s="219"/>
      <c r="BG1221" s="160"/>
      <c r="BI1221" s="188"/>
      <c r="BJ1221" s="188"/>
      <c r="BK1221" s="188"/>
      <c r="BL1221" s="188"/>
      <c r="BM1221" s="188"/>
      <c r="BO1221" s="188"/>
      <c r="BP1221" s="188"/>
      <c r="BQ1221" s="188"/>
      <c r="BR1221" s="188"/>
      <c r="BS1221" s="188"/>
    </row>
    <row r="1222" spans="47:71" x14ac:dyDescent="0.3">
      <c r="AX1222" s="44"/>
      <c r="AY1222" s="123"/>
      <c r="AZ1222" s="188"/>
      <c r="BA1222" s="188"/>
      <c r="BB1222" s="188"/>
      <c r="BC1222" s="160"/>
      <c r="BD1222" s="188"/>
      <c r="BE1222" s="219"/>
      <c r="BF1222" s="219"/>
      <c r="BG1222" s="160"/>
      <c r="BI1222" s="188"/>
      <c r="BJ1222" s="188"/>
      <c r="BK1222" s="188"/>
      <c r="BL1222" s="188"/>
      <c r="BM1222" s="188"/>
      <c r="BO1222" s="188"/>
      <c r="BP1222" s="188"/>
      <c r="BQ1222" s="188"/>
      <c r="BR1222" s="188"/>
      <c r="BS1222" s="188"/>
    </row>
    <row r="1223" spans="47:71" x14ac:dyDescent="0.3">
      <c r="AX1223" s="44"/>
      <c r="AY1223" s="123"/>
      <c r="AZ1223" s="188"/>
      <c r="BA1223" s="188"/>
      <c r="BB1223" s="188"/>
      <c r="BC1223" s="160"/>
      <c r="BD1223" s="188"/>
      <c r="BE1223" s="219"/>
      <c r="BF1223" s="219"/>
      <c r="BG1223" s="160"/>
      <c r="BI1223" s="188"/>
      <c r="BJ1223" s="188"/>
      <c r="BK1223" s="188"/>
      <c r="BL1223" s="188"/>
      <c r="BM1223" s="188"/>
      <c r="BO1223" s="188"/>
      <c r="BP1223" s="188"/>
      <c r="BQ1223" s="188"/>
      <c r="BR1223" s="188"/>
      <c r="BS1223" s="188"/>
    </row>
    <row r="1224" spans="47:71" x14ac:dyDescent="0.3">
      <c r="AX1224" s="44"/>
      <c r="AY1224" s="123"/>
      <c r="AZ1224" s="188"/>
      <c r="BA1224" s="188"/>
      <c r="BB1224" s="188"/>
      <c r="BC1224" s="160"/>
      <c r="BD1224" s="188"/>
      <c r="BE1224" s="219"/>
      <c r="BF1224" s="219"/>
      <c r="BG1224" s="160"/>
      <c r="BI1224" s="188"/>
      <c r="BJ1224" s="188"/>
      <c r="BK1224" s="188"/>
      <c r="BL1224" s="188"/>
      <c r="BM1224" s="188"/>
      <c r="BO1224" s="188"/>
      <c r="BP1224" s="188"/>
      <c r="BQ1224" s="188"/>
      <c r="BR1224" s="188"/>
      <c r="BS1224" s="188"/>
    </row>
    <row r="1225" spans="47:71" x14ac:dyDescent="0.3">
      <c r="AX1225" s="44"/>
      <c r="AY1225" s="123"/>
      <c r="AZ1225" s="188"/>
      <c r="BA1225" s="188"/>
      <c r="BB1225" s="188"/>
      <c r="BC1225" s="160"/>
      <c r="BD1225" s="188"/>
      <c r="BE1225" s="219"/>
      <c r="BF1225" s="219"/>
      <c r="BG1225" s="160"/>
      <c r="BI1225" s="188"/>
      <c r="BJ1225" s="188"/>
      <c r="BK1225" s="188"/>
      <c r="BL1225" s="188"/>
      <c r="BM1225" s="188"/>
      <c r="BO1225" s="188"/>
      <c r="BP1225" s="188"/>
      <c r="BQ1225" s="188"/>
      <c r="BR1225" s="188"/>
      <c r="BS1225" s="188"/>
    </row>
    <row r="1226" spans="47:71" x14ac:dyDescent="0.3">
      <c r="AX1226" s="44"/>
      <c r="AY1226" s="123"/>
      <c r="AZ1226" s="188"/>
      <c r="BA1226" s="188"/>
      <c r="BB1226" s="188"/>
      <c r="BC1226" s="160"/>
      <c r="BD1226" s="188"/>
      <c r="BE1226" s="219"/>
      <c r="BF1226" s="219"/>
      <c r="BG1226" s="160"/>
      <c r="BI1226" s="188"/>
      <c r="BJ1226" s="188"/>
      <c r="BK1226" s="188"/>
      <c r="BL1226" s="188"/>
      <c r="BM1226" s="188"/>
      <c r="BO1226" s="188"/>
      <c r="BP1226" s="188"/>
      <c r="BQ1226" s="188"/>
      <c r="BR1226" s="188"/>
      <c r="BS1226" s="188"/>
    </row>
    <row r="1227" spans="47:71" x14ac:dyDescent="0.3">
      <c r="BA1227" s="219"/>
      <c r="BB1227" s="188"/>
      <c r="BC1227" s="160"/>
      <c r="BD1227" s="188"/>
      <c r="BE1227" s="219"/>
      <c r="BF1227" s="219"/>
      <c r="BG1227" s="160"/>
      <c r="BM1227" s="188"/>
      <c r="BS1227" s="188"/>
    </row>
    <row r="1228" spans="47:71" x14ac:dyDescent="0.3">
      <c r="AX1228" s="44"/>
      <c r="BA1228" s="219"/>
      <c r="BB1228" s="188"/>
      <c r="BC1228" s="160"/>
      <c r="BD1228" s="188"/>
      <c r="BE1228" s="219"/>
      <c r="BF1228" s="219"/>
      <c r="BG1228" s="160"/>
      <c r="BM1228" s="188"/>
      <c r="BS1228" s="188"/>
    </row>
    <row r="1229" spans="47:71" x14ac:dyDescent="0.3">
      <c r="AX1229" s="44"/>
      <c r="AY1229" s="123"/>
      <c r="AZ1229" s="188"/>
      <c r="BA1229" s="188"/>
      <c r="BB1229" s="188"/>
      <c r="BC1229" s="160"/>
      <c r="BD1229" s="188"/>
      <c r="BE1229" s="219"/>
      <c r="BF1229" s="219"/>
      <c r="BG1229" s="160"/>
      <c r="BI1229" s="188"/>
      <c r="BJ1229" s="188"/>
      <c r="BK1229" s="188"/>
      <c r="BL1229" s="188"/>
      <c r="BM1229" s="188"/>
      <c r="BO1229" s="188"/>
      <c r="BP1229" s="188"/>
      <c r="BQ1229" s="188"/>
      <c r="BR1229" s="188"/>
      <c r="BS1229" s="188"/>
    </row>
    <row r="1230" spans="47:71" x14ac:dyDescent="0.3">
      <c r="AX1230" s="44"/>
      <c r="AY1230" s="123"/>
      <c r="AZ1230" s="188"/>
      <c r="BA1230" s="188"/>
      <c r="BB1230" s="188"/>
      <c r="BC1230" s="160"/>
      <c r="BD1230" s="188"/>
      <c r="BE1230" s="219"/>
      <c r="BF1230" s="219"/>
      <c r="BG1230" s="160"/>
      <c r="BI1230" s="188"/>
      <c r="BJ1230" s="188"/>
      <c r="BK1230" s="188"/>
      <c r="BL1230" s="188"/>
      <c r="BM1230" s="188"/>
      <c r="BO1230" s="188"/>
      <c r="BP1230" s="188"/>
      <c r="BQ1230" s="188"/>
      <c r="BR1230" s="188"/>
      <c r="BS1230" s="188"/>
    </row>
    <row r="1231" spans="47:71" x14ac:dyDescent="0.3">
      <c r="AX1231" s="44"/>
      <c r="AY1231" s="123"/>
      <c r="AZ1231" s="188"/>
      <c r="BA1231" s="188"/>
      <c r="BB1231" s="188"/>
      <c r="BC1231" s="160"/>
      <c r="BD1231" s="188"/>
      <c r="BE1231" s="219"/>
      <c r="BF1231" s="219"/>
      <c r="BG1231" s="160"/>
      <c r="BI1231" s="188"/>
      <c r="BJ1231" s="188"/>
      <c r="BK1231" s="188"/>
      <c r="BL1231" s="188"/>
      <c r="BM1231" s="188"/>
      <c r="BO1231" s="188"/>
      <c r="BP1231" s="188"/>
      <c r="BQ1231" s="188"/>
      <c r="BR1231" s="188"/>
      <c r="BS1231" s="188"/>
    </row>
    <row r="1232" spans="47:71" x14ac:dyDescent="0.3">
      <c r="AX1232" s="44"/>
      <c r="AY1232" s="123"/>
      <c r="AZ1232" s="188"/>
      <c r="BA1232" s="188"/>
      <c r="BB1232" s="188"/>
      <c r="BC1232" s="160"/>
      <c r="BD1232" s="188"/>
      <c r="BE1232" s="219"/>
      <c r="BF1232" s="219"/>
      <c r="BG1232" s="160"/>
      <c r="BI1232" s="188"/>
      <c r="BJ1232" s="188"/>
      <c r="BK1232" s="188"/>
      <c r="BL1232" s="188"/>
      <c r="BM1232" s="188"/>
      <c r="BO1232" s="188"/>
      <c r="BP1232" s="188"/>
      <c r="BQ1232" s="188"/>
      <c r="BR1232" s="188"/>
      <c r="BS1232" s="188"/>
    </row>
    <row r="1233" spans="47:71" x14ac:dyDescent="0.3">
      <c r="AX1233" s="44"/>
      <c r="AY1233" s="123"/>
      <c r="AZ1233" s="188"/>
      <c r="BA1233" s="188"/>
      <c r="BB1233" s="188"/>
      <c r="BC1233" s="160"/>
      <c r="BD1233" s="188"/>
      <c r="BE1233" s="219"/>
      <c r="BF1233" s="219"/>
      <c r="BG1233" s="160"/>
      <c r="BI1233" s="188"/>
      <c r="BJ1233" s="188"/>
      <c r="BK1233" s="188"/>
      <c r="BL1233" s="188"/>
      <c r="BM1233" s="188"/>
      <c r="BO1233" s="188"/>
      <c r="BP1233" s="188"/>
      <c r="BQ1233" s="188"/>
      <c r="BR1233" s="188"/>
      <c r="BS1233" s="188"/>
    </row>
    <row r="1234" spans="47:71" x14ac:dyDescent="0.3">
      <c r="AX1234" s="44"/>
      <c r="AY1234" s="123"/>
      <c r="AZ1234" s="188"/>
      <c r="BA1234" s="188"/>
      <c r="BB1234" s="188"/>
      <c r="BC1234" s="160"/>
      <c r="BD1234" s="188"/>
      <c r="BE1234" s="219"/>
      <c r="BF1234" s="219"/>
      <c r="BG1234" s="160"/>
      <c r="BI1234" s="188"/>
      <c r="BJ1234" s="188"/>
      <c r="BK1234" s="188"/>
      <c r="BL1234" s="188"/>
      <c r="BM1234" s="188"/>
      <c r="BO1234" s="188"/>
      <c r="BP1234" s="188"/>
      <c r="BQ1234" s="188"/>
      <c r="BR1234" s="188"/>
      <c r="BS1234" s="188"/>
    </row>
    <row r="1235" spans="47:71" x14ac:dyDescent="0.3">
      <c r="AX1235" s="44"/>
      <c r="AY1235" s="123"/>
      <c r="AZ1235" s="188"/>
      <c r="BA1235" s="188"/>
      <c r="BB1235" s="188"/>
      <c r="BC1235" s="160"/>
      <c r="BD1235" s="188"/>
      <c r="BE1235" s="219"/>
      <c r="BF1235" s="219"/>
      <c r="BG1235" s="160"/>
      <c r="BI1235" s="188"/>
      <c r="BJ1235" s="188"/>
      <c r="BK1235" s="188"/>
      <c r="BL1235" s="188"/>
      <c r="BM1235" s="188"/>
      <c r="BO1235" s="188"/>
      <c r="BP1235" s="188"/>
      <c r="BQ1235" s="188"/>
      <c r="BR1235" s="188"/>
      <c r="BS1235" s="188"/>
    </row>
    <row r="1236" spans="47:71" x14ac:dyDescent="0.3">
      <c r="AX1236" s="44"/>
      <c r="AY1236" s="123"/>
      <c r="AZ1236" s="188"/>
      <c r="BA1236" s="188"/>
      <c r="BB1236" s="188"/>
      <c r="BC1236" s="160"/>
      <c r="BD1236" s="188"/>
      <c r="BE1236" s="219"/>
      <c r="BF1236" s="219"/>
      <c r="BG1236" s="160"/>
      <c r="BI1236" s="188"/>
      <c r="BJ1236" s="188"/>
      <c r="BK1236" s="188"/>
      <c r="BL1236" s="188"/>
      <c r="BM1236" s="188"/>
      <c r="BO1236" s="188"/>
      <c r="BP1236" s="188"/>
      <c r="BQ1236" s="188"/>
      <c r="BR1236" s="188"/>
      <c r="BS1236" s="188"/>
    </row>
    <row r="1237" spans="47:71" x14ac:dyDescent="0.3">
      <c r="BA1237" s="219"/>
      <c r="BB1237" s="188"/>
      <c r="BC1237" s="160"/>
      <c r="BD1237" s="188"/>
      <c r="BE1237" s="219"/>
      <c r="BF1237" s="219"/>
      <c r="BG1237" s="160"/>
      <c r="BM1237" s="188"/>
      <c r="BS1237" s="188"/>
    </row>
    <row r="1238" spans="47:71" x14ac:dyDescent="0.3">
      <c r="AW1238" s="42"/>
      <c r="BB1238" s="188"/>
      <c r="BD1238" s="188"/>
      <c r="BI1238" s="188"/>
      <c r="BJ1238" s="188"/>
      <c r="BL1238" s="188"/>
      <c r="BM1238" s="188"/>
    </row>
    <row r="1239" spans="47:71" x14ac:dyDescent="0.3">
      <c r="BB1239" s="188"/>
      <c r="BD1239" s="188"/>
    </row>
    <row r="1240" spans="47:71" x14ac:dyDescent="0.3">
      <c r="AU1240" s="42"/>
      <c r="BB1240" s="188"/>
      <c r="BD1240" s="188"/>
      <c r="BK1240" s="188"/>
    </row>
    <row r="1241" spans="47:71" x14ac:dyDescent="0.3">
      <c r="BB1241" s="188"/>
      <c r="BD1241" s="188"/>
    </row>
    <row r="1242" spans="47:71" x14ac:dyDescent="0.3">
      <c r="BA1242" s="188"/>
      <c r="BD1242" s="188"/>
    </row>
    <row r="1243" spans="47:71" x14ac:dyDescent="0.3">
      <c r="BA1243" s="42"/>
      <c r="BB1243" s="188"/>
      <c r="BD1243" s="188"/>
    </row>
    <row r="1244" spans="47:71" x14ac:dyDescent="0.3">
      <c r="BA1244" s="42"/>
      <c r="BB1244" s="188"/>
      <c r="BD1244" s="188"/>
    </row>
    <row r="1245" spans="47:71" x14ac:dyDescent="0.3">
      <c r="BB1245" s="188"/>
      <c r="BD1245" s="188"/>
      <c r="BF1245" s="42"/>
    </row>
    <row r="1246" spans="47:71" x14ac:dyDescent="0.3">
      <c r="BB1246" s="188"/>
      <c r="BD1246" s="188"/>
      <c r="BF1246" s="42"/>
    </row>
    <row r="1247" spans="47:71" x14ac:dyDescent="0.3">
      <c r="AU1247" s="42"/>
      <c r="BB1247" s="188"/>
      <c r="BD1247" s="188"/>
      <c r="BF1247" s="42"/>
    </row>
    <row r="1248" spans="47:71" x14ac:dyDescent="0.3">
      <c r="BB1248" s="188"/>
      <c r="BD1248" s="188"/>
    </row>
    <row r="1249" spans="47:77" x14ac:dyDescent="0.3">
      <c r="AU1249" s="135"/>
      <c r="AV1249" s="135"/>
      <c r="AW1249" s="135"/>
      <c r="AX1249" s="135"/>
      <c r="AY1249" s="135"/>
      <c r="AZ1249" s="135"/>
      <c r="BA1249" s="135"/>
      <c r="BB1249" s="244"/>
      <c r="BC1249" s="135"/>
      <c r="BD1249" s="244"/>
      <c r="BE1249" s="135"/>
      <c r="BF1249" s="135"/>
      <c r="BG1249" s="135"/>
    </row>
    <row r="1250" spans="47:77" x14ac:dyDescent="0.3">
      <c r="AZ1250" s="42"/>
      <c r="BB1250" s="188"/>
      <c r="BD1250" s="188"/>
    </row>
    <row r="1251" spans="47:77" x14ac:dyDescent="0.3">
      <c r="AZ1251" s="135"/>
      <c r="BA1251" s="135"/>
      <c r="BB1251" s="244"/>
      <c r="BC1251" s="135"/>
      <c r="BD1251" s="188"/>
      <c r="BE1251" s="44"/>
      <c r="BF1251" s="44"/>
    </row>
    <row r="1252" spans="47:77" x14ac:dyDescent="0.3">
      <c r="AX1252" s="44"/>
      <c r="AY1252" s="44"/>
      <c r="BB1252" s="245"/>
      <c r="BC1252" s="44"/>
      <c r="BD1252" s="188"/>
      <c r="BE1252" s="44"/>
      <c r="BF1252" s="44"/>
      <c r="BG1252" s="44"/>
      <c r="BI1252" s="135"/>
      <c r="BJ1252" s="135"/>
      <c r="BK1252" s="42"/>
      <c r="BO1252" s="135"/>
      <c r="BP1252" s="135"/>
      <c r="BR1252" s="135"/>
      <c r="BS1252" s="135"/>
      <c r="BT1252" s="42"/>
      <c r="BX1252" s="135"/>
      <c r="BY1252" s="135"/>
    </row>
    <row r="1253" spans="47:77" x14ac:dyDescent="0.3">
      <c r="AX1253" s="44"/>
      <c r="AY1253" s="44"/>
      <c r="AZ1253" s="44"/>
      <c r="BA1253" s="44"/>
      <c r="BB1253" s="245"/>
      <c r="BC1253" s="44"/>
      <c r="BD1253" s="245"/>
      <c r="BE1253" s="44"/>
      <c r="BF1253" s="44"/>
      <c r="BG1253" s="44"/>
      <c r="BJ1253" s="44"/>
      <c r="BK1253" s="44"/>
      <c r="BL1253" s="44"/>
      <c r="BM1253" s="44"/>
      <c r="BN1253" s="44"/>
      <c r="BO1253" s="44"/>
      <c r="BS1253" s="44"/>
      <c r="BT1253" s="44"/>
      <c r="BU1253" s="44"/>
      <c r="BV1253" s="44"/>
      <c r="BW1253" s="44"/>
      <c r="BX1253" s="44"/>
    </row>
    <row r="1254" spans="47:77" x14ac:dyDescent="0.3">
      <c r="AU1254" s="44"/>
      <c r="AW1254" s="42"/>
      <c r="AX1254" s="44"/>
      <c r="AY1254" s="44"/>
      <c r="AZ1254" s="44"/>
      <c r="BA1254" s="44"/>
      <c r="BB1254" s="245"/>
      <c r="BC1254" s="44"/>
      <c r="BD1254" s="245"/>
      <c r="BE1254" s="44"/>
      <c r="BF1254" s="44"/>
      <c r="BG1254" s="44"/>
      <c r="BI1254" s="44"/>
      <c r="BJ1254" s="44"/>
      <c r="BK1254" s="44"/>
      <c r="BL1254" s="44"/>
      <c r="BM1254" s="44"/>
      <c r="BN1254" s="44"/>
      <c r="BO1254" s="44"/>
      <c r="BP1254" s="44"/>
      <c r="BR1254" s="44"/>
      <c r="BS1254" s="44"/>
      <c r="BT1254" s="44"/>
      <c r="BU1254" s="44"/>
      <c r="BV1254" s="44"/>
      <c r="BW1254" s="44"/>
      <c r="BX1254" s="44"/>
      <c r="BY1254" s="44"/>
    </row>
    <row r="1255" spans="47:77" x14ac:dyDescent="0.3">
      <c r="AU1255" s="44"/>
      <c r="AW1255" s="42"/>
      <c r="AX1255" s="44"/>
      <c r="AY1255" s="44"/>
      <c r="AZ1255" s="44"/>
      <c r="BA1255" s="44"/>
      <c r="BB1255" s="245"/>
      <c r="BC1255" s="44"/>
      <c r="BD1255" s="245"/>
      <c r="BE1255" s="44"/>
      <c r="BF1255" s="44"/>
      <c r="BG1255" s="44"/>
      <c r="BI1255" s="44"/>
      <c r="BJ1255" s="44"/>
      <c r="BK1255" s="44"/>
      <c r="BL1255" s="44"/>
      <c r="BM1255" s="44"/>
      <c r="BN1255" s="44"/>
      <c r="BO1255" s="44"/>
      <c r="BP1255" s="44"/>
      <c r="BR1255" s="44"/>
      <c r="BS1255" s="44"/>
      <c r="BT1255" s="44"/>
      <c r="BU1255" s="44"/>
      <c r="BV1255" s="44"/>
      <c r="BW1255" s="44"/>
      <c r="BX1255" s="44"/>
      <c r="BY1255" s="44"/>
    </row>
    <row r="1256" spans="47:77" x14ac:dyDescent="0.3">
      <c r="AU1256" s="135"/>
      <c r="AV1256" s="135"/>
      <c r="AW1256" s="135"/>
      <c r="AX1256" s="135"/>
      <c r="AY1256" s="135"/>
      <c r="AZ1256" s="135"/>
      <c r="BA1256" s="135"/>
      <c r="BB1256" s="244"/>
      <c r="BC1256" s="135"/>
      <c r="BD1256" s="244"/>
      <c r="BE1256" s="135"/>
      <c r="BF1256" s="135"/>
      <c r="BG1256" s="135"/>
      <c r="BI1256" s="135"/>
      <c r="BJ1256" s="135"/>
      <c r="BK1256" s="135"/>
      <c r="BL1256" s="135"/>
      <c r="BM1256" s="135"/>
      <c r="BN1256" s="135"/>
      <c r="BO1256" s="135"/>
      <c r="BP1256" s="135"/>
      <c r="BR1256" s="135"/>
      <c r="BS1256" s="135"/>
      <c r="BT1256" s="135"/>
      <c r="BU1256" s="135"/>
      <c r="BV1256" s="135"/>
      <c r="BW1256" s="135"/>
      <c r="BX1256" s="135"/>
      <c r="BY1256" s="135"/>
    </row>
    <row r="1257" spans="47:77" x14ac:dyDescent="0.3">
      <c r="AX1257" s="44"/>
      <c r="AY1257" s="44"/>
      <c r="AZ1257" s="44"/>
      <c r="BA1257" s="44"/>
      <c r="BB1257" s="245"/>
      <c r="BC1257" s="44"/>
      <c r="BD1257" s="245"/>
      <c r="BE1257" s="44"/>
      <c r="BF1257" s="44"/>
      <c r="BG1257" s="44"/>
      <c r="BI1257" s="188"/>
      <c r="BJ1257" s="188"/>
      <c r="BK1257" s="188"/>
      <c r="BL1257" s="188"/>
      <c r="BM1257" s="188"/>
      <c r="BN1257" s="188"/>
      <c r="BO1257" s="188"/>
      <c r="BP1257" s="188"/>
      <c r="BQ1257" s="188"/>
      <c r="BR1257" s="188"/>
      <c r="BS1257" s="188"/>
      <c r="BT1257" s="188"/>
      <c r="BU1257" s="188"/>
      <c r="BV1257" s="188"/>
      <c r="BW1257" s="188"/>
      <c r="BX1257" s="188"/>
      <c r="BY1257" s="188"/>
    </row>
    <row r="1258" spans="47:77" x14ac:dyDescent="0.3">
      <c r="AW1258" s="42"/>
      <c r="AY1258" s="123"/>
      <c r="AZ1258" s="188"/>
      <c r="BA1258" s="188"/>
      <c r="BB1258" s="188"/>
      <c r="BC1258" s="236"/>
      <c r="BD1258" s="188"/>
      <c r="BE1258" s="188"/>
      <c r="BF1258" s="188"/>
      <c r="BG1258" s="236"/>
      <c r="BI1258" s="188"/>
      <c r="BJ1258" s="188"/>
      <c r="BK1258" s="188"/>
      <c r="BL1258" s="188"/>
      <c r="BM1258" s="188"/>
      <c r="BN1258" s="188"/>
      <c r="BO1258" s="188"/>
      <c r="BP1258" s="188"/>
      <c r="BQ1258" s="188"/>
      <c r="BR1258" s="188"/>
      <c r="BS1258" s="188"/>
      <c r="BT1258" s="188"/>
      <c r="BU1258" s="188"/>
      <c r="BV1258" s="188"/>
      <c r="BW1258" s="188"/>
      <c r="BX1258" s="188"/>
      <c r="BY1258" s="188"/>
    </row>
    <row r="1259" spans="47:77" x14ac:dyDescent="0.3">
      <c r="AY1259" s="123"/>
      <c r="AZ1259" s="188"/>
      <c r="BA1259" s="188"/>
      <c r="BB1259" s="188"/>
      <c r="BC1259" s="236"/>
      <c r="BD1259" s="188"/>
      <c r="BE1259" s="188"/>
      <c r="BF1259" s="188"/>
      <c r="BG1259" s="236"/>
      <c r="BI1259" s="188"/>
      <c r="BJ1259" s="188"/>
      <c r="BK1259" s="188"/>
      <c r="BL1259" s="188"/>
      <c r="BM1259" s="188"/>
      <c r="BN1259" s="188"/>
      <c r="BO1259" s="188"/>
      <c r="BP1259" s="188"/>
      <c r="BQ1259" s="188"/>
      <c r="BR1259" s="188"/>
      <c r="BS1259" s="188"/>
      <c r="BT1259" s="188"/>
      <c r="BU1259" s="188"/>
      <c r="BV1259" s="188"/>
      <c r="BW1259" s="188"/>
      <c r="BX1259" s="188"/>
      <c r="BY1259" s="188"/>
    </row>
    <row r="1260" spans="47:77" x14ac:dyDescent="0.3">
      <c r="AY1260" s="123"/>
      <c r="AZ1260" s="188"/>
      <c r="BA1260" s="188"/>
      <c r="BB1260" s="188"/>
      <c r="BC1260" s="236"/>
      <c r="BD1260" s="188"/>
      <c r="BE1260" s="188"/>
      <c r="BF1260" s="188"/>
      <c r="BG1260" s="236"/>
      <c r="BI1260" s="188"/>
      <c r="BJ1260" s="188"/>
      <c r="BK1260" s="188"/>
      <c r="BL1260" s="188"/>
      <c r="BM1260" s="188"/>
      <c r="BN1260" s="188"/>
      <c r="BO1260" s="188"/>
      <c r="BP1260" s="188"/>
      <c r="BQ1260" s="188"/>
      <c r="BR1260" s="188"/>
      <c r="BS1260" s="188"/>
      <c r="BT1260" s="188"/>
      <c r="BU1260" s="188"/>
      <c r="BV1260" s="188"/>
      <c r="BW1260" s="188"/>
      <c r="BX1260" s="188"/>
      <c r="BY1260" s="188"/>
    </row>
    <row r="1261" spans="47:77" x14ac:dyDescent="0.3">
      <c r="AY1261" s="123"/>
      <c r="AZ1261" s="188"/>
      <c r="BA1261" s="188"/>
      <c r="BB1261" s="188"/>
      <c r="BC1261" s="236"/>
      <c r="BD1261" s="188"/>
      <c r="BE1261" s="188"/>
      <c r="BF1261" s="188"/>
      <c r="BG1261" s="236"/>
      <c r="BI1261" s="188"/>
      <c r="BJ1261" s="188"/>
      <c r="BK1261" s="188"/>
      <c r="BL1261" s="188"/>
      <c r="BM1261" s="188"/>
      <c r="BN1261" s="188"/>
      <c r="BO1261" s="188"/>
      <c r="BP1261" s="188"/>
      <c r="BQ1261" s="188"/>
      <c r="BR1261" s="188"/>
      <c r="BS1261" s="188"/>
      <c r="BT1261" s="188"/>
      <c r="BU1261" s="188"/>
      <c r="BV1261" s="188"/>
      <c r="BW1261" s="188"/>
      <c r="BX1261" s="188"/>
      <c r="BY1261" s="188"/>
    </row>
    <row r="1262" spans="47:77" x14ac:dyDescent="0.3">
      <c r="AY1262" s="123"/>
      <c r="AZ1262" s="188"/>
      <c r="BA1262" s="188"/>
      <c r="BB1262" s="188"/>
      <c r="BC1262" s="236"/>
      <c r="BD1262" s="188"/>
      <c r="BE1262" s="188"/>
      <c r="BF1262" s="188"/>
      <c r="BG1262" s="236"/>
      <c r="BI1262" s="188"/>
      <c r="BJ1262" s="188"/>
      <c r="BK1262" s="188"/>
      <c r="BL1262" s="188"/>
      <c r="BM1262" s="188"/>
      <c r="BN1262" s="188"/>
      <c r="BO1262" s="188"/>
      <c r="BP1262" s="188"/>
      <c r="BQ1262" s="188"/>
      <c r="BR1262" s="188"/>
      <c r="BS1262" s="188"/>
      <c r="BT1262" s="188"/>
      <c r="BU1262" s="188"/>
      <c r="BV1262" s="188"/>
      <c r="BW1262" s="188"/>
      <c r="BX1262" s="188"/>
      <c r="BY1262" s="188"/>
    </row>
    <row r="1263" spans="47:77" x14ac:dyDescent="0.3">
      <c r="AY1263" s="123"/>
      <c r="AZ1263" s="188"/>
      <c r="BA1263" s="188"/>
      <c r="BB1263" s="188"/>
      <c r="BC1263" s="236"/>
      <c r="BD1263" s="188"/>
      <c r="BE1263" s="188"/>
      <c r="BF1263" s="188"/>
      <c r="BG1263" s="236"/>
      <c r="BI1263" s="188"/>
      <c r="BJ1263" s="188"/>
      <c r="BK1263" s="188"/>
      <c r="BL1263" s="188"/>
      <c r="BM1263" s="188"/>
      <c r="BN1263" s="188"/>
      <c r="BO1263" s="188"/>
      <c r="BP1263" s="188"/>
      <c r="BQ1263" s="188"/>
      <c r="BR1263" s="188"/>
      <c r="BS1263" s="188"/>
      <c r="BT1263" s="188"/>
      <c r="BU1263" s="188"/>
      <c r="BV1263" s="188"/>
      <c r="BW1263" s="188"/>
      <c r="BX1263" s="188"/>
      <c r="BY1263" s="188"/>
    </row>
    <row r="1264" spans="47:77" x14ac:dyDescent="0.3">
      <c r="AY1264" s="123"/>
      <c r="AZ1264" s="188"/>
      <c r="BA1264" s="188"/>
      <c r="BB1264" s="188"/>
      <c r="BC1264" s="236"/>
      <c r="BD1264" s="188"/>
      <c r="BE1264" s="188"/>
      <c r="BF1264" s="188"/>
      <c r="BG1264" s="236"/>
      <c r="BI1264" s="188"/>
      <c r="BJ1264" s="188"/>
      <c r="BK1264" s="188"/>
      <c r="BL1264" s="188"/>
      <c r="BM1264" s="188"/>
      <c r="BN1264" s="188"/>
      <c r="BO1264" s="188"/>
      <c r="BP1264" s="188"/>
      <c r="BQ1264" s="188"/>
      <c r="BR1264" s="188"/>
      <c r="BS1264" s="188"/>
      <c r="BT1264" s="188"/>
      <c r="BU1264" s="188"/>
      <c r="BV1264" s="188"/>
      <c r="BW1264" s="188"/>
      <c r="BX1264" s="188"/>
      <c r="BY1264" s="188"/>
    </row>
    <row r="1265" spans="49:77" x14ac:dyDescent="0.3">
      <c r="AY1265" s="123"/>
      <c r="AZ1265" s="188"/>
      <c r="BA1265" s="188"/>
      <c r="BB1265" s="188"/>
      <c r="BC1265" s="236"/>
      <c r="BD1265" s="188"/>
      <c r="BE1265" s="188"/>
      <c r="BF1265" s="188"/>
      <c r="BG1265" s="236"/>
      <c r="BI1265" s="188"/>
      <c r="BJ1265" s="188"/>
      <c r="BK1265" s="188"/>
      <c r="BL1265" s="188"/>
      <c r="BM1265" s="188"/>
      <c r="BN1265" s="188"/>
      <c r="BO1265" s="188"/>
      <c r="BP1265" s="188"/>
      <c r="BQ1265" s="188"/>
      <c r="BR1265" s="188"/>
      <c r="BS1265" s="188"/>
      <c r="BT1265" s="188"/>
      <c r="BU1265" s="188"/>
      <c r="BV1265" s="188"/>
      <c r="BW1265" s="188"/>
      <c r="BX1265" s="188"/>
      <c r="BY1265" s="188"/>
    </row>
    <row r="1266" spans="49:77" x14ac:dyDescent="0.3">
      <c r="AY1266" s="123"/>
      <c r="AZ1266" s="188"/>
      <c r="BA1266" s="188"/>
      <c r="BB1266" s="188"/>
      <c r="BC1266" s="236"/>
      <c r="BD1266" s="188"/>
      <c r="BE1266" s="188"/>
      <c r="BF1266" s="188"/>
      <c r="BG1266" s="236"/>
      <c r="BI1266" s="188"/>
      <c r="BJ1266" s="188"/>
      <c r="BK1266" s="188"/>
      <c r="BL1266" s="188"/>
      <c r="BM1266" s="188"/>
      <c r="BN1266" s="188"/>
      <c r="BO1266" s="188"/>
      <c r="BP1266" s="188"/>
      <c r="BQ1266" s="188"/>
      <c r="BR1266" s="188"/>
      <c r="BS1266" s="188"/>
      <c r="BT1266" s="188"/>
      <c r="BU1266" s="188"/>
      <c r="BV1266" s="188"/>
      <c r="BW1266" s="188"/>
      <c r="BX1266" s="188"/>
      <c r="BY1266" s="188"/>
    </row>
    <row r="1267" spans="49:77" x14ac:dyDescent="0.3">
      <c r="AY1267" s="123"/>
      <c r="AZ1267" s="188"/>
      <c r="BA1267" s="188"/>
      <c r="BB1267" s="188"/>
      <c r="BC1267" s="236"/>
      <c r="BD1267" s="188"/>
      <c r="BE1267" s="188"/>
      <c r="BF1267" s="188"/>
      <c r="BG1267" s="236"/>
      <c r="BI1267" s="188"/>
      <c r="BJ1267" s="188"/>
      <c r="BK1267" s="188"/>
      <c r="BL1267" s="188"/>
      <c r="BM1267" s="188"/>
      <c r="BN1267" s="188"/>
      <c r="BO1267" s="188"/>
      <c r="BP1267" s="188"/>
      <c r="BQ1267" s="188"/>
      <c r="BR1267" s="188"/>
      <c r="BS1267" s="188"/>
      <c r="BT1267" s="188"/>
      <c r="BU1267" s="188"/>
      <c r="BV1267" s="188"/>
      <c r="BW1267" s="188"/>
      <c r="BX1267" s="188"/>
      <c r="BY1267" s="188"/>
    </row>
    <row r="1268" spans="49:77" x14ac:dyDescent="0.3">
      <c r="AY1268" s="123"/>
      <c r="AZ1268" s="188"/>
      <c r="BA1268" s="188"/>
      <c r="BB1268" s="188"/>
      <c r="BC1268" s="236"/>
      <c r="BD1268" s="188"/>
      <c r="BE1268" s="188"/>
      <c r="BF1268" s="188"/>
      <c r="BG1268" s="236"/>
      <c r="BI1268" s="188"/>
      <c r="BJ1268" s="188"/>
      <c r="BK1268" s="188"/>
      <c r="BL1268" s="188"/>
      <c r="BM1268" s="188"/>
      <c r="BN1268" s="188"/>
      <c r="BO1268" s="188"/>
      <c r="BP1268" s="188"/>
      <c r="BQ1268" s="188"/>
      <c r="BR1268" s="188"/>
      <c r="BS1268" s="188"/>
      <c r="BT1268" s="188"/>
      <c r="BU1268" s="188"/>
      <c r="BV1268" s="188"/>
      <c r="BW1268" s="188"/>
      <c r="BX1268" s="188"/>
      <c r="BY1268" s="188"/>
    </row>
    <row r="1269" spans="49:77" x14ac:dyDescent="0.3">
      <c r="AY1269" s="123"/>
      <c r="AZ1269" s="188"/>
      <c r="BA1269" s="188"/>
      <c r="BB1269" s="188"/>
      <c r="BC1269" s="236"/>
      <c r="BD1269" s="188"/>
      <c r="BE1269" s="188"/>
      <c r="BF1269" s="188"/>
      <c r="BG1269" s="236"/>
      <c r="BI1269" s="188"/>
      <c r="BJ1269" s="188"/>
      <c r="BK1269" s="188"/>
      <c r="BL1269" s="188"/>
      <c r="BM1269" s="188"/>
      <c r="BN1269" s="188"/>
      <c r="BO1269" s="188"/>
      <c r="BP1269" s="188"/>
      <c r="BQ1269" s="188"/>
      <c r="BR1269" s="188"/>
      <c r="BS1269" s="188"/>
      <c r="BT1269" s="188"/>
      <c r="BU1269" s="188"/>
      <c r="BV1269" s="188"/>
      <c r="BW1269" s="188"/>
      <c r="BX1269" s="188"/>
      <c r="BY1269" s="188"/>
    </row>
    <row r="1270" spans="49:77" x14ac:dyDescent="0.3">
      <c r="AY1270" s="123"/>
      <c r="AZ1270" s="188"/>
      <c r="BA1270" s="188"/>
      <c r="BB1270" s="188"/>
      <c r="BC1270" s="236"/>
      <c r="BD1270" s="188"/>
      <c r="BE1270" s="188"/>
      <c r="BF1270" s="188"/>
      <c r="BG1270" s="236"/>
      <c r="BI1270" s="188"/>
      <c r="BJ1270" s="188"/>
      <c r="BK1270" s="188"/>
      <c r="BL1270" s="188"/>
      <c r="BM1270" s="188"/>
      <c r="BN1270" s="188"/>
      <c r="BO1270" s="188"/>
      <c r="BP1270" s="188"/>
      <c r="BQ1270" s="188"/>
      <c r="BR1270" s="188"/>
      <c r="BS1270" s="188"/>
      <c r="BT1270" s="188"/>
      <c r="BU1270" s="188"/>
      <c r="BV1270" s="188"/>
      <c r="BW1270" s="188"/>
      <c r="BX1270" s="188"/>
      <c r="BY1270" s="188"/>
    </row>
    <row r="1271" spans="49:77" x14ac:dyDescent="0.3">
      <c r="AY1271" s="123"/>
      <c r="AZ1271" s="188"/>
      <c r="BA1271" s="188"/>
      <c r="BB1271" s="188"/>
      <c r="BC1271" s="236"/>
      <c r="BD1271" s="188"/>
      <c r="BE1271" s="188"/>
      <c r="BF1271" s="188"/>
      <c r="BG1271" s="236"/>
      <c r="BI1271" s="188"/>
      <c r="BJ1271" s="188"/>
      <c r="BK1271" s="188"/>
      <c r="BL1271" s="188"/>
      <c r="BM1271" s="188"/>
      <c r="BN1271" s="188"/>
      <c r="BO1271" s="188"/>
      <c r="BP1271" s="188"/>
      <c r="BQ1271" s="188"/>
      <c r="BR1271" s="188"/>
      <c r="BS1271" s="188"/>
      <c r="BT1271" s="188"/>
      <c r="BU1271" s="188"/>
      <c r="BV1271" s="188"/>
      <c r="BW1271" s="188"/>
      <c r="BX1271" s="188"/>
      <c r="BY1271" s="188"/>
    </row>
    <row r="1272" spans="49:77" x14ac:dyDescent="0.3">
      <c r="AY1272" s="123"/>
      <c r="AZ1272" s="188"/>
      <c r="BA1272" s="188"/>
      <c r="BB1272" s="188"/>
      <c r="BC1272" s="236"/>
      <c r="BD1272" s="188"/>
      <c r="BE1272" s="188"/>
      <c r="BF1272" s="188"/>
      <c r="BG1272" s="236"/>
      <c r="BI1272" s="188"/>
      <c r="BJ1272" s="188"/>
      <c r="BK1272" s="188"/>
      <c r="BL1272" s="188"/>
      <c r="BM1272" s="188"/>
      <c r="BN1272" s="188"/>
      <c r="BO1272" s="188"/>
      <c r="BP1272" s="188"/>
      <c r="BQ1272" s="188"/>
      <c r="BR1272" s="188"/>
      <c r="BS1272" s="188"/>
      <c r="BT1272" s="188"/>
      <c r="BU1272" s="188"/>
      <c r="BV1272" s="188"/>
      <c r="BW1272" s="188"/>
      <c r="BX1272" s="188"/>
      <c r="BY1272" s="188"/>
    </row>
    <row r="1273" spans="49:77" x14ac:dyDescent="0.3">
      <c r="AY1273" s="123"/>
      <c r="AZ1273" s="188"/>
      <c r="BA1273" s="188"/>
      <c r="BB1273" s="188"/>
      <c r="BC1273" s="236"/>
      <c r="BD1273" s="188"/>
      <c r="BE1273" s="188"/>
      <c r="BF1273" s="188"/>
      <c r="BG1273" s="236"/>
      <c r="BI1273" s="188"/>
      <c r="BJ1273" s="188"/>
      <c r="BK1273" s="188"/>
      <c r="BL1273" s="188"/>
      <c r="BM1273" s="188"/>
      <c r="BN1273" s="188"/>
      <c r="BO1273" s="188"/>
      <c r="BP1273" s="188"/>
      <c r="BQ1273" s="188"/>
      <c r="BR1273" s="188"/>
      <c r="BS1273" s="188"/>
      <c r="BT1273" s="188"/>
      <c r="BU1273" s="188"/>
      <c r="BV1273" s="188"/>
      <c r="BW1273" s="188"/>
      <c r="BX1273" s="188"/>
      <c r="BY1273" s="188"/>
    </row>
    <row r="1274" spans="49:77" x14ac:dyDescent="0.3">
      <c r="AY1274" s="123"/>
      <c r="AZ1274" s="188"/>
      <c r="BA1274" s="188"/>
      <c r="BB1274" s="188"/>
      <c r="BC1274" s="236"/>
      <c r="BD1274" s="188"/>
      <c r="BE1274" s="188"/>
      <c r="BF1274" s="188"/>
      <c r="BG1274" s="236"/>
      <c r="BI1274" s="188"/>
      <c r="BJ1274" s="188"/>
      <c r="BK1274" s="188"/>
      <c r="BL1274" s="188"/>
      <c r="BM1274" s="188"/>
      <c r="BN1274" s="188"/>
      <c r="BO1274" s="188"/>
      <c r="BP1274" s="188"/>
      <c r="BQ1274" s="188"/>
      <c r="BR1274" s="188"/>
      <c r="BS1274" s="188"/>
      <c r="BT1274" s="188"/>
      <c r="BU1274" s="188"/>
      <c r="BV1274" s="188"/>
      <c r="BW1274" s="188"/>
      <c r="BX1274" s="188"/>
      <c r="BY1274" s="188"/>
    </row>
    <row r="1275" spans="49:77" x14ac:dyDescent="0.3">
      <c r="AY1275" s="123"/>
      <c r="AZ1275" s="188"/>
      <c r="BA1275" s="188"/>
      <c r="BB1275" s="188"/>
      <c r="BC1275" s="236"/>
      <c r="BD1275" s="188"/>
      <c r="BE1275" s="188"/>
      <c r="BF1275" s="188"/>
      <c r="BG1275" s="236"/>
      <c r="BI1275" s="188"/>
      <c r="BJ1275" s="188"/>
      <c r="BK1275" s="188"/>
      <c r="BL1275" s="188"/>
      <c r="BM1275" s="188"/>
      <c r="BN1275" s="188"/>
      <c r="BO1275" s="188"/>
      <c r="BP1275" s="188"/>
      <c r="BQ1275" s="188"/>
      <c r="BR1275" s="188"/>
      <c r="BS1275" s="188"/>
      <c r="BT1275" s="188"/>
      <c r="BU1275" s="188"/>
      <c r="BV1275" s="188"/>
      <c r="BW1275" s="188"/>
      <c r="BX1275" s="188"/>
      <c r="BY1275" s="188"/>
    </row>
    <row r="1276" spans="49:77" x14ac:dyDescent="0.3">
      <c r="AY1276" s="123"/>
      <c r="AZ1276" s="188"/>
      <c r="BA1276" s="188"/>
      <c r="BB1276" s="188"/>
      <c r="BC1276" s="236"/>
      <c r="BD1276" s="188"/>
      <c r="BE1276" s="188"/>
      <c r="BF1276" s="188"/>
      <c r="BG1276" s="236"/>
      <c r="BI1276" s="188"/>
      <c r="BJ1276" s="188"/>
      <c r="BK1276" s="188"/>
      <c r="BL1276" s="188"/>
      <c r="BM1276" s="188"/>
      <c r="BN1276" s="188"/>
      <c r="BO1276" s="188"/>
      <c r="BP1276" s="188"/>
      <c r="BQ1276" s="188"/>
      <c r="BR1276" s="188"/>
      <c r="BS1276" s="188"/>
      <c r="BT1276" s="188"/>
      <c r="BU1276" s="188"/>
      <c r="BV1276" s="188"/>
      <c r="BW1276" s="188"/>
      <c r="BX1276" s="188"/>
      <c r="BY1276" s="188"/>
    </row>
    <row r="1277" spans="49:77" x14ac:dyDescent="0.3">
      <c r="AY1277" s="123"/>
      <c r="AZ1277" s="188"/>
      <c r="BA1277" s="188"/>
      <c r="BB1277" s="188"/>
      <c r="BC1277" s="236"/>
      <c r="BD1277" s="188"/>
      <c r="BE1277" s="188"/>
      <c r="BF1277" s="188"/>
      <c r="BG1277" s="236"/>
      <c r="BI1277" s="188"/>
      <c r="BJ1277" s="188"/>
      <c r="BK1277" s="188"/>
      <c r="BL1277" s="188"/>
      <c r="BM1277" s="188"/>
      <c r="BN1277" s="188"/>
      <c r="BO1277" s="188"/>
      <c r="BP1277" s="188"/>
      <c r="BQ1277" s="188"/>
      <c r="BR1277" s="188"/>
      <c r="BS1277" s="188"/>
      <c r="BT1277" s="188"/>
      <c r="BU1277" s="188"/>
      <c r="BV1277" s="188"/>
      <c r="BW1277" s="188"/>
      <c r="BX1277" s="188"/>
      <c r="BY1277" s="188"/>
    </row>
    <row r="1278" spans="49:77" x14ac:dyDescent="0.3">
      <c r="AY1278" s="123"/>
      <c r="AZ1278" s="188"/>
      <c r="BA1278" s="188"/>
      <c r="BB1278" s="188"/>
      <c r="BC1278" s="236"/>
      <c r="BD1278" s="188"/>
      <c r="BE1278" s="188"/>
      <c r="BF1278" s="188"/>
      <c r="BG1278" s="236"/>
      <c r="BI1278" s="188"/>
      <c r="BJ1278" s="188"/>
      <c r="BK1278" s="188"/>
      <c r="BL1278" s="188"/>
      <c r="BM1278" s="188"/>
      <c r="BN1278" s="188"/>
      <c r="BO1278" s="188"/>
      <c r="BP1278" s="188"/>
      <c r="BQ1278" s="188"/>
      <c r="BR1278" s="188"/>
      <c r="BS1278" s="188"/>
      <c r="BT1278" s="188"/>
      <c r="BU1278" s="188"/>
      <c r="BV1278" s="188"/>
      <c r="BW1278" s="188"/>
      <c r="BX1278" s="188"/>
      <c r="BY1278" s="188"/>
    </row>
    <row r="1279" spans="49:77" x14ac:dyDescent="0.3">
      <c r="AY1279" s="123"/>
      <c r="AZ1279" s="188"/>
      <c r="BA1279" s="188"/>
      <c r="BB1279" s="188"/>
      <c r="BC1279" s="236"/>
      <c r="BD1279" s="188"/>
      <c r="BE1279" s="188"/>
      <c r="BF1279" s="188"/>
      <c r="BG1279" s="236"/>
      <c r="BI1279" s="135"/>
      <c r="BJ1279" s="135"/>
      <c r="BK1279" s="42"/>
      <c r="BO1279" s="135"/>
      <c r="BP1279" s="135"/>
      <c r="BQ1279" s="188"/>
      <c r="BR1279" s="135"/>
      <c r="BS1279" s="135"/>
      <c r="BT1279" s="42"/>
      <c r="BX1279" s="135"/>
      <c r="BY1279" s="135"/>
    </row>
    <row r="1280" spans="49:77" x14ac:dyDescent="0.3">
      <c r="AW1280" s="42"/>
      <c r="AX1280" s="44"/>
      <c r="AY1280" s="123"/>
      <c r="AZ1280" s="188"/>
      <c r="BA1280" s="188"/>
      <c r="BB1280" s="188"/>
      <c r="BC1280" s="236"/>
      <c r="BD1280" s="188"/>
      <c r="BE1280" s="188"/>
      <c r="BF1280" s="188"/>
      <c r="BG1280" s="236"/>
      <c r="BI1280" s="245"/>
      <c r="BJ1280" s="188"/>
      <c r="BK1280" s="188"/>
      <c r="BL1280" s="188"/>
      <c r="BM1280" s="245"/>
      <c r="BN1280" s="246"/>
      <c r="BO1280" s="188"/>
      <c r="BP1280" s="245"/>
      <c r="BQ1280" s="188"/>
      <c r="BR1280" s="245"/>
      <c r="BS1280" s="188"/>
      <c r="BT1280" s="188"/>
      <c r="BU1280" s="188"/>
      <c r="BV1280" s="245"/>
      <c r="BW1280" s="246"/>
      <c r="BX1280" s="188"/>
      <c r="BY1280" s="245"/>
    </row>
    <row r="1281" spans="47:77" x14ac:dyDescent="0.3">
      <c r="AX1281" s="44"/>
      <c r="AY1281" s="123"/>
      <c r="AZ1281" s="188"/>
      <c r="BA1281" s="188"/>
      <c r="BB1281" s="188"/>
      <c r="BC1281" s="236"/>
      <c r="BD1281" s="188"/>
      <c r="BE1281" s="188"/>
      <c r="BF1281" s="188"/>
      <c r="BG1281" s="236"/>
      <c r="BI1281" s="188"/>
      <c r="BJ1281" s="188"/>
      <c r="BK1281" s="188"/>
      <c r="BL1281" s="188"/>
      <c r="BM1281" s="188"/>
      <c r="BN1281" s="246"/>
      <c r="BO1281" s="188"/>
      <c r="BP1281" s="188"/>
      <c r="BQ1281" s="188"/>
      <c r="BR1281" s="188"/>
      <c r="BS1281" s="188"/>
      <c r="BT1281" s="188"/>
      <c r="BU1281" s="188"/>
      <c r="BV1281" s="188"/>
      <c r="BW1281" s="246"/>
      <c r="BX1281" s="188"/>
      <c r="BY1281" s="188"/>
    </row>
    <row r="1282" spans="47:77" x14ac:dyDescent="0.3">
      <c r="AX1282" s="44"/>
      <c r="AY1282" s="123"/>
      <c r="AZ1282" s="188"/>
      <c r="BA1282" s="188"/>
      <c r="BB1282" s="188"/>
      <c r="BC1282" s="236"/>
      <c r="BD1282" s="188"/>
      <c r="BE1282" s="188"/>
      <c r="BF1282" s="188"/>
      <c r="BG1282" s="236"/>
      <c r="BI1282" s="188"/>
      <c r="BJ1282" s="188"/>
      <c r="BK1282" s="188"/>
      <c r="BL1282" s="188"/>
      <c r="BM1282" s="188"/>
      <c r="BN1282" s="246"/>
      <c r="BO1282" s="188"/>
      <c r="BP1282" s="188"/>
      <c r="BQ1282" s="188"/>
      <c r="BR1282" s="188"/>
      <c r="BS1282" s="188"/>
      <c r="BT1282" s="188"/>
      <c r="BU1282" s="188"/>
      <c r="BV1282" s="188"/>
      <c r="BW1282" s="246"/>
      <c r="BX1282" s="188"/>
      <c r="BY1282" s="188"/>
    </row>
    <row r="1283" spans="47:77" x14ac:dyDescent="0.3">
      <c r="AX1283" s="44"/>
      <c r="AY1283" s="123"/>
      <c r="AZ1283" s="188"/>
      <c r="BA1283" s="188"/>
      <c r="BB1283" s="188"/>
      <c r="BC1283" s="236"/>
      <c r="BD1283" s="188"/>
      <c r="BE1283" s="188"/>
      <c r="BF1283" s="188"/>
      <c r="BG1283" s="236"/>
      <c r="BI1283" s="188"/>
      <c r="BJ1283" s="188"/>
      <c r="BK1283" s="188"/>
      <c r="BL1283" s="188"/>
      <c r="BM1283" s="188"/>
      <c r="BN1283" s="246"/>
      <c r="BO1283" s="188"/>
      <c r="BP1283" s="188"/>
      <c r="BQ1283" s="188"/>
      <c r="BR1283" s="188"/>
      <c r="BS1283" s="188"/>
      <c r="BT1283" s="188"/>
      <c r="BU1283" s="188"/>
      <c r="BV1283" s="188"/>
      <c r="BW1283" s="246"/>
      <c r="BX1283" s="188"/>
      <c r="BY1283" s="188"/>
    </row>
    <row r="1284" spans="47:77" x14ac:dyDescent="0.3">
      <c r="AZ1284" s="188"/>
      <c r="BA1284" s="188"/>
      <c r="BB1284" s="188"/>
      <c r="BC1284" s="236"/>
      <c r="BD1284" s="188"/>
      <c r="BE1284" s="188"/>
      <c r="BF1284" s="188"/>
      <c r="BG1284" s="236"/>
      <c r="BI1284" s="188"/>
      <c r="BJ1284" s="188"/>
      <c r="BK1284" s="188"/>
      <c r="BL1284" s="188"/>
      <c r="BM1284" s="188"/>
      <c r="BN1284" s="188"/>
      <c r="BO1284" s="188"/>
      <c r="BP1284" s="188"/>
      <c r="BQ1284" s="188"/>
      <c r="BR1284" s="188"/>
      <c r="BS1284" s="188"/>
      <c r="BT1284" s="188"/>
      <c r="BU1284" s="188"/>
      <c r="BV1284" s="188"/>
      <c r="BW1284" s="188"/>
      <c r="BX1284" s="188"/>
    </row>
    <row r="1285" spans="47:77" x14ac:dyDescent="0.3">
      <c r="AW1285" s="42"/>
    </row>
    <row r="1286" spans="47:77" x14ac:dyDescent="0.3">
      <c r="AW1286" s="42"/>
      <c r="BB1286" s="188"/>
      <c r="BC1286" s="236"/>
      <c r="BD1286" s="188"/>
      <c r="BE1286" s="188"/>
      <c r="BF1286" s="188"/>
      <c r="BG1286" s="236"/>
      <c r="BI1286" s="188"/>
      <c r="BJ1286" s="188"/>
      <c r="BK1286" s="188"/>
      <c r="BL1286" s="188"/>
      <c r="BM1286" s="188"/>
      <c r="BN1286" s="188"/>
      <c r="BO1286" s="188"/>
      <c r="BP1286" s="188"/>
      <c r="BQ1286" s="188"/>
      <c r="BR1286" s="188"/>
      <c r="BS1286" s="188"/>
      <c r="BT1286" s="188"/>
      <c r="BU1286" s="188"/>
      <c r="BV1286" s="188"/>
      <c r="BW1286" s="188"/>
      <c r="BX1286" s="188"/>
    </row>
    <row r="1287" spans="47:77" x14ac:dyDescent="0.3">
      <c r="AU1287" s="42"/>
      <c r="BB1287" s="188"/>
      <c r="BD1287" s="188"/>
    </row>
    <row r="1288" spans="47:77" x14ac:dyDescent="0.3">
      <c r="BB1288" s="188"/>
      <c r="BD1288" s="188"/>
      <c r="BQ1288" s="188"/>
      <c r="BR1288" s="188"/>
      <c r="BS1288" s="188"/>
      <c r="BT1288" s="188"/>
      <c r="BU1288" s="188"/>
      <c r="BV1288" s="188"/>
      <c r="BW1288" s="188"/>
      <c r="BX1288" s="188"/>
    </row>
    <row r="1289" spans="47:77" x14ac:dyDescent="0.3">
      <c r="BA1289" s="188"/>
      <c r="BB1289" s="188"/>
      <c r="BD1289" s="188"/>
      <c r="BQ1289" s="188"/>
      <c r="BR1289" s="188"/>
      <c r="BS1289" s="188"/>
      <c r="BT1289" s="188"/>
      <c r="BU1289" s="188"/>
      <c r="BV1289" s="188"/>
      <c r="BW1289" s="188"/>
      <c r="BX1289" s="188"/>
    </row>
    <row r="1290" spans="47:77" x14ac:dyDescent="0.3">
      <c r="BA1290" s="42"/>
      <c r="BB1290" s="188"/>
      <c r="BD1290" s="188"/>
      <c r="BQ1290" s="188"/>
      <c r="BR1290" s="188"/>
      <c r="BS1290" s="188"/>
      <c r="BT1290" s="188"/>
      <c r="BU1290" s="188"/>
      <c r="BV1290" s="188"/>
      <c r="BW1290" s="188"/>
      <c r="BX1290" s="188"/>
    </row>
    <row r="1291" spans="47:77" x14ac:dyDescent="0.3">
      <c r="BA1291" s="42"/>
      <c r="BB1291" s="188"/>
      <c r="BD1291" s="188"/>
      <c r="BQ1291" s="188"/>
      <c r="BR1291" s="188"/>
      <c r="BS1291" s="188"/>
      <c r="BT1291" s="188"/>
      <c r="BU1291" s="188"/>
      <c r="BV1291" s="188"/>
      <c r="BW1291" s="188"/>
      <c r="BX1291" s="188"/>
    </row>
    <row r="1292" spans="47:77" x14ac:dyDescent="0.3">
      <c r="BB1292" s="188"/>
      <c r="BD1292" s="188"/>
      <c r="BF1292" s="42"/>
      <c r="BQ1292" s="188"/>
      <c r="BR1292" s="188"/>
      <c r="BS1292" s="188"/>
      <c r="BT1292" s="188"/>
      <c r="BU1292" s="188"/>
      <c r="BV1292" s="188"/>
      <c r="BW1292" s="188"/>
      <c r="BX1292" s="188"/>
    </row>
    <row r="1293" spans="47:77" x14ac:dyDescent="0.3">
      <c r="BB1293" s="188"/>
      <c r="BD1293" s="188"/>
      <c r="BF1293" s="42"/>
      <c r="BQ1293" s="188"/>
      <c r="BR1293" s="188"/>
      <c r="BS1293" s="188"/>
      <c r="BT1293" s="188"/>
      <c r="BU1293" s="188"/>
      <c r="BV1293" s="188"/>
      <c r="BW1293" s="188"/>
      <c r="BX1293" s="188"/>
    </row>
    <row r="1294" spans="47:77" x14ac:dyDescent="0.3">
      <c r="AU1294" s="42"/>
      <c r="BB1294" s="188"/>
      <c r="BD1294" s="188"/>
      <c r="BF1294" s="42"/>
      <c r="BQ1294" s="188"/>
      <c r="BR1294" s="188"/>
      <c r="BS1294" s="188"/>
      <c r="BT1294" s="188"/>
      <c r="BU1294" s="188"/>
      <c r="BV1294" s="188"/>
      <c r="BW1294" s="188"/>
      <c r="BX1294" s="188"/>
    </row>
    <row r="1295" spans="47:77" x14ac:dyDescent="0.3">
      <c r="BB1295" s="188"/>
      <c r="BD1295" s="188"/>
      <c r="BQ1295" s="188"/>
      <c r="BR1295" s="188"/>
      <c r="BS1295" s="188"/>
      <c r="BT1295" s="188"/>
      <c r="BU1295" s="188"/>
      <c r="BV1295" s="188"/>
      <c r="BW1295" s="188"/>
      <c r="BX1295" s="188"/>
    </row>
    <row r="1296" spans="47:77" x14ac:dyDescent="0.3">
      <c r="AU1296" s="135"/>
      <c r="AV1296" s="135"/>
      <c r="AW1296" s="135"/>
      <c r="AX1296" s="135"/>
      <c r="AY1296" s="135"/>
      <c r="AZ1296" s="135"/>
      <c r="BA1296" s="135"/>
      <c r="BB1296" s="244"/>
      <c r="BC1296" s="135"/>
      <c r="BD1296" s="244"/>
      <c r="BE1296" s="135"/>
      <c r="BF1296" s="135"/>
      <c r="BG1296" s="135"/>
      <c r="BQ1296" s="188"/>
      <c r="BR1296" s="188"/>
      <c r="BS1296" s="188"/>
      <c r="BT1296" s="188"/>
      <c r="BU1296" s="188"/>
      <c r="BV1296" s="188"/>
      <c r="BW1296" s="188"/>
      <c r="BX1296" s="188"/>
    </row>
    <row r="1297" spans="47:76" x14ac:dyDescent="0.3">
      <c r="AZ1297" s="42"/>
      <c r="BB1297" s="188"/>
      <c r="BD1297" s="188"/>
      <c r="BQ1297" s="188"/>
      <c r="BR1297" s="188"/>
      <c r="BS1297" s="188"/>
      <c r="BT1297" s="188"/>
      <c r="BU1297" s="188"/>
      <c r="BV1297" s="188"/>
      <c r="BW1297" s="188"/>
      <c r="BX1297" s="188"/>
    </row>
    <row r="1298" spans="47:76" x14ac:dyDescent="0.3">
      <c r="AZ1298" s="135"/>
      <c r="BA1298" s="135"/>
      <c r="BB1298" s="244"/>
      <c r="BC1298" s="135"/>
      <c r="BD1298" s="188"/>
      <c r="BE1298" s="44"/>
      <c r="BF1298" s="44"/>
      <c r="BQ1298" s="188"/>
      <c r="BR1298" s="188"/>
      <c r="BS1298" s="188"/>
      <c r="BT1298" s="188"/>
      <c r="BU1298" s="188"/>
      <c r="BV1298" s="188"/>
      <c r="BW1298" s="188"/>
      <c r="BX1298" s="188"/>
    </row>
    <row r="1299" spans="47:76" x14ac:dyDescent="0.3">
      <c r="AX1299" s="44"/>
      <c r="AY1299" s="44"/>
      <c r="BB1299" s="245"/>
      <c r="BC1299" s="44"/>
      <c r="BD1299" s="188"/>
      <c r="BE1299" s="44"/>
      <c r="BF1299" s="44"/>
      <c r="BG1299" s="44"/>
      <c r="BI1299" s="135"/>
      <c r="BJ1299" s="42"/>
      <c r="BM1299" s="135"/>
      <c r="BO1299" s="135"/>
      <c r="BP1299" s="42"/>
      <c r="BS1299" s="135"/>
    </row>
    <row r="1300" spans="47:76" x14ac:dyDescent="0.3">
      <c r="AX1300" s="44"/>
      <c r="AY1300" s="44"/>
      <c r="AZ1300" s="44"/>
      <c r="BA1300" s="44"/>
      <c r="BB1300" s="245"/>
      <c r="BC1300" s="44"/>
      <c r="BD1300" s="245"/>
      <c r="BE1300" s="44"/>
      <c r="BF1300" s="44"/>
      <c r="BG1300" s="44"/>
      <c r="BJ1300" s="44"/>
      <c r="BK1300" s="44"/>
      <c r="BP1300" s="44"/>
      <c r="BQ1300" s="44"/>
    </row>
    <row r="1301" spans="47:76" x14ac:dyDescent="0.3">
      <c r="AU1301" s="44"/>
      <c r="AW1301" s="42"/>
      <c r="AX1301" s="44"/>
      <c r="AY1301" s="44"/>
      <c r="AZ1301" s="44"/>
      <c r="BA1301" s="44"/>
      <c r="BB1301" s="245"/>
      <c r="BC1301" s="44"/>
      <c r="BD1301" s="245"/>
      <c r="BE1301" s="44"/>
      <c r="BF1301" s="44"/>
      <c r="BG1301" s="44"/>
      <c r="BI1301" s="44"/>
      <c r="BJ1301" s="44"/>
      <c r="BK1301" s="44"/>
      <c r="BL1301" s="44"/>
      <c r="BM1301" s="44"/>
      <c r="BO1301" s="44"/>
      <c r="BP1301" s="44"/>
      <c r="BQ1301" s="44"/>
      <c r="BR1301" s="44"/>
      <c r="BS1301" s="44"/>
    </row>
    <row r="1302" spans="47:76" x14ac:dyDescent="0.3">
      <c r="AU1302" s="44"/>
      <c r="AW1302" s="42"/>
      <c r="AX1302" s="44"/>
      <c r="AY1302" s="44"/>
      <c r="AZ1302" s="44"/>
      <c r="BA1302" s="44"/>
      <c r="BB1302" s="245"/>
      <c r="BC1302" s="44"/>
      <c r="BD1302" s="245"/>
      <c r="BE1302" s="44"/>
      <c r="BF1302" s="44"/>
      <c r="BG1302" s="44"/>
      <c r="BI1302" s="44"/>
      <c r="BJ1302" s="44"/>
      <c r="BK1302" s="44"/>
      <c r="BL1302" s="44"/>
      <c r="BM1302" s="44"/>
      <c r="BO1302" s="44"/>
      <c r="BP1302" s="44"/>
      <c r="BQ1302" s="44"/>
      <c r="BR1302" s="44"/>
      <c r="BS1302" s="44"/>
    </row>
    <row r="1303" spans="47:76" x14ac:dyDescent="0.3">
      <c r="AU1303" s="135"/>
      <c r="AV1303" s="135"/>
      <c r="AW1303" s="135"/>
      <c r="AX1303" s="135"/>
      <c r="AY1303" s="135"/>
      <c r="AZ1303" s="135"/>
      <c r="BA1303" s="135"/>
      <c r="BB1303" s="244"/>
      <c r="BC1303" s="135"/>
      <c r="BD1303" s="244"/>
      <c r="BE1303" s="135"/>
      <c r="BF1303" s="135"/>
      <c r="BG1303" s="135"/>
      <c r="BI1303" s="135"/>
      <c r="BJ1303" s="135"/>
      <c r="BK1303" s="135"/>
      <c r="BL1303" s="135"/>
      <c r="BM1303" s="135"/>
      <c r="BO1303" s="135"/>
      <c r="BP1303" s="135"/>
      <c r="BQ1303" s="135"/>
      <c r="BR1303" s="135"/>
      <c r="BS1303" s="135"/>
    </row>
    <row r="1304" spans="47:76" x14ac:dyDescent="0.3">
      <c r="AX1304" s="44"/>
      <c r="AY1304" s="44"/>
      <c r="AZ1304" s="44"/>
      <c r="BA1304" s="44"/>
      <c r="BB1304" s="245"/>
      <c r="BC1304" s="44"/>
      <c r="BD1304" s="245"/>
      <c r="BE1304" s="44"/>
      <c r="BF1304" s="44"/>
      <c r="BG1304" s="44"/>
      <c r="BI1304" s="188"/>
      <c r="BJ1304" s="188"/>
      <c r="BK1304" s="188"/>
      <c r="BL1304" s="188"/>
      <c r="BM1304" s="188"/>
      <c r="BN1304" s="188"/>
      <c r="BO1304" s="188"/>
      <c r="BP1304" s="188"/>
      <c r="BQ1304" s="188"/>
      <c r="BR1304" s="188"/>
      <c r="BS1304" s="188"/>
    </row>
    <row r="1305" spans="47:76" x14ac:dyDescent="0.3">
      <c r="AV1305" s="42"/>
      <c r="AX1305" s="123"/>
      <c r="AY1305" s="123"/>
      <c r="AZ1305" s="188"/>
      <c r="BA1305" s="188"/>
      <c r="BB1305" s="188"/>
      <c r="BC1305" s="236"/>
      <c r="BD1305" s="188"/>
      <c r="BE1305" s="188"/>
      <c r="BF1305" s="188"/>
      <c r="BG1305" s="236"/>
      <c r="BI1305" s="188"/>
      <c r="BJ1305" s="188"/>
      <c r="BK1305" s="188"/>
      <c r="BL1305" s="188"/>
      <c r="BM1305" s="188"/>
      <c r="BN1305" s="188"/>
      <c r="BO1305" s="188"/>
      <c r="BP1305" s="188"/>
      <c r="BQ1305" s="188"/>
      <c r="BR1305" s="188"/>
      <c r="BS1305" s="188"/>
      <c r="BT1305" s="188"/>
      <c r="BU1305" s="188"/>
    </row>
    <row r="1306" spans="47:76" x14ac:dyDescent="0.3">
      <c r="AX1306" s="123"/>
      <c r="AY1306" s="123"/>
      <c r="AZ1306" s="188"/>
      <c r="BA1306" s="188"/>
      <c r="BB1306" s="188"/>
      <c r="BC1306" s="236"/>
      <c r="BD1306" s="188"/>
      <c r="BE1306" s="188"/>
      <c r="BF1306" s="188"/>
      <c r="BG1306" s="236"/>
      <c r="BI1306" s="188"/>
      <c r="BJ1306" s="188"/>
      <c r="BK1306" s="188"/>
      <c r="BL1306" s="188"/>
      <c r="BM1306" s="188"/>
      <c r="BN1306" s="188"/>
      <c r="BO1306" s="188"/>
      <c r="BP1306" s="188"/>
      <c r="BQ1306" s="188"/>
      <c r="BR1306" s="188"/>
      <c r="BS1306" s="188"/>
      <c r="BT1306" s="188"/>
      <c r="BU1306" s="188"/>
    </row>
    <row r="1307" spans="47:76" x14ac:dyDescent="0.3">
      <c r="AX1307" s="123"/>
      <c r="AY1307" s="123"/>
      <c r="AZ1307" s="188"/>
      <c r="BA1307" s="188"/>
      <c r="BB1307" s="188"/>
      <c r="BC1307" s="236"/>
      <c r="BD1307" s="188"/>
      <c r="BE1307" s="188"/>
      <c r="BF1307" s="188"/>
      <c r="BG1307" s="236"/>
      <c r="BI1307" s="188"/>
      <c r="BJ1307" s="188"/>
      <c r="BK1307" s="188"/>
      <c r="BL1307" s="188"/>
      <c r="BM1307" s="188"/>
      <c r="BN1307" s="188"/>
      <c r="BO1307" s="188"/>
      <c r="BP1307" s="188"/>
      <c r="BQ1307" s="188"/>
      <c r="BR1307" s="188"/>
      <c r="BS1307" s="188"/>
      <c r="BT1307" s="188"/>
      <c r="BU1307" s="188"/>
    </row>
    <row r="1308" spans="47:76" x14ac:dyDescent="0.3">
      <c r="AX1308" s="123"/>
      <c r="AY1308" s="123"/>
      <c r="AZ1308" s="188"/>
      <c r="BA1308" s="188"/>
      <c r="BB1308" s="188"/>
      <c r="BC1308" s="236"/>
      <c r="BD1308" s="188"/>
      <c r="BE1308" s="188"/>
      <c r="BF1308" s="188"/>
      <c r="BG1308" s="236"/>
      <c r="BI1308" s="188"/>
      <c r="BJ1308" s="188"/>
      <c r="BK1308" s="188"/>
      <c r="BL1308" s="188"/>
      <c r="BM1308" s="188"/>
      <c r="BN1308" s="188"/>
      <c r="BO1308" s="188"/>
      <c r="BP1308" s="188"/>
      <c r="BQ1308" s="188"/>
      <c r="BR1308" s="188"/>
      <c r="BS1308" s="188"/>
      <c r="BT1308" s="188"/>
      <c r="BU1308" s="188"/>
    </row>
    <row r="1309" spans="47:76" x14ac:dyDescent="0.3">
      <c r="AX1309" s="123"/>
      <c r="AY1309" s="123"/>
      <c r="AZ1309" s="188"/>
      <c r="BA1309" s="188"/>
      <c r="BB1309" s="188"/>
      <c r="BC1309" s="236"/>
      <c r="BD1309" s="188"/>
      <c r="BE1309" s="188"/>
      <c r="BF1309" s="188"/>
      <c r="BG1309" s="236"/>
      <c r="BI1309" s="188"/>
      <c r="BJ1309" s="188"/>
      <c r="BK1309" s="188"/>
      <c r="BL1309" s="188"/>
      <c r="BM1309" s="188"/>
      <c r="BN1309" s="188"/>
      <c r="BO1309" s="188"/>
      <c r="BP1309" s="188"/>
      <c r="BQ1309" s="188"/>
      <c r="BR1309" s="188"/>
      <c r="BS1309" s="188"/>
      <c r="BT1309" s="188"/>
      <c r="BU1309" s="188"/>
    </row>
    <row r="1310" spans="47:76" x14ac:dyDescent="0.3">
      <c r="AX1310" s="123"/>
      <c r="AY1310" s="123"/>
      <c r="AZ1310" s="188"/>
      <c r="BA1310" s="188"/>
      <c r="BB1310" s="188"/>
      <c r="BC1310" s="236"/>
      <c r="BD1310" s="188"/>
      <c r="BE1310" s="188"/>
      <c r="BF1310" s="188"/>
      <c r="BG1310" s="236"/>
      <c r="BI1310" s="188"/>
      <c r="BJ1310" s="188"/>
      <c r="BK1310" s="188"/>
      <c r="BL1310" s="188"/>
      <c r="BM1310" s="188"/>
      <c r="BN1310" s="188"/>
      <c r="BO1310" s="188"/>
      <c r="BP1310" s="188"/>
      <c r="BQ1310" s="188"/>
      <c r="BR1310" s="188"/>
      <c r="BS1310" s="188"/>
      <c r="BT1310" s="188"/>
      <c r="BU1310" s="188"/>
    </row>
    <row r="1311" spans="47:76" x14ac:dyDescent="0.3">
      <c r="AX1311" s="123"/>
      <c r="AY1311" s="123"/>
      <c r="AZ1311" s="188"/>
      <c r="BA1311" s="188"/>
      <c r="BB1311" s="188"/>
      <c r="BC1311" s="236"/>
      <c r="BD1311" s="188"/>
      <c r="BE1311" s="188"/>
      <c r="BF1311" s="188"/>
      <c r="BG1311" s="236"/>
      <c r="BI1311" s="188"/>
      <c r="BJ1311" s="188"/>
      <c r="BK1311" s="188"/>
      <c r="BL1311" s="188"/>
      <c r="BM1311" s="188"/>
      <c r="BN1311" s="188"/>
      <c r="BO1311" s="188"/>
      <c r="BP1311" s="188"/>
      <c r="BQ1311" s="188"/>
      <c r="BR1311" s="188"/>
      <c r="BS1311" s="188"/>
      <c r="BT1311" s="188"/>
      <c r="BU1311" s="188"/>
    </row>
    <row r="1312" spans="47:76" x14ac:dyDescent="0.3">
      <c r="AX1312" s="123"/>
      <c r="AY1312" s="123"/>
      <c r="AZ1312" s="188"/>
      <c r="BA1312" s="188"/>
      <c r="BB1312" s="188"/>
      <c r="BC1312" s="236"/>
      <c r="BD1312" s="188"/>
      <c r="BE1312" s="188"/>
      <c r="BF1312" s="188"/>
      <c r="BG1312" s="236"/>
      <c r="BI1312" s="188"/>
      <c r="BJ1312" s="188"/>
      <c r="BK1312" s="188"/>
      <c r="BL1312" s="188"/>
      <c r="BM1312" s="188"/>
      <c r="BN1312" s="188"/>
      <c r="BO1312" s="188"/>
      <c r="BP1312" s="188"/>
      <c r="BQ1312" s="188"/>
      <c r="BR1312" s="188"/>
      <c r="BS1312" s="188"/>
      <c r="BT1312" s="188"/>
      <c r="BU1312" s="188"/>
    </row>
    <row r="1313" spans="48:73" x14ac:dyDescent="0.3">
      <c r="AX1313" s="123"/>
      <c r="AY1313" s="123"/>
      <c r="AZ1313" s="188"/>
      <c r="BA1313" s="188"/>
      <c r="BB1313" s="188"/>
      <c r="BC1313" s="236"/>
      <c r="BD1313" s="188"/>
      <c r="BE1313" s="188"/>
      <c r="BF1313" s="188"/>
      <c r="BG1313" s="236"/>
      <c r="BI1313" s="188"/>
      <c r="BJ1313" s="188"/>
      <c r="BK1313" s="188"/>
      <c r="BL1313" s="188"/>
      <c r="BM1313" s="188"/>
      <c r="BN1313" s="188"/>
      <c r="BO1313" s="188"/>
      <c r="BP1313" s="188"/>
      <c r="BQ1313" s="188"/>
      <c r="BR1313" s="188"/>
      <c r="BS1313" s="188"/>
      <c r="BT1313" s="188"/>
      <c r="BU1313" s="188"/>
    </row>
    <row r="1314" spans="48:73" x14ac:dyDescent="0.3">
      <c r="AX1314" s="123"/>
      <c r="AY1314" s="123"/>
      <c r="AZ1314" s="188"/>
      <c r="BA1314" s="188"/>
      <c r="BB1314" s="188"/>
      <c r="BC1314" s="236"/>
      <c r="BD1314" s="188"/>
      <c r="BE1314" s="188"/>
      <c r="BF1314" s="188"/>
      <c r="BG1314" s="236"/>
      <c r="BI1314" s="188"/>
      <c r="BJ1314" s="188"/>
      <c r="BK1314" s="188"/>
      <c r="BL1314" s="188"/>
      <c r="BM1314" s="188"/>
      <c r="BN1314" s="188"/>
      <c r="BO1314" s="188"/>
      <c r="BP1314" s="188"/>
      <c r="BQ1314" s="188"/>
      <c r="BR1314" s="188"/>
      <c r="BS1314" s="188"/>
      <c r="BT1314" s="188"/>
      <c r="BU1314" s="188"/>
    </row>
    <row r="1315" spans="48:73" x14ac:dyDescent="0.3">
      <c r="AX1315" s="123"/>
      <c r="AY1315" s="123"/>
      <c r="AZ1315" s="188"/>
      <c r="BA1315" s="188"/>
      <c r="BB1315" s="188"/>
      <c r="BC1315" s="236"/>
      <c r="BD1315" s="188"/>
      <c r="BE1315" s="188"/>
      <c r="BF1315" s="188"/>
      <c r="BG1315" s="236"/>
      <c r="BI1315" s="188"/>
      <c r="BJ1315" s="188"/>
      <c r="BK1315" s="188"/>
      <c r="BL1315" s="188"/>
      <c r="BM1315" s="188"/>
      <c r="BN1315" s="188"/>
      <c r="BO1315" s="188"/>
      <c r="BP1315" s="188"/>
      <c r="BQ1315" s="188"/>
      <c r="BR1315" s="188"/>
      <c r="BS1315" s="188"/>
      <c r="BT1315" s="188"/>
      <c r="BU1315" s="188"/>
    </row>
    <row r="1316" spans="48:73" x14ac:dyDescent="0.3">
      <c r="AX1316" s="123"/>
      <c r="AY1316" s="123"/>
      <c r="AZ1316" s="188"/>
      <c r="BA1316" s="188"/>
      <c r="BB1316" s="188"/>
      <c r="BC1316" s="236"/>
      <c r="BD1316" s="188"/>
      <c r="BE1316" s="188"/>
      <c r="BF1316" s="188"/>
      <c r="BG1316" s="236"/>
      <c r="BI1316" s="188"/>
      <c r="BJ1316" s="188"/>
      <c r="BK1316" s="188"/>
      <c r="BL1316" s="188"/>
      <c r="BM1316" s="188"/>
      <c r="BN1316" s="188"/>
      <c r="BO1316" s="188"/>
      <c r="BP1316" s="188"/>
      <c r="BQ1316" s="188"/>
      <c r="BR1316" s="188"/>
      <c r="BS1316" s="188"/>
      <c r="BT1316" s="188"/>
      <c r="BU1316" s="188"/>
    </row>
    <row r="1317" spans="48:73" x14ac:dyDescent="0.3">
      <c r="AX1317" s="123"/>
      <c r="AY1317" s="123"/>
      <c r="AZ1317" s="188"/>
      <c r="BA1317" s="188"/>
      <c r="BB1317" s="188"/>
      <c r="BC1317" s="236"/>
      <c r="BD1317" s="188"/>
      <c r="BE1317" s="188"/>
      <c r="BF1317" s="188"/>
      <c r="BG1317" s="236"/>
      <c r="BI1317" s="188"/>
      <c r="BJ1317" s="188"/>
      <c r="BK1317" s="188"/>
      <c r="BL1317" s="188"/>
      <c r="BM1317" s="188"/>
      <c r="BN1317" s="188"/>
      <c r="BO1317" s="188"/>
      <c r="BP1317" s="188"/>
      <c r="BQ1317" s="188"/>
      <c r="BR1317" s="188"/>
      <c r="BS1317" s="188"/>
      <c r="BT1317" s="188"/>
      <c r="BU1317" s="188"/>
    </row>
    <row r="1318" spans="48:73" x14ac:dyDescent="0.3">
      <c r="AX1318" s="123"/>
      <c r="AY1318" s="123"/>
      <c r="AZ1318" s="188"/>
      <c r="BA1318" s="188"/>
      <c r="BB1318" s="188"/>
      <c r="BC1318" s="236"/>
      <c r="BD1318" s="188"/>
      <c r="BE1318" s="188"/>
      <c r="BF1318" s="188"/>
      <c r="BG1318" s="236"/>
      <c r="BI1318" s="188"/>
      <c r="BJ1318" s="188"/>
      <c r="BK1318" s="188"/>
      <c r="BL1318" s="188"/>
      <c r="BM1318" s="188"/>
      <c r="BN1318" s="188"/>
      <c r="BO1318" s="188"/>
      <c r="BP1318" s="188"/>
      <c r="BQ1318" s="188"/>
      <c r="BR1318" s="188"/>
      <c r="BS1318" s="188"/>
      <c r="BT1318" s="188"/>
      <c r="BU1318" s="188"/>
    </row>
    <row r="1319" spans="48:73" x14ac:dyDescent="0.3">
      <c r="AX1319" s="123"/>
      <c r="AY1319" s="123"/>
      <c r="AZ1319" s="188"/>
      <c r="BA1319" s="188"/>
      <c r="BB1319" s="188"/>
      <c r="BC1319" s="236"/>
      <c r="BD1319" s="188"/>
      <c r="BE1319" s="188"/>
      <c r="BF1319" s="188"/>
      <c r="BG1319" s="236"/>
      <c r="BI1319" s="188"/>
      <c r="BJ1319" s="188"/>
      <c r="BK1319" s="188"/>
      <c r="BL1319" s="188"/>
      <c r="BM1319" s="188"/>
      <c r="BN1319" s="188"/>
      <c r="BO1319" s="188"/>
      <c r="BP1319" s="188"/>
      <c r="BQ1319" s="188"/>
      <c r="BR1319" s="188"/>
      <c r="BS1319" s="188"/>
      <c r="BT1319" s="188"/>
      <c r="BU1319" s="188"/>
    </row>
    <row r="1320" spans="48:73" x14ac:dyDescent="0.3">
      <c r="AX1320" s="123"/>
      <c r="AY1320" s="123"/>
      <c r="AZ1320" s="188"/>
      <c r="BA1320" s="188"/>
      <c r="BB1320" s="188"/>
      <c r="BC1320" s="236"/>
      <c r="BD1320" s="188"/>
      <c r="BE1320" s="188"/>
      <c r="BF1320" s="188"/>
      <c r="BG1320" s="236"/>
      <c r="BI1320" s="188"/>
      <c r="BJ1320" s="188"/>
      <c r="BK1320" s="188"/>
      <c r="BL1320" s="188"/>
      <c r="BM1320" s="188"/>
      <c r="BN1320" s="188"/>
      <c r="BO1320" s="188"/>
      <c r="BP1320" s="188"/>
      <c r="BQ1320" s="188"/>
      <c r="BR1320" s="188"/>
      <c r="BS1320" s="188"/>
      <c r="BT1320" s="188"/>
      <c r="BU1320" s="188"/>
    </row>
    <row r="1321" spans="48:73" x14ac:dyDescent="0.3">
      <c r="AX1321" s="123"/>
      <c r="AY1321" s="123"/>
      <c r="AZ1321" s="188"/>
      <c r="BA1321" s="188"/>
      <c r="BB1321" s="188"/>
      <c r="BC1321" s="236"/>
      <c r="BD1321" s="188"/>
      <c r="BE1321" s="188"/>
      <c r="BF1321" s="188"/>
      <c r="BG1321" s="236"/>
      <c r="BI1321" s="188"/>
      <c r="BJ1321" s="188"/>
      <c r="BK1321" s="188"/>
      <c r="BL1321" s="188"/>
      <c r="BM1321" s="188"/>
      <c r="BN1321" s="188"/>
      <c r="BO1321" s="188"/>
      <c r="BP1321" s="188"/>
      <c r="BQ1321" s="188"/>
      <c r="BR1321" s="188"/>
      <c r="BS1321" s="188"/>
      <c r="BT1321" s="188"/>
      <c r="BU1321" s="188"/>
    </row>
    <row r="1322" spans="48:73" x14ac:dyDescent="0.3">
      <c r="AX1322" s="123"/>
      <c r="AY1322" s="123"/>
      <c r="AZ1322" s="188"/>
      <c r="BA1322" s="188"/>
      <c r="BB1322" s="188"/>
      <c r="BC1322" s="236"/>
      <c r="BD1322" s="188"/>
      <c r="BE1322" s="188"/>
      <c r="BF1322" s="188"/>
      <c r="BG1322" s="236"/>
      <c r="BI1322" s="188"/>
      <c r="BJ1322" s="188"/>
      <c r="BK1322" s="188"/>
      <c r="BL1322" s="188"/>
      <c r="BM1322" s="188"/>
      <c r="BN1322" s="188"/>
      <c r="BO1322" s="188"/>
      <c r="BP1322" s="188"/>
      <c r="BQ1322" s="188"/>
      <c r="BR1322" s="188"/>
      <c r="BS1322" s="188"/>
      <c r="BT1322" s="188"/>
      <c r="BU1322" s="188"/>
    </row>
    <row r="1323" spans="48:73" x14ac:dyDescent="0.3">
      <c r="BB1323" s="188"/>
      <c r="BD1323" s="188"/>
      <c r="BE1323" s="188"/>
      <c r="BF1323" s="188"/>
      <c r="BI1323" s="188"/>
      <c r="BJ1323" s="188"/>
      <c r="BK1323" s="188"/>
      <c r="BL1323" s="188"/>
      <c r="BM1323" s="188"/>
      <c r="BN1323" s="188"/>
      <c r="BO1323" s="188"/>
      <c r="BP1323" s="188"/>
      <c r="BQ1323" s="188"/>
      <c r="BR1323" s="188"/>
      <c r="BS1323" s="188"/>
      <c r="BT1323" s="188"/>
      <c r="BU1323" s="188"/>
    </row>
    <row r="1324" spans="48:73" x14ac:dyDescent="0.3">
      <c r="AV1324" s="42"/>
      <c r="AX1324" s="123"/>
      <c r="AY1324" s="123"/>
      <c r="AZ1324" s="188"/>
      <c r="BA1324" s="188"/>
      <c r="BB1324" s="188"/>
      <c r="BC1324" s="236"/>
      <c r="BD1324" s="188"/>
      <c r="BE1324" s="188"/>
      <c r="BF1324" s="188"/>
      <c r="BG1324" s="236"/>
    </row>
    <row r="1325" spans="48:73" x14ac:dyDescent="0.3">
      <c r="AX1325" s="123"/>
      <c r="AY1325" s="123"/>
      <c r="AZ1325" s="188"/>
      <c r="BA1325" s="188"/>
      <c r="BB1325" s="188"/>
      <c r="BC1325" s="236"/>
      <c r="BD1325" s="188"/>
      <c r="BE1325" s="188"/>
      <c r="BF1325" s="188"/>
      <c r="BG1325" s="236"/>
    </row>
    <row r="1326" spans="48:73" x14ac:dyDescent="0.3">
      <c r="AX1326" s="123"/>
      <c r="AY1326" s="123"/>
      <c r="AZ1326" s="188"/>
      <c r="BA1326" s="188"/>
      <c r="BB1326" s="188"/>
      <c r="BC1326" s="236"/>
      <c r="BD1326" s="188"/>
      <c r="BE1326" s="188"/>
      <c r="BF1326" s="188"/>
      <c r="BG1326" s="236"/>
    </row>
    <row r="1327" spans="48:73" x14ac:dyDescent="0.3">
      <c r="AX1327" s="123"/>
      <c r="AY1327" s="123"/>
      <c r="AZ1327" s="188"/>
      <c r="BA1327" s="188"/>
      <c r="BB1327" s="188"/>
      <c r="BC1327" s="236"/>
      <c r="BD1327" s="188"/>
      <c r="BE1327" s="188"/>
      <c r="BF1327" s="188"/>
      <c r="BG1327" s="236"/>
    </row>
    <row r="1328" spans="48:73" x14ac:dyDescent="0.3">
      <c r="AX1328" s="123"/>
      <c r="AY1328" s="123"/>
      <c r="AZ1328" s="188"/>
      <c r="BA1328" s="188"/>
      <c r="BB1328" s="188"/>
      <c r="BC1328" s="236"/>
      <c r="BD1328" s="188"/>
      <c r="BE1328" s="188"/>
      <c r="BF1328" s="188"/>
      <c r="BG1328" s="236"/>
    </row>
    <row r="1329" spans="49:59" x14ac:dyDescent="0.3">
      <c r="AX1329" s="123"/>
      <c r="AY1329" s="123"/>
      <c r="AZ1329" s="188"/>
      <c r="BA1329" s="188"/>
      <c r="BB1329" s="188"/>
      <c r="BC1329" s="236"/>
      <c r="BD1329" s="188"/>
      <c r="BE1329" s="188"/>
      <c r="BF1329" s="188"/>
      <c r="BG1329" s="236"/>
    </row>
    <row r="1330" spans="49:59" x14ac:dyDescent="0.3">
      <c r="AX1330" s="123"/>
      <c r="AY1330" s="123"/>
      <c r="AZ1330" s="188"/>
      <c r="BA1330" s="188"/>
      <c r="BB1330" s="188"/>
      <c r="BC1330" s="236"/>
      <c r="BD1330" s="188"/>
      <c r="BE1330" s="188"/>
      <c r="BF1330" s="188"/>
      <c r="BG1330" s="236"/>
    </row>
    <row r="1331" spans="49:59" x14ac:dyDescent="0.3">
      <c r="AX1331" s="123"/>
      <c r="AY1331" s="123"/>
      <c r="AZ1331" s="188"/>
      <c r="BA1331" s="188"/>
      <c r="BB1331" s="188"/>
      <c r="BC1331" s="236"/>
      <c r="BD1331" s="188"/>
      <c r="BE1331" s="188"/>
      <c r="BF1331" s="188"/>
      <c r="BG1331" s="236"/>
    </row>
    <row r="1332" spans="49:59" x14ac:dyDescent="0.3">
      <c r="AX1332" s="123"/>
      <c r="AY1332" s="123"/>
      <c r="AZ1332" s="188"/>
      <c r="BA1332" s="188"/>
      <c r="BB1332" s="188"/>
      <c r="BC1332" s="236"/>
      <c r="BD1332" s="188"/>
      <c r="BE1332" s="188"/>
      <c r="BF1332" s="188"/>
      <c r="BG1332" s="236"/>
    </row>
    <row r="1333" spans="49:59" x14ac:dyDescent="0.3">
      <c r="AX1333" s="123"/>
      <c r="AY1333" s="123"/>
      <c r="AZ1333" s="188"/>
      <c r="BA1333" s="188"/>
      <c r="BB1333" s="188"/>
      <c r="BC1333" s="236"/>
      <c r="BD1333" s="188"/>
      <c r="BE1333" s="188"/>
      <c r="BF1333" s="188"/>
      <c r="BG1333" s="236"/>
    </row>
    <row r="1334" spans="49:59" x14ac:dyDescent="0.3">
      <c r="AX1334" s="123"/>
      <c r="AY1334" s="123"/>
      <c r="AZ1334" s="188"/>
      <c r="BA1334" s="188"/>
      <c r="BB1334" s="188"/>
      <c r="BC1334" s="236"/>
      <c r="BD1334" s="188"/>
      <c r="BE1334" s="188"/>
      <c r="BF1334" s="188"/>
      <c r="BG1334" s="236"/>
    </row>
    <row r="1335" spans="49:59" x14ac:dyDescent="0.3">
      <c r="AX1335" s="123"/>
      <c r="AY1335" s="123"/>
      <c r="AZ1335" s="188"/>
      <c r="BA1335" s="188"/>
      <c r="BB1335" s="188"/>
      <c r="BC1335" s="236"/>
      <c r="BD1335" s="188"/>
      <c r="BE1335" s="188"/>
      <c r="BF1335" s="188"/>
      <c r="BG1335" s="236"/>
    </row>
    <row r="1336" spans="49:59" x14ac:dyDescent="0.3">
      <c r="AX1336" s="123"/>
      <c r="AY1336" s="123"/>
      <c r="AZ1336" s="188"/>
      <c r="BA1336" s="188"/>
      <c r="BB1336" s="188"/>
      <c r="BC1336" s="236"/>
      <c r="BD1336" s="188"/>
      <c r="BE1336" s="188"/>
      <c r="BF1336" s="188"/>
      <c r="BG1336" s="236"/>
    </row>
    <row r="1337" spans="49:59" x14ac:dyDescent="0.3">
      <c r="AX1337" s="123"/>
      <c r="AY1337" s="123"/>
      <c r="AZ1337" s="188"/>
      <c r="BA1337" s="188"/>
      <c r="BB1337" s="188"/>
      <c r="BC1337" s="236"/>
      <c r="BD1337" s="188"/>
      <c r="BE1337" s="188"/>
      <c r="BF1337" s="188"/>
      <c r="BG1337" s="236"/>
    </row>
    <row r="1338" spans="49:59" x14ac:dyDescent="0.3">
      <c r="AX1338" s="123"/>
      <c r="AY1338" s="123"/>
      <c r="AZ1338" s="188"/>
      <c r="BA1338" s="188"/>
      <c r="BB1338" s="188"/>
      <c r="BC1338" s="236"/>
      <c r="BD1338" s="188"/>
      <c r="BE1338" s="188"/>
      <c r="BF1338" s="188"/>
      <c r="BG1338" s="236"/>
    </row>
    <row r="1339" spans="49:59" x14ac:dyDescent="0.3">
      <c r="AX1339" s="123"/>
      <c r="AY1339" s="123"/>
      <c r="AZ1339" s="188"/>
      <c r="BA1339" s="188"/>
      <c r="BB1339" s="188"/>
      <c r="BC1339" s="236"/>
      <c r="BD1339" s="188"/>
      <c r="BE1339" s="188"/>
      <c r="BF1339" s="188"/>
      <c r="BG1339" s="236"/>
    </row>
    <row r="1340" spans="49:59" x14ac:dyDescent="0.3">
      <c r="AX1340" s="123"/>
      <c r="AY1340" s="123"/>
      <c r="AZ1340" s="188"/>
      <c r="BA1340" s="188"/>
      <c r="BB1340" s="188"/>
      <c r="BC1340" s="236"/>
      <c r="BD1340" s="188"/>
      <c r="BE1340" s="188"/>
      <c r="BF1340" s="188"/>
      <c r="BG1340" s="236"/>
    </row>
    <row r="1341" spans="49:59" x14ac:dyDescent="0.3">
      <c r="AX1341" s="123"/>
      <c r="AY1341" s="123"/>
      <c r="AZ1341" s="188"/>
      <c r="BA1341" s="188"/>
      <c r="BB1341" s="188"/>
      <c r="BC1341" s="236"/>
      <c r="BD1341" s="188"/>
      <c r="BE1341" s="188"/>
      <c r="BF1341" s="188"/>
      <c r="BG1341" s="236"/>
    </row>
    <row r="1342" spans="49:59" x14ac:dyDescent="0.3">
      <c r="BD1342" s="188"/>
    </row>
    <row r="1343" spans="49:59" x14ac:dyDescent="0.3">
      <c r="AW1343" s="42"/>
      <c r="BD1343" s="188"/>
    </row>
    <row r="1344" spans="49:59" x14ac:dyDescent="0.3">
      <c r="AW1344" s="42"/>
    </row>
    <row r="1345" spans="47:59" x14ac:dyDescent="0.3">
      <c r="AW1345" s="42"/>
      <c r="BD1345" s="188"/>
    </row>
    <row r="1346" spans="47:59" x14ac:dyDescent="0.3">
      <c r="AU1346" s="42"/>
      <c r="BB1346" s="188"/>
      <c r="BD1346" s="188"/>
    </row>
    <row r="1347" spans="47:59" x14ac:dyDescent="0.3">
      <c r="BB1347" s="188"/>
      <c r="BD1347" s="188"/>
    </row>
    <row r="1348" spans="47:59" x14ac:dyDescent="0.3">
      <c r="BA1348" s="188"/>
      <c r="BB1348" s="188"/>
      <c r="BD1348" s="188"/>
    </row>
    <row r="1349" spans="47:59" x14ac:dyDescent="0.3">
      <c r="BA1349" s="42"/>
      <c r="BB1349" s="188"/>
      <c r="BD1349" s="188"/>
    </row>
    <row r="1350" spans="47:59" x14ac:dyDescent="0.3">
      <c r="BA1350" s="42"/>
      <c r="BB1350" s="188"/>
      <c r="BD1350" s="188"/>
    </row>
    <row r="1351" spans="47:59" x14ac:dyDescent="0.3">
      <c r="BB1351" s="188"/>
      <c r="BD1351" s="188"/>
      <c r="BF1351" s="42"/>
    </row>
    <row r="1352" spans="47:59" x14ac:dyDescent="0.3">
      <c r="BB1352" s="188"/>
      <c r="BD1352" s="188"/>
      <c r="BF1352" s="42"/>
    </row>
    <row r="1353" spans="47:59" x14ac:dyDescent="0.3">
      <c r="AU1353" s="42"/>
      <c r="BB1353" s="188"/>
      <c r="BD1353" s="188"/>
      <c r="BF1353" s="42"/>
    </row>
    <row r="1354" spans="47:59" x14ac:dyDescent="0.3">
      <c r="BB1354" s="188"/>
      <c r="BD1354" s="188"/>
    </row>
    <row r="1355" spans="47:59" x14ac:dyDescent="0.3">
      <c r="AU1355" s="135"/>
      <c r="AV1355" s="135"/>
      <c r="AW1355" s="135"/>
      <c r="AX1355" s="135"/>
      <c r="AY1355" s="135"/>
      <c r="AZ1355" s="135"/>
      <c r="BA1355" s="135"/>
      <c r="BB1355" s="244"/>
      <c r="BC1355" s="135"/>
      <c r="BD1355" s="244"/>
      <c r="BE1355" s="135"/>
      <c r="BF1355" s="135"/>
      <c r="BG1355" s="135"/>
    </row>
    <row r="1356" spans="47:59" x14ac:dyDescent="0.3">
      <c r="AZ1356" s="42"/>
      <c r="BB1356" s="188"/>
      <c r="BD1356" s="188"/>
    </row>
    <row r="1357" spans="47:59" x14ac:dyDescent="0.3">
      <c r="AZ1357" s="135"/>
      <c r="BA1357" s="135"/>
      <c r="BB1357" s="244"/>
      <c r="BC1357" s="135"/>
      <c r="BD1357" s="188"/>
      <c r="BE1357" s="44"/>
      <c r="BF1357" s="44"/>
    </row>
    <row r="1358" spans="47:59" x14ac:dyDescent="0.3">
      <c r="AX1358" s="44"/>
      <c r="AY1358" s="44"/>
      <c r="BB1358" s="245"/>
      <c r="BC1358" s="44"/>
      <c r="BD1358" s="188"/>
      <c r="BE1358" s="44"/>
      <c r="BF1358" s="44"/>
      <c r="BG1358" s="44"/>
    </row>
    <row r="1359" spans="47:59" x14ac:dyDescent="0.3">
      <c r="AX1359" s="44"/>
      <c r="AY1359" s="44"/>
      <c r="AZ1359" s="44"/>
      <c r="BA1359" s="44"/>
      <c r="BB1359" s="245"/>
      <c r="BC1359" s="44"/>
      <c r="BD1359" s="245"/>
      <c r="BE1359" s="44"/>
      <c r="BF1359" s="44"/>
      <c r="BG1359" s="44"/>
    </row>
    <row r="1360" spans="47:59" x14ac:dyDescent="0.3">
      <c r="AU1360" s="44"/>
      <c r="AW1360" s="42"/>
      <c r="AX1360" s="44"/>
      <c r="AY1360" s="44"/>
      <c r="AZ1360" s="44"/>
      <c r="BA1360" s="44"/>
      <c r="BB1360" s="245"/>
      <c r="BC1360" s="44"/>
      <c r="BD1360" s="245"/>
      <c r="BE1360" s="44"/>
      <c r="BF1360" s="44"/>
      <c r="BG1360" s="44"/>
    </row>
    <row r="1361" spans="47:59" x14ac:dyDescent="0.3">
      <c r="AU1361" s="44"/>
      <c r="AW1361" s="42"/>
      <c r="AX1361" s="44"/>
      <c r="AY1361" s="44"/>
      <c r="AZ1361" s="44"/>
      <c r="BA1361" s="44"/>
      <c r="BB1361" s="245"/>
      <c r="BC1361" s="44"/>
      <c r="BD1361" s="245"/>
      <c r="BE1361" s="44"/>
      <c r="BF1361" s="44"/>
      <c r="BG1361" s="44"/>
    </row>
    <row r="1362" spans="47:59" x14ac:dyDescent="0.3">
      <c r="AU1362" s="135"/>
      <c r="AV1362" s="135"/>
      <c r="AW1362" s="135"/>
      <c r="AX1362" s="135"/>
      <c r="AY1362" s="135"/>
      <c r="AZ1362" s="135"/>
      <c r="BA1362" s="135"/>
      <c r="BB1362" s="244"/>
      <c r="BC1362" s="135"/>
      <c r="BD1362" s="244"/>
      <c r="BE1362" s="135"/>
      <c r="BF1362" s="135"/>
      <c r="BG1362" s="135"/>
    </row>
    <row r="1363" spans="47:59" x14ac:dyDescent="0.3">
      <c r="AX1363" s="44"/>
      <c r="AY1363" s="44"/>
      <c r="AZ1363" s="44"/>
      <c r="BA1363" s="44"/>
      <c r="BB1363" s="245"/>
      <c r="BC1363" s="44"/>
      <c r="BD1363" s="245"/>
      <c r="BE1363" s="44"/>
      <c r="BF1363" s="44"/>
      <c r="BG1363" s="44"/>
    </row>
    <row r="1364" spans="47:59" x14ac:dyDescent="0.3">
      <c r="AV1364" s="42"/>
      <c r="AX1364" s="123"/>
      <c r="AY1364" s="123"/>
      <c r="AZ1364" s="188"/>
      <c r="BA1364" s="188"/>
      <c r="BB1364" s="188"/>
      <c r="BC1364" s="236"/>
      <c r="BD1364" s="188"/>
      <c r="BE1364" s="188"/>
      <c r="BF1364" s="188"/>
      <c r="BG1364" s="236"/>
    </row>
    <row r="1365" spans="47:59" x14ac:dyDescent="0.3">
      <c r="AX1365" s="123"/>
      <c r="AY1365" s="123"/>
      <c r="AZ1365" s="188"/>
      <c r="BA1365" s="188"/>
      <c r="BB1365" s="188"/>
      <c r="BC1365" s="236"/>
      <c r="BD1365" s="188"/>
      <c r="BE1365" s="188"/>
      <c r="BF1365" s="188"/>
      <c r="BG1365" s="236"/>
    </row>
    <row r="1366" spans="47:59" x14ac:dyDescent="0.3">
      <c r="AX1366" s="123"/>
      <c r="AY1366" s="123"/>
      <c r="AZ1366" s="188"/>
      <c r="BA1366" s="188"/>
      <c r="BB1366" s="188"/>
      <c r="BC1366" s="236"/>
      <c r="BD1366" s="188"/>
      <c r="BE1366" s="188"/>
      <c r="BF1366" s="188"/>
      <c r="BG1366" s="236"/>
    </row>
    <row r="1367" spans="47:59" x14ac:dyDescent="0.3">
      <c r="AX1367" s="123"/>
      <c r="AY1367" s="123"/>
      <c r="AZ1367" s="188"/>
      <c r="BA1367" s="188"/>
      <c r="BB1367" s="188"/>
      <c r="BC1367" s="236"/>
      <c r="BD1367" s="188"/>
      <c r="BE1367" s="188"/>
      <c r="BF1367" s="188"/>
      <c r="BG1367" s="236"/>
    </row>
    <row r="1368" spans="47:59" x14ac:dyDescent="0.3">
      <c r="AX1368" s="123"/>
      <c r="AY1368" s="123"/>
      <c r="AZ1368" s="188"/>
      <c r="BA1368" s="188"/>
      <c r="BB1368" s="188"/>
      <c r="BC1368" s="236"/>
      <c r="BD1368" s="188"/>
      <c r="BE1368" s="188"/>
      <c r="BF1368" s="188"/>
      <c r="BG1368" s="236"/>
    </row>
    <row r="1369" spans="47:59" x14ac:dyDescent="0.3">
      <c r="AX1369" s="123"/>
      <c r="AY1369" s="123"/>
      <c r="AZ1369" s="188"/>
      <c r="BA1369" s="188"/>
      <c r="BB1369" s="188"/>
      <c r="BC1369" s="236"/>
      <c r="BD1369" s="188"/>
      <c r="BE1369" s="188"/>
      <c r="BF1369" s="188"/>
      <c r="BG1369" s="236"/>
    </row>
    <row r="1370" spans="47:59" x14ac:dyDescent="0.3">
      <c r="AX1370" s="123"/>
      <c r="AY1370" s="123"/>
      <c r="AZ1370" s="188"/>
      <c r="BA1370" s="188"/>
      <c r="BB1370" s="188"/>
      <c r="BC1370" s="236"/>
      <c r="BD1370" s="188"/>
      <c r="BE1370" s="188"/>
      <c r="BF1370" s="188"/>
      <c r="BG1370" s="236"/>
    </row>
    <row r="1371" spans="47:59" x14ac:dyDescent="0.3">
      <c r="AX1371" s="123"/>
      <c r="AY1371" s="123"/>
      <c r="AZ1371" s="188"/>
      <c r="BA1371" s="188"/>
      <c r="BB1371" s="188"/>
      <c r="BC1371" s="236"/>
      <c r="BD1371" s="188"/>
      <c r="BE1371" s="188"/>
      <c r="BF1371" s="188"/>
      <c r="BG1371" s="236"/>
    </row>
    <row r="1372" spans="47:59" x14ac:dyDescent="0.3">
      <c r="AX1372" s="123"/>
      <c r="AY1372" s="123"/>
      <c r="AZ1372" s="188"/>
      <c r="BA1372" s="188"/>
      <c r="BB1372" s="188"/>
      <c r="BC1372" s="236"/>
      <c r="BD1372" s="188"/>
      <c r="BE1372" s="188"/>
      <c r="BF1372" s="188"/>
      <c r="BG1372" s="236"/>
    </row>
    <row r="1373" spans="47:59" x14ac:dyDescent="0.3">
      <c r="AX1373" s="123"/>
      <c r="AY1373" s="123"/>
      <c r="AZ1373" s="188"/>
      <c r="BA1373" s="188"/>
      <c r="BB1373" s="188"/>
      <c r="BC1373" s="236"/>
      <c r="BD1373" s="188"/>
      <c r="BE1373" s="188"/>
      <c r="BF1373" s="188"/>
      <c r="BG1373" s="236"/>
    </row>
    <row r="1374" spans="47:59" x14ac:dyDescent="0.3">
      <c r="AX1374" s="123"/>
      <c r="AY1374" s="123"/>
      <c r="BD1374" s="188"/>
    </row>
    <row r="1375" spans="47:59" x14ac:dyDescent="0.3">
      <c r="AV1375" s="42"/>
      <c r="AX1375" s="123"/>
      <c r="AY1375" s="123"/>
      <c r="AZ1375" s="188"/>
      <c r="BA1375" s="188"/>
      <c r="BB1375" s="188"/>
      <c r="BC1375" s="236"/>
      <c r="BD1375" s="188"/>
      <c r="BE1375" s="188"/>
      <c r="BF1375" s="188"/>
      <c r="BG1375" s="236"/>
    </row>
    <row r="1376" spans="47:59" x14ac:dyDescent="0.3">
      <c r="AX1376" s="123"/>
      <c r="AY1376" s="123"/>
      <c r="AZ1376" s="188"/>
      <c r="BA1376" s="188"/>
      <c r="BB1376" s="188"/>
      <c r="BC1376" s="236"/>
      <c r="BD1376" s="188"/>
      <c r="BE1376" s="188"/>
      <c r="BF1376" s="188"/>
      <c r="BG1376" s="236"/>
    </row>
    <row r="1377" spans="47:59" x14ac:dyDescent="0.3">
      <c r="AX1377" s="123"/>
      <c r="AY1377" s="123"/>
      <c r="AZ1377" s="188"/>
      <c r="BA1377" s="188"/>
      <c r="BB1377" s="188"/>
      <c r="BC1377" s="236"/>
      <c r="BD1377" s="188"/>
      <c r="BE1377" s="188"/>
      <c r="BF1377" s="188"/>
      <c r="BG1377" s="236"/>
    </row>
    <row r="1378" spans="47:59" x14ac:dyDescent="0.3">
      <c r="AX1378" s="123"/>
      <c r="AY1378" s="123"/>
      <c r="AZ1378" s="188"/>
      <c r="BA1378" s="188"/>
      <c r="BB1378" s="188"/>
      <c r="BC1378" s="236"/>
      <c r="BD1378" s="188"/>
      <c r="BE1378" s="188"/>
      <c r="BF1378" s="188"/>
      <c r="BG1378" s="236"/>
    </row>
    <row r="1379" spans="47:59" x14ac:dyDescent="0.3">
      <c r="AX1379" s="123"/>
      <c r="AY1379" s="123"/>
      <c r="AZ1379" s="188"/>
      <c r="BA1379" s="188"/>
      <c r="BB1379" s="188"/>
      <c r="BC1379" s="236"/>
      <c r="BD1379" s="188"/>
      <c r="BE1379" s="188"/>
      <c r="BF1379" s="188"/>
      <c r="BG1379" s="236"/>
    </row>
    <row r="1380" spans="47:59" x14ac:dyDescent="0.3">
      <c r="AX1380" s="123"/>
      <c r="AY1380" s="123"/>
      <c r="AZ1380" s="188"/>
      <c r="BA1380" s="188"/>
      <c r="BB1380" s="188"/>
      <c r="BC1380" s="236"/>
      <c r="BD1380" s="188"/>
      <c r="BE1380" s="188"/>
      <c r="BF1380" s="188"/>
      <c r="BG1380" s="236"/>
    </row>
    <row r="1381" spans="47:59" x14ac:dyDescent="0.3">
      <c r="AX1381" s="123"/>
      <c r="AY1381" s="123"/>
      <c r="AZ1381" s="188"/>
      <c r="BA1381" s="188"/>
      <c r="BB1381" s="188"/>
      <c r="BC1381" s="236"/>
      <c r="BD1381" s="188"/>
      <c r="BE1381" s="188"/>
      <c r="BF1381" s="188"/>
      <c r="BG1381" s="236"/>
    </row>
    <row r="1382" spans="47:59" x14ac:dyDescent="0.3">
      <c r="AX1382" s="123"/>
      <c r="AY1382" s="123"/>
      <c r="AZ1382" s="188"/>
      <c r="BA1382" s="188"/>
      <c r="BB1382" s="188"/>
      <c r="BC1382" s="236"/>
      <c r="BD1382" s="188"/>
      <c r="BE1382" s="188"/>
      <c r="BF1382" s="188"/>
      <c r="BG1382" s="236"/>
    </row>
    <row r="1383" spans="47:59" x14ac:dyDescent="0.3">
      <c r="AX1383" s="123"/>
      <c r="AY1383" s="123"/>
      <c r="AZ1383" s="188"/>
      <c r="BA1383" s="188"/>
      <c r="BB1383" s="188"/>
      <c r="BC1383" s="236"/>
      <c r="BD1383" s="188"/>
      <c r="BE1383" s="188"/>
      <c r="BF1383" s="188"/>
      <c r="BG1383" s="236"/>
    </row>
    <row r="1384" spans="47:59" x14ac:dyDescent="0.3">
      <c r="AX1384" s="123"/>
      <c r="AY1384" s="123"/>
      <c r="AZ1384" s="188"/>
      <c r="BA1384" s="188"/>
      <c r="BB1384" s="188"/>
      <c r="BC1384" s="236"/>
      <c r="BD1384" s="188"/>
      <c r="BE1384" s="188"/>
      <c r="BF1384" s="188"/>
      <c r="BG1384" s="236"/>
    </row>
    <row r="1386" spans="47:59" x14ac:dyDescent="0.3">
      <c r="AW1386" s="42"/>
    </row>
    <row r="1387" spans="47:59" x14ac:dyDescent="0.3">
      <c r="AW1387" s="42"/>
    </row>
    <row r="1388" spans="47:59" x14ac:dyDescent="0.3">
      <c r="AW1388" s="42"/>
    </row>
    <row r="1389" spans="47:59" x14ac:dyDescent="0.3">
      <c r="AU1389" s="42"/>
    </row>
    <row r="1410" spans="54:73" x14ac:dyDescent="0.3">
      <c r="BB1410" s="188"/>
      <c r="BD1410" s="188"/>
      <c r="BE1410" s="188"/>
      <c r="BF1410" s="188"/>
      <c r="BI1410" s="188"/>
      <c r="BJ1410" s="188"/>
      <c r="BK1410" s="188"/>
      <c r="BL1410" s="188"/>
      <c r="BM1410" s="188"/>
      <c r="BN1410" s="188"/>
      <c r="BO1410" s="188"/>
      <c r="BP1410" s="188"/>
      <c r="BQ1410" s="188"/>
      <c r="BR1410" s="188"/>
      <c r="BS1410" s="188"/>
      <c r="BT1410" s="188"/>
      <c r="BU1410" s="188"/>
    </row>
    <row r="1411" spans="54:73" x14ac:dyDescent="0.3">
      <c r="BB1411" s="188"/>
      <c r="BD1411" s="188"/>
      <c r="BE1411" s="188"/>
      <c r="BF1411" s="188"/>
      <c r="BI1411" s="188"/>
      <c r="BJ1411" s="188"/>
      <c r="BK1411" s="188"/>
      <c r="BL1411" s="188"/>
      <c r="BM1411" s="188"/>
      <c r="BN1411" s="188"/>
      <c r="BO1411" s="188"/>
      <c r="BP1411" s="188"/>
      <c r="BQ1411" s="188"/>
      <c r="BR1411" s="188"/>
      <c r="BS1411" s="188"/>
      <c r="BT1411" s="188"/>
      <c r="BU1411" s="188"/>
    </row>
    <row r="1412" spans="54:73" x14ac:dyDescent="0.3">
      <c r="BB1412" s="188"/>
      <c r="BD1412" s="188"/>
      <c r="BE1412" s="188"/>
      <c r="BF1412" s="188"/>
      <c r="BI1412" s="188"/>
      <c r="BJ1412" s="188"/>
      <c r="BK1412" s="188"/>
      <c r="BL1412" s="188"/>
      <c r="BM1412" s="188"/>
      <c r="BN1412" s="188"/>
      <c r="BO1412" s="188"/>
      <c r="BP1412" s="188"/>
      <c r="BQ1412" s="188"/>
      <c r="BR1412" s="188"/>
      <c r="BS1412" s="188"/>
      <c r="BT1412" s="188"/>
      <c r="BU1412" s="188"/>
    </row>
    <row r="1413" spans="54:73" x14ac:dyDescent="0.3">
      <c r="BB1413" s="188"/>
      <c r="BD1413" s="188"/>
      <c r="BE1413" s="188"/>
      <c r="BF1413" s="188"/>
      <c r="BI1413" s="188"/>
      <c r="BJ1413" s="188"/>
      <c r="BK1413" s="188"/>
      <c r="BL1413" s="188"/>
      <c r="BM1413" s="188"/>
      <c r="BN1413" s="188"/>
      <c r="BO1413" s="188"/>
      <c r="BP1413" s="188"/>
      <c r="BQ1413" s="188"/>
      <c r="BR1413" s="188"/>
      <c r="BS1413" s="188"/>
      <c r="BT1413" s="188"/>
      <c r="BU1413" s="188"/>
    </row>
    <row r="1414" spans="54:73" x14ac:dyDescent="0.3">
      <c r="BB1414" s="188"/>
      <c r="BD1414" s="188"/>
      <c r="BE1414" s="188"/>
      <c r="BF1414" s="188"/>
      <c r="BI1414" s="188"/>
      <c r="BJ1414" s="188"/>
      <c r="BK1414" s="188"/>
      <c r="BL1414" s="188"/>
      <c r="BM1414" s="188"/>
      <c r="BN1414" s="188"/>
      <c r="BO1414" s="188"/>
      <c r="BP1414" s="188"/>
      <c r="BQ1414" s="188"/>
      <c r="BR1414" s="188"/>
      <c r="BS1414" s="188"/>
      <c r="BT1414" s="188"/>
      <c r="BU1414" s="188"/>
    </row>
    <row r="1415" spans="54:73" x14ac:dyDescent="0.3">
      <c r="BB1415" s="188"/>
      <c r="BD1415" s="188"/>
      <c r="BE1415" s="188"/>
      <c r="BF1415" s="188"/>
      <c r="BI1415" s="188"/>
      <c r="BJ1415" s="188"/>
      <c r="BK1415" s="188"/>
      <c r="BL1415" s="188"/>
      <c r="BM1415" s="188"/>
      <c r="BN1415" s="188"/>
      <c r="BO1415" s="188"/>
      <c r="BP1415" s="188"/>
      <c r="BQ1415" s="188"/>
      <c r="BR1415" s="188"/>
      <c r="BS1415" s="188"/>
      <c r="BT1415" s="188"/>
      <c r="BU1415" s="188"/>
    </row>
    <row r="1416" spans="54:73" x14ac:dyDescent="0.3">
      <c r="BB1416" s="188"/>
      <c r="BD1416" s="188"/>
      <c r="BE1416" s="188"/>
      <c r="BF1416" s="188"/>
      <c r="BI1416" s="188"/>
      <c r="BJ1416" s="188"/>
      <c r="BK1416" s="188"/>
      <c r="BL1416" s="188"/>
      <c r="BM1416" s="188"/>
      <c r="BN1416" s="188"/>
      <c r="BO1416" s="188"/>
      <c r="BP1416" s="188"/>
      <c r="BQ1416" s="188"/>
      <c r="BR1416" s="188"/>
      <c r="BS1416" s="188"/>
      <c r="BT1416" s="188"/>
      <c r="BU1416" s="188"/>
    </row>
    <row r="1417" spans="54:73" x14ac:dyDescent="0.3">
      <c r="BB1417" s="188"/>
      <c r="BD1417" s="188"/>
      <c r="BE1417" s="188"/>
      <c r="BF1417" s="188"/>
      <c r="BI1417" s="188"/>
      <c r="BJ1417" s="188"/>
      <c r="BK1417" s="188"/>
      <c r="BL1417" s="188"/>
      <c r="BM1417" s="188"/>
      <c r="BN1417" s="188"/>
      <c r="BO1417" s="188"/>
      <c r="BP1417" s="188"/>
      <c r="BQ1417" s="188"/>
      <c r="BR1417" s="188"/>
      <c r="BS1417" s="188"/>
      <c r="BT1417" s="188"/>
      <c r="BU1417" s="188"/>
    </row>
    <row r="1418" spans="54:73" x14ac:dyDescent="0.3">
      <c r="BB1418" s="188"/>
      <c r="BD1418" s="188"/>
      <c r="BE1418" s="188"/>
      <c r="BF1418" s="188"/>
      <c r="BI1418" s="188"/>
      <c r="BJ1418" s="188"/>
      <c r="BK1418" s="188"/>
      <c r="BL1418" s="188"/>
      <c r="BM1418" s="188"/>
      <c r="BN1418" s="188"/>
      <c r="BO1418" s="188"/>
      <c r="BP1418" s="188"/>
      <c r="BQ1418" s="188"/>
      <c r="BR1418" s="188"/>
      <c r="BS1418" s="188"/>
      <c r="BT1418" s="188"/>
      <c r="BU1418" s="188"/>
    </row>
    <row r="1419" spans="54:73" x14ac:dyDescent="0.3">
      <c r="BB1419" s="188"/>
      <c r="BD1419" s="188"/>
      <c r="BE1419" s="188"/>
      <c r="BF1419" s="188"/>
      <c r="BI1419" s="188"/>
      <c r="BJ1419" s="188"/>
      <c r="BK1419" s="188"/>
      <c r="BL1419" s="188"/>
      <c r="BM1419" s="188"/>
      <c r="BN1419" s="188"/>
      <c r="BO1419" s="188"/>
      <c r="BP1419" s="188"/>
      <c r="BQ1419" s="188"/>
      <c r="BR1419" s="188"/>
      <c r="BS1419" s="188"/>
      <c r="BT1419" s="188"/>
      <c r="BU1419" s="188"/>
    </row>
    <row r="1420" spans="54:73" x14ac:dyDescent="0.3">
      <c r="BB1420" s="188"/>
      <c r="BD1420" s="188"/>
      <c r="BE1420" s="188"/>
      <c r="BF1420" s="188"/>
      <c r="BI1420" s="188"/>
      <c r="BJ1420" s="188"/>
      <c r="BK1420" s="188"/>
      <c r="BL1420" s="188"/>
      <c r="BM1420" s="188"/>
      <c r="BN1420" s="188"/>
      <c r="BO1420" s="188"/>
      <c r="BP1420" s="188"/>
      <c r="BQ1420" s="188"/>
      <c r="BR1420" s="188"/>
      <c r="BS1420" s="188"/>
      <c r="BT1420" s="188"/>
      <c r="BU1420" s="188"/>
    </row>
    <row r="1421" spans="54:73" x14ac:dyDescent="0.3">
      <c r="BB1421" s="188"/>
      <c r="BD1421" s="188"/>
      <c r="BE1421" s="188"/>
      <c r="BF1421" s="188"/>
      <c r="BI1421" s="188"/>
      <c r="BJ1421" s="188"/>
      <c r="BK1421" s="188"/>
      <c r="BL1421" s="188"/>
      <c r="BM1421" s="188"/>
      <c r="BN1421" s="188"/>
      <c r="BO1421" s="188"/>
      <c r="BP1421" s="188"/>
      <c r="BQ1421" s="188"/>
      <c r="BR1421" s="188"/>
      <c r="BS1421" s="188"/>
      <c r="BT1421" s="188"/>
      <c r="BU1421" s="188"/>
    </row>
    <row r="1422" spans="54:73" x14ac:dyDescent="0.3">
      <c r="BB1422" s="188"/>
      <c r="BI1422" s="188"/>
      <c r="BJ1422" s="188"/>
      <c r="BK1422" s="188"/>
      <c r="BL1422" s="188"/>
      <c r="BM1422" s="188"/>
      <c r="BN1422" s="188"/>
      <c r="BO1422" s="188"/>
      <c r="BP1422" s="188"/>
      <c r="BQ1422" s="188"/>
      <c r="BR1422" s="188"/>
      <c r="BS1422" s="188"/>
      <c r="BT1422" s="188"/>
      <c r="BU1422" s="188"/>
    </row>
    <row r="1423" spans="54:73" x14ac:dyDescent="0.3">
      <c r="BB1423" s="188"/>
      <c r="BI1423" s="188"/>
      <c r="BJ1423" s="188"/>
      <c r="BK1423" s="188"/>
      <c r="BL1423" s="188"/>
      <c r="BM1423" s="188"/>
      <c r="BN1423" s="188"/>
      <c r="BO1423" s="188"/>
      <c r="BP1423" s="188"/>
      <c r="BQ1423" s="188"/>
      <c r="BR1423" s="188"/>
      <c r="BS1423" s="188"/>
      <c r="BT1423" s="188"/>
      <c r="BU1423" s="188"/>
    </row>
    <row r="1424" spans="54:73" x14ac:dyDescent="0.3">
      <c r="BB1424" s="188"/>
      <c r="BI1424" s="188"/>
      <c r="BJ1424" s="188"/>
      <c r="BK1424" s="188"/>
      <c r="BL1424" s="188"/>
      <c r="BM1424" s="188"/>
      <c r="BN1424" s="188"/>
      <c r="BO1424" s="188"/>
      <c r="BP1424" s="188"/>
      <c r="BQ1424" s="188"/>
      <c r="BR1424" s="188"/>
      <c r="BS1424" s="188"/>
      <c r="BT1424" s="188"/>
      <c r="BU1424" s="188"/>
    </row>
    <row r="1425" spans="22:73" x14ac:dyDescent="0.3">
      <c r="BB1425" s="188"/>
      <c r="BI1425" s="188"/>
      <c r="BJ1425" s="188"/>
      <c r="BK1425" s="188"/>
      <c r="BL1425" s="188"/>
      <c r="BM1425" s="188"/>
      <c r="BN1425" s="188"/>
      <c r="BO1425" s="188"/>
      <c r="BP1425" s="188"/>
      <c r="BQ1425" s="188"/>
      <c r="BR1425" s="188"/>
      <c r="BS1425" s="188"/>
      <c r="BT1425" s="188"/>
      <c r="BU1425" s="188"/>
    </row>
    <row r="1426" spans="22:73" x14ac:dyDescent="0.3">
      <c r="BB1426" s="188"/>
      <c r="BI1426" s="188"/>
      <c r="BJ1426" s="188"/>
      <c r="BK1426" s="188"/>
      <c r="BL1426" s="188"/>
      <c r="BM1426" s="188"/>
      <c r="BN1426" s="188"/>
      <c r="BO1426" s="188"/>
      <c r="BP1426" s="188"/>
      <c r="BQ1426" s="188"/>
      <c r="BR1426" s="188"/>
      <c r="BS1426" s="188"/>
      <c r="BT1426" s="188"/>
      <c r="BU1426" s="188"/>
    </row>
    <row r="1427" spans="22:73" x14ac:dyDescent="0.3">
      <c r="BB1427" s="188"/>
      <c r="BI1427" s="188"/>
      <c r="BJ1427" s="188"/>
      <c r="BK1427" s="188"/>
      <c r="BL1427" s="188"/>
      <c r="BM1427" s="188"/>
      <c r="BN1427" s="188"/>
      <c r="BO1427" s="188"/>
      <c r="BP1427" s="188"/>
      <c r="BQ1427" s="188"/>
      <c r="BR1427" s="188"/>
      <c r="BS1427" s="188"/>
      <c r="BT1427" s="188"/>
      <c r="BU1427" s="188"/>
    </row>
    <row r="1428" spans="22:73" x14ac:dyDescent="0.3">
      <c r="BB1428" s="188"/>
      <c r="BI1428" s="188"/>
      <c r="BJ1428" s="188"/>
      <c r="BK1428" s="188"/>
      <c r="BL1428" s="188"/>
      <c r="BM1428" s="188"/>
      <c r="BN1428" s="188"/>
      <c r="BO1428" s="188"/>
      <c r="BP1428" s="188"/>
      <c r="BQ1428" s="188"/>
      <c r="BR1428" s="188"/>
      <c r="BS1428" s="188"/>
      <c r="BT1428" s="188"/>
      <c r="BU1428" s="188"/>
    </row>
    <row r="1429" spans="22:73" x14ac:dyDescent="0.3">
      <c r="BB1429" s="188"/>
    </row>
    <row r="1430" spans="22:73" x14ac:dyDescent="0.3">
      <c r="BB1430" s="188"/>
    </row>
    <row r="1437" spans="22:73" x14ac:dyDescent="0.3">
      <c r="AA1437" s="42"/>
    </row>
    <row r="1439" spans="22:73" x14ac:dyDescent="0.3">
      <c r="V1439" s="44"/>
      <c r="AC1439" s="44"/>
      <c r="AD1439" s="44"/>
    </row>
    <row r="1440" spans="22:73" x14ac:dyDescent="0.3">
      <c r="V1440" s="135"/>
      <c r="AC1440" s="135"/>
      <c r="AD1440" s="135"/>
    </row>
    <row r="1441" spans="1:30" x14ac:dyDescent="0.3">
      <c r="U1441" s="42"/>
      <c r="AC1441" s="44"/>
      <c r="AD1441" s="44"/>
    </row>
    <row r="1443" spans="1:30" x14ac:dyDescent="0.3">
      <c r="U1443" s="42"/>
      <c r="AC1443" s="44"/>
      <c r="AD1443" s="44"/>
    </row>
    <row r="1444" spans="1:30" x14ac:dyDescent="0.3">
      <c r="A1444" s="42"/>
    </row>
    <row r="1445" spans="1:30" x14ac:dyDescent="0.3">
      <c r="U1445" s="42"/>
      <c r="V1445" s="247"/>
      <c r="AC1445" s="44"/>
      <c r="AD1445" s="44"/>
    </row>
    <row r="1447" spans="1:30" x14ac:dyDescent="0.3">
      <c r="U1447" s="42"/>
      <c r="AC1447" s="44"/>
      <c r="AD1447" s="44"/>
    </row>
    <row r="1448" spans="1:30" x14ac:dyDescent="0.3">
      <c r="A1448" s="42"/>
      <c r="H1448" s="42"/>
      <c r="I1448" s="42"/>
    </row>
    <row r="1449" spans="1:30" x14ac:dyDescent="0.3">
      <c r="A1449" s="42"/>
      <c r="U1449" s="42"/>
      <c r="AC1449" s="44"/>
      <c r="AD1449" s="44"/>
    </row>
    <row r="1450" spans="1:30" x14ac:dyDescent="0.3">
      <c r="A1450" s="42"/>
    </row>
    <row r="1451" spans="1:30" x14ac:dyDescent="0.3">
      <c r="A1451" s="42"/>
    </row>
    <row r="1452" spans="1:30" x14ac:dyDescent="0.3">
      <c r="A1452" s="42"/>
    </row>
    <row r="1453" spans="1:30" x14ac:dyDescent="0.3">
      <c r="A1453" s="42"/>
    </row>
    <row r="1454" spans="1:30" x14ac:dyDescent="0.3">
      <c r="A1454" s="42"/>
    </row>
    <row r="1455" spans="1:30" x14ac:dyDescent="0.3">
      <c r="A1455" s="42"/>
    </row>
    <row r="1456" spans="1:30" x14ac:dyDescent="0.3">
      <c r="A1456" s="42"/>
    </row>
    <row r="1457" spans="1:9" x14ac:dyDescent="0.3">
      <c r="A1457" s="42"/>
    </row>
    <row r="1458" spans="1:9" x14ac:dyDescent="0.3">
      <c r="A1458" s="42"/>
    </row>
    <row r="1459" spans="1:9" x14ac:dyDescent="0.3">
      <c r="A1459" s="42"/>
    </row>
    <row r="1460" spans="1:9" x14ac:dyDescent="0.3">
      <c r="A1460" s="42"/>
    </row>
    <row r="1461" spans="1:9" x14ac:dyDescent="0.3">
      <c r="A1461" s="42"/>
    </row>
    <row r="1462" spans="1:9" x14ac:dyDescent="0.3">
      <c r="A1462" s="42"/>
    </row>
    <row r="1463" spans="1:9" x14ac:dyDescent="0.3">
      <c r="A1463" s="42"/>
    </row>
    <row r="1464" spans="1:9" x14ac:dyDescent="0.3">
      <c r="A1464" s="42"/>
    </row>
    <row r="1465" spans="1:9" x14ac:dyDescent="0.3">
      <c r="A1465" s="42"/>
    </row>
    <row r="1466" spans="1:9" x14ac:dyDescent="0.3">
      <c r="A1466" s="42"/>
    </row>
    <row r="1467" spans="1:9" x14ac:dyDescent="0.3">
      <c r="A1467" s="42"/>
    </row>
    <row r="1468" spans="1:9" x14ac:dyDescent="0.3">
      <c r="A1468" s="42"/>
    </row>
    <row r="1469" spans="1:9" x14ac:dyDescent="0.3">
      <c r="A1469" s="42"/>
    </row>
    <row r="1470" spans="1:9" x14ac:dyDescent="0.3">
      <c r="A1470" s="42"/>
      <c r="H1470" s="42"/>
      <c r="I1470" s="42"/>
    </row>
    <row r="1473" spans="1:1" x14ac:dyDescent="0.3">
      <c r="A1473" s="42"/>
    </row>
    <row r="1476" spans="1:1" x14ac:dyDescent="0.3">
      <c r="A1476" s="42"/>
    </row>
    <row r="1479" spans="1:1" x14ac:dyDescent="0.3">
      <c r="A1479" s="42"/>
    </row>
    <row r="1480" spans="1:1" x14ac:dyDescent="0.3">
      <c r="A1480" s="42"/>
    </row>
    <row r="1481" spans="1:1" x14ac:dyDescent="0.3">
      <c r="A1481" s="42"/>
    </row>
    <row r="1482" spans="1:1" x14ac:dyDescent="0.3">
      <c r="A1482" s="42"/>
    </row>
    <row r="1483" spans="1:1" x14ac:dyDescent="0.3">
      <c r="A1483" s="42"/>
    </row>
    <row r="1484" spans="1:1" x14ac:dyDescent="0.3">
      <c r="A1484" s="42"/>
    </row>
    <row r="1485" spans="1:1" x14ac:dyDescent="0.3">
      <c r="A1485" s="42"/>
    </row>
    <row r="1486" spans="1:1" x14ac:dyDescent="0.3">
      <c r="A1486" s="42"/>
    </row>
    <row r="1487" spans="1:1" x14ac:dyDescent="0.3">
      <c r="A1487" s="42"/>
    </row>
    <row r="1488" spans="1:1" x14ac:dyDescent="0.3">
      <c r="A1488" s="42"/>
    </row>
    <row r="1489" spans="1:1" x14ac:dyDescent="0.3">
      <c r="A1489" s="42"/>
    </row>
    <row r="1490" spans="1:1" x14ac:dyDescent="0.3">
      <c r="A1490" s="42"/>
    </row>
    <row r="1491" spans="1:1" x14ac:dyDescent="0.3">
      <c r="A1491" s="42"/>
    </row>
    <row r="1492" spans="1:1" x14ac:dyDescent="0.3">
      <c r="A1492" s="42"/>
    </row>
    <row r="1493" spans="1:1" x14ac:dyDescent="0.3">
      <c r="A1493" s="42"/>
    </row>
    <row r="1494" spans="1:1" x14ac:dyDescent="0.3">
      <c r="A1494" s="42"/>
    </row>
    <row r="1495" spans="1:1" x14ac:dyDescent="0.3">
      <c r="A1495" s="42"/>
    </row>
    <row r="1496" spans="1:1" x14ac:dyDescent="0.3">
      <c r="A1496" s="42"/>
    </row>
    <row r="1497" spans="1:1" x14ac:dyDescent="0.3">
      <c r="A1497" s="42"/>
    </row>
    <row r="1498" spans="1:1" x14ac:dyDescent="0.3">
      <c r="A1498" s="42"/>
    </row>
    <row r="1499" spans="1:1" x14ac:dyDescent="0.3">
      <c r="A1499" s="42"/>
    </row>
    <row r="1500" spans="1:1" x14ac:dyDescent="0.3">
      <c r="A1500" s="42"/>
    </row>
    <row r="1501" spans="1:1" x14ac:dyDescent="0.3">
      <c r="A1501" s="42"/>
    </row>
    <row r="1502" spans="1:1" x14ac:dyDescent="0.3">
      <c r="A1502" s="42"/>
    </row>
    <row r="1503" spans="1:1" x14ac:dyDescent="0.3">
      <c r="A1503" s="42"/>
    </row>
    <row r="1504" spans="1:1" x14ac:dyDescent="0.3">
      <c r="A1504" s="42"/>
    </row>
    <row r="1505" spans="1:1" x14ac:dyDescent="0.3">
      <c r="A1505" s="42"/>
    </row>
    <row r="1506" spans="1:1" x14ac:dyDescent="0.3">
      <c r="A1506" s="42"/>
    </row>
    <row r="1507" spans="1:1" x14ac:dyDescent="0.3">
      <c r="A1507" s="42"/>
    </row>
    <row r="1508" spans="1:1" x14ac:dyDescent="0.3">
      <c r="A1508" s="42"/>
    </row>
    <row r="1509" spans="1:1" x14ac:dyDescent="0.3">
      <c r="A1509" s="42"/>
    </row>
    <row r="1510" spans="1:1" x14ac:dyDescent="0.3">
      <c r="A1510" s="42"/>
    </row>
    <row r="1511" spans="1:1" x14ac:dyDescent="0.3">
      <c r="A1511" s="42"/>
    </row>
    <row r="1512" spans="1:1" x14ac:dyDescent="0.3">
      <c r="A1512" s="42"/>
    </row>
    <row r="1513" spans="1:1" x14ac:dyDescent="0.3">
      <c r="A1513" s="42"/>
    </row>
    <row r="1518" spans="1:1" x14ac:dyDescent="0.3">
      <c r="A1518" s="42"/>
    </row>
    <row r="1519" spans="1:1" x14ac:dyDescent="0.3">
      <c r="A1519" s="42"/>
    </row>
    <row r="1522" spans="1:1" x14ac:dyDescent="0.3">
      <c r="A1522" s="42"/>
    </row>
    <row r="1524" spans="1:1" x14ac:dyDescent="0.3">
      <c r="A1524" s="42"/>
    </row>
    <row r="1526" spans="1:1" x14ac:dyDescent="0.3">
      <c r="A1526" s="42"/>
    </row>
    <row r="1528" spans="1:1" x14ac:dyDescent="0.3">
      <c r="A1528" s="42"/>
    </row>
    <row r="1531" spans="1:1" x14ac:dyDescent="0.3">
      <c r="A1531" s="42"/>
    </row>
    <row r="1532" spans="1:1" x14ac:dyDescent="0.3">
      <c r="A1532" s="42"/>
    </row>
    <row r="1533" spans="1:1" x14ac:dyDescent="0.3">
      <c r="A1533" s="42"/>
    </row>
    <row r="1534" spans="1:1" x14ac:dyDescent="0.3">
      <c r="A1534" s="42"/>
    </row>
    <row r="1535" spans="1:1" x14ac:dyDescent="0.3">
      <c r="A1535" s="42"/>
    </row>
    <row r="1536" spans="1:1" x14ac:dyDescent="0.3">
      <c r="A1536" s="42"/>
    </row>
    <row r="1537" spans="1:1" x14ac:dyDescent="0.3">
      <c r="A1537" s="42"/>
    </row>
    <row r="1538" spans="1:1" x14ac:dyDescent="0.3">
      <c r="A1538" s="42"/>
    </row>
  </sheetData>
  <mergeCells count="5">
    <mergeCell ref="T622:AQ622"/>
    <mergeCell ref="T352:AQ352"/>
    <mergeCell ref="T418:AQ418"/>
    <mergeCell ref="T489:AQ489"/>
    <mergeCell ref="T555:AQ555"/>
  </mergeCells>
  <printOptions horizontalCentered="1"/>
  <pageMargins left="0.5" right="0.5" top="1" bottom="0.5" header="0" footer="0"/>
  <pageSetup scale="40" orientation="landscape" r:id="rId1"/>
  <headerFooter alignWithMargins="0"/>
  <rowBreaks count="1" manualBreakCount="1">
    <brk id="122" max="17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9">
    <pageSetUpPr fitToPage="1"/>
  </sheetPr>
  <dimension ref="A1:AA247"/>
  <sheetViews>
    <sheetView zoomScale="75" workbookViewId="0"/>
  </sheetViews>
  <sheetFormatPr defaultColWidth="8.9140625" defaultRowHeight="15" x14ac:dyDescent="0.25"/>
  <cols>
    <col min="1" max="1" width="4.25" style="1" customWidth="1"/>
    <col min="2" max="2" width="1" style="1" customWidth="1"/>
    <col min="3" max="3" width="17" style="1" customWidth="1"/>
    <col min="4" max="4" width="8.9140625" style="1"/>
    <col min="5" max="5" width="11.9140625" style="1" customWidth="1"/>
    <col min="6" max="6" width="12.33203125" style="1" customWidth="1"/>
    <col min="7" max="7" width="12" style="1" customWidth="1"/>
    <col min="8" max="8" width="12.9140625" style="1" bestFit="1" customWidth="1"/>
    <col min="9" max="9" width="10.58203125" style="1" customWidth="1"/>
    <col min="10" max="10" width="1.6640625" style="1" customWidth="1"/>
    <col min="11" max="11" width="11.33203125" style="1" bestFit="1" customWidth="1"/>
    <col min="12" max="12" width="9.75" style="1" bestFit="1" customWidth="1"/>
    <col min="13" max="14" width="11.08203125" style="1" customWidth="1"/>
    <col min="15" max="15" width="11.6640625" style="1" customWidth="1"/>
    <col min="16" max="16" width="12.4140625" style="1" bestFit="1" customWidth="1"/>
    <col min="17" max="17" width="17" style="1" bestFit="1" customWidth="1"/>
    <col min="18" max="18" width="9.6640625" style="1" customWidth="1"/>
    <col min="19" max="16384" width="8.9140625" style="1"/>
  </cols>
  <sheetData>
    <row r="1" spans="1:18" ht="15.6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ht="15.6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18" ht="15.6" x14ac:dyDescent="0.3">
      <c r="A3" s="40" t="s">
        <v>172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15.6" x14ac:dyDescent="0.3">
      <c r="A4" s="40" t="str">
        <f>SERVICE</f>
        <v>(ELECTRIC SERVICE)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18" ht="15.6" x14ac:dyDescent="0.3">
      <c r="A5" s="42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18" ht="15.6" x14ac:dyDescent="0.3">
      <c r="A6" s="41" t="str">
        <f>DATA_PERIOD</f>
        <v>DATA: ____ BASE PERIOD   __X__FORECASTED PERIOD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O6" s="41"/>
      <c r="P6" s="41"/>
      <c r="Q6" s="42" t="s">
        <v>173</v>
      </c>
      <c r="R6" s="41"/>
    </row>
    <row r="7" spans="1:18" ht="15.6" x14ac:dyDescent="0.3">
      <c r="A7" s="41" t="str">
        <f>TYPE</f>
        <v>TYPE OF FILING: _X_ ORIGINAL   ___UPDATED  ___ REVISED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2" t="s">
        <v>99</v>
      </c>
      <c r="R7" s="41"/>
    </row>
    <row r="8" spans="1:18" ht="15.6" x14ac:dyDescent="0.3">
      <c r="A8" s="42" t="s">
        <v>100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2" t="s">
        <v>3</v>
      </c>
      <c r="R8" s="41"/>
    </row>
    <row r="9" spans="1:18" ht="15.6" x14ac:dyDescent="0.3">
      <c r="A9" s="153" t="str">
        <f>TIME</f>
        <v>12 Months Projected with Riders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 t="str">
        <f>WIT</f>
        <v>B. L. Sailers</v>
      </c>
      <c r="R9" s="41"/>
    </row>
    <row r="10" spans="1:18" ht="15.75" customHeight="1" x14ac:dyDescent="0.3">
      <c r="A10" s="472" t="s">
        <v>428</v>
      </c>
      <c r="B10" s="472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72"/>
      <c r="P10" s="472"/>
      <c r="Q10" s="472"/>
      <c r="R10" s="472"/>
    </row>
    <row r="11" spans="1:18" ht="15.6" x14ac:dyDescent="0.3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</row>
    <row r="12" spans="1:18" ht="15.6" x14ac:dyDescent="0.3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</row>
    <row r="13" spans="1:18" ht="15.6" x14ac:dyDescent="0.3">
      <c r="A13" s="41"/>
      <c r="B13" s="41"/>
      <c r="C13" s="41"/>
      <c r="D13" s="41"/>
      <c r="E13" s="41"/>
      <c r="F13" s="12" t="s">
        <v>377</v>
      </c>
      <c r="G13" s="12"/>
      <c r="H13" s="12"/>
      <c r="I13" s="12"/>
      <c r="J13" s="40"/>
      <c r="K13" s="471" t="s">
        <v>360</v>
      </c>
      <c r="L13" s="471"/>
      <c r="M13" s="471"/>
      <c r="N13" s="471"/>
      <c r="O13" s="471"/>
      <c r="P13" s="44" t="s">
        <v>11</v>
      </c>
      <c r="Q13" s="44" t="s">
        <v>11</v>
      </c>
      <c r="R13" s="41"/>
    </row>
    <row r="14" spans="1:18" ht="17.100000000000001" customHeight="1" x14ac:dyDescent="0.3">
      <c r="A14" s="41"/>
      <c r="B14" s="41"/>
      <c r="C14" s="41"/>
      <c r="D14" s="44" t="s">
        <v>101</v>
      </c>
      <c r="E14" s="44" t="s">
        <v>101</v>
      </c>
      <c r="F14" s="41"/>
      <c r="G14" s="41"/>
      <c r="H14" s="44" t="s">
        <v>102</v>
      </c>
      <c r="I14" s="44" t="s">
        <v>103</v>
      </c>
      <c r="J14" s="44"/>
      <c r="K14" s="41"/>
      <c r="L14" s="41"/>
      <c r="O14" s="41"/>
      <c r="P14" s="44" t="s">
        <v>8</v>
      </c>
      <c r="Q14" s="44" t="s">
        <v>6</v>
      </c>
      <c r="R14" s="44" t="s">
        <v>103</v>
      </c>
    </row>
    <row r="15" spans="1:18" ht="15.6" x14ac:dyDescent="0.3">
      <c r="A15" s="41"/>
      <c r="B15" s="41"/>
      <c r="C15" s="41"/>
      <c r="D15" s="44" t="s">
        <v>104</v>
      </c>
      <c r="E15" s="44" t="s">
        <v>104</v>
      </c>
      <c r="F15" s="44" t="s">
        <v>8</v>
      </c>
      <c r="G15" s="44" t="s">
        <v>6</v>
      </c>
      <c r="H15" s="44" t="s">
        <v>105</v>
      </c>
      <c r="I15" s="44" t="s">
        <v>105</v>
      </c>
      <c r="J15" s="44"/>
      <c r="K15" s="44" t="s">
        <v>253</v>
      </c>
      <c r="L15" s="44" t="s">
        <v>253</v>
      </c>
      <c r="M15" s="44" t="s">
        <v>253</v>
      </c>
      <c r="N15" s="44" t="s">
        <v>253</v>
      </c>
      <c r="O15" s="44" t="s">
        <v>253</v>
      </c>
      <c r="P15" s="44" t="s">
        <v>107</v>
      </c>
      <c r="Q15" s="44" t="s">
        <v>107</v>
      </c>
      <c r="R15" s="44" t="s">
        <v>105</v>
      </c>
    </row>
    <row r="16" spans="1:18" ht="15.6" x14ac:dyDescent="0.3">
      <c r="A16" s="44" t="s">
        <v>17</v>
      </c>
      <c r="B16" s="41"/>
      <c r="C16" s="42" t="s">
        <v>18</v>
      </c>
      <c r="D16" s="44" t="s">
        <v>109</v>
      </c>
      <c r="E16" s="44" t="s">
        <v>110</v>
      </c>
      <c r="F16" s="46" t="s">
        <v>830</v>
      </c>
      <c r="G16" s="46" t="s">
        <v>830</v>
      </c>
      <c r="H16" s="141" t="s">
        <v>111</v>
      </c>
      <c r="I16" s="141" t="s">
        <v>112</v>
      </c>
      <c r="J16" s="44"/>
      <c r="K16" s="44" t="s">
        <v>362</v>
      </c>
      <c r="L16" s="46" t="s">
        <v>257</v>
      </c>
      <c r="M16" s="44" t="s">
        <v>534</v>
      </c>
      <c r="N16" s="44" t="s">
        <v>1036</v>
      </c>
      <c r="O16" s="46" t="s">
        <v>361</v>
      </c>
      <c r="P16" s="156" t="s">
        <v>1037</v>
      </c>
      <c r="Q16" s="156" t="s">
        <v>1038</v>
      </c>
      <c r="R16" s="156" t="s">
        <v>969</v>
      </c>
    </row>
    <row r="17" spans="1:24" ht="15.6" x14ac:dyDescent="0.3">
      <c r="A17" s="48" t="s">
        <v>22</v>
      </c>
      <c r="B17" s="47"/>
      <c r="C17" s="352" t="s">
        <v>23</v>
      </c>
      <c r="D17" s="137" t="s">
        <v>33</v>
      </c>
      <c r="E17" s="137" t="s">
        <v>34</v>
      </c>
      <c r="F17" s="137" t="s">
        <v>35</v>
      </c>
      <c r="G17" s="137" t="s">
        <v>36</v>
      </c>
      <c r="H17" s="137" t="s">
        <v>37</v>
      </c>
      <c r="I17" s="137" t="s">
        <v>38</v>
      </c>
      <c r="J17" s="137"/>
      <c r="K17" s="137" t="s">
        <v>39</v>
      </c>
      <c r="L17" s="137" t="s">
        <v>40</v>
      </c>
      <c r="M17" s="137" t="s">
        <v>1034</v>
      </c>
      <c r="N17" s="137" t="s">
        <v>1035</v>
      </c>
      <c r="O17" s="136" t="s">
        <v>42</v>
      </c>
      <c r="P17" s="136" t="s">
        <v>43</v>
      </c>
      <c r="Q17" s="136" t="s">
        <v>44</v>
      </c>
      <c r="R17" s="136" t="s">
        <v>45</v>
      </c>
    </row>
    <row r="18" spans="1:24" ht="15.6" x14ac:dyDescent="0.3">
      <c r="A18" s="41"/>
      <c r="B18" s="41"/>
      <c r="C18" s="41"/>
      <c r="D18" s="171" t="s">
        <v>118</v>
      </c>
      <c r="E18" s="171" t="s">
        <v>49</v>
      </c>
      <c r="F18" s="171" t="s">
        <v>50</v>
      </c>
      <c r="G18" s="171" t="s">
        <v>50</v>
      </c>
      <c r="H18" s="171" t="s">
        <v>50</v>
      </c>
      <c r="I18" s="171" t="s">
        <v>51</v>
      </c>
      <c r="J18" s="171"/>
      <c r="K18" s="171" t="s">
        <v>50</v>
      </c>
      <c r="L18" s="171" t="s">
        <v>50</v>
      </c>
      <c r="M18" s="171" t="s">
        <v>50</v>
      </c>
      <c r="N18" s="171" t="s">
        <v>50</v>
      </c>
      <c r="O18" s="171" t="s">
        <v>50</v>
      </c>
      <c r="P18" s="171" t="s">
        <v>50</v>
      </c>
      <c r="Q18" s="171" t="s">
        <v>50</v>
      </c>
      <c r="R18" s="171" t="s">
        <v>51</v>
      </c>
    </row>
    <row r="19" spans="1:24" ht="15.6" x14ac:dyDescent="0.3">
      <c r="A19" s="1">
        <v>1</v>
      </c>
      <c r="C19" s="42" t="s">
        <v>52</v>
      </c>
      <c r="D19" s="44"/>
      <c r="G19" s="7"/>
    </row>
    <row r="20" spans="1:24" x14ac:dyDescent="0.25">
      <c r="A20" s="1">
        <v>2</v>
      </c>
      <c r="D20" s="2" t="s">
        <v>119</v>
      </c>
      <c r="E20" s="3">
        <v>300</v>
      </c>
      <c r="F20" s="5">
        <f t="shared" ref="F20:F26" si="0">ROUND((E20*CUR_RS_ENERGY)+CUR_RS_CUST,2)+DSM_RS_CUST</f>
        <v>46.79</v>
      </c>
      <c r="G20" s="5">
        <f t="shared" ref="G20:G26" si="1">ROUND((E20*PRO_RS_ENERGY)+PRO_RS_CUST,2)+DSM_RS_CUST</f>
        <v>51.769999999999996</v>
      </c>
      <c r="H20" s="5">
        <f t="shared" ref="H20:H26" si="2">G20-F20</f>
        <v>4.9799999999999969</v>
      </c>
      <c r="I20" s="4">
        <f t="shared" ref="I20:I26" si="3">ROUND(H20/F20,3)*100</f>
        <v>10.6</v>
      </c>
      <c r="J20" s="4"/>
      <c r="K20" s="5">
        <f t="shared" ref="K20:K26" si="4">ROUND(E20*CUR_FAC,2)</f>
        <v>1.05</v>
      </c>
      <c r="L20" s="5">
        <f t="shared" ref="L20:L26" si="5">ROUND(E20*DSM_RES,2)</f>
        <v>0.41</v>
      </c>
      <c r="M20" s="5">
        <f t="shared" ref="M20:M26" si="6">ROUND((F20+$K20+$L20+$O20)*CUR_ESM,2)</f>
        <v>0.21</v>
      </c>
      <c r="N20" s="5">
        <f t="shared" ref="N20:N26" si="7">ROUND((G20+$K20+$L20+$O20)*PRO_ESM,2)</f>
        <v>0.2</v>
      </c>
      <c r="O20" s="5">
        <f t="shared" ref="O20:O26" si="8">ROUND(E20*RS_PSM,2)</f>
        <v>0.74</v>
      </c>
      <c r="P20" s="5">
        <f>F20+K20+L20+M20+O20</f>
        <v>49.199999999999996</v>
      </c>
      <c r="Q20" s="5">
        <f>G20+K20+L20+N20+O20</f>
        <v>54.169999999999995</v>
      </c>
      <c r="R20" s="4">
        <f t="shared" ref="R20:R26" si="9">ROUND((Q20-P20)/P20,3)*100</f>
        <v>10.100000000000001</v>
      </c>
      <c r="U20" s="5"/>
      <c r="V20" s="5"/>
    </row>
    <row r="21" spans="1:24" x14ac:dyDescent="0.25">
      <c r="A21" s="1">
        <v>3</v>
      </c>
      <c r="D21" s="2" t="s">
        <v>119</v>
      </c>
      <c r="E21" s="3">
        <v>400</v>
      </c>
      <c r="F21" s="5">
        <f t="shared" si="0"/>
        <v>57.959999999999994</v>
      </c>
      <c r="G21" s="5">
        <f t="shared" si="1"/>
        <v>64.010000000000005</v>
      </c>
      <c r="H21" s="5">
        <f t="shared" si="2"/>
        <v>6.0500000000000114</v>
      </c>
      <c r="I21" s="4">
        <f t="shared" si="3"/>
        <v>10.4</v>
      </c>
      <c r="J21" s="4"/>
      <c r="K21" s="5">
        <f t="shared" si="4"/>
        <v>1.39</v>
      </c>
      <c r="L21" s="5">
        <f t="shared" si="5"/>
        <v>0.54</v>
      </c>
      <c r="M21" s="5">
        <f t="shared" si="6"/>
        <v>0.26</v>
      </c>
      <c r="N21" s="5">
        <f t="shared" si="7"/>
        <v>0.25</v>
      </c>
      <c r="O21" s="5">
        <f t="shared" si="8"/>
        <v>0.99</v>
      </c>
      <c r="P21" s="5">
        <f t="shared" ref="P21:P26" si="10">F21+K21+L21+M21+O21</f>
        <v>61.139999999999993</v>
      </c>
      <c r="Q21" s="5">
        <f t="shared" ref="Q21:Q26" si="11">G21+K21+L21+N21+O21</f>
        <v>67.180000000000007</v>
      </c>
      <c r="R21" s="4">
        <f t="shared" si="9"/>
        <v>9.9</v>
      </c>
    </row>
    <row r="22" spans="1:24" x14ac:dyDescent="0.25">
      <c r="A22" s="1">
        <v>4</v>
      </c>
      <c r="D22" s="2" t="s">
        <v>119</v>
      </c>
      <c r="E22" s="3">
        <v>500</v>
      </c>
      <c r="F22" s="5">
        <f t="shared" si="0"/>
        <v>69.11999999999999</v>
      </c>
      <c r="G22" s="5">
        <f t="shared" si="1"/>
        <v>76.25</v>
      </c>
      <c r="H22" s="5">
        <f t="shared" si="2"/>
        <v>7.1300000000000097</v>
      </c>
      <c r="I22" s="4">
        <f t="shared" si="3"/>
        <v>10.299999999999999</v>
      </c>
      <c r="J22" s="4"/>
      <c r="K22" s="5">
        <f t="shared" si="4"/>
        <v>1.74</v>
      </c>
      <c r="L22" s="5">
        <f t="shared" si="5"/>
        <v>0.68</v>
      </c>
      <c r="M22" s="5">
        <f t="shared" si="6"/>
        <v>0.31</v>
      </c>
      <c r="N22" s="5">
        <f t="shared" si="7"/>
        <v>0.3</v>
      </c>
      <c r="O22" s="5">
        <f t="shared" si="8"/>
        <v>1.24</v>
      </c>
      <c r="P22" s="5">
        <f t="shared" si="10"/>
        <v>73.089999999999989</v>
      </c>
      <c r="Q22" s="5">
        <f t="shared" si="11"/>
        <v>80.209999999999994</v>
      </c>
      <c r="R22" s="4">
        <f t="shared" si="9"/>
        <v>9.7000000000000011</v>
      </c>
    </row>
    <row r="23" spans="1:24" x14ac:dyDescent="0.25">
      <c r="A23" s="1">
        <v>5</v>
      </c>
      <c r="D23" s="2" t="s">
        <v>119</v>
      </c>
      <c r="E23" s="3">
        <v>800</v>
      </c>
      <c r="F23" s="5">
        <f t="shared" si="0"/>
        <v>102.61</v>
      </c>
      <c r="G23" s="5">
        <f t="shared" si="1"/>
        <v>112.98</v>
      </c>
      <c r="H23" s="5">
        <f t="shared" si="2"/>
        <v>10.370000000000005</v>
      </c>
      <c r="I23" s="4">
        <f t="shared" si="3"/>
        <v>10.100000000000001</v>
      </c>
      <c r="J23" s="4"/>
      <c r="K23" s="5">
        <f t="shared" si="4"/>
        <v>2.79</v>
      </c>
      <c r="L23" s="5">
        <f t="shared" si="5"/>
        <v>1.08</v>
      </c>
      <c r="M23" s="5">
        <f>ROUND((F23+$K23+$L23+$O23)*CUR_ESM,2)</f>
        <v>0.46</v>
      </c>
      <c r="N23" s="5">
        <f t="shared" si="7"/>
        <v>0.45</v>
      </c>
      <c r="O23" s="5">
        <f t="shared" si="8"/>
        <v>1.98</v>
      </c>
      <c r="P23" s="5">
        <f>F23+K23+L23+M23+O23</f>
        <v>108.92</v>
      </c>
      <c r="Q23" s="5">
        <f t="shared" si="11"/>
        <v>119.28000000000002</v>
      </c>
      <c r="R23" s="4">
        <f t="shared" si="9"/>
        <v>9.5</v>
      </c>
      <c r="V23" s="1" t="s">
        <v>845</v>
      </c>
      <c r="W23" s="1" t="s">
        <v>1138</v>
      </c>
      <c r="X23" s="1" t="s">
        <v>1139</v>
      </c>
    </row>
    <row r="24" spans="1:24" x14ac:dyDescent="0.25">
      <c r="A24" s="1">
        <v>6</v>
      </c>
      <c r="D24" s="2" t="s">
        <v>119</v>
      </c>
      <c r="E24" s="3">
        <v>1000</v>
      </c>
      <c r="F24" s="5">
        <f>ROUND((E24*CUR_RS_ENERGY)+CUR_RS_CUST,2)+DSM_RS_CUST</f>
        <v>124.94</v>
      </c>
      <c r="G24" s="5">
        <f t="shared" si="1"/>
        <v>137.46</v>
      </c>
      <c r="H24" s="5">
        <f t="shared" si="2"/>
        <v>12.52000000000001</v>
      </c>
      <c r="I24" s="4">
        <f t="shared" si="3"/>
        <v>10</v>
      </c>
      <c r="J24" s="4"/>
      <c r="K24" s="5">
        <f t="shared" si="4"/>
        <v>3.49</v>
      </c>
      <c r="L24" s="5">
        <f t="shared" si="5"/>
        <v>1.35</v>
      </c>
      <c r="M24" s="5">
        <f>ROUND((F24+$K24+$L24+$O24)*CUR_ESM,2)</f>
        <v>0.56000000000000005</v>
      </c>
      <c r="N24" s="5">
        <f>ROUND((G24+$K24+$L24+$O24)*PRO_ESM,2)</f>
        <v>0.54</v>
      </c>
      <c r="O24" s="5">
        <f t="shared" si="8"/>
        <v>2.48</v>
      </c>
      <c r="P24" s="5">
        <f>F24+K24+L24+M24+O24</f>
        <v>132.82</v>
      </c>
      <c r="Q24" s="5">
        <f t="shared" si="11"/>
        <v>145.32</v>
      </c>
      <c r="R24" s="4">
        <f t="shared" si="9"/>
        <v>9.4</v>
      </c>
      <c r="S24" s="5">
        <f>Q24-P24</f>
        <v>12.5</v>
      </c>
      <c r="U24" s="353">
        <f>H24*(1+W26)</f>
        <v>12.511236000000009</v>
      </c>
      <c r="V24" s="1" t="s">
        <v>1140</v>
      </c>
      <c r="W24" s="354">
        <v>4.1999999999999997E-3</v>
      </c>
      <c r="X24" s="354">
        <v>6.4999999999999997E-3</v>
      </c>
    </row>
    <row r="25" spans="1:24" x14ac:dyDescent="0.25">
      <c r="A25" s="1">
        <v>7</v>
      </c>
      <c r="D25" s="2" t="s">
        <v>119</v>
      </c>
      <c r="E25" s="3">
        <v>1500</v>
      </c>
      <c r="F25" s="5">
        <f t="shared" si="0"/>
        <v>180.76000000000002</v>
      </c>
      <c r="G25" s="5">
        <f t="shared" si="1"/>
        <v>198.66000000000003</v>
      </c>
      <c r="H25" s="5">
        <f t="shared" si="2"/>
        <v>17.900000000000006</v>
      </c>
      <c r="I25" s="4">
        <f t="shared" si="3"/>
        <v>9.9</v>
      </c>
      <c r="J25" s="4"/>
      <c r="K25" s="5">
        <f t="shared" si="4"/>
        <v>5.23</v>
      </c>
      <c r="L25" s="5">
        <f t="shared" si="5"/>
        <v>2.0299999999999998</v>
      </c>
      <c r="M25" s="5">
        <f t="shared" si="6"/>
        <v>0.81</v>
      </c>
      <c r="N25" s="5">
        <f t="shared" si="7"/>
        <v>0.79</v>
      </c>
      <c r="O25" s="5">
        <f t="shared" si="8"/>
        <v>3.71</v>
      </c>
      <c r="P25" s="5">
        <f t="shared" si="10"/>
        <v>192.54000000000002</v>
      </c>
      <c r="Q25" s="5">
        <f t="shared" si="11"/>
        <v>210.42000000000002</v>
      </c>
      <c r="R25" s="4">
        <f t="shared" si="9"/>
        <v>9.3000000000000007</v>
      </c>
      <c r="V25" s="1" t="s">
        <v>1141</v>
      </c>
      <c r="W25" s="354">
        <v>3.5000000000000001E-3</v>
      </c>
      <c r="X25" s="354">
        <v>5.4999999999999997E-3</v>
      </c>
    </row>
    <row r="26" spans="1:24" x14ac:dyDescent="0.25">
      <c r="A26" s="1">
        <v>8</v>
      </c>
      <c r="D26" s="2" t="s">
        <v>119</v>
      </c>
      <c r="E26" s="3">
        <v>2000</v>
      </c>
      <c r="F26" s="5">
        <f t="shared" si="0"/>
        <v>236.58</v>
      </c>
      <c r="G26" s="5">
        <f t="shared" si="1"/>
        <v>259.87</v>
      </c>
      <c r="H26" s="5">
        <f t="shared" si="2"/>
        <v>23.289999999999992</v>
      </c>
      <c r="I26" s="4">
        <f t="shared" si="3"/>
        <v>9.8000000000000007</v>
      </c>
      <c r="J26" s="4"/>
      <c r="K26" s="5">
        <f t="shared" si="4"/>
        <v>6.97</v>
      </c>
      <c r="L26" s="5">
        <f t="shared" si="5"/>
        <v>2.7</v>
      </c>
      <c r="M26" s="5">
        <f t="shared" si="6"/>
        <v>1.06</v>
      </c>
      <c r="N26" s="5">
        <f t="shared" si="7"/>
        <v>1.03</v>
      </c>
      <c r="O26" s="5">
        <f t="shared" si="8"/>
        <v>4.95</v>
      </c>
      <c r="P26" s="5">
        <f t="shared" si="10"/>
        <v>252.26</v>
      </c>
      <c r="Q26" s="5">
        <f t="shared" si="11"/>
        <v>275.52</v>
      </c>
      <c r="R26" s="4">
        <f t="shared" si="9"/>
        <v>9.1999999999999993</v>
      </c>
      <c r="U26" s="5">
        <f>S24-H24</f>
        <v>-2.0000000000010232E-2</v>
      </c>
      <c r="V26" s="1" t="s">
        <v>1142</v>
      </c>
      <c r="W26" s="355">
        <f>W25-W24</f>
        <v>-6.9999999999999967E-4</v>
      </c>
      <c r="X26" s="355">
        <f>X25-X24</f>
        <v>-1E-3</v>
      </c>
    </row>
    <row r="27" spans="1:24" x14ac:dyDescent="0.25">
      <c r="G27" s="7"/>
      <c r="H27" s="5"/>
      <c r="I27" s="4"/>
      <c r="J27" s="4"/>
      <c r="K27" s="5"/>
      <c r="L27" s="5"/>
      <c r="M27" s="5"/>
      <c r="N27" s="5"/>
      <c r="O27" s="5"/>
      <c r="P27" s="5"/>
      <c r="Q27" s="5"/>
      <c r="R27" s="4"/>
    </row>
    <row r="28" spans="1:24" ht="15.6" x14ac:dyDescent="0.3">
      <c r="C28" s="42" t="str">
        <f>"(1) REFLECTS DSM HEA RIDER  OF "&amp;TEXT(DSM_RS_CUST,"$0.00;($0.00)")&amp;" PER BILL."</f>
        <v>(1) REFLECTS DSM HEA RIDER  OF $0.30 PER BILL.</v>
      </c>
      <c r="D28" s="2"/>
      <c r="E28" s="3"/>
      <c r="F28" s="5"/>
      <c r="G28" s="5"/>
      <c r="H28" s="5"/>
      <c r="I28" s="4"/>
      <c r="J28" s="4"/>
      <c r="K28" s="5"/>
      <c r="L28" s="5"/>
      <c r="M28" s="5"/>
      <c r="N28" s="5"/>
      <c r="O28" s="5"/>
      <c r="P28" s="5"/>
      <c r="Q28" s="5"/>
      <c r="R28" s="4"/>
    </row>
    <row r="29" spans="1:24" ht="15.6" x14ac:dyDescent="0.3">
      <c r="C29" s="42" t="str">
        <f>"(2) REFLECTS FUEL ADJUSTMENT CLAUSE (FAC) OF "&amp;TEXT(CUR_FAC,"$0.000000;($0.000000)")&amp;" PER KWH."</f>
        <v>(2) REFLECTS FUEL ADJUSTMENT CLAUSE (FAC) OF $0.003487 PER KWH.</v>
      </c>
      <c r="G29" s="7"/>
      <c r="H29" s="5"/>
      <c r="I29" s="4"/>
      <c r="J29" s="4"/>
      <c r="K29" s="5"/>
      <c r="L29" s="5"/>
      <c r="M29" s="5"/>
      <c r="N29" s="5"/>
      <c r="O29" s="5"/>
      <c r="P29" s="7"/>
      <c r="Q29" s="7"/>
      <c r="R29" s="4"/>
    </row>
    <row r="30" spans="1:24" ht="15.6" x14ac:dyDescent="0.3">
      <c r="C30" s="42" t="str">
        <f>"(3) RIDER DSMR "&amp;TEXT(DSM_RES,"$0.000000")&amp;"  PER KWH."</f>
        <v>(3) RIDER DSMR $0.001352  PER KWH.</v>
      </c>
      <c r="H30" s="5"/>
      <c r="K30" s="5"/>
      <c r="L30" s="5"/>
      <c r="M30" s="5"/>
      <c r="N30" s="5"/>
      <c r="O30" s="5"/>
    </row>
    <row r="31" spans="1:24" ht="15.6" x14ac:dyDescent="0.3">
      <c r="C31" s="42" t="str">
        <f>"(4) RIDER ESM "&amp;TEXT(CUR_ESM,"#0.00%")&amp;"  OF TOTAL CURRENT BILL."</f>
        <v>(4) RIDER ESM 0.42%  OF TOTAL CURRENT BILL.</v>
      </c>
      <c r="H31" s="5"/>
      <c r="K31" s="5"/>
      <c r="L31" s="5"/>
      <c r="M31" s="5"/>
      <c r="N31" s="5"/>
      <c r="O31" s="5"/>
    </row>
    <row r="32" spans="1:24" ht="15.6" x14ac:dyDescent="0.3">
      <c r="C32" s="42" t="str">
        <f>"(5) RIDER PSM "&amp;TEXT(RS_PSM,"$0.000000;($0.000000)")&amp;"  PER KWH."</f>
        <v>(5) RIDER PSM $0.002475  PER KWH.</v>
      </c>
      <c r="H32" s="5"/>
      <c r="K32" s="5"/>
      <c r="L32" s="5"/>
      <c r="M32" s="5"/>
      <c r="N32" s="5"/>
      <c r="O32" s="5"/>
    </row>
    <row r="33" spans="1:18" ht="15.6" x14ac:dyDescent="0.3">
      <c r="C33" s="42" t="str">
        <f>"(6) REFLECTS FUEL COST RECOVERY INCLUDED IN BASE RATES OF "&amp;TEXT(CUR_BASE_FUEL,"$0.000000;($0.000000)")&amp;"  PER KWH."</f>
        <v>(6) REFLECTS FUEL COST RECOVERY INCLUDED IN BASE RATES OF $0.033780  PER KWH.</v>
      </c>
      <c r="H33" s="5"/>
      <c r="K33" s="5"/>
      <c r="L33" s="5"/>
      <c r="M33" s="5"/>
      <c r="N33" s="5"/>
      <c r="O33" s="5"/>
    </row>
    <row r="34" spans="1:18" ht="15.6" x14ac:dyDescent="0.3">
      <c r="C34" s="42" t="str">
        <f>"(7) RIDER ESM "&amp;TEXT(PRO_ESM,"#0.00%")&amp;"  OF TOTAL PROPOSED BILL."</f>
        <v>(7) RIDER ESM 0.38%  OF TOTAL PROPOSED BILL.</v>
      </c>
      <c r="H34" s="5"/>
      <c r="K34" s="5"/>
      <c r="L34" s="5"/>
      <c r="M34" s="5"/>
      <c r="N34" s="5"/>
      <c r="O34" s="5"/>
    </row>
    <row r="35" spans="1:18" ht="15.6" x14ac:dyDescent="0.3">
      <c r="A35" s="40" t="str">
        <f>NAME</f>
        <v>DUKE ENERGY KENTUCKY, INC.</v>
      </c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</row>
    <row r="36" spans="1:18" ht="15.6" x14ac:dyDescent="0.3">
      <c r="A36" s="40" t="str">
        <f>CASE_NO</f>
        <v>CASE NO.   2024-00354</v>
      </c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</row>
    <row r="37" spans="1:18" ht="15.6" x14ac:dyDescent="0.3">
      <c r="A37" s="40" t="s">
        <v>172</v>
      </c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</row>
    <row r="38" spans="1:18" ht="15.6" x14ac:dyDescent="0.3">
      <c r="A38" s="40" t="str">
        <f>SERVICE</f>
        <v>(ELECTRIC SERVICE)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</row>
    <row r="39" spans="1:18" ht="15.6" x14ac:dyDescent="0.3">
      <c r="A39" s="42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</row>
    <row r="40" spans="1:18" ht="15.6" x14ac:dyDescent="0.3">
      <c r="A40" s="41" t="str">
        <f>DATA_PERIOD</f>
        <v>DATA: ____ BASE PERIOD   __X__FORECASTED PERIOD</v>
      </c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2" t="s">
        <v>173</v>
      </c>
      <c r="R40" s="41"/>
    </row>
    <row r="41" spans="1:18" ht="15.6" x14ac:dyDescent="0.3">
      <c r="A41" s="41" t="str">
        <f>TYPE</f>
        <v>TYPE OF FILING: _X_ ORIGINAL   ___UPDATED  ___ REVISED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2" t="s">
        <v>121</v>
      </c>
      <c r="R41" s="41"/>
    </row>
    <row r="42" spans="1:18" ht="15.6" x14ac:dyDescent="0.3">
      <c r="A42" s="42" t="s">
        <v>100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2" t="s">
        <v>3</v>
      </c>
      <c r="R42" s="41"/>
    </row>
    <row r="43" spans="1:18" ht="15.6" x14ac:dyDescent="0.3">
      <c r="A43" s="153" t="str">
        <f>TIME</f>
        <v>12 Months Projected with Riders</v>
      </c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 t="str">
        <f>WIT</f>
        <v>B. L. Sailers</v>
      </c>
      <c r="R43" s="41"/>
    </row>
    <row r="44" spans="1:18" ht="15.6" x14ac:dyDescent="0.3">
      <c r="A44" s="472" t="s">
        <v>428</v>
      </c>
      <c r="B44" s="472"/>
      <c r="C44" s="472"/>
      <c r="D44" s="472"/>
      <c r="E44" s="472"/>
      <c r="F44" s="472"/>
      <c r="G44" s="472"/>
      <c r="H44" s="472"/>
      <c r="I44" s="472"/>
      <c r="J44" s="472"/>
      <c r="K44" s="472"/>
      <c r="L44" s="472"/>
      <c r="M44" s="472"/>
      <c r="N44" s="472"/>
      <c r="O44" s="472"/>
      <c r="P44" s="472"/>
      <c r="Q44" s="472"/>
      <c r="R44" s="472"/>
    </row>
    <row r="45" spans="1:18" ht="15.6" x14ac:dyDescent="0.3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</row>
    <row r="46" spans="1:18" ht="15.6" x14ac:dyDescent="0.3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</row>
    <row r="47" spans="1:18" ht="15.6" x14ac:dyDescent="0.3">
      <c r="A47" s="41"/>
      <c r="B47" s="41"/>
      <c r="C47" s="41"/>
      <c r="D47" s="41"/>
      <c r="E47" s="41"/>
      <c r="F47" s="12" t="s">
        <v>377</v>
      </c>
      <c r="G47" s="12"/>
      <c r="H47" s="12"/>
      <c r="I47" s="12"/>
      <c r="J47" s="40"/>
      <c r="K47" s="471" t="s">
        <v>360</v>
      </c>
      <c r="L47" s="471"/>
      <c r="M47" s="471"/>
      <c r="N47" s="471"/>
      <c r="O47" s="471"/>
      <c r="P47" s="44" t="s">
        <v>11</v>
      </c>
      <c r="Q47" s="44" t="s">
        <v>11</v>
      </c>
      <c r="R47" s="41"/>
    </row>
    <row r="48" spans="1:18" ht="17.100000000000001" customHeight="1" x14ac:dyDescent="0.3">
      <c r="A48" s="41"/>
      <c r="B48" s="41"/>
      <c r="C48" s="41"/>
      <c r="D48" s="44" t="s">
        <v>101</v>
      </c>
      <c r="E48" s="44" t="s">
        <v>101</v>
      </c>
      <c r="F48" s="41"/>
      <c r="G48" s="41"/>
      <c r="H48" s="44" t="s">
        <v>102</v>
      </c>
      <c r="I48" s="44" t="s">
        <v>103</v>
      </c>
      <c r="J48" s="44"/>
      <c r="K48" s="41"/>
      <c r="L48" s="41"/>
      <c r="O48" s="41"/>
      <c r="P48" s="44" t="s">
        <v>8</v>
      </c>
      <c r="Q48" s="44" t="s">
        <v>6</v>
      </c>
      <c r="R48" s="44" t="s">
        <v>103</v>
      </c>
    </row>
    <row r="49" spans="1:21" ht="15.6" x14ac:dyDescent="0.3">
      <c r="A49" s="41"/>
      <c r="B49" s="41"/>
      <c r="C49" s="41"/>
      <c r="D49" s="44" t="s">
        <v>104</v>
      </c>
      <c r="E49" s="44" t="s">
        <v>104</v>
      </c>
      <c r="F49" s="44" t="s">
        <v>8</v>
      </c>
      <c r="G49" s="44" t="s">
        <v>6</v>
      </c>
      <c r="H49" s="44" t="s">
        <v>105</v>
      </c>
      <c r="I49" s="44" t="s">
        <v>105</v>
      </c>
      <c r="J49" s="44"/>
      <c r="K49" s="44" t="s">
        <v>253</v>
      </c>
      <c r="L49" s="44" t="s">
        <v>253</v>
      </c>
      <c r="M49" s="44" t="s">
        <v>253</v>
      </c>
      <c r="N49" s="44" t="s">
        <v>253</v>
      </c>
      <c r="O49" s="44" t="s">
        <v>253</v>
      </c>
      <c r="P49" s="44" t="s">
        <v>107</v>
      </c>
      <c r="Q49" s="44" t="s">
        <v>107</v>
      </c>
      <c r="R49" s="44" t="s">
        <v>105</v>
      </c>
    </row>
    <row r="50" spans="1:21" ht="15.6" x14ac:dyDescent="0.3">
      <c r="A50" s="44" t="s">
        <v>17</v>
      </c>
      <c r="B50" s="41"/>
      <c r="C50" s="42" t="s">
        <v>18</v>
      </c>
      <c r="D50" s="44" t="s">
        <v>109</v>
      </c>
      <c r="E50" s="44" t="s">
        <v>110</v>
      </c>
      <c r="F50" s="46" t="s">
        <v>1042</v>
      </c>
      <c r="G50" s="46" t="s">
        <v>1042</v>
      </c>
      <c r="H50" s="141" t="s">
        <v>111</v>
      </c>
      <c r="I50" s="141" t="s">
        <v>112</v>
      </c>
      <c r="J50" s="44"/>
      <c r="K50" s="44" t="s">
        <v>358</v>
      </c>
      <c r="L50" s="46" t="s">
        <v>256</v>
      </c>
      <c r="M50" s="46" t="s">
        <v>536</v>
      </c>
      <c r="N50" s="44" t="s">
        <v>1039</v>
      </c>
      <c r="O50" s="46" t="s">
        <v>832</v>
      </c>
      <c r="P50" s="156" t="s">
        <v>1037</v>
      </c>
      <c r="Q50" s="156" t="s">
        <v>1038</v>
      </c>
      <c r="R50" s="156" t="s">
        <v>969</v>
      </c>
    </row>
    <row r="51" spans="1:21" ht="15.6" x14ac:dyDescent="0.3">
      <c r="A51" s="48" t="s">
        <v>22</v>
      </c>
      <c r="B51" s="47"/>
      <c r="C51" s="352" t="s">
        <v>23</v>
      </c>
      <c r="D51" s="137" t="s">
        <v>33</v>
      </c>
      <c r="E51" s="137" t="s">
        <v>34</v>
      </c>
      <c r="F51" s="137" t="s">
        <v>35</v>
      </c>
      <c r="G51" s="137" t="s">
        <v>36</v>
      </c>
      <c r="H51" s="137" t="s">
        <v>37</v>
      </c>
      <c r="I51" s="137" t="s">
        <v>38</v>
      </c>
      <c r="J51" s="137"/>
      <c r="K51" s="137" t="s">
        <v>39</v>
      </c>
      <c r="L51" s="137" t="s">
        <v>40</v>
      </c>
      <c r="M51" s="137" t="s">
        <v>1034</v>
      </c>
      <c r="N51" s="137" t="s">
        <v>1035</v>
      </c>
      <c r="O51" s="136" t="s">
        <v>42</v>
      </c>
      <c r="P51" s="136" t="s">
        <v>43</v>
      </c>
      <c r="Q51" s="136" t="s">
        <v>44</v>
      </c>
      <c r="R51" s="136" t="s">
        <v>45</v>
      </c>
    </row>
    <row r="52" spans="1:21" ht="15.6" x14ac:dyDescent="0.3">
      <c r="A52" s="41"/>
      <c r="B52" s="41"/>
      <c r="C52" s="41"/>
      <c r="D52" s="171" t="s">
        <v>118</v>
      </c>
      <c r="E52" s="171" t="s">
        <v>49</v>
      </c>
      <c r="F52" s="171" t="s">
        <v>50</v>
      </c>
      <c r="G52" s="171" t="s">
        <v>50</v>
      </c>
      <c r="H52" s="171" t="s">
        <v>50</v>
      </c>
      <c r="I52" s="171" t="s">
        <v>51</v>
      </c>
      <c r="J52" s="171"/>
      <c r="K52" s="171" t="s">
        <v>50</v>
      </c>
      <c r="L52" s="171" t="s">
        <v>50</v>
      </c>
      <c r="M52" s="171" t="s">
        <v>50</v>
      </c>
      <c r="N52" s="171" t="s">
        <v>50</v>
      </c>
      <c r="O52" s="171" t="s">
        <v>50</v>
      </c>
      <c r="P52" s="171" t="s">
        <v>50</v>
      </c>
      <c r="Q52" s="171" t="s">
        <v>50</v>
      </c>
      <c r="R52" s="171" t="s">
        <v>51</v>
      </c>
    </row>
    <row r="53" spans="1:21" ht="15.6" x14ac:dyDescent="0.3">
      <c r="A53" s="1">
        <v>1</v>
      </c>
      <c r="C53" s="42" t="s">
        <v>91</v>
      </c>
      <c r="D53" s="1">
        <v>5</v>
      </c>
      <c r="E53" s="3">
        <v>2000</v>
      </c>
      <c r="F53" s="5">
        <f>'BILL CALC'!I21</f>
        <v>259.58000000000004</v>
      </c>
      <c r="G53" s="5">
        <f>'BILL CALC'!R21</f>
        <v>276.05</v>
      </c>
      <c r="H53" s="5">
        <f t="shared" ref="H53:H73" si="12">G53-F53</f>
        <v>16.46999999999997</v>
      </c>
      <c r="I53" s="6">
        <f t="shared" ref="I53:I73" si="13">ROUND(H53/F53,3)*100</f>
        <v>6.3</v>
      </c>
      <c r="J53" s="6"/>
      <c r="K53" s="5">
        <f t="shared" ref="K53:K73" si="14">ROUND(E53*CUR_FAC,2)</f>
        <v>6.97</v>
      </c>
      <c r="L53" s="5">
        <f t="shared" ref="L53:L73" si="15">ROUND(E53*DSM_DIST,2)</f>
        <v>7.01</v>
      </c>
      <c r="M53" s="5">
        <f t="shared" ref="M53:M73" si="16">ROUND((F53+$L53+$O53-PRO_BASE_FUEL*$E53)*CUR_ESM_NonRes,2)</f>
        <v>1.32</v>
      </c>
      <c r="N53" s="5">
        <f t="shared" ref="N53:N73" si="17">ROUND((G53+$L53+$O53-PRO_BASE_FUEL*$E53)*PRO_ESM_NONRES,2)</f>
        <v>1.28</v>
      </c>
      <c r="O53" s="5">
        <f t="shared" ref="O53:O73" si="18">ROUND(E53*RS_PSM,2)</f>
        <v>4.95</v>
      </c>
      <c r="P53" s="5">
        <f>F53+K53+L53+M53+O53</f>
        <v>279.83000000000004</v>
      </c>
      <c r="Q53" s="5">
        <f>G53+K53+L53+N53+O53</f>
        <v>296.26</v>
      </c>
      <c r="R53" s="4">
        <f>ROUND((Q53-P53)/P53,3)*100</f>
        <v>5.8999999999999995</v>
      </c>
    </row>
    <row r="54" spans="1:21" x14ac:dyDescent="0.25">
      <c r="A54" s="1">
        <v>2</v>
      </c>
      <c r="D54" s="1">
        <v>10</v>
      </c>
      <c r="E54" s="3">
        <v>4000</v>
      </c>
      <c r="F54" s="5">
        <f>'BILL CALC'!I22</f>
        <v>489.15</v>
      </c>
      <c r="G54" s="5">
        <f>'BILL CALC'!R22</f>
        <v>522.11</v>
      </c>
      <c r="H54" s="5">
        <f t="shared" si="12"/>
        <v>32.960000000000036</v>
      </c>
      <c r="I54" s="6">
        <f t="shared" si="13"/>
        <v>6.7</v>
      </c>
      <c r="J54" s="6"/>
      <c r="K54" s="5">
        <f t="shared" si="14"/>
        <v>13.95</v>
      </c>
      <c r="L54" s="5">
        <f t="shared" si="15"/>
        <v>14.01</v>
      </c>
      <c r="M54" s="5">
        <f t="shared" si="16"/>
        <v>2.4500000000000002</v>
      </c>
      <c r="N54" s="5">
        <f t="shared" si="17"/>
        <v>2.38</v>
      </c>
      <c r="O54" s="5">
        <f t="shared" si="18"/>
        <v>9.9</v>
      </c>
      <c r="P54" s="5">
        <f t="shared" ref="P54:P73" si="19">F54+K54+L54+M54+O54</f>
        <v>529.46</v>
      </c>
      <c r="Q54" s="5">
        <f t="shared" ref="Q54:Q73" si="20">G54+K54+L54+N54+O54</f>
        <v>562.35</v>
      </c>
      <c r="R54" s="4">
        <f>ROUND((Q54-P54)/P54,3)*100</f>
        <v>6.2</v>
      </c>
    </row>
    <row r="55" spans="1:21" x14ac:dyDescent="0.25">
      <c r="A55" s="1">
        <v>3</v>
      </c>
      <c r="D55" s="1">
        <v>10</v>
      </c>
      <c r="E55" s="3">
        <v>6000</v>
      </c>
      <c r="F55" s="5">
        <f>'BILL CALC'!I23</f>
        <v>718.73</v>
      </c>
      <c r="G55" s="5">
        <f>'BILL CALC'!R23</f>
        <v>768.16</v>
      </c>
      <c r="H55" s="5">
        <f t="shared" si="12"/>
        <v>49.42999999999995</v>
      </c>
      <c r="I55" s="6">
        <f t="shared" si="13"/>
        <v>6.9</v>
      </c>
      <c r="J55" s="6"/>
      <c r="K55" s="5">
        <f t="shared" si="14"/>
        <v>20.92</v>
      </c>
      <c r="L55" s="5">
        <f t="shared" si="15"/>
        <v>21.02</v>
      </c>
      <c r="M55" s="5">
        <f t="shared" si="16"/>
        <v>3.58</v>
      </c>
      <c r="N55" s="5">
        <f t="shared" si="17"/>
        <v>3.49</v>
      </c>
      <c r="O55" s="5">
        <f t="shared" si="18"/>
        <v>14.85</v>
      </c>
      <c r="P55" s="5">
        <f t="shared" si="19"/>
        <v>779.1</v>
      </c>
      <c r="Q55" s="5">
        <f t="shared" si="20"/>
        <v>828.43999999999994</v>
      </c>
      <c r="R55" s="6">
        <f t="shared" ref="R55:R73" si="21">ROUND((Q55-P55)/P55,3)*100</f>
        <v>6.3</v>
      </c>
    </row>
    <row r="56" spans="1:21" x14ac:dyDescent="0.25">
      <c r="A56" s="1">
        <v>4</v>
      </c>
      <c r="D56" s="1">
        <v>30</v>
      </c>
      <c r="E56" s="3">
        <v>6000</v>
      </c>
      <c r="F56" s="5">
        <f>'BILL CALC'!I24</f>
        <v>878.93000000000006</v>
      </c>
      <c r="G56" s="5">
        <f>'BILL CALC'!R24</f>
        <v>962.71</v>
      </c>
      <c r="H56" s="5">
        <f t="shared" si="12"/>
        <v>83.779999999999973</v>
      </c>
      <c r="I56" s="6">
        <f t="shared" si="13"/>
        <v>9.5</v>
      </c>
      <c r="J56" s="6"/>
      <c r="K56" s="5">
        <f t="shared" si="14"/>
        <v>20.92</v>
      </c>
      <c r="L56" s="5">
        <f t="shared" si="15"/>
        <v>21.02</v>
      </c>
      <c r="M56" s="5">
        <f t="shared" si="16"/>
        <v>4.62</v>
      </c>
      <c r="N56" s="5">
        <f t="shared" si="17"/>
        <v>4.62</v>
      </c>
      <c r="O56" s="5">
        <f t="shared" si="18"/>
        <v>14.85</v>
      </c>
      <c r="P56" s="5">
        <f t="shared" si="19"/>
        <v>940.34</v>
      </c>
      <c r="Q56" s="5">
        <f t="shared" si="20"/>
        <v>1024.1199999999999</v>
      </c>
      <c r="R56" s="6">
        <f t="shared" si="21"/>
        <v>8.9</v>
      </c>
    </row>
    <row r="57" spans="1:21" x14ac:dyDescent="0.25">
      <c r="A57" s="1">
        <v>5</v>
      </c>
      <c r="D57" s="1">
        <v>30</v>
      </c>
      <c r="E57" s="3">
        <v>9000</v>
      </c>
      <c r="F57" s="5">
        <f>'BILL CALC'!I25</f>
        <v>1102.79</v>
      </c>
      <c r="G57" s="5">
        <f>'BILL CALC'!R25</f>
        <v>1211.27</v>
      </c>
      <c r="H57" s="5">
        <f t="shared" si="12"/>
        <v>108.48000000000002</v>
      </c>
      <c r="I57" s="6">
        <f t="shared" si="13"/>
        <v>9.8000000000000007</v>
      </c>
      <c r="J57" s="6"/>
      <c r="K57" s="5">
        <f t="shared" si="14"/>
        <v>31.38</v>
      </c>
      <c r="L57" s="5">
        <f t="shared" si="15"/>
        <v>31.53</v>
      </c>
      <c r="M57" s="5">
        <f t="shared" si="16"/>
        <v>5.54</v>
      </c>
      <c r="N57" s="5">
        <f t="shared" si="17"/>
        <v>5.57</v>
      </c>
      <c r="O57" s="5">
        <f t="shared" si="18"/>
        <v>22.28</v>
      </c>
      <c r="P57" s="5">
        <f t="shared" si="19"/>
        <v>1193.52</v>
      </c>
      <c r="Q57" s="5">
        <f t="shared" si="20"/>
        <v>1302.03</v>
      </c>
      <c r="R57" s="6">
        <f t="shared" si="21"/>
        <v>9.1</v>
      </c>
      <c r="S57" s="5">
        <f>Q57-P57</f>
        <v>108.50999999999999</v>
      </c>
      <c r="U57" s="353">
        <f>H57*(1+X26)</f>
        <v>108.37152000000002</v>
      </c>
    </row>
    <row r="58" spans="1:21" x14ac:dyDescent="0.25">
      <c r="A58" s="1">
        <v>6</v>
      </c>
      <c r="D58" s="1">
        <v>30</v>
      </c>
      <c r="E58" s="3">
        <v>12000</v>
      </c>
      <c r="F58" s="5">
        <f>'BILL CALC'!I26</f>
        <v>1326.64</v>
      </c>
      <c r="G58" s="5">
        <f>'BILL CALC'!R26</f>
        <v>1459.83</v>
      </c>
      <c r="H58" s="5">
        <f t="shared" si="12"/>
        <v>133.18999999999983</v>
      </c>
      <c r="I58" s="6">
        <f t="shared" si="13"/>
        <v>10</v>
      </c>
      <c r="J58" s="6"/>
      <c r="K58" s="5">
        <f t="shared" si="14"/>
        <v>41.85</v>
      </c>
      <c r="L58" s="5">
        <f t="shared" si="15"/>
        <v>42.04</v>
      </c>
      <c r="M58" s="5">
        <f t="shared" si="16"/>
        <v>6.45</v>
      </c>
      <c r="N58" s="5">
        <f t="shared" si="17"/>
        <v>6.53</v>
      </c>
      <c r="O58" s="5">
        <f t="shared" si="18"/>
        <v>29.7</v>
      </c>
      <c r="P58" s="5">
        <f t="shared" si="19"/>
        <v>1446.68</v>
      </c>
      <c r="Q58" s="5">
        <f t="shared" si="20"/>
        <v>1579.9499999999998</v>
      </c>
      <c r="R58" s="6">
        <f t="shared" si="21"/>
        <v>9.1999999999999993</v>
      </c>
    </row>
    <row r="59" spans="1:21" x14ac:dyDescent="0.25">
      <c r="A59" s="1">
        <v>7</v>
      </c>
      <c r="D59" s="1">
        <v>50</v>
      </c>
      <c r="E59" s="3">
        <v>10000</v>
      </c>
      <c r="F59" s="5">
        <f>'BILL CALC'!I27</f>
        <v>1391.01</v>
      </c>
      <c r="G59" s="5">
        <f>'BILL CALC'!R27</f>
        <v>1553.53</v>
      </c>
      <c r="H59" s="5">
        <f t="shared" si="12"/>
        <v>162.51999999999998</v>
      </c>
      <c r="I59" s="6">
        <f t="shared" si="13"/>
        <v>11.700000000000001</v>
      </c>
      <c r="J59" s="6"/>
      <c r="K59" s="5">
        <f t="shared" si="14"/>
        <v>34.869999999999997</v>
      </c>
      <c r="L59" s="5">
        <f t="shared" si="15"/>
        <v>35.03</v>
      </c>
      <c r="M59" s="5">
        <f t="shared" si="16"/>
        <v>7.23</v>
      </c>
      <c r="N59" s="5">
        <f t="shared" si="17"/>
        <v>7.4</v>
      </c>
      <c r="O59" s="5">
        <f t="shared" si="18"/>
        <v>24.75</v>
      </c>
      <c r="P59" s="5">
        <f t="shared" si="19"/>
        <v>1492.8899999999999</v>
      </c>
      <c r="Q59" s="5">
        <f t="shared" si="20"/>
        <v>1655.58</v>
      </c>
      <c r="R59" s="6">
        <f t="shared" si="21"/>
        <v>10.9</v>
      </c>
    </row>
    <row r="60" spans="1:21" x14ac:dyDescent="0.25">
      <c r="A60" s="1">
        <v>8</v>
      </c>
      <c r="D60" s="1">
        <v>50</v>
      </c>
      <c r="E60" s="3">
        <v>15000</v>
      </c>
      <c r="F60" s="5">
        <f>'BILL CALC'!I28</f>
        <v>1764.1</v>
      </c>
      <c r="G60" s="5">
        <f>'BILL CALC'!R28</f>
        <v>1967.8</v>
      </c>
      <c r="H60" s="5">
        <f t="shared" si="12"/>
        <v>203.70000000000005</v>
      </c>
      <c r="I60" s="6">
        <f t="shared" si="13"/>
        <v>11.5</v>
      </c>
      <c r="J60" s="6"/>
      <c r="K60" s="5">
        <f t="shared" si="14"/>
        <v>52.31</v>
      </c>
      <c r="L60" s="5">
        <f t="shared" si="15"/>
        <v>52.55</v>
      </c>
      <c r="M60" s="5">
        <f t="shared" si="16"/>
        <v>8.75</v>
      </c>
      <c r="N60" s="5">
        <f t="shared" si="17"/>
        <v>8.99</v>
      </c>
      <c r="O60" s="5">
        <f t="shared" si="18"/>
        <v>37.130000000000003</v>
      </c>
      <c r="P60" s="5">
        <f t="shared" si="19"/>
        <v>1914.84</v>
      </c>
      <c r="Q60" s="5">
        <f t="shared" si="20"/>
        <v>2118.7799999999997</v>
      </c>
      <c r="R60" s="6">
        <f t="shared" si="21"/>
        <v>10.7</v>
      </c>
    </row>
    <row r="61" spans="1:21" x14ac:dyDescent="0.25">
      <c r="A61" s="1">
        <v>9</v>
      </c>
      <c r="D61" s="1">
        <v>50</v>
      </c>
      <c r="E61" s="3">
        <v>20000</v>
      </c>
      <c r="F61" s="5">
        <f>'BILL CALC'!I29</f>
        <v>2137.1999999999998</v>
      </c>
      <c r="G61" s="5">
        <f>'BILL CALC'!R29</f>
        <v>2382.0699999999997</v>
      </c>
      <c r="H61" s="5">
        <f t="shared" si="12"/>
        <v>244.86999999999989</v>
      </c>
      <c r="I61" s="6">
        <f t="shared" si="13"/>
        <v>11.5</v>
      </c>
      <c r="J61" s="6"/>
      <c r="K61" s="5">
        <f t="shared" si="14"/>
        <v>69.739999999999995</v>
      </c>
      <c r="L61" s="5">
        <f t="shared" si="15"/>
        <v>70.06</v>
      </c>
      <c r="M61" s="5">
        <f t="shared" si="16"/>
        <v>10.27</v>
      </c>
      <c r="N61" s="5">
        <f t="shared" si="17"/>
        <v>10.59</v>
      </c>
      <c r="O61" s="5">
        <f t="shared" si="18"/>
        <v>49.5</v>
      </c>
      <c r="P61" s="5">
        <f t="shared" si="19"/>
        <v>2336.7699999999995</v>
      </c>
      <c r="Q61" s="5">
        <f t="shared" si="20"/>
        <v>2581.9599999999996</v>
      </c>
      <c r="R61" s="6">
        <f t="shared" si="21"/>
        <v>10.5</v>
      </c>
    </row>
    <row r="62" spans="1:21" x14ac:dyDescent="0.25">
      <c r="A62" s="1">
        <v>10</v>
      </c>
      <c r="D62" s="1">
        <v>75</v>
      </c>
      <c r="E62" s="3">
        <v>15000</v>
      </c>
      <c r="F62" s="5">
        <f>'BILL CALC'!I30</f>
        <v>2031.1</v>
      </c>
      <c r="G62" s="5">
        <f>'BILL CALC'!R30</f>
        <v>2292.0500000000002</v>
      </c>
      <c r="H62" s="5">
        <f t="shared" si="12"/>
        <v>260.95000000000027</v>
      </c>
      <c r="I62" s="6">
        <f t="shared" si="13"/>
        <v>12.8</v>
      </c>
      <c r="J62" s="6"/>
      <c r="K62" s="5">
        <f t="shared" si="14"/>
        <v>52.31</v>
      </c>
      <c r="L62" s="5">
        <f t="shared" si="15"/>
        <v>52.55</v>
      </c>
      <c r="M62" s="5">
        <f t="shared" si="16"/>
        <v>10.48</v>
      </c>
      <c r="N62" s="5">
        <f t="shared" si="17"/>
        <v>10.87</v>
      </c>
      <c r="O62" s="5">
        <f t="shared" si="18"/>
        <v>37.130000000000003</v>
      </c>
      <c r="P62" s="5">
        <f t="shared" si="19"/>
        <v>2183.5700000000002</v>
      </c>
      <c r="Q62" s="5">
        <f t="shared" si="20"/>
        <v>2444.9100000000003</v>
      </c>
      <c r="R62" s="6">
        <f t="shared" si="21"/>
        <v>12</v>
      </c>
    </row>
    <row r="63" spans="1:21" x14ac:dyDescent="0.25">
      <c r="A63" s="1">
        <v>11</v>
      </c>
      <c r="D63" s="1">
        <v>75</v>
      </c>
      <c r="E63" s="3">
        <v>20000</v>
      </c>
      <c r="F63" s="5">
        <f>'BILL CALC'!I31</f>
        <v>2404.1999999999998</v>
      </c>
      <c r="G63" s="5">
        <f>'BILL CALC'!R31</f>
        <v>2706.32</v>
      </c>
      <c r="H63" s="5">
        <f t="shared" si="12"/>
        <v>302.12000000000035</v>
      </c>
      <c r="I63" s="6">
        <f t="shared" si="13"/>
        <v>12.6</v>
      </c>
      <c r="J63" s="6"/>
      <c r="K63" s="5">
        <f t="shared" si="14"/>
        <v>69.739999999999995</v>
      </c>
      <c r="L63" s="5">
        <f t="shared" si="15"/>
        <v>70.06</v>
      </c>
      <c r="M63" s="5">
        <f t="shared" si="16"/>
        <v>12</v>
      </c>
      <c r="N63" s="5">
        <f t="shared" si="17"/>
        <v>12.47</v>
      </c>
      <c r="O63" s="5">
        <f t="shared" si="18"/>
        <v>49.5</v>
      </c>
      <c r="P63" s="5">
        <f t="shared" si="19"/>
        <v>2605.4999999999995</v>
      </c>
      <c r="Q63" s="5">
        <f t="shared" si="20"/>
        <v>2908.0899999999997</v>
      </c>
      <c r="R63" s="6">
        <f t="shared" si="21"/>
        <v>11.600000000000001</v>
      </c>
    </row>
    <row r="64" spans="1:21" x14ac:dyDescent="0.25">
      <c r="A64" s="1">
        <v>12</v>
      </c>
      <c r="D64" s="1">
        <v>75</v>
      </c>
      <c r="E64" s="3">
        <v>30000</v>
      </c>
      <c r="F64" s="5">
        <f>'BILL CALC'!I32</f>
        <v>3133.04</v>
      </c>
      <c r="G64" s="5">
        <f>'BILL CALC'!R32</f>
        <v>3501.91</v>
      </c>
      <c r="H64" s="5">
        <f t="shared" si="12"/>
        <v>368.86999999999989</v>
      </c>
      <c r="I64" s="6">
        <f t="shared" si="13"/>
        <v>11.799999999999999</v>
      </c>
      <c r="J64" s="6"/>
      <c r="K64" s="5">
        <f t="shared" si="14"/>
        <v>104.62</v>
      </c>
      <c r="L64" s="5">
        <f t="shared" si="15"/>
        <v>105.09</v>
      </c>
      <c r="M64" s="5">
        <f t="shared" si="16"/>
        <v>14.93</v>
      </c>
      <c r="N64" s="5">
        <f t="shared" si="17"/>
        <v>15.47</v>
      </c>
      <c r="O64" s="5">
        <f t="shared" si="18"/>
        <v>74.25</v>
      </c>
      <c r="P64" s="5">
        <f t="shared" si="19"/>
        <v>3431.93</v>
      </c>
      <c r="Q64" s="5">
        <f t="shared" si="20"/>
        <v>3801.3399999999997</v>
      </c>
      <c r="R64" s="6">
        <f t="shared" si="21"/>
        <v>10.8</v>
      </c>
    </row>
    <row r="65" spans="1:18" x14ac:dyDescent="0.25">
      <c r="A65" s="1">
        <v>13</v>
      </c>
      <c r="D65" s="1">
        <v>100</v>
      </c>
      <c r="E65" s="3">
        <v>20000</v>
      </c>
      <c r="F65" s="5">
        <f>'BILL CALC'!I33</f>
        <v>2671.2</v>
      </c>
      <c r="G65" s="5">
        <f>'BILL CALC'!R33</f>
        <v>3030.57</v>
      </c>
      <c r="H65" s="5">
        <f t="shared" si="12"/>
        <v>359.37000000000035</v>
      </c>
      <c r="I65" s="6">
        <f t="shared" si="13"/>
        <v>13.5</v>
      </c>
      <c r="J65" s="6"/>
      <c r="K65" s="5">
        <f t="shared" si="14"/>
        <v>69.739999999999995</v>
      </c>
      <c r="L65" s="5">
        <f t="shared" si="15"/>
        <v>70.06</v>
      </c>
      <c r="M65" s="5">
        <f t="shared" si="16"/>
        <v>13.74</v>
      </c>
      <c r="N65" s="5">
        <f t="shared" si="17"/>
        <v>14.35</v>
      </c>
      <c r="O65" s="5">
        <f t="shared" si="18"/>
        <v>49.5</v>
      </c>
      <c r="P65" s="5">
        <f t="shared" si="19"/>
        <v>2874.2399999999993</v>
      </c>
      <c r="Q65" s="5">
        <f t="shared" si="20"/>
        <v>3234.22</v>
      </c>
      <c r="R65" s="6">
        <f t="shared" si="21"/>
        <v>12.5</v>
      </c>
    </row>
    <row r="66" spans="1:18" x14ac:dyDescent="0.25">
      <c r="A66" s="1">
        <v>14</v>
      </c>
      <c r="D66" s="1">
        <v>100</v>
      </c>
      <c r="E66" s="3">
        <v>30000</v>
      </c>
      <c r="F66" s="5">
        <f>'BILL CALC'!I34</f>
        <v>3417.39</v>
      </c>
      <c r="G66" s="5">
        <f>'BILL CALC'!R34</f>
        <v>3859.11</v>
      </c>
      <c r="H66" s="5">
        <f t="shared" si="12"/>
        <v>441.72000000000025</v>
      </c>
      <c r="I66" s="6">
        <f t="shared" si="13"/>
        <v>12.9</v>
      </c>
      <c r="J66" s="6"/>
      <c r="K66" s="5">
        <f t="shared" si="14"/>
        <v>104.62</v>
      </c>
      <c r="L66" s="5">
        <f t="shared" si="15"/>
        <v>105.09</v>
      </c>
      <c r="M66" s="5">
        <f t="shared" si="16"/>
        <v>16.78</v>
      </c>
      <c r="N66" s="5">
        <f t="shared" si="17"/>
        <v>17.54</v>
      </c>
      <c r="O66" s="5">
        <f t="shared" si="18"/>
        <v>74.25</v>
      </c>
      <c r="P66" s="5">
        <f t="shared" si="19"/>
        <v>3718.13</v>
      </c>
      <c r="Q66" s="5">
        <f t="shared" si="20"/>
        <v>4160.6100000000006</v>
      </c>
      <c r="R66" s="6">
        <f t="shared" si="21"/>
        <v>11.899999999999999</v>
      </c>
    </row>
    <row r="67" spans="1:18" x14ac:dyDescent="0.25">
      <c r="A67" s="1">
        <v>15</v>
      </c>
      <c r="D67" s="1">
        <v>100</v>
      </c>
      <c r="E67" s="3">
        <v>40000</v>
      </c>
      <c r="F67" s="5">
        <f>'BILL CALC'!I35</f>
        <v>4117.3200000000006</v>
      </c>
      <c r="G67" s="5">
        <f>'BILL CALC'!R35</f>
        <v>4599.78</v>
      </c>
      <c r="H67" s="5">
        <f t="shared" si="12"/>
        <v>482.45999999999913</v>
      </c>
      <c r="I67" s="6">
        <f t="shared" si="13"/>
        <v>11.700000000000001</v>
      </c>
      <c r="J67" s="6"/>
      <c r="K67" s="5">
        <f t="shared" si="14"/>
        <v>139.49</v>
      </c>
      <c r="L67" s="5">
        <f t="shared" si="15"/>
        <v>140.12</v>
      </c>
      <c r="M67" s="5">
        <f t="shared" si="16"/>
        <v>19.52</v>
      </c>
      <c r="N67" s="5">
        <f t="shared" si="17"/>
        <v>20.23</v>
      </c>
      <c r="O67" s="5">
        <f t="shared" si="18"/>
        <v>99</v>
      </c>
      <c r="P67" s="5">
        <f t="shared" si="19"/>
        <v>4515.4500000000007</v>
      </c>
      <c r="Q67" s="5">
        <f t="shared" si="20"/>
        <v>4998.619999999999</v>
      </c>
      <c r="R67" s="6">
        <f t="shared" si="21"/>
        <v>10.7</v>
      </c>
    </row>
    <row r="68" spans="1:18" x14ac:dyDescent="0.25">
      <c r="A68" s="1">
        <v>16</v>
      </c>
      <c r="D68" s="1">
        <v>300</v>
      </c>
      <c r="E68" s="3">
        <v>60000</v>
      </c>
      <c r="F68" s="5">
        <f>'BILL CALC'!I36</f>
        <v>7791.96</v>
      </c>
      <c r="G68" s="5">
        <f>'BILL CALC'!R36</f>
        <v>8938.73</v>
      </c>
      <c r="H68" s="5">
        <f t="shared" si="12"/>
        <v>1146.7699999999995</v>
      </c>
      <c r="I68" s="6">
        <f t="shared" si="13"/>
        <v>14.7</v>
      </c>
      <c r="J68" s="6"/>
      <c r="K68" s="5">
        <f t="shared" si="14"/>
        <v>209.23</v>
      </c>
      <c r="L68" s="5">
        <f t="shared" si="15"/>
        <v>210.18</v>
      </c>
      <c r="M68" s="5">
        <f t="shared" si="16"/>
        <v>39.770000000000003</v>
      </c>
      <c r="N68" s="5">
        <f t="shared" si="17"/>
        <v>42.17</v>
      </c>
      <c r="O68" s="5">
        <f t="shared" si="18"/>
        <v>148.5</v>
      </c>
      <c r="P68" s="5">
        <f t="shared" si="19"/>
        <v>8399.64</v>
      </c>
      <c r="Q68" s="5">
        <f t="shared" si="20"/>
        <v>9548.81</v>
      </c>
      <c r="R68" s="6">
        <f t="shared" si="21"/>
        <v>13.700000000000001</v>
      </c>
    </row>
    <row r="69" spans="1:18" x14ac:dyDescent="0.25">
      <c r="A69" s="1">
        <v>17</v>
      </c>
      <c r="D69" s="1">
        <v>300</v>
      </c>
      <c r="E69" s="3">
        <v>90000</v>
      </c>
      <c r="F69" s="5">
        <f>'BILL CALC'!I37</f>
        <v>10030.530000000001</v>
      </c>
      <c r="G69" s="5">
        <f>'BILL CALC'!R37</f>
        <v>11424.349999999999</v>
      </c>
      <c r="H69" s="5">
        <f t="shared" si="12"/>
        <v>1393.8199999999979</v>
      </c>
      <c r="I69" s="6">
        <f t="shared" si="13"/>
        <v>13.900000000000002</v>
      </c>
      <c r="J69" s="6"/>
      <c r="K69" s="5">
        <f t="shared" si="14"/>
        <v>313.85000000000002</v>
      </c>
      <c r="L69" s="5">
        <f t="shared" si="15"/>
        <v>315.27</v>
      </c>
      <c r="M69" s="5">
        <f t="shared" si="16"/>
        <v>48.89</v>
      </c>
      <c r="N69" s="5">
        <f t="shared" si="17"/>
        <v>51.74</v>
      </c>
      <c r="O69" s="5">
        <f t="shared" si="18"/>
        <v>222.75</v>
      </c>
      <c r="P69" s="5">
        <f t="shared" si="19"/>
        <v>10931.29</v>
      </c>
      <c r="Q69" s="5">
        <f t="shared" si="20"/>
        <v>12327.96</v>
      </c>
      <c r="R69" s="6">
        <f t="shared" si="21"/>
        <v>12.8</v>
      </c>
    </row>
    <row r="70" spans="1:18" x14ac:dyDescent="0.25">
      <c r="A70" s="1">
        <v>18</v>
      </c>
      <c r="D70" s="1">
        <v>300</v>
      </c>
      <c r="E70" s="3">
        <v>120000</v>
      </c>
      <c r="F70" s="5">
        <f>'BILL CALC'!I38</f>
        <v>11991.58</v>
      </c>
      <c r="G70" s="5">
        <f>'BILL CALC'!R38</f>
        <v>13382.779999999999</v>
      </c>
      <c r="H70" s="5">
        <f t="shared" si="12"/>
        <v>1391.1999999999989</v>
      </c>
      <c r="I70" s="6">
        <f t="shared" si="13"/>
        <v>11.600000000000001</v>
      </c>
      <c r="J70" s="6"/>
      <c r="K70" s="5">
        <f t="shared" si="14"/>
        <v>418.47</v>
      </c>
      <c r="L70" s="5">
        <f t="shared" si="15"/>
        <v>420.36</v>
      </c>
      <c r="M70" s="5">
        <f t="shared" si="16"/>
        <v>56.21</v>
      </c>
      <c r="N70" s="5">
        <f t="shared" si="17"/>
        <v>58.27</v>
      </c>
      <c r="O70" s="5">
        <f t="shared" si="18"/>
        <v>297</v>
      </c>
      <c r="P70" s="5">
        <f t="shared" si="19"/>
        <v>13183.619999999999</v>
      </c>
      <c r="Q70" s="5">
        <f t="shared" si="20"/>
        <v>14576.88</v>
      </c>
      <c r="R70" s="6">
        <f t="shared" si="21"/>
        <v>10.6</v>
      </c>
    </row>
    <row r="71" spans="1:18" x14ac:dyDescent="0.25">
      <c r="A71" s="1">
        <v>19</v>
      </c>
      <c r="D71" s="1">
        <v>500</v>
      </c>
      <c r="E71" s="3">
        <v>100000</v>
      </c>
      <c r="F71" s="5">
        <f>'BILL CALC'!I39</f>
        <v>12912.720000000001</v>
      </c>
      <c r="G71" s="5">
        <f>'BILL CALC'!R39</f>
        <v>14846.89</v>
      </c>
      <c r="H71" s="5">
        <f t="shared" si="12"/>
        <v>1934.1699999999983</v>
      </c>
      <c r="I71" s="6">
        <f t="shared" si="13"/>
        <v>15</v>
      </c>
      <c r="J71" s="6"/>
      <c r="K71" s="5">
        <f t="shared" si="14"/>
        <v>348.72</v>
      </c>
      <c r="L71" s="5">
        <f t="shared" si="15"/>
        <v>350.3</v>
      </c>
      <c r="M71" s="5">
        <f t="shared" si="16"/>
        <v>65.8</v>
      </c>
      <c r="N71" s="5">
        <f t="shared" si="17"/>
        <v>69.98</v>
      </c>
      <c r="O71" s="5">
        <f t="shared" si="18"/>
        <v>247.5</v>
      </c>
      <c r="P71" s="5">
        <f t="shared" si="19"/>
        <v>13925.039999999999</v>
      </c>
      <c r="Q71" s="5">
        <f t="shared" si="20"/>
        <v>15863.389999999998</v>
      </c>
      <c r="R71" s="6">
        <f t="shared" si="21"/>
        <v>13.900000000000002</v>
      </c>
    </row>
    <row r="72" spans="1:18" x14ac:dyDescent="0.25">
      <c r="A72" s="1">
        <v>20</v>
      </c>
      <c r="D72" s="1">
        <v>500</v>
      </c>
      <c r="E72" s="3">
        <v>200000</v>
      </c>
      <c r="F72" s="5">
        <f>'BILL CALC'!I40</f>
        <v>19865.84</v>
      </c>
      <c r="G72" s="5">
        <f>'BILL CALC'!R40</f>
        <v>22165.78</v>
      </c>
      <c r="H72" s="5">
        <f t="shared" si="12"/>
        <v>2299.9399999999987</v>
      </c>
      <c r="I72" s="6">
        <f t="shared" si="13"/>
        <v>11.600000000000001</v>
      </c>
      <c r="J72" s="6"/>
      <c r="K72" s="5">
        <f t="shared" si="14"/>
        <v>697.44</v>
      </c>
      <c r="L72" s="5">
        <f t="shared" si="15"/>
        <v>700.6</v>
      </c>
      <c r="M72" s="5">
        <f t="shared" si="16"/>
        <v>92.9</v>
      </c>
      <c r="N72" s="5">
        <f t="shared" si="17"/>
        <v>96.3</v>
      </c>
      <c r="O72" s="5">
        <f t="shared" si="18"/>
        <v>495</v>
      </c>
      <c r="P72" s="5">
        <f t="shared" si="19"/>
        <v>21851.78</v>
      </c>
      <c r="Q72" s="5">
        <f t="shared" si="20"/>
        <v>24155.119999999995</v>
      </c>
      <c r="R72" s="6">
        <f t="shared" si="21"/>
        <v>10.5</v>
      </c>
    </row>
    <row r="73" spans="1:18" x14ac:dyDescent="0.25">
      <c r="A73" s="1">
        <v>21</v>
      </c>
      <c r="D73" s="1">
        <v>500</v>
      </c>
      <c r="E73" s="3">
        <v>300000</v>
      </c>
      <c r="F73" s="5">
        <f>'BILL CALC'!I41</f>
        <v>26171.440000000002</v>
      </c>
      <c r="G73" s="5">
        <f>'BILL CALC'!R41</f>
        <v>28254.58</v>
      </c>
      <c r="H73" s="5">
        <f t="shared" si="12"/>
        <v>2083.1399999999994</v>
      </c>
      <c r="I73" s="6">
        <f t="shared" si="13"/>
        <v>8</v>
      </c>
      <c r="J73" s="6"/>
      <c r="K73" s="5">
        <f t="shared" si="14"/>
        <v>1046.1600000000001</v>
      </c>
      <c r="L73" s="5">
        <f t="shared" si="15"/>
        <v>1050.9000000000001</v>
      </c>
      <c r="M73" s="5">
        <f t="shared" si="16"/>
        <v>115.8</v>
      </c>
      <c r="N73" s="5">
        <f t="shared" si="17"/>
        <v>115.49</v>
      </c>
      <c r="O73" s="5">
        <f t="shared" si="18"/>
        <v>742.5</v>
      </c>
      <c r="P73" s="5">
        <f t="shared" si="19"/>
        <v>29126.800000000003</v>
      </c>
      <c r="Q73" s="5">
        <f t="shared" si="20"/>
        <v>31209.630000000005</v>
      </c>
      <c r="R73" s="6">
        <f t="shared" si="21"/>
        <v>7.1999999999999993</v>
      </c>
    </row>
    <row r="74" spans="1:18" x14ac:dyDescent="0.25">
      <c r="E74" s="3"/>
      <c r="F74" s="5"/>
      <c r="G74" s="5"/>
      <c r="H74" s="5"/>
      <c r="I74" s="6"/>
      <c r="J74" s="6"/>
      <c r="K74" s="5"/>
      <c r="L74" s="5"/>
      <c r="M74" s="5"/>
      <c r="N74" s="5"/>
      <c r="O74" s="5"/>
      <c r="P74" s="5"/>
      <c r="Q74" s="5"/>
      <c r="R74" s="6"/>
    </row>
    <row r="75" spans="1:18" ht="15.6" x14ac:dyDescent="0.3">
      <c r="A75" s="1">
        <v>22</v>
      </c>
      <c r="C75" s="42" t="s">
        <v>94</v>
      </c>
      <c r="D75" s="44" t="s">
        <v>120</v>
      </c>
      <c r="E75" s="3"/>
      <c r="F75" s="5"/>
      <c r="G75" s="5"/>
      <c r="H75" s="5"/>
      <c r="I75" s="6"/>
      <c r="J75" s="6"/>
      <c r="K75" s="5"/>
      <c r="L75" s="5"/>
      <c r="M75" s="5"/>
      <c r="N75" s="5"/>
      <c r="O75" s="5"/>
      <c r="P75" s="5"/>
      <c r="Q75" s="5"/>
      <c r="R75" s="6"/>
    </row>
    <row r="76" spans="1:18" x14ac:dyDescent="0.25">
      <c r="A76" s="1">
        <v>23</v>
      </c>
      <c r="D76" s="2" t="s">
        <v>119</v>
      </c>
      <c r="E76" s="3">
        <v>19031</v>
      </c>
      <c r="F76" s="5">
        <f>ROUND(($E76*CUR_EH_KWH_1)+CUR_EH_CST_2,2)</f>
        <v>1754.89</v>
      </c>
      <c r="G76" s="5">
        <f>ROUND($E76*PRO_EH_KWH_1+PRO_EH_CST_2,2)</f>
        <v>2025.25</v>
      </c>
      <c r="H76" s="5">
        <f>G76-F76</f>
        <v>270.3599999999999</v>
      </c>
      <c r="I76" s="6">
        <f>ROUND(H76/F76,3)*100</f>
        <v>15.4</v>
      </c>
      <c r="J76" s="6"/>
      <c r="K76" s="5">
        <f>ROUND(E76*CUR_FAC,2)</f>
        <v>66.37</v>
      </c>
      <c r="L76" s="5">
        <f>ROUND(E76*DSM_DIST,2)</f>
        <v>66.67</v>
      </c>
      <c r="M76" s="5">
        <f>ROUND((F76+$L76+$O76-PRO_BASE_FUEL*$E76)*CUR_ESM_NonRes,2)</f>
        <v>7.96</v>
      </c>
      <c r="N76" s="5">
        <f>ROUND((G76+$L76+$O76-PRO_BASE_FUEL*$E76)*PRO_ESM_NONRES,2)</f>
        <v>8.68</v>
      </c>
      <c r="O76" s="5">
        <f>ROUND(E76*RS_PSM,2)</f>
        <v>47.1</v>
      </c>
      <c r="P76" s="5">
        <f>F76+K76+L76+M76+O76</f>
        <v>1942.9900000000002</v>
      </c>
      <c r="Q76" s="5">
        <f>G76+K76+L76+N76+O76</f>
        <v>2214.0699999999997</v>
      </c>
      <c r="R76" s="6">
        <f>ROUND((Q76-P76)/P76,3)*100</f>
        <v>14.000000000000002</v>
      </c>
    </row>
    <row r="77" spans="1:18" x14ac:dyDescent="0.25">
      <c r="A77" s="1">
        <v>24</v>
      </c>
      <c r="D77" s="2" t="s">
        <v>119</v>
      </c>
      <c r="E77" s="3">
        <v>23600</v>
      </c>
      <c r="F77" s="5">
        <f>ROUND($E77*CUR_EH_KWH_1+CUR_EH_CST_2,2)</f>
        <v>2169.0100000000002</v>
      </c>
      <c r="G77" s="5">
        <f>ROUND($E77*PRO_EH_KWH_1+PRO_EH_CST_2,2)</f>
        <v>2504.27</v>
      </c>
      <c r="H77" s="5">
        <f>G77-F77</f>
        <v>335.25999999999976</v>
      </c>
      <c r="I77" s="6">
        <f>ROUND(H77/F77,3)*100</f>
        <v>15.5</v>
      </c>
      <c r="J77" s="6"/>
      <c r="K77" s="5">
        <f>ROUND(E77*CUR_FAC,2)</f>
        <v>82.3</v>
      </c>
      <c r="L77" s="5">
        <f>ROUND(E77*DSM_DIST,2)</f>
        <v>82.67</v>
      </c>
      <c r="M77" s="5">
        <f>ROUND((F77+$L77+$O77-PRO_BASE_FUEL*$E77)*CUR_ESM_NonRes,2)</f>
        <v>9.82</v>
      </c>
      <c r="N77" s="5">
        <f>ROUND((G77+$L77+$O77-PRO_BASE_FUEL*$E77)*PRO_ESM_NONRES,2)</f>
        <v>10.72</v>
      </c>
      <c r="O77" s="5">
        <f>ROUND(E77*RS_PSM,2)</f>
        <v>58.41</v>
      </c>
      <c r="P77" s="5">
        <f>F77+K77+L77+M77+O77</f>
        <v>2402.2100000000005</v>
      </c>
      <c r="Q77" s="5">
        <f>G77+K77+L77+N77+O77</f>
        <v>2738.37</v>
      </c>
      <c r="R77" s="6">
        <f>ROUND((Q77-P77)/P77,3)*100</f>
        <v>14.000000000000002</v>
      </c>
    </row>
    <row r="78" spans="1:18" x14ac:dyDescent="0.25">
      <c r="A78" s="1">
        <v>25</v>
      </c>
      <c r="D78" s="2" t="s">
        <v>119</v>
      </c>
      <c r="E78" s="3">
        <v>37800</v>
      </c>
      <c r="F78" s="5">
        <f>ROUND($E78*CUR_EH_KWH_1+CUR_EH_CST_2,2)</f>
        <v>3456.04</v>
      </c>
      <c r="G78" s="5">
        <f>ROUND($E78*PRO_EH_KWH_1+PRO_EH_CST_2,2)</f>
        <v>3993.03</v>
      </c>
      <c r="H78" s="5">
        <f>G78-F78</f>
        <v>536.99000000000024</v>
      </c>
      <c r="I78" s="6">
        <f>ROUND(H78/F78,3)*100</f>
        <v>15.5</v>
      </c>
      <c r="J78" s="6"/>
      <c r="K78" s="5">
        <f>ROUND(E78*CUR_FAC,2)</f>
        <v>131.82</v>
      </c>
      <c r="L78" s="5">
        <f>ROUND(E78*DSM_DIST,2)</f>
        <v>132.41</v>
      </c>
      <c r="M78" s="5">
        <f>ROUND((F78+$L78+$O78-PRO_BASE_FUEL*$E78)*CUR_ESM_NonRes,2)</f>
        <v>15.62</v>
      </c>
      <c r="N78" s="5">
        <f>ROUND((G78+$L78+$O78-PRO_BASE_FUEL*$E78)*PRO_ESM_NONRES,2)</f>
        <v>17.059999999999999</v>
      </c>
      <c r="O78" s="5">
        <f>ROUND(E78*RS_PSM,2)</f>
        <v>93.56</v>
      </c>
      <c r="P78" s="5">
        <f>F78+K78+L78+M78+O78</f>
        <v>3829.45</v>
      </c>
      <c r="Q78" s="5">
        <f>G78+K78+L78+N78+O78</f>
        <v>4367.880000000001</v>
      </c>
      <c r="R78" s="6">
        <f>ROUND((Q78-P78)/P78,3)*100</f>
        <v>14.099999999999998</v>
      </c>
    </row>
    <row r="79" spans="1:18" x14ac:dyDescent="0.25">
      <c r="F79" s="5"/>
      <c r="G79" s="5"/>
      <c r="H79" s="5"/>
      <c r="I79" s="6"/>
      <c r="J79" s="6"/>
      <c r="K79" s="5"/>
      <c r="L79" s="5"/>
      <c r="M79" s="5"/>
      <c r="N79" s="5"/>
      <c r="O79" s="5"/>
      <c r="P79" s="5"/>
      <c r="Q79" s="5"/>
      <c r="R79" s="6"/>
    </row>
    <row r="80" spans="1:18" ht="15.6" x14ac:dyDescent="0.3">
      <c r="C80" s="42" t="str">
        <f>"(1) REFLECTS FUEL ADJUSTMENT COMPONENT (FAC) OF "&amp;TEXT(CUR_FAC,"$0.000000;($0.000000)")&amp;" PER KWH."</f>
        <v>(1) REFLECTS FUEL ADJUSTMENT COMPONENT (FAC) OF $0.003487 PER KWH.</v>
      </c>
      <c r="K80" s="42"/>
    </row>
    <row r="81" spans="1:18" ht="15.6" x14ac:dyDescent="0.3">
      <c r="C81" s="42" t="str">
        <f>"(2) RIDER DSMR "&amp;TEXT(DSM_DIST,"$0.000000;($0.000000)")&amp;" PER KWH."</f>
        <v>(2) RIDER DSMR $0.003503 PER KWH.</v>
      </c>
      <c r="H81" s="5"/>
      <c r="I81" s="6"/>
      <c r="J81" s="6"/>
      <c r="K81" s="5"/>
      <c r="L81" s="5"/>
      <c r="M81" s="5"/>
      <c r="N81" s="5"/>
      <c r="O81" s="5"/>
      <c r="P81" s="5"/>
      <c r="Q81" s="5"/>
      <c r="R81" s="6"/>
    </row>
    <row r="82" spans="1:18" ht="15.6" x14ac:dyDescent="0.3">
      <c r="A82" s="356"/>
      <c r="C82" s="42" t="str">
        <f>"(3) RIDER ESM "&amp;TEXT(CUR_ESM_NonRes,"#0.00%")&amp;"  OF TOTAL CURRENT BILL."</f>
        <v>(3) RIDER ESM 0.65%  OF TOTAL CURRENT BILL.</v>
      </c>
      <c r="H82" s="5"/>
      <c r="K82" s="5"/>
      <c r="L82" s="5"/>
      <c r="M82" s="5"/>
      <c r="N82" s="5"/>
      <c r="O82" s="5"/>
    </row>
    <row r="83" spans="1:18" ht="15.6" x14ac:dyDescent="0.3">
      <c r="A83" s="356"/>
      <c r="C83" s="42" t="str">
        <f>"(4) RIDER PSM  "&amp;TEXT(RS_PSM,"$0.000000;($0.000000)")&amp;" PER KWH."</f>
        <v>(4) RIDER PSM  $0.002475 PER KWH.</v>
      </c>
      <c r="H83" s="5"/>
      <c r="K83" s="5"/>
      <c r="L83" s="5"/>
      <c r="M83" s="5"/>
      <c r="N83" s="5"/>
      <c r="O83" s="5"/>
    </row>
    <row r="84" spans="1:18" ht="15.6" x14ac:dyDescent="0.3">
      <c r="A84" s="356"/>
      <c r="C84" s="42" t="str">
        <f>"(5) REFLECTS FUEL COST RECOVERY INCLUDED IN BASE RATES OF "&amp;TEXT(CUR_BASE_FUEL,"$0.000000;($0.000000)")&amp;"  PER KWH."</f>
        <v>(5) REFLECTS FUEL COST RECOVERY INCLUDED IN BASE RATES OF $0.033780  PER KWH.</v>
      </c>
      <c r="H84" s="5"/>
      <c r="K84" s="5"/>
      <c r="L84" s="5"/>
      <c r="M84" s="5"/>
      <c r="N84" s="5"/>
      <c r="O84" s="5"/>
    </row>
    <row r="85" spans="1:18" ht="15.6" x14ac:dyDescent="0.3">
      <c r="A85" s="356"/>
      <c r="C85" s="42" t="str">
        <f>"(6) RIDER ESM "&amp;TEXT(PRO_ESM_NONRES,"#0.00%")&amp;"  OF TOTAL PROPOSED BILL."</f>
        <v>(6) RIDER ESM 0.58%  OF TOTAL PROPOSED BILL.</v>
      </c>
      <c r="H85" s="5"/>
      <c r="K85" s="5"/>
      <c r="L85" s="5"/>
      <c r="M85" s="5"/>
      <c r="N85" s="5"/>
      <c r="O85" s="5"/>
    </row>
    <row r="86" spans="1:18" ht="15.6" x14ac:dyDescent="0.3">
      <c r="A86" s="356"/>
      <c r="C86" s="42" t="s">
        <v>1041</v>
      </c>
      <c r="H86" s="5"/>
      <c r="K86" s="5"/>
      <c r="L86" s="5"/>
      <c r="M86" s="5"/>
      <c r="N86" s="5"/>
      <c r="O86" s="5"/>
    </row>
    <row r="87" spans="1:18" ht="15.6" x14ac:dyDescent="0.3">
      <c r="A87" s="40" t="str">
        <f>NAME</f>
        <v>DUKE ENERGY KENTUCKY, INC.</v>
      </c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</row>
    <row r="88" spans="1:18" ht="15.6" x14ac:dyDescent="0.3">
      <c r="A88" s="40" t="str">
        <f>CASE_NO</f>
        <v>CASE NO.   2024-00354</v>
      </c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</row>
    <row r="89" spans="1:18" ht="15.6" x14ac:dyDescent="0.3">
      <c r="A89" s="40" t="s">
        <v>172</v>
      </c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</row>
    <row r="90" spans="1:18" ht="15.6" x14ac:dyDescent="0.3">
      <c r="A90" s="40" t="str">
        <f>SERVICE</f>
        <v>(ELECTRIC SERVICE)</v>
      </c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</row>
    <row r="91" spans="1:18" ht="15.6" x14ac:dyDescent="0.3">
      <c r="A91" s="42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</row>
    <row r="92" spans="1:18" ht="15.6" x14ac:dyDescent="0.3">
      <c r="A92" s="41" t="str">
        <f>DATA_PERIOD</f>
        <v>DATA: ____ BASE PERIOD   __X__FORECASTED PERIOD</v>
      </c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2" t="s">
        <v>173</v>
      </c>
      <c r="R92" s="41"/>
    </row>
    <row r="93" spans="1:18" ht="15.6" x14ac:dyDescent="0.3">
      <c r="A93" s="41" t="str">
        <f>TYPE</f>
        <v>TYPE OF FILING: _X_ ORIGINAL   ___UPDATED  ___ REVISED</v>
      </c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2" t="s">
        <v>127</v>
      </c>
      <c r="R93" s="41"/>
    </row>
    <row r="94" spans="1:18" ht="15.6" x14ac:dyDescent="0.3">
      <c r="A94" s="42" t="s">
        <v>100</v>
      </c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2" t="s">
        <v>3</v>
      </c>
      <c r="R94" s="41"/>
    </row>
    <row r="95" spans="1:18" ht="15.6" x14ac:dyDescent="0.3">
      <c r="A95" s="153" t="str">
        <f>TIME</f>
        <v>12 Months Projected with Riders</v>
      </c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 t="str">
        <f>WIT</f>
        <v>B. L. Sailers</v>
      </c>
      <c r="R95" s="41"/>
    </row>
    <row r="96" spans="1:18" ht="15.6" x14ac:dyDescent="0.3">
      <c r="A96" s="472" t="s">
        <v>428</v>
      </c>
      <c r="B96" s="472"/>
      <c r="C96" s="472"/>
      <c r="D96" s="472"/>
      <c r="E96" s="472"/>
      <c r="F96" s="472"/>
      <c r="G96" s="472"/>
      <c r="H96" s="472"/>
      <c r="I96" s="472"/>
      <c r="J96" s="472"/>
      <c r="K96" s="472"/>
      <c r="L96" s="472"/>
      <c r="M96" s="472"/>
      <c r="N96" s="472"/>
      <c r="O96" s="472"/>
      <c r="P96" s="472"/>
      <c r="Q96" s="472"/>
      <c r="R96" s="472"/>
    </row>
    <row r="97" spans="1:25" ht="15.6" x14ac:dyDescent="0.3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</row>
    <row r="98" spans="1:25" ht="15.6" x14ac:dyDescent="0.3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</row>
    <row r="99" spans="1:25" ht="15.6" x14ac:dyDescent="0.3">
      <c r="A99" s="41"/>
      <c r="B99" s="41"/>
      <c r="C99" s="41"/>
      <c r="D99" s="41"/>
      <c r="E99" s="41"/>
      <c r="F99" s="12" t="s">
        <v>377</v>
      </c>
      <c r="G99" s="12"/>
      <c r="H99" s="12"/>
      <c r="I99" s="12"/>
      <c r="J99" s="40"/>
      <c r="K99" s="471" t="s">
        <v>360</v>
      </c>
      <c r="L99" s="471"/>
      <c r="M99" s="471"/>
      <c r="N99" s="471"/>
      <c r="O99" s="471"/>
      <c r="P99" s="44" t="s">
        <v>11</v>
      </c>
      <c r="Q99" s="44" t="s">
        <v>11</v>
      </c>
      <c r="R99" s="41"/>
    </row>
    <row r="100" spans="1:25" ht="17.100000000000001" customHeight="1" x14ac:dyDescent="0.3">
      <c r="A100" s="41"/>
      <c r="B100" s="41"/>
      <c r="C100" s="41"/>
      <c r="D100" s="44" t="s">
        <v>101</v>
      </c>
      <c r="E100" s="44" t="s">
        <v>101</v>
      </c>
      <c r="F100" s="41"/>
      <c r="G100" s="41"/>
      <c r="H100" s="44" t="s">
        <v>102</v>
      </c>
      <c r="I100" s="44" t="s">
        <v>103</v>
      </c>
      <c r="J100" s="44"/>
      <c r="K100" s="41"/>
      <c r="L100" s="41"/>
      <c r="O100" s="41"/>
      <c r="P100" s="44" t="s">
        <v>8</v>
      </c>
      <c r="Q100" s="44" t="s">
        <v>6</v>
      </c>
      <c r="R100" s="44" t="s">
        <v>103</v>
      </c>
    </row>
    <row r="101" spans="1:25" ht="15.6" x14ac:dyDescent="0.3">
      <c r="A101" s="41"/>
      <c r="B101" s="41"/>
      <c r="C101" s="41"/>
      <c r="D101" s="44" t="s">
        <v>104</v>
      </c>
      <c r="E101" s="44" t="s">
        <v>104</v>
      </c>
      <c r="F101" s="44" t="s">
        <v>8</v>
      </c>
      <c r="G101" s="44" t="s">
        <v>6</v>
      </c>
      <c r="H101" s="44" t="s">
        <v>105</v>
      </c>
      <c r="I101" s="44" t="s">
        <v>105</v>
      </c>
      <c r="J101" s="44"/>
      <c r="K101" s="44" t="s">
        <v>253</v>
      </c>
      <c r="L101" s="44" t="s">
        <v>253</v>
      </c>
      <c r="M101" s="44" t="s">
        <v>253</v>
      </c>
      <c r="N101" s="44" t="s">
        <v>253</v>
      </c>
      <c r="O101" s="44" t="s">
        <v>253</v>
      </c>
      <c r="P101" s="44" t="s">
        <v>107</v>
      </c>
      <c r="Q101" s="44" t="s">
        <v>107</v>
      </c>
      <c r="R101" s="44" t="s">
        <v>105</v>
      </c>
    </row>
    <row r="102" spans="1:25" ht="15.6" x14ac:dyDescent="0.3">
      <c r="A102" s="44" t="s">
        <v>17</v>
      </c>
      <c r="B102" s="41"/>
      <c r="C102" s="42" t="s">
        <v>18</v>
      </c>
      <c r="D102" s="44" t="s">
        <v>109</v>
      </c>
      <c r="E102" s="46" t="s">
        <v>110</v>
      </c>
      <c r="F102" s="46" t="s">
        <v>833</v>
      </c>
      <c r="G102" s="46" t="s">
        <v>833</v>
      </c>
      <c r="H102" s="141" t="s">
        <v>111</v>
      </c>
      <c r="I102" s="141" t="s">
        <v>112</v>
      </c>
      <c r="J102" s="44"/>
      <c r="K102" s="44" t="s">
        <v>358</v>
      </c>
      <c r="L102" s="46" t="s">
        <v>256</v>
      </c>
      <c r="M102" s="46" t="s">
        <v>536</v>
      </c>
      <c r="N102" s="44" t="s">
        <v>1036</v>
      </c>
      <c r="O102" s="46" t="s">
        <v>832</v>
      </c>
      <c r="P102" s="156" t="s">
        <v>1037</v>
      </c>
      <c r="Q102" s="156" t="s">
        <v>1038</v>
      </c>
      <c r="R102" s="156" t="s">
        <v>969</v>
      </c>
    </row>
    <row r="103" spans="1:25" ht="15.6" x14ac:dyDescent="0.3">
      <c r="A103" s="48" t="s">
        <v>22</v>
      </c>
      <c r="B103" s="47"/>
      <c r="C103" s="352" t="s">
        <v>23</v>
      </c>
      <c r="D103" s="358" t="s">
        <v>33</v>
      </c>
      <c r="E103" s="358" t="s">
        <v>34</v>
      </c>
      <c r="F103" s="358" t="s">
        <v>35</v>
      </c>
      <c r="G103" s="358" t="s">
        <v>36</v>
      </c>
      <c r="H103" s="358" t="s">
        <v>37</v>
      </c>
      <c r="I103" s="358" t="s">
        <v>38</v>
      </c>
      <c r="J103" s="358"/>
      <c r="K103" s="358" t="s">
        <v>39</v>
      </c>
      <c r="L103" s="358" t="s">
        <v>40</v>
      </c>
      <c r="M103" s="137" t="s">
        <v>1034</v>
      </c>
      <c r="N103" s="137" t="s">
        <v>1035</v>
      </c>
      <c r="O103" s="136" t="s">
        <v>42</v>
      </c>
      <c r="P103" s="136" t="s">
        <v>43</v>
      </c>
      <c r="Q103" s="136" t="s">
        <v>44</v>
      </c>
      <c r="R103" s="136" t="s">
        <v>45</v>
      </c>
      <c r="V103" s="1" t="s">
        <v>527</v>
      </c>
      <c r="X103" s="1" t="s">
        <v>528</v>
      </c>
    </row>
    <row r="104" spans="1:25" ht="15.6" x14ac:dyDescent="0.3">
      <c r="A104" s="41"/>
      <c r="B104" s="41"/>
      <c r="C104" s="41"/>
      <c r="D104" s="171" t="s">
        <v>118</v>
      </c>
      <c r="E104" s="171" t="s">
        <v>49</v>
      </c>
      <c r="F104" s="171" t="s">
        <v>50</v>
      </c>
      <c r="G104" s="171" t="s">
        <v>50</v>
      </c>
      <c r="H104" s="171" t="s">
        <v>50</v>
      </c>
      <c r="I104" s="171" t="s">
        <v>51</v>
      </c>
      <c r="J104" s="171"/>
      <c r="K104" s="171" t="s">
        <v>50</v>
      </c>
      <c r="L104" s="171" t="s">
        <v>50</v>
      </c>
      <c r="M104" s="171" t="s">
        <v>50</v>
      </c>
      <c r="N104" s="171" t="s">
        <v>50</v>
      </c>
      <c r="O104" s="171" t="s">
        <v>50</v>
      </c>
      <c r="P104" s="171" t="s">
        <v>50</v>
      </c>
      <c r="Q104" s="171" t="s">
        <v>50</v>
      </c>
      <c r="R104" s="171" t="s">
        <v>51</v>
      </c>
      <c r="V104" s="1" t="s">
        <v>175</v>
      </c>
      <c r="W104" s="1" t="s">
        <v>176</v>
      </c>
      <c r="X104" s="1" t="s">
        <v>175</v>
      </c>
      <c r="Y104" s="1" t="s">
        <v>176</v>
      </c>
    </row>
    <row r="105" spans="1:25" ht="15.6" x14ac:dyDescent="0.3">
      <c r="A105" s="1">
        <v>1</v>
      </c>
      <c r="C105" s="42" t="s">
        <v>128</v>
      </c>
      <c r="D105" s="3">
        <v>500</v>
      </c>
      <c r="E105" s="3">
        <v>144000</v>
      </c>
      <c r="F105" s="5">
        <f>ROUND($E105*$V$105*CUR_DT_SUM_E_ON,2)+ROUND($E105*(1-$V$105)*CUR_DT_SUM_E_OFF,2)+ROUND($D105*INPUT!$C$82,2)+ROUND($D105*$X$105*CUR_DT_SEC_DEMON,2)+ROUND($D105*(1-$X$105)*CUR_DT_SEC_DEMOFF,2)+CUR_DT_SEC_CST3</f>
        <v>17754.48</v>
      </c>
      <c r="G105" s="357">
        <f>ROUND($E105*$V$105*PRO_DT_SUM_E_ON,2)+ROUND($E105*(1-$V$105)*PRO_DT_SUM_E_OFF,2)+ROUND($D105*'Rate DT-Sec'!$J$30,2)+ROUND($D105*$X$105*PRO_DT_SUM_PEAK,2)+ROUND($D105*(1-$X$105)*PRO_DT_SUM_PK_OFF,2)+PRO_DT_SEC_CST3</f>
        <v>19379.13</v>
      </c>
      <c r="H105" s="5">
        <f t="shared" ref="H105:H114" si="22">G105-F105</f>
        <v>1624.6500000000015</v>
      </c>
      <c r="I105" s="6">
        <f t="shared" ref="I105:I114" si="23">ROUND(H105/F105,3)*100</f>
        <v>9.1999999999999993</v>
      </c>
      <c r="J105" s="6"/>
      <c r="K105" s="5">
        <f t="shared" ref="K105:K114" si="24">ROUND(E105*CUR_FAC,2)</f>
        <v>502.16</v>
      </c>
      <c r="L105" s="5">
        <f t="shared" ref="L105:L114" si="25">ROUND(E105*DSM_DIST,2)</f>
        <v>504.43</v>
      </c>
      <c r="M105" s="5">
        <f t="shared" ref="M105:M114" si="26">ROUND((F105+$L105+$O105-PRO_BASE_FUEL*$E105)*CUR_ESM_NonRes,2)</f>
        <v>89.3</v>
      </c>
      <c r="N105" s="5">
        <f t="shared" ref="N105:N114" si="27">ROUND((G105+$L105+$O105-PRO_BASE_FUEL*$E105)*PRO_ESM_NONRES,2)</f>
        <v>89.17</v>
      </c>
      <c r="O105" s="5">
        <f t="shared" ref="O105:O114" si="28">ROUND(E105*RS_PSM,2)</f>
        <v>356.4</v>
      </c>
      <c r="P105" s="5">
        <f t="shared" ref="P105:P114" si="29">F105+K105+L105+M105+O105</f>
        <v>19206.77</v>
      </c>
      <c r="Q105" s="5">
        <f>G105+K105+L105+N105+O105</f>
        <v>20831.29</v>
      </c>
      <c r="R105" s="4">
        <f>ROUND((Q105-P105)/P105,3)*100</f>
        <v>8.5</v>
      </c>
      <c r="V105" s="1">
        <f>'Rate DT-Sec'!H34/'Rate DT-Sec'!H36</f>
        <v>0.29418430907301557</v>
      </c>
      <c r="W105" s="1">
        <f>'Rate DT-Sec'!H51/'Rate DT-Sec'!H53</f>
        <v>0.28508780485466656</v>
      </c>
      <c r="X105" s="1">
        <f>'Rate DT-Sec'!H28/'Rate DT-Sec'!H31</f>
        <v>0.98798507222301468</v>
      </c>
      <c r="Y105" s="1">
        <f>'Rate DT-Sec'!H45/'Rate DT-Sec'!H48</f>
        <v>0.98087519115990918</v>
      </c>
    </row>
    <row r="106" spans="1:25" x14ac:dyDescent="0.25">
      <c r="A106" s="1">
        <v>2</v>
      </c>
      <c r="D106" s="3">
        <v>500</v>
      </c>
      <c r="E106" s="3">
        <v>288000</v>
      </c>
      <c r="F106" s="5">
        <f>ROUND($E106*$V$105*CUR_DT_SUM_E_ON,2)+ROUND($E106*(1-$V$105)*CUR_DT_SUM_E_OFF,2)+ROUND($D106*INPUT!$C$82,2)+ROUND($D106*$X$105*CUR_DT_SEC_DEMON,2)+ROUND($D106*(1-$X$105)*CUR_DT_SEC_DEMOFF,2)+CUR_DT_SEC_CST3</f>
        <v>25072.390000000003</v>
      </c>
      <c r="G106" s="5">
        <f>ROUND($E106*$V$105*PRO_DT_SUM_E_ON,2)+ROUND($E106*(1-$V$105)*PRO_DT_SUM_E_OFF,2)+ROUND($D106*'Rate DT-Sec'!$J$30,2)+ROUND($D106*$X$105*PRO_DT_SUM_PEAK,2)+ROUND($D106*(1-$X$105)*PRO_DT_SUM_PK_OFF,2)+PRO_DT_SEC_CST3</f>
        <v>27472.22</v>
      </c>
      <c r="H106" s="5">
        <f t="shared" si="22"/>
        <v>2399.8299999999981</v>
      </c>
      <c r="I106" s="6">
        <f t="shared" si="23"/>
        <v>9.6</v>
      </c>
      <c r="J106" s="6"/>
      <c r="K106" s="5">
        <f t="shared" si="24"/>
        <v>1004.32</v>
      </c>
      <c r="L106" s="5">
        <f t="shared" si="25"/>
        <v>1008.86</v>
      </c>
      <c r="M106" s="5">
        <f t="shared" si="26"/>
        <v>110.83</v>
      </c>
      <c r="N106" s="5">
        <f t="shared" si="27"/>
        <v>112.89</v>
      </c>
      <c r="O106" s="5">
        <f t="shared" si="28"/>
        <v>712.8</v>
      </c>
      <c r="P106" s="5">
        <f t="shared" si="29"/>
        <v>27909.200000000004</v>
      </c>
      <c r="Q106" s="5">
        <f t="shared" ref="Q106:Q114" si="30">G106+K106+L106+N106+O106</f>
        <v>30311.09</v>
      </c>
      <c r="R106" s="6">
        <f t="shared" ref="R106:R114" si="31">ROUND((Q106-P106)/P106,3)*100</f>
        <v>8.6</v>
      </c>
    </row>
    <row r="107" spans="1:25" x14ac:dyDescent="0.25">
      <c r="A107" s="1">
        <v>3</v>
      </c>
      <c r="D107" s="3">
        <v>800</v>
      </c>
      <c r="E107" s="3">
        <v>230400</v>
      </c>
      <c r="F107" s="5">
        <f>ROUND($E107*$V$105*CUR_DT_SUM_E_ON,2)+ROUND($E107*(1-$V$105)*CUR_DT_SUM_E_OFF,2)+ROUND($D107*INPUT!$C$82,2)+ROUND($D107*$X$105*CUR_DT_SEC_DEMON,2)+ROUND($D107*(1-$X$105)*CUR_DT_SEC_DEMOFF,2)+CUR_DT_SEC_CST3</f>
        <v>28330.969999999998</v>
      </c>
      <c r="G107" s="5">
        <f>ROUND($E107*$V$105*PRO_DT_SUM_E_ON,2)+ROUND($E107*(1-$V$105)*PRO_DT_SUM_E_OFF,2)+ROUND($D107*'Rate DT-Sec'!$J$30,2)+ROUND($D107*$X$105*PRO_DT_SUM_PEAK,2)+ROUND($D107*(1-$X$105)*PRO_DT_SUM_PK_OFF,2)+PRO_DT_SEC_CST3</f>
        <v>30930.399999999998</v>
      </c>
      <c r="H107" s="5">
        <f t="shared" si="22"/>
        <v>2599.4300000000003</v>
      </c>
      <c r="I107" s="6">
        <f t="shared" si="23"/>
        <v>9.1999999999999993</v>
      </c>
      <c r="J107" s="6"/>
      <c r="K107" s="5">
        <f t="shared" si="24"/>
        <v>803.45</v>
      </c>
      <c r="L107" s="5">
        <f t="shared" si="25"/>
        <v>807.09</v>
      </c>
      <c r="M107" s="5">
        <f t="shared" si="26"/>
        <v>142.38999999999999</v>
      </c>
      <c r="N107" s="5">
        <f t="shared" si="27"/>
        <v>142.22999999999999</v>
      </c>
      <c r="O107" s="5">
        <f t="shared" si="28"/>
        <v>570.24</v>
      </c>
      <c r="P107" s="5">
        <f t="shared" si="29"/>
        <v>30654.14</v>
      </c>
      <c r="Q107" s="5">
        <f t="shared" si="30"/>
        <v>33253.409999999996</v>
      </c>
      <c r="R107" s="6">
        <f t="shared" si="31"/>
        <v>8.5</v>
      </c>
    </row>
    <row r="108" spans="1:25" x14ac:dyDescent="0.25">
      <c r="A108" s="1">
        <v>4</v>
      </c>
      <c r="D108" s="3">
        <v>800</v>
      </c>
      <c r="E108" s="3">
        <v>460800</v>
      </c>
      <c r="F108" s="5">
        <f>ROUND($E108*$V$105*CUR_DT_SUM_E_ON,2)+ROUND($E108*(1-$V$105)*CUR_DT_SUM_E_OFF,2)+ROUND($D108*INPUT!$C$82,2)+ROUND($D108*$X$105*CUR_DT_SEC_DEMON,2)+ROUND($D108*(1-$X$105)*CUR_DT_SEC_DEMOFF,2)+CUR_DT_SEC_CST3</f>
        <v>40039.630000000005</v>
      </c>
      <c r="G108" s="5">
        <f>ROUND($E108*$V$105*PRO_DT_SUM_E_ON,2)+ROUND($E108*(1-$V$105)*PRO_DT_SUM_E_OFF,2)+ROUND($D108*'Rate DT-Sec'!$J$30,2)+ROUND($D108*$X$105*PRO_DT_SUM_PEAK,2)+ROUND($D108*(1-$X$105)*PRO_DT_SUM_PK_OFF,2)+PRO_DT_SEC_CST3</f>
        <v>43879.360000000001</v>
      </c>
      <c r="H108" s="5">
        <f t="shared" si="22"/>
        <v>3839.7299999999959</v>
      </c>
      <c r="I108" s="6">
        <f t="shared" si="23"/>
        <v>9.6</v>
      </c>
      <c r="J108" s="6"/>
      <c r="K108" s="5">
        <f t="shared" si="24"/>
        <v>1606.91</v>
      </c>
      <c r="L108" s="5">
        <f t="shared" si="25"/>
        <v>1614.18</v>
      </c>
      <c r="M108" s="5">
        <f t="shared" si="26"/>
        <v>176.83</v>
      </c>
      <c r="N108" s="5">
        <f t="shared" si="27"/>
        <v>180.18</v>
      </c>
      <c r="O108" s="5">
        <f t="shared" si="28"/>
        <v>1140.48</v>
      </c>
      <c r="P108" s="5">
        <f t="shared" si="29"/>
        <v>44578.030000000013</v>
      </c>
      <c r="Q108" s="5">
        <f t="shared" si="30"/>
        <v>48421.110000000008</v>
      </c>
      <c r="R108" s="6">
        <f t="shared" si="31"/>
        <v>8.6</v>
      </c>
    </row>
    <row r="109" spans="1:25" x14ac:dyDescent="0.25">
      <c r="A109" s="1">
        <v>5</v>
      </c>
      <c r="D109" s="3">
        <v>1000</v>
      </c>
      <c r="E109" s="3">
        <v>288000</v>
      </c>
      <c r="F109" s="5">
        <f>ROUND($E109*$V$105*CUR_DT_SUM_E_ON,2)+ROUND($E109*(1-$V$105)*CUR_DT_SUM_E_OFF,2)+ROUND($D109*INPUT!$C$82,2)+ROUND($D109*$X$105*CUR_DT_SEC_DEMON,2)+ROUND($D109*(1-$X$105)*CUR_DT_SEC_DEMOFF,2)+CUR_DT_SEC_CST3</f>
        <v>35381.950000000004</v>
      </c>
      <c r="G109" s="5">
        <f>ROUND($E109*$V$105*PRO_DT_SUM_E_ON,2)+ROUND($E109*(1-$V$105)*PRO_DT_SUM_E_OFF,2)+ROUND($D109*'Rate DT-Sec'!$J$30,2)+ROUND($D109*$X$105*PRO_DT_SUM_PEAK,2)+ROUND($D109*(1-$X$105)*PRO_DT_SUM_PK_OFF,2)+PRO_DT_SEC_CST3</f>
        <v>38631.26</v>
      </c>
      <c r="H109" s="5">
        <f t="shared" si="22"/>
        <v>3249.3099999999977</v>
      </c>
      <c r="I109" s="6">
        <f t="shared" si="23"/>
        <v>9.1999999999999993</v>
      </c>
      <c r="J109" s="6"/>
      <c r="K109" s="5">
        <f t="shared" si="24"/>
        <v>1004.32</v>
      </c>
      <c r="L109" s="5">
        <f t="shared" si="25"/>
        <v>1008.86</v>
      </c>
      <c r="M109" s="5">
        <f t="shared" si="26"/>
        <v>177.78</v>
      </c>
      <c r="N109" s="5">
        <f t="shared" si="27"/>
        <v>177.61</v>
      </c>
      <c r="O109" s="5">
        <f t="shared" si="28"/>
        <v>712.8</v>
      </c>
      <c r="P109" s="5">
        <f t="shared" si="29"/>
        <v>38285.710000000006</v>
      </c>
      <c r="Q109" s="5">
        <f t="shared" si="30"/>
        <v>41534.850000000006</v>
      </c>
      <c r="R109" s="6">
        <f t="shared" si="31"/>
        <v>8.5</v>
      </c>
    </row>
    <row r="110" spans="1:25" x14ac:dyDescent="0.25">
      <c r="A110" s="1">
        <v>6</v>
      </c>
      <c r="D110" s="3">
        <v>1000</v>
      </c>
      <c r="E110" s="3">
        <v>576000</v>
      </c>
      <c r="F110" s="5">
        <f>ROUND($E110*$V$105*CUR_DT_SUM_E_ON,2)+ROUND($E110*(1-$V$105)*CUR_DT_SUM_E_OFF,2)+ROUND($D110*INPUT!$C$82,2)+ROUND($D110*$X$105*CUR_DT_SEC_DEMON,2)+ROUND($D110*(1-$X$105)*CUR_DT_SEC_DEMOFF,2)+CUR_DT_SEC_CST3</f>
        <v>50017.780000000006</v>
      </c>
      <c r="G110" s="5">
        <f>ROUND($E110*$V$105*PRO_DT_SUM_E_ON,2)+ROUND($E110*(1-$V$105)*PRO_DT_SUM_E_OFF,2)+ROUND($D110*'Rate DT-Sec'!$J$30,2)+ROUND($D110*$X$105*PRO_DT_SUM_PEAK,2)+ROUND($D110*(1-$X$105)*PRO_DT_SUM_PK_OFF,2)+PRO_DT_SEC_CST3</f>
        <v>54817.45</v>
      </c>
      <c r="H110" s="5">
        <f t="shared" si="22"/>
        <v>4799.669999999991</v>
      </c>
      <c r="I110" s="6">
        <f t="shared" si="23"/>
        <v>9.6</v>
      </c>
      <c r="J110" s="6"/>
      <c r="K110" s="5">
        <f t="shared" si="24"/>
        <v>2008.63</v>
      </c>
      <c r="L110" s="5">
        <f t="shared" si="25"/>
        <v>2017.73</v>
      </c>
      <c r="M110" s="5">
        <f t="shared" si="26"/>
        <v>220.83</v>
      </c>
      <c r="N110" s="5">
        <f t="shared" si="27"/>
        <v>225.04</v>
      </c>
      <c r="O110" s="5">
        <f t="shared" si="28"/>
        <v>1425.6</v>
      </c>
      <c r="P110" s="5">
        <f t="shared" si="29"/>
        <v>55690.570000000007</v>
      </c>
      <c r="Q110" s="5">
        <f t="shared" si="30"/>
        <v>60494.45</v>
      </c>
      <c r="R110" s="6">
        <f t="shared" si="31"/>
        <v>8.6</v>
      </c>
    </row>
    <row r="111" spans="1:25" x14ac:dyDescent="0.25">
      <c r="A111" s="1">
        <v>7</v>
      </c>
      <c r="D111" s="3">
        <v>1200</v>
      </c>
      <c r="E111" s="3">
        <v>345600</v>
      </c>
      <c r="F111" s="5">
        <f>ROUND($E111*$V$105*CUR_DT_SUM_E_ON,2)+ROUND($E111*(1-$V$105)*CUR_DT_SUM_E_OFF,2)+ROUND($D111*INPUT!$C$82,2)+ROUND($D111*$X$105*CUR_DT_SEC_DEMON,2)+ROUND($D111*(1-$X$105)*CUR_DT_SEC_DEMOFF,2)+CUR_DT_SEC_CST3</f>
        <v>42432.93</v>
      </c>
      <c r="G111" s="5">
        <f>ROUND($E111*$V$105*PRO_DT_SUM_E_ON,2)+ROUND($E111*(1-$V$105)*PRO_DT_SUM_E_OFF,2)+ROUND($D111*'Rate DT-Sec'!$J$30,2)+ROUND($D111*$X$105*PRO_DT_SUM_PEAK,2)+ROUND($D111*(1-$X$105)*PRO_DT_SUM_PK_OFF,2)+PRO_DT_SEC_CST3</f>
        <v>46332.11</v>
      </c>
      <c r="H111" s="5">
        <f t="shared" si="22"/>
        <v>3899.1800000000003</v>
      </c>
      <c r="I111" s="6">
        <f t="shared" si="23"/>
        <v>9.1999999999999993</v>
      </c>
      <c r="J111" s="6"/>
      <c r="K111" s="5">
        <f t="shared" si="24"/>
        <v>1205.18</v>
      </c>
      <c r="L111" s="5">
        <f t="shared" si="25"/>
        <v>1210.6400000000001</v>
      </c>
      <c r="M111" s="5">
        <f t="shared" si="26"/>
        <v>213.17</v>
      </c>
      <c r="N111" s="5">
        <f t="shared" si="27"/>
        <v>212.98</v>
      </c>
      <c r="O111" s="5">
        <f t="shared" si="28"/>
        <v>855.36</v>
      </c>
      <c r="P111" s="5">
        <f t="shared" si="29"/>
        <v>45917.279999999999</v>
      </c>
      <c r="Q111" s="5">
        <f t="shared" si="30"/>
        <v>49816.270000000004</v>
      </c>
      <c r="R111" s="6">
        <f t="shared" si="31"/>
        <v>8.5</v>
      </c>
    </row>
    <row r="112" spans="1:25" x14ac:dyDescent="0.25">
      <c r="A112" s="1">
        <v>8</v>
      </c>
      <c r="D112" s="3">
        <v>1200</v>
      </c>
      <c r="E112" s="3">
        <v>691200</v>
      </c>
      <c r="F112" s="5">
        <f>ROUND($E112*$V$105*CUR_DT_SUM_E_ON,2)+ROUND($E112*(1-$V$105)*CUR_DT_SUM_E_OFF,2)+ROUND($D112*INPUT!$C$82,2)+ROUND($D112*$X$105*CUR_DT_SEC_DEMON,2)+ROUND($D112*(1-$X$105)*CUR_DT_SEC_DEMOFF,2)+CUR_DT_SEC_CST3</f>
        <v>59995.94</v>
      </c>
      <c r="G112" s="5">
        <f>ROUND($E112*$V$105*PRO_DT_SUM_E_ON,2)+ROUND($E112*(1-$V$105)*PRO_DT_SUM_E_OFF,2)+ROUND($D112*'Rate DT-Sec'!$J$30,2)+ROUND($D112*$X$105*PRO_DT_SUM_PEAK,2)+ROUND($D112*(1-$X$105)*PRO_DT_SUM_PK_OFF,2)+PRO_DT_SEC_CST3</f>
        <v>65755.539999999994</v>
      </c>
      <c r="H112" s="5">
        <f t="shared" si="22"/>
        <v>5759.5999999999913</v>
      </c>
      <c r="I112" s="6">
        <f t="shared" si="23"/>
        <v>9.6</v>
      </c>
      <c r="J112" s="6"/>
      <c r="K112" s="5">
        <f t="shared" si="24"/>
        <v>2410.36</v>
      </c>
      <c r="L112" s="5">
        <f t="shared" si="25"/>
        <v>2421.27</v>
      </c>
      <c r="M112" s="5">
        <f t="shared" si="26"/>
        <v>264.83</v>
      </c>
      <c r="N112" s="5">
        <f t="shared" si="27"/>
        <v>269.91000000000003</v>
      </c>
      <c r="O112" s="5">
        <f t="shared" si="28"/>
        <v>1710.72</v>
      </c>
      <c r="P112" s="5">
        <f t="shared" si="29"/>
        <v>66803.12</v>
      </c>
      <c r="Q112" s="5">
        <f t="shared" si="30"/>
        <v>72567.8</v>
      </c>
      <c r="R112" s="6">
        <f t="shared" si="31"/>
        <v>8.6</v>
      </c>
    </row>
    <row r="113" spans="1:18" x14ac:dyDescent="0.25">
      <c r="A113" s="1">
        <v>9</v>
      </c>
      <c r="D113" s="3">
        <v>1500</v>
      </c>
      <c r="E113" s="3">
        <v>432000</v>
      </c>
      <c r="F113" s="5">
        <f>ROUND($E113*$V$105*CUR_DT_SUM_E_ON,2)+ROUND($E113*(1-$V$105)*CUR_DT_SUM_E_OFF,2)+ROUND($D113*INPUT!$C$82,2)+ROUND($D113*$X$105*CUR_DT_SEC_DEMON,2)+ROUND($D113*(1-$X$105)*CUR_DT_SEC_DEMOFF,2)+CUR_DT_SEC_CST3</f>
        <v>53009.42</v>
      </c>
      <c r="G113" s="5">
        <f>ROUND($E113*$V$105*PRO_DT_SUM_E_ON,2)+ROUND($E113*(1-$V$105)*PRO_DT_SUM_E_OFF,2)+ROUND($D113*'Rate DT-Sec'!$J$30,2)+ROUND($D113*$X$105*PRO_DT_SUM_PEAK,2)+ROUND($D113*(1-$X$105)*PRO_DT_SUM_PK_OFF,2)+PRO_DT_SEC_CST3</f>
        <v>57883.380000000005</v>
      </c>
      <c r="H113" s="5">
        <f t="shared" si="22"/>
        <v>4873.9600000000064</v>
      </c>
      <c r="I113" s="6">
        <f t="shared" si="23"/>
        <v>9.1999999999999993</v>
      </c>
      <c r="J113" s="6"/>
      <c r="K113" s="5">
        <f t="shared" si="24"/>
        <v>1506.48</v>
      </c>
      <c r="L113" s="5">
        <f t="shared" si="25"/>
        <v>1513.3</v>
      </c>
      <c r="M113" s="5">
        <f t="shared" si="26"/>
        <v>266.25</v>
      </c>
      <c r="N113" s="5">
        <f t="shared" si="27"/>
        <v>266.04000000000002</v>
      </c>
      <c r="O113" s="5">
        <f t="shared" si="28"/>
        <v>1069.2</v>
      </c>
      <c r="P113" s="5">
        <f t="shared" si="29"/>
        <v>57364.65</v>
      </c>
      <c r="Q113" s="5">
        <f t="shared" si="30"/>
        <v>62238.400000000009</v>
      </c>
      <c r="R113" s="6">
        <f t="shared" si="31"/>
        <v>8.5</v>
      </c>
    </row>
    <row r="114" spans="1:18" x14ac:dyDescent="0.25">
      <c r="A114" s="1">
        <v>10</v>
      </c>
      <c r="D114" s="3">
        <v>1500</v>
      </c>
      <c r="E114" s="3">
        <v>864000</v>
      </c>
      <c r="F114" s="5">
        <f>ROUND($E114*$V$105*CUR_DT_SUM_E_ON,2)+ROUND($E114*(1-$V$105)*CUR_DT_SUM_E_OFF,2)+ROUND($D114*INPUT!$C$82,2)+ROUND($D114*$X$105*CUR_DT_SEC_DEMON,2)+ROUND($D114*(1-$X$105)*CUR_DT_SEC_DEMOFF,2)+CUR_DT_SEC_CST3</f>
        <v>74963.17</v>
      </c>
      <c r="G114" s="5">
        <f>ROUND($E114*$V$105*PRO_DT_SUM_E_ON,2)+ROUND($E114*(1-$V$105)*PRO_DT_SUM_E_OFF,2)+ROUND($D114*'Rate DT-Sec'!$J$30,2)+ROUND($D114*$X$105*PRO_DT_SUM_PEAK,2)+ROUND($D114*(1-$X$105)*PRO_DT_SUM_PK_OFF,2)+PRO_DT_SEC_CST3</f>
        <v>82162.67</v>
      </c>
      <c r="H114" s="5">
        <f t="shared" si="22"/>
        <v>7199.5</v>
      </c>
      <c r="I114" s="6">
        <f t="shared" si="23"/>
        <v>9.6</v>
      </c>
      <c r="J114" s="6"/>
      <c r="K114" s="5">
        <f t="shared" si="24"/>
        <v>3012.95</v>
      </c>
      <c r="L114" s="5">
        <f t="shared" si="25"/>
        <v>3026.59</v>
      </c>
      <c r="M114" s="5">
        <f t="shared" si="26"/>
        <v>330.83</v>
      </c>
      <c r="N114" s="5">
        <f t="shared" si="27"/>
        <v>337.2</v>
      </c>
      <c r="O114" s="5">
        <f t="shared" si="28"/>
        <v>2138.4</v>
      </c>
      <c r="P114" s="5">
        <f t="shared" si="29"/>
        <v>83471.939999999988</v>
      </c>
      <c r="Q114" s="5">
        <f t="shared" si="30"/>
        <v>90677.809999999983</v>
      </c>
      <c r="R114" s="6">
        <f t="shared" si="31"/>
        <v>8.6</v>
      </c>
    </row>
    <row r="115" spans="1:18" x14ac:dyDescent="0.25">
      <c r="D115" s="3"/>
      <c r="E115" s="3"/>
      <c r="K115" s="5"/>
      <c r="L115" s="5"/>
      <c r="M115" s="5"/>
      <c r="N115" s="5"/>
      <c r="O115" s="5"/>
      <c r="P115" s="5"/>
      <c r="Q115" s="5"/>
    </row>
    <row r="116" spans="1:18" ht="15.6" x14ac:dyDescent="0.3">
      <c r="A116" s="1">
        <v>11</v>
      </c>
      <c r="C116" s="42" t="s">
        <v>129</v>
      </c>
      <c r="D116" s="3">
        <v>500</v>
      </c>
      <c r="E116" s="3">
        <v>144000</v>
      </c>
      <c r="F116" s="5">
        <f>ROUND($E116*$W$105*CUR_DT_WIN_E_ON,2)+ROUND($E116*(1-$W$105)*CUR_DT_SUM_E_OFF,2)+ROUND($D116*INPUT!$C$82,2)+ROUND($D116*$Y$105*CUR_DT_WIN_PEAK_ON,2)+ROUND($D116*(1-$Y$105)*CUR_DT_WIN_PK_OFF,2)+CUR_DT_SEC_CST3</f>
        <v>17221.93</v>
      </c>
      <c r="G116" s="5">
        <f>ROUND($E116*$W$105*PRO_DT_WIN_E_ON,2)+ROUND($E116*(1-$W$105)*PRO_DT_WIN_E_OFF,2)+ROUND($D116*'Rate DT-Sec'!$J$47,2)+ROUND($D116*$Y$105*PRO_DT_WIN_PEAK,2)+ROUND($D116*(1-$Y$105)*PRO_DT_WIN_PK_OFF,2)+PRO_DT_SEC_CST3</f>
        <v>18805.419999999998</v>
      </c>
      <c r="H116" s="5">
        <f t="shared" ref="H116:H125" si="32">G116-F116</f>
        <v>1583.489999999998</v>
      </c>
      <c r="I116" s="6">
        <f t="shared" ref="I116:I125" si="33">ROUND(H116/F116,3)*100</f>
        <v>9.1999999999999993</v>
      </c>
      <c r="J116" s="6"/>
      <c r="K116" s="5">
        <f t="shared" ref="K116:K125" si="34">ROUND(E116*CUR_FAC,2)</f>
        <v>502.16</v>
      </c>
      <c r="L116" s="5">
        <f t="shared" ref="L116:L125" si="35">ROUND(E116*DSM_DIST,2)</f>
        <v>504.43</v>
      </c>
      <c r="M116" s="5">
        <f t="shared" ref="M116:M125" si="36">ROUND((F116+$L116+$O116-PRO_BASE_FUEL*$E116)*CUR_ESM_NonRes,2)</f>
        <v>85.84</v>
      </c>
      <c r="N116" s="5">
        <f t="shared" ref="N116:N125" si="37">ROUND((G116+$L116+$O116-PRO_BASE_FUEL*$E116)*PRO_ESM_NONRES,2)</f>
        <v>85.85</v>
      </c>
      <c r="O116" s="5">
        <f t="shared" ref="O116:O125" si="38">ROUND(E116*RS_PSM,2)</f>
        <v>356.4</v>
      </c>
      <c r="P116" s="5">
        <f>F116+K116+L116+M116+O116</f>
        <v>18670.760000000002</v>
      </c>
      <c r="Q116" s="5">
        <f>G116+K116+L116+N116+O116</f>
        <v>20254.259999999998</v>
      </c>
      <c r="R116" s="6">
        <f t="shared" ref="R116:R125" si="39">ROUND((Q116-P116)/P116,3)*100</f>
        <v>8.5</v>
      </c>
    </row>
    <row r="117" spans="1:18" x14ac:dyDescent="0.25">
      <c r="A117" s="1">
        <v>12</v>
      </c>
      <c r="D117" s="3">
        <v>500</v>
      </c>
      <c r="E117" s="3">
        <v>288000</v>
      </c>
      <c r="F117" s="5">
        <f>ROUND($E117*$W$105*CUR_DT_WIN_E_ON,2)+ROUND($E117*(1-$W$105)*CUR_DT_SUM_E_OFF,2)+ROUND($D117*INPUT!$C$82,2)+ROUND($D117*$Y$105*CUR_DT_WIN_PEAK_ON,2)+ROUND($D117*(1-$Y$105)*CUR_DT_WIN_PK_OFF,2)+CUR_DT_SEC_CST3</f>
        <v>24442.34</v>
      </c>
      <c r="G117" s="5">
        <f>ROUND($E117*$W$105*PRO_DT_WIN_E_ON,2)+ROUND($E117*(1-$W$105)*PRO_DT_WIN_E_OFF,2)+ROUND($D117*'Rate DT-Sec'!$J$47,2)+ROUND($D117*$Y$105*PRO_DT_WIN_PEAK,2)+ROUND($D117*(1-$Y$105)*PRO_DT_WIN_PK_OFF,2)+PRO_DT_SEC_CST3</f>
        <v>26787.629999999997</v>
      </c>
      <c r="H117" s="5">
        <f t="shared" si="32"/>
        <v>2345.2899999999972</v>
      </c>
      <c r="I117" s="6">
        <f t="shared" si="33"/>
        <v>9.6</v>
      </c>
      <c r="J117" s="6"/>
      <c r="K117" s="5">
        <f t="shared" si="34"/>
        <v>1004.32</v>
      </c>
      <c r="L117" s="5">
        <f t="shared" si="35"/>
        <v>1008.86</v>
      </c>
      <c r="M117" s="5">
        <f t="shared" si="36"/>
        <v>106.73</v>
      </c>
      <c r="N117" s="5">
        <f t="shared" si="37"/>
        <v>108.92</v>
      </c>
      <c r="O117" s="5">
        <f t="shared" si="38"/>
        <v>712.8</v>
      </c>
      <c r="P117" s="5">
        <f t="shared" ref="P117:P125" si="40">F117+K117+L117+M117+O117</f>
        <v>27275.05</v>
      </c>
      <c r="Q117" s="5">
        <f t="shared" ref="Q117:Q125" si="41">G117+K117+L117+N117+O117</f>
        <v>29622.529999999995</v>
      </c>
      <c r="R117" s="6">
        <f t="shared" si="39"/>
        <v>8.6</v>
      </c>
    </row>
    <row r="118" spans="1:18" x14ac:dyDescent="0.25">
      <c r="A118" s="1">
        <v>13</v>
      </c>
      <c r="D118" s="3">
        <v>800</v>
      </c>
      <c r="E118" s="3">
        <v>230400</v>
      </c>
      <c r="F118" s="5">
        <f>ROUND($E118*$W$105*CUR_DT_WIN_E_ON,2)+ROUND($E118*(1-$W$105)*CUR_DT_SUM_E_OFF,2)+ROUND($D118*INPUT!$C$82,2)+ROUND($D118*$Y$105*CUR_DT_WIN_PEAK_ON,2)+ROUND($D118*(1-$Y$105)*CUR_DT_WIN_PK_OFF,2)+CUR_DT_SEC_CST3</f>
        <v>27478.899999999998</v>
      </c>
      <c r="G118" s="5">
        <f>ROUND($E118*$W$105*PRO_DT_WIN_E_ON,2)+ROUND($E118*(1-$W$105)*PRO_DT_WIN_E_OFF,2)+ROUND($D118*'Rate DT-Sec'!$J$47,2)+ROUND($D118*$Y$105*PRO_DT_WIN_PEAK,2)+ROUND($D118*(1-$Y$105)*PRO_DT_WIN_PK_OFF,2)+PRO_DT_SEC_CST3</f>
        <v>30012.46</v>
      </c>
      <c r="H118" s="5">
        <f t="shared" si="32"/>
        <v>2533.5600000000013</v>
      </c>
      <c r="I118" s="6">
        <f t="shared" si="33"/>
        <v>9.1999999999999993</v>
      </c>
      <c r="J118" s="6"/>
      <c r="K118" s="5">
        <f t="shared" si="34"/>
        <v>803.45</v>
      </c>
      <c r="L118" s="5">
        <f t="shared" si="35"/>
        <v>807.09</v>
      </c>
      <c r="M118" s="5">
        <f t="shared" si="36"/>
        <v>136.85</v>
      </c>
      <c r="N118" s="5">
        <f t="shared" si="37"/>
        <v>136.91</v>
      </c>
      <c r="O118" s="5">
        <f t="shared" si="38"/>
        <v>570.24</v>
      </c>
      <c r="P118" s="5">
        <f t="shared" si="40"/>
        <v>29796.53</v>
      </c>
      <c r="Q118" s="5">
        <f t="shared" si="41"/>
        <v>32330.15</v>
      </c>
      <c r="R118" s="6">
        <f t="shared" si="39"/>
        <v>8.5</v>
      </c>
    </row>
    <row r="119" spans="1:18" x14ac:dyDescent="0.25">
      <c r="A119" s="1">
        <v>14</v>
      </c>
      <c r="D119" s="3">
        <v>800</v>
      </c>
      <c r="E119" s="3">
        <v>460800</v>
      </c>
      <c r="F119" s="5">
        <f>ROUND($E119*$W$105*CUR_DT_WIN_E_ON,2)+ROUND($E119*(1-$W$105)*CUR_DT_SUM_E_OFF,2)+ROUND($D119*INPUT!$C$82,2)+ROUND($D119*$Y$105*CUR_DT_WIN_PEAK_ON,2)+ROUND($D119*(1-$Y$105)*CUR_DT_WIN_PK_OFF,2)+CUR_DT_SEC_CST3</f>
        <v>39031.56</v>
      </c>
      <c r="G119" s="5">
        <f>ROUND($E119*$W$105*PRO_DT_WIN_E_ON,2)+ROUND($E119*(1-$W$105)*PRO_DT_WIN_E_OFF,2)+ROUND($D119*'Rate DT-Sec'!$J$47,2)+ROUND($D119*$Y$105*PRO_DT_WIN_PEAK,2)+ROUND($D119*(1-$Y$105)*PRO_DT_WIN_PK_OFF,2)+PRO_DT_SEC_CST3</f>
        <v>42784.02</v>
      </c>
      <c r="H119" s="5">
        <f t="shared" si="32"/>
        <v>3752.4599999999991</v>
      </c>
      <c r="I119" s="6">
        <f t="shared" si="33"/>
        <v>9.6</v>
      </c>
      <c r="J119" s="6"/>
      <c r="K119" s="5">
        <f t="shared" si="34"/>
        <v>1606.91</v>
      </c>
      <c r="L119" s="5">
        <f t="shared" si="35"/>
        <v>1614.18</v>
      </c>
      <c r="M119" s="5">
        <f t="shared" si="36"/>
        <v>170.28</v>
      </c>
      <c r="N119" s="5">
        <f t="shared" si="37"/>
        <v>173.83</v>
      </c>
      <c r="O119" s="5">
        <f t="shared" si="38"/>
        <v>1140.48</v>
      </c>
      <c r="P119" s="5">
        <f t="shared" si="40"/>
        <v>43563.41</v>
      </c>
      <c r="Q119" s="5">
        <f t="shared" si="41"/>
        <v>47319.420000000006</v>
      </c>
      <c r="R119" s="6">
        <f t="shared" si="39"/>
        <v>8.6</v>
      </c>
    </row>
    <row r="120" spans="1:18" x14ac:dyDescent="0.25">
      <c r="A120" s="1">
        <v>15</v>
      </c>
      <c r="D120" s="3">
        <v>1000</v>
      </c>
      <c r="E120" s="3">
        <v>288000</v>
      </c>
      <c r="F120" s="5">
        <f>ROUND($E120*$W$105*CUR_DT_WIN_E_ON,2)+ROUND($E120*(1-$W$105)*CUR_DT_SUM_E_OFF,2)+ROUND($D120*INPUT!$C$82,2)+ROUND($D120*$Y$105*CUR_DT_WIN_PEAK_ON,2)+ROUND($D120*(1-$Y$105)*CUR_DT_WIN_PK_OFF,2)+CUR_DT_SEC_CST3</f>
        <v>34316.85</v>
      </c>
      <c r="G120" s="5">
        <f>ROUND($E120*$W$105*PRO_DT_WIN_E_ON,2)+ROUND($E120*(1-$W$105)*PRO_DT_WIN_E_OFF,2)+ROUND($D120*'Rate DT-Sec'!$J$47,2)+ROUND($D120*$Y$105*PRO_DT_WIN_PEAK,2)+ROUND($D120*(1-$Y$105)*PRO_DT_WIN_PK_OFF,2)+PRO_DT_SEC_CST3</f>
        <v>37483.83</v>
      </c>
      <c r="H120" s="5">
        <f t="shared" si="32"/>
        <v>3166.9800000000032</v>
      </c>
      <c r="I120" s="6">
        <f t="shared" si="33"/>
        <v>9.1999999999999993</v>
      </c>
      <c r="J120" s="6"/>
      <c r="K120" s="5">
        <f t="shared" si="34"/>
        <v>1004.32</v>
      </c>
      <c r="L120" s="5">
        <f t="shared" si="35"/>
        <v>1008.86</v>
      </c>
      <c r="M120" s="5">
        <f t="shared" si="36"/>
        <v>170.86</v>
      </c>
      <c r="N120" s="5">
        <f t="shared" si="37"/>
        <v>170.95</v>
      </c>
      <c r="O120" s="5">
        <f t="shared" si="38"/>
        <v>712.8</v>
      </c>
      <c r="P120" s="5">
        <f t="shared" si="40"/>
        <v>37213.69</v>
      </c>
      <c r="Q120" s="5">
        <f t="shared" si="41"/>
        <v>40380.76</v>
      </c>
      <c r="R120" s="6">
        <f t="shared" si="39"/>
        <v>8.5</v>
      </c>
    </row>
    <row r="121" spans="1:18" x14ac:dyDescent="0.25">
      <c r="A121" s="1">
        <v>16</v>
      </c>
      <c r="D121" s="3">
        <v>1000</v>
      </c>
      <c r="E121" s="3">
        <v>576000</v>
      </c>
      <c r="F121" s="5">
        <f>ROUND($E121*$W$105*CUR_DT_WIN_E_ON,2)+ROUND($E121*(1-$W$105)*CUR_DT_SUM_E_OFF,2)+ROUND($D121*INPUT!$C$82,2)+ROUND($D121*$Y$105*CUR_DT_WIN_PEAK_ON,2)+ROUND($D121*(1-$Y$105)*CUR_DT_WIN_PK_OFF,2)+CUR_DT_SEC_CST3</f>
        <v>48757.689999999995</v>
      </c>
      <c r="G121" s="5">
        <f>ROUND($E121*$W$105*PRO_DT_WIN_E_ON,2)+ROUND($E121*(1-$W$105)*PRO_DT_WIN_E_OFF,2)+ROUND($D121*'Rate DT-Sec'!$J$47,2)+ROUND($D121*$Y$105*PRO_DT_WIN_PEAK,2)+ROUND($D121*(1-$Y$105)*PRO_DT_WIN_PK_OFF,2)+PRO_DT_SEC_CST3</f>
        <v>53448.27</v>
      </c>
      <c r="H121" s="5">
        <f t="shared" si="32"/>
        <v>4690.5800000000017</v>
      </c>
      <c r="I121" s="6">
        <f t="shared" si="33"/>
        <v>9.6</v>
      </c>
      <c r="J121" s="6"/>
      <c r="K121" s="5">
        <f t="shared" si="34"/>
        <v>2008.63</v>
      </c>
      <c r="L121" s="5">
        <f t="shared" si="35"/>
        <v>2017.73</v>
      </c>
      <c r="M121" s="5">
        <f t="shared" si="36"/>
        <v>212.64</v>
      </c>
      <c r="N121" s="5">
        <f t="shared" si="37"/>
        <v>217.1</v>
      </c>
      <c r="O121" s="5">
        <f t="shared" si="38"/>
        <v>1425.6</v>
      </c>
      <c r="P121" s="5">
        <f t="shared" si="40"/>
        <v>54422.289999999994</v>
      </c>
      <c r="Q121" s="5">
        <f t="shared" si="41"/>
        <v>59117.329999999994</v>
      </c>
      <c r="R121" s="6">
        <f t="shared" si="39"/>
        <v>8.6</v>
      </c>
    </row>
    <row r="122" spans="1:18" x14ac:dyDescent="0.25">
      <c r="A122" s="1">
        <v>17</v>
      </c>
      <c r="D122" s="3">
        <v>1200</v>
      </c>
      <c r="E122" s="3">
        <v>345600</v>
      </c>
      <c r="F122" s="5">
        <f>ROUND($E122*$W$105*CUR_DT_WIN_E_ON,2)+ROUND($E122*(1-$W$105)*CUR_DT_SUM_E_OFF,2)+ROUND($D122*INPUT!$C$82,2)+ROUND($D122*$Y$105*CUR_DT_WIN_PEAK_ON,2)+ROUND($D122*(1-$Y$105)*CUR_DT_WIN_PK_OFF,2)+CUR_DT_SEC_CST3</f>
        <v>41154.83</v>
      </c>
      <c r="G122" s="5">
        <f>ROUND($E122*$W$105*PRO_DT_WIN_E_ON,2)+ROUND($E122*(1-$W$105)*PRO_DT_WIN_E_OFF,2)+ROUND($D122*'Rate DT-Sec'!$J$47,2)+ROUND($D122*$Y$105*PRO_DT_WIN_PEAK,2)+ROUND($D122*(1-$Y$105)*PRO_DT_WIN_PK_OFF,2)+PRO_DT_SEC_CST3</f>
        <v>44955.199999999997</v>
      </c>
      <c r="H122" s="5">
        <f t="shared" si="32"/>
        <v>3800.3699999999953</v>
      </c>
      <c r="I122" s="6">
        <f t="shared" si="33"/>
        <v>9.1999999999999993</v>
      </c>
      <c r="J122" s="6"/>
      <c r="K122" s="5">
        <f t="shared" si="34"/>
        <v>1205.18</v>
      </c>
      <c r="L122" s="5">
        <f t="shared" si="35"/>
        <v>1210.6400000000001</v>
      </c>
      <c r="M122" s="5">
        <f t="shared" si="36"/>
        <v>204.87</v>
      </c>
      <c r="N122" s="5">
        <f t="shared" si="37"/>
        <v>205</v>
      </c>
      <c r="O122" s="5">
        <f t="shared" si="38"/>
        <v>855.36</v>
      </c>
      <c r="P122" s="5">
        <f t="shared" si="40"/>
        <v>44630.880000000005</v>
      </c>
      <c r="Q122" s="5">
        <f t="shared" si="41"/>
        <v>48431.38</v>
      </c>
      <c r="R122" s="6">
        <f t="shared" si="39"/>
        <v>8.5</v>
      </c>
    </row>
    <row r="123" spans="1:18" x14ac:dyDescent="0.25">
      <c r="A123" s="1">
        <v>18</v>
      </c>
      <c r="D123" s="3">
        <v>1200</v>
      </c>
      <c r="E123" s="3">
        <v>691200</v>
      </c>
      <c r="F123" s="5">
        <f>ROUND($E123*$W$105*CUR_DT_WIN_E_ON,2)+ROUND($E123*(1-$W$105)*CUR_DT_SUM_E_OFF,2)+ROUND($D123*INPUT!$C$82,2)+ROUND($D123*$Y$105*CUR_DT_WIN_PEAK_ON,2)+ROUND($D123*(1-$Y$105)*CUR_DT_WIN_PK_OFF,2)+CUR_DT_SEC_CST3</f>
        <v>58483.82</v>
      </c>
      <c r="G123" s="5">
        <f>ROUND($E123*$W$105*PRO_DT_WIN_E_ON,2)+ROUND($E123*(1-$W$105)*PRO_DT_WIN_E_OFF,2)+ROUND($D123*'Rate DT-Sec'!$J$47,2)+ROUND($D123*$Y$105*PRO_DT_WIN_PEAK,2)+ROUND($D123*(1-$Y$105)*PRO_DT_WIN_PK_OFF,2)+PRO_DT_SEC_CST3</f>
        <v>64112.53</v>
      </c>
      <c r="H123" s="5">
        <f t="shared" si="32"/>
        <v>5628.7099999999991</v>
      </c>
      <c r="I123" s="6">
        <f t="shared" si="33"/>
        <v>9.6</v>
      </c>
      <c r="J123" s="6"/>
      <c r="K123" s="5">
        <f t="shared" si="34"/>
        <v>2410.36</v>
      </c>
      <c r="L123" s="5">
        <f t="shared" si="35"/>
        <v>2421.27</v>
      </c>
      <c r="M123" s="5">
        <f t="shared" si="36"/>
        <v>255.01</v>
      </c>
      <c r="N123" s="5">
        <f t="shared" si="37"/>
        <v>260.38</v>
      </c>
      <c r="O123" s="5">
        <f t="shared" si="38"/>
        <v>1710.72</v>
      </c>
      <c r="P123" s="5">
        <f t="shared" si="40"/>
        <v>65281.18</v>
      </c>
      <c r="Q123" s="5">
        <f t="shared" si="41"/>
        <v>70915.260000000009</v>
      </c>
      <c r="R123" s="6">
        <f t="shared" si="39"/>
        <v>8.6</v>
      </c>
    </row>
    <row r="124" spans="1:18" x14ac:dyDescent="0.25">
      <c r="A124" s="1">
        <v>19</v>
      </c>
      <c r="D124" s="3">
        <v>1500</v>
      </c>
      <c r="E124" s="3">
        <v>432000</v>
      </c>
      <c r="F124" s="5">
        <f>ROUND($E124*$W$105*CUR_DT_WIN_E_ON,2)+ROUND($E124*(1-$W$105)*CUR_DT_SUM_E_OFF,2)+ROUND($D124*INPUT!$C$82,2)+ROUND($D124*$Y$105*CUR_DT_WIN_PEAK_ON,2)+ROUND($D124*(1-$Y$105)*CUR_DT_WIN_PK_OFF,2)+CUR_DT_SEC_CST3</f>
        <v>51411.79</v>
      </c>
      <c r="G124" s="5">
        <f>ROUND($E124*$W$105*PRO_DT_WIN_E_ON,2)+ROUND($E124*(1-$W$105)*PRO_DT_WIN_E_OFF,2)+ROUND($D124*'Rate DT-Sec'!$J$47,2)+ROUND($D124*$Y$105*PRO_DT_WIN_PEAK,2)+ROUND($D124*(1-$Y$105)*PRO_DT_WIN_PK_OFF,2)+PRO_DT_SEC_CST3</f>
        <v>56162.25</v>
      </c>
      <c r="H124" s="5">
        <f t="shared" si="32"/>
        <v>4750.4599999999991</v>
      </c>
      <c r="I124" s="6">
        <f t="shared" si="33"/>
        <v>9.1999999999999993</v>
      </c>
      <c r="J124" s="6"/>
      <c r="K124" s="5">
        <f t="shared" si="34"/>
        <v>1506.48</v>
      </c>
      <c r="L124" s="5">
        <f t="shared" si="35"/>
        <v>1513.3</v>
      </c>
      <c r="M124" s="5">
        <f t="shared" si="36"/>
        <v>255.88</v>
      </c>
      <c r="N124" s="5">
        <f t="shared" si="37"/>
        <v>256.06</v>
      </c>
      <c r="O124" s="5">
        <f t="shared" si="38"/>
        <v>1069.2</v>
      </c>
      <c r="P124" s="5">
        <f t="shared" si="40"/>
        <v>55756.65</v>
      </c>
      <c r="Q124" s="5">
        <f t="shared" si="41"/>
        <v>60507.29</v>
      </c>
      <c r="R124" s="6">
        <f t="shared" si="39"/>
        <v>8.5</v>
      </c>
    </row>
    <row r="125" spans="1:18" x14ac:dyDescent="0.25">
      <c r="A125" s="1">
        <v>20</v>
      </c>
      <c r="D125" s="3">
        <v>1500</v>
      </c>
      <c r="E125" s="3">
        <v>864000</v>
      </c>
      <c r="F125" s="5">
        <f>ROUND($E125*$W$105*CUR_DT_WIN_E_ON,2)+ROUND($E125*(1-$W$105)*CUR_DT_SUM_E_OFF,2)+ROUND($D125*INPUT!$C$82,2)+ROUND($D125*$Y$105*CUR_DT_WIN_PEAK_ON,2)+ROUND($D125*(1-$Y$105)*CUR_DT_WIN_PK_OFF,2)+CUR_DT_SEC_CST3</f>
        <v>73073.03</v>
      </c>
      <c r="G125" s="5">
        <f>ROUND($E125*$W$105*PRO_DT_WIN_E_ON,2)+ROUND($E125*(1-$W$105)*PRO_DT_WIN_E_OFF,2)+ROUND($D125*'Rate DT-Sec'!$J$47,2)+ROUND($D125*$Y$105*PRO_DT_WIN_PEAK,2)+ROUND($D125*(1-$Y$105)*PRO_DT_WIN_PK_OFF,2)+PRO_DT_SEC_CST3</f>
        <v>80108.899999999994</v>
      </c>
      <c r="H125" s="5">
        <f t="shared" si="32"/>
        <v>7035.8699999999953</v>
      </c>
      <c r="I125" s="6">
        <f t="shared" si="33"/>
        <v>9.6</v>
      </c>
      <c r="J125" s="6"/>
      <c r="K125" s="5">
        <f t="shared" si="34"/>
        <v>3012.95</v>
      </c>
      <c r="L125" s="5">
        <f t="shared" si="35"/>
        <v>3026.59</v>
      </c>
      <c r="M125" s="5">
        <f t="shared" si="36"/>
        <v>318.55</v>
      </c>
      <c r="N125" s="5">
        <f t="shared" si="37"/>
        <v>325.29000000000002</v>
      </c>
      <c r="O125" s="5">
        <f t="shared" si="38"/>
        <v>2138.4</v>
      </c>
      <c r="P125" s="5">
        <f t="shared" si="40"/>
        <v>81569.51999999999</v>
      </c>
      <c r="Q125" s="5">
        <f t="shared" si="41"/>
        <v>88612.129999999976</v>
      </c>
      <c r="R125" s="6">
        <f t="shared" si="39"/>
        <v>8.6</v>
      </c>
    </row>
    <row r="127" spans="1:18" ht="15.6" x14ac:dyDescent="0.3">
      <c r="C127" s="42" t="str">
        <f>"(1) REFLECTS FUEL ADJUSTMENT COMPONENT (FAC) OF "&amp;TEXT(CUR_FAC,"$0.000000;($0.000000)")&amp;" PER KWH."</f>
        <v>(1) REFLECTS FUEL ADJUSTMENT COMPONENT (FAC) OF $0.003487 PER KWH.</v>
      </c>
    </row>
    <row r="128" spans="1:18" ht="15.6" x14ac:dyDescent="0.3">
      <c r="C128" s="42" t="str">
        <f>"(2) RIDER DSMR "&amp;TEXT(DSM_DIST,"$0.000000;($0.000000)")&amp;" PER KWH."</f>
        <v>(2) RIDER DSMR $0.003503 PER KWH.</v>
      </c>
    </row>
    <row r="129" spans="1:18" ht="15.6" x14ac:dyDescent="0.3">
      <c r="A129" s="356"/>
      <c r="C129" s="42" t="str">
        <f>"(3) RIDER ESM "&amp;TEXT(CUR_ESM_NonRes,"#0.00%")&amp;"  OF TOTAL CURRENT BILL."</f>
        <v>(3) RIDER ESM 0.65%  OF TOTAL CURRENT BILL.</v>
      </c>
    </row>
    <row r="130" spans="1:18" ht="15.6" x14ac:dyDescent="0.3">
      <c r="A130" s="356"/>
      <c r="C130" s="42" t="str">
        <f>"(4) RIDER PSM "&amp;TEXT(RS_PSM,"$0.000000;($0.000000)")&amp;"  PER KWH."</f>
        <v>(4) RIDER PSM $0.002475  PER KWH.</v>
      </c>
    </row>
    <row r="131" spans="1:18" ht="15.6" x14ac:dyDescent="0.3">
      <c r="A131" s="356"/>
      <c r="C131" s="42" t="str">
        <f>"(5) REFLECTS FUEL COST RECOVERY INCLUDED IN BASE RATES OF "&amp;TEXT(CUR_BASE_FUEL,"$0.000000;($0.000000)")&amp;"  PER KWH AND THREE PHASE SECONDARY SERVICE."</f>
        <v>(5) REFLECTS FUEL COST RECOVERY INCLUDED IN BASE RATES OF $0.033780  PER KWH AND THREE PHASE SECONDARY SERVICE.</v>
      </c>
    </row>
    <row r="132" spans="1:18" ht="15.6" x14ac:dyDescent="0.3">
      <c r="A132" s="356"/>
      <c r="C132" s="42" t="str">
        <f>"(6) DEMAND AND ENERGY VALUES REPRESENT THE SUM OF ON AND OFF PEAK.  FOR BILL CALCULATION, VALUES ARE SPLIT USING THE RATIO OF VALUES IN SCHEDULE M-2.3."</f>
        <v>(6) DEMAND AND ENERGY VALUES REPRESENT THE SUM OF ON AND OFF PEAK.  FOR BILL CALCULATION, VALUES ARE SPLIT USING THE RATIO OF VALUES IN SCHEDULE M-2.3.</v>
      </c>
    </row>
    <row r="133" spans="1:18" ht="15.6" x14ac:dyDescent="0.3">
      <c r="A133" s="356"/>
      <c r="C133" s="42" t="str">
        <f>"(7) RIDER ESM "&amp;TEXT(PRO_ESM_NONRES,"#0.00%")&amp;"  OF TOTAL PROPOSED BILL."</f>
        <v>(7) RIDER ESM 0.58%  OF TOTAL PROPOSED BILL.</v>
      </c>
    </row>
    <row r="134" spans="1:18" ht="15.6" x14ac:dyDescent="0.3">
      <c r="A134" s="40" t="str">
        <f>NAME</f>
        <v>DUKE ENERGY KENTUCKY, INC.</v>
      </c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</row>
    <row r="135" spans="1:18" ht="15.6" x14ac:dyDescent="0.3">
      <c r="A135" s="40" t="str">
        <f>CASE_NO</f>
        <v>CASE NO.   2024-00354</v>
      </c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</row>
    <row r="136" spans="1:18" ht="15.6" x14ac:dyDescent="0.3">
      <c r="A136" s="40" t="s">
        <v>172</v>
      </c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</row>
    <row r="137" spans="1:18" ht="15.6" x14ac:dyDescent="0.3">
      <c r="A137" s="40" t="str">
        <f>SERVICE</f>
        <v>(ELECTRIC SERVICE)</v>
      </c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</row>
    <row r="138" spans="1:18" ht="15.6" x14ac:dyDescent="0.3">
      <c r="A138" s="42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</row>
    <row r="139" spans="1:18" ht="15.6" x14ac:dyDescent="0.3">
      <c r="A139" s="41" t="str">
        <f>DATA_PERIOD</f>
        <v>DATA: ____ BASE PERIOD   __X__FORECASTED PERIOD</v>
      </c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2" t="s">
        <v>173</v>
      </c>
      <c r="R139" s="41"/>
    </row>
    <row r="140" spans="1:18" ht="15.6" x14ac:dyDescent="0.3">
      <c r="A140" s="41" t="str">
        <f>TYPE</f>
        <v>TYPE OF FILING: _X_ ORIGINAL   ___UPDATED  ___ REVISED</v>
      </c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2" t="s">
        <v>181</v>
      </c>
      <c r="R140" s="41"/>
    </row>
    <row r="141" spans="1:18" ht="15.6" x14ac:dyDescent="0.3">
      <c r="A141" s="42" t="s">
        <v>100</v>
      </c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2" t="s">
        <v>3</v>
      </c>
      <c r="R141" s="41"/>
    </row>
    <row r="142" spans="1:18" ht="16.5" customHeight="1" x14ac:dyDescent="0.3">
      <c r="A142" s="153" t="str">
        <f>TIME</f>
        <v>12 Months Projected with Riders</v>
      </c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 t="str">
        <f>WIT</f>
        <v>B. L. Sailers</v>
      </c>
      <c r="R142" s="41"/>
    </row>
    <row r="143" spans="1:18" ht="15.6" x14ac:dyDescent="0.3">
      <c r="A143" s="472" t="s">
        <v>428</v>
      </c>
      <c r="B143" s="472"/>
      <c r="C143" s="472"/>
      <c r="D143" s="472"/>
      <c r="E143" s="472"/>
      <c r="F143" s="472"/>
      <c r="G143" s="472"/>
      <c r="H143" s="472"/>
      <c r="I143" s="472"/>
      <c r="J143" s="472"/>
      <c r="K143" s="472"/>
      <c r="L143" s="472"/>
      <c r="M143" s="472"/>
      <c r="N143" s="472"/>
      <c r="O143" s="472"/>
      <c r="P143" s="472"/>
      <c r="Q143" s="472"/>
      <c r="R143" s="472"/>
    </row>
    <row r="144" spans="1:18" ht="15.6" x14ac:dyDescent="0.3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</row>
    <row r="145" spans="1:18" ht="15.6" x14ac:dyDescent="0.3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</row>
    <row r="146" spans="1:18" ht="15.6" x14ac:dyDescent="0.3">
      <c r="A146" s="41"/>
      <c r="B146" s="41"/>
      <c r="C146" s="41"/>
      <c r="D146" s="41"/>
      <c r="E146" s="41"/>
      <c r="F146" s="12" t="s">
        <v>377</v>
      </c>
      <c r="G146" s="12"/>
      <c r="H146" s="12"/>
      <c r="I146" s="12"/>
      <c r="J146" s="40"/>
      <c r="K146" s="471" t="s">
        <v>360</v>
      </c>
      <c r="L146" s="471"/>
      <c r="M146" s="471"/>
      <c r="N146" s="471"/>
      <c r="O146" s="471"/>
      <c r="P146" s="44" t="s">
        <v>11</v>
      </c>
      <c r="Q146" s="44" t="s">
        <v>11</v>
      </c>
      <c r="R146" s="41"/>
    </row>
    <row r="147" spans="1:18" ht="17.100000000000001" customHeight="1" x14ac:dyDescent="0.3">
      <c r="A147" s="41"/>
      <c r="B147" s="41"/>
      <c r="C147" s="41"/>
      <c r="D147" s="44" t="s">
        <v>101</v>
      </c>
      <c r="E147" s="44" t="s">
        <v>101</v>
      </c>
      <c r="F147" s="41"/>
      <c r="G147" s="41"/>
      <c r="H147" s="44" t="s">
        <v>102</v>
      </c>
      <c r="I147" s="44" t="s">
        <v>103</v>
      </c>
      <c r="J147" s="44"/>
      <c r="K147" s="41"/>
      <c r="L147" s="41"/>
      <c r="O147" s="41"/>
      <c r="P147" s="44" t="s">
        <v>8</v>
      </c>
      <c r="Q147" s="44" t="s">
        <v>6</v>
      </c>
      <c r="R147" s="44" t="s">
        <v>103</v>
      </c>
    </row>
    <row r="148" spans="1:18" ht="15.6" x14ac:dyDescent="0.3">
      <c r="A148" s="41"/>
      <c r="B148" s="41"/>
      <c r="C148" s="41"/>
      <c r="D148" s="44" t="s">
        <v>104</v>
      </c>
      <c r="E148" s="44" t="s">
        <v>104</v>
      </c>
      <c r="F148" s="44" t="s">
        <v>8</v>
      </c>
      <c r="G148" s="44" t="s">
        <v>6</v>
      </c>
      <c r="H148" s="44" t="s">
        <v>105</v>
      </c>
      <c r="I148" s="44" t="s">
        <v>105</v>
      </c>
      <c r="J148" s="44"/>
      <c r="K148" s="44" t="s">
        <v>253</v>
      </c>
      <c r="L148" s="44" t="s">
        <v>253</v>
      </c>
      <c r="M148" s="44" t="s">
        <v>253</v>
      </c>
      <c r="N148" s="44" t="s">
        <v>253</v>
      </c>
      <c r="O148" s="44" t="s">
        <v>253</v>
      </c>
      <c r="P148" s="44" t="s">
        <v>107</v>
      </c>
      <c r="Q148" s="44" t="s">
        <v>107</v>
      </c>
      <c r="R148" s="44" t="s">
        <v>105</v>
      </c>
    </row>
    <row r="149" spans="1:18" ht="15.6" x14ac:dyDescent="0.3">
      <c r="A149" s="44" t="s">
        <v>17</v>
      </c>
      <c r="B149" s="41"/>
      <c r="C149" s="42" t="s">
        <v>18</v>
      </c>
      <c r="D149" s="44" t="s">
        <v>109</v>
      </c>
      <c r="E149" s="44" t="s">
        <v>110</v>
      </c>
      <c r="F149" s="46" t="s">
        <v>831</v>
      </c>
      <c r="G149" s="46" t="s">
        <v>831</v>
      </c>
      <c r="H149" s="141" t="s">
        <v>111</v>
      </c>
      <c r="I149" s="141" t="s">
        <v>112</v>
      </c>
      <c r="J149" s="44"/>
      <c r="K149" s="44" t="s">
        <v>358</v>
      </c>
      <c r="L149" s="46" t="s">
        <v>256</v>
      </c>
      <c r="M149" s="46" t="s">
        <v>536</v>
      </c>
      <c r="N149" s="46" t="s">
        <v>1039</v>
      </c>
      <c r="O149" s="46" t="s">
        <v>832</v>
      </c>
      <c r="P149" s="156" t="s">
        <v>1037</v>
      </c>
      <c r="Q149" s="156" t="s">
        <v>1038</v>
      </c>
      <c r="R149" s="156" t="s">
        <v>969</v>
      </c>
    </row>
    <row r="150" spans="1:18" ht="15.6" x14ac:dyDescent="0.3">
      <c r="A150" s="48" t="s">
        <v>22</v>
      </c>
      <c r="B150" s="47"/>
      <c r="C150" s="352" t="s">
        <v>23</v>
      </c>
      <c r="D150" s="358" t="s">
        <v>33</v>
      </c>
      <c r="E150" s="358" t="s">
        <v>34</v>
      </c>
      <c r="F150" s="358" t="s">
        <v>35</v>
      </c>
      <c r="G150" s="358" t="s">
        <v>36</v>
      </c>
      <c r="H150" s="358" t="s">
        <v>37</v>
      </c>
      <c r="I150" s="358" t="s">
        <v>38</v>
      </c>
      <c r="J150" s="358"/>
      <c r="K150" s="358" t="s">
        <v>39</v>
      </c>
      <c r="L150" s="358" t="s">
        <v>40</v>
      </c>
      <c r="M150" s="137" t="s">
        <v>1034</v>
      </c>
      <c r="N150" s="137" t="s">
        <v>1035</v>
      </c>
      <c r="O150" s="136" t="s">
        <v>42</v>
      </c>
      <c r="P150" s="136" t="s">
        <v>43</v>
      </c>
      <c r="Q150" s="136" t="s">
        <v>44</v>
      </c>
      <c r="R150" s="136" t="s">
        <v>45</v>
      </c>
    </row>
    <row r="151" spans="1:18" ht="15.6" x14ac:dyDescent="0.3">
      <c r="A151" s="41"/>
      <c r="B151" s="41"/>
      <c r="C151" s="41"/>
      <c r="D151" s="171" t="s">
        <v>118</v>
      </c>
      <c r="E151" s="171" t="s">
        <v>49</v>
      </c>
      <c r="F151" s="171" t="s">
        <v>50</v>
      </c>
      <c r="G151" s="171" t="s">
        <v>50</v>
      </c>
      <c r="H151" s="171" t="s">
        <v>50</v>
      </c>
      <c r="I151" s="171" t="s">
        <v>51</v>
      </c>
      <c r="J151" s="171"/>
      <c r="K151" s="171" t="s">
        <v>50</v>
      </c>
      <c r="L151" s="171" t="s">
        <v>50</v>
      </c>
      <c r="M151" s="171" t="s">
        <v>50</v>
      </c>
      <c r="N151" s="171" t="s">
        <v>50</v>
      </c>
      <c r="O151" s="171" t="s">
        <v>50</v>
      </c>
      <c r="P151" s="171" t="s">
        <v>50</v>
      </c>
      <c r="Q151" s="171" t="s">
        <v>50</v>
      </c>
      <c r="R151" s="171" t="s">
        <v>51</v>
      </c>
    </row>
    <row r="152" spans="1:18" ht="15.6" x14ac:dyDescent="0.3">
      <c r="A152" s="1">
        <v>1</v>
      </c>
      <c r="C152" s="42" t="s">
        <v>92</v>
      </c>
      <c r="D152" s="1">
        <v>100</v>
      </c>
      <c r="E152" s="3">
        <v>14400</v>
      </c>
      <c r="F152" s="5">
        <f t="shared" ref="F152:F175" si="42">IF($E152&gt;($D152*300),((($D152*300)*CUR_DP_KWH1)+(($E152-($D152*300))*CUR_DP_KWH2)+($D152*CUR_DP_DEMAND)+CUR_DP_CST),(($E152*CUR_DP_KWH1)+($D152*CUR_DP_DEMAND)+CUR_DP_CST))</f>
        <v>2097.4928</v>
      </c>
      <c r="G152" s="5">
        <f t="shared" ref="G152:G175" si="43">IF($E152&gt;($D152*300),((($D152*300)*PRO_DP_KWH1)+(($E152-($D152*300))*PRO_DP_KWH2)+($D152*PRO_DP_DEMAND)+PRO_DP_CST),(($E152*PRO_DP_KWH1)+($D152*PRO_DP_DEMAND)+PRO_DP_CST))</f>
        <v>2231.7487999999998</v>
      </c>
      <c r="H152" s="5">
        <f t="shared" ref="H152:H175" si="44">G152-F152</f>
        <v>134.25599999999986</v>
      </c>
      <c r="I152" s="6">
        <f t="shared" ref="I152:I175" si="45">ROUND(H152/F152,3)*100</f>
        <v>6.4</v>
      </c>
      <c r="J152" s="5"/>
      <c r="K152" s="5">
        <f t="shared" ref="K152:K175" si="46">ROUND(E152*CUR_FAC,2)</f>
        <v>50.22</v>
      </c>
      <c r="L152" s="5">
        <f t="shared" ref="L152:L175" si="47">ROUND(E152*DSM_DIST,2)</f>
        <v>50.44</v>
      </c>
      <c r="M152" s="5">
        <f t="shared" ref="M152:M175" si="48">ROUND((F152+$L152+$O152-PRO_BASE_FUEL*$E152)*CUR_ESM_NonRes,2)</f>
        <v>11.02</v>
      </c>
      <c r="N152" s="5">
        <f t="shared" ref="N152:N175" si="49">ROUND((G152+$L152+$O152-PRO_BASE_FUEL*$E152)*PRO_ESM_NONRES,2)</f>
        <v>10.62</v>
      </c>
      <c r="O152" s="5">
        <f t="shared" ref="O152:O175" si="50">ROUND(E152*RS_PSM,2)</f>
        <v>35.64</v>
      </c>
      <c r="P152" s="5">
        <f t="shared" ref="P152:P175" si="51">F152+K152+L152+M152+O152</f>
        <v>2244.8127999999997</v>
      </c>
      <c r="Q152" s="5">
        <f>G152+K152+L152+N152+O152</f>
        <v>2378.6687999999995</v>
      </c>
      <c r="R152" s="4">
        <f>ROUND((Q152-P152)/P152,3)*100</f>
        <v>6</v>
      </c>
    </row>
    <row r="153" spans="1:18" x14ac:dyDescent="0.25">
      <c r="A153" s="1">
        <v>2</v>
      </c>
      <c r="D153" s="1">
        <v>100</v>
      </c>
      <c r="E153" s="3">
        <v>28800</v>
      </c>
      <c r="F153" s="5">
        <f t="shared" si="42"/>
        <v>3127.9856</v>
      </c>
      <c r="G153" s="5">
        <f t="shared" si="43"/>
        <v>3330.4975999999997</v>
      </c>
      <c r="H153" s="5">
        <f t="shared" si="44"/>
        <v>202.51199999999972</v>
      </c>
      <c r="I153" s="6">
        <f t="shared" si="45"/>
        <v>6.5</v>
      </c>
      <c r="J153" s="5"/>
      <c r="K153" s="5">
        <f t="shared" si="46"/>
        <v>100.43</v>
      </c>
      <c r="L153" s="5">
        <f t="shared" si="47"/>
        <v>100.89</v>
      </c>
      <c r="M153" s="5">
        <f t="shared" si="48"/>
        <v>15.11</v>
      </c>
      <c r="N153" s="5">
        <f t="shared" si="49"/>
        <v>14.67</v>
      </c>
      <c r="O153" s="5">
        <f t="shared" si="50"/>
        <v>71.28</v>
      </c>
      <c r="P153" s="5">
        <f t="shared" si="51"/>
        <v>3415.6956</v>
      </c>
      <c r="Q153" s="5">
        <f t="shared" ref="Q153:Q175" si="52">G153+K153+L153+N153+O153</f>
        <v>3617.7675999999997</v>
      </c>
      <c r="R153" s="4">
        <f t="shared" ref="R153:R175" si="53">ROUND((Q153-P153)/P153,3)*100</f>
        <v>5.8999999999999995</v>
      </c>
    </row>
    <row r="154" spans="1:18" x14ac:dyDescent="0.25">
      <c r="A154" s="1">
        <v>3</v>
      </c>
      <c r="D154" s="1">
        <v>100</v>
      </c>
      <c r="E154" s="3">
        <v>43200</v>
      </c>
      <c r="F154" s="5">
        <f t="shared" si="42"/>
        <v>4033.1576</v>
      </c>
      <c r="G154" s="5">
        <f t="shared" si="43"/>
        <v>4294.8307999999997</v>
      </c>
      <c r="H154" s="5">
        <f t="shared" si="44"/>
        <v>261.67319999999972</v>
      </c>
      <c r="I154" s="6">
        <f t="shared" si="45"/>
        <v>6.5</v>
      </c>
      <c r="J154" s="5"/>
      <c r="K154" s="5">
        <f t="shared" si="46"/>
        <v>150.65</v>
      </c>
      <c r="L154" s="5">
        <f t="shared" si="47"/>
        <v>151.33000000000001</v>
      </c>
      <c r="M154" s="5">
        <f t="shared" si="48"/>
        <v>18.39</v>
      </c>
      <c r="N154" s="5">
        <f t="shared" si="49"/>
        <v>17.940000000000001</v>
      </c>
      <c r="O154" s="5">
        <f t="shared" si="50"/>
        <v>106.92</v>
      </c>
      <c r="P154" s="5">
        <f t="shared" si="51"/>
        <v>4460.4476000000004</v>
      </c>
      <c r="Q154" s="5">
        <f t="shared" si="52"/>
        <v>4721.670799999999</v>
      </c>
      <c r="R154" s="4">
        <f t="shared" si="53"/>
        <v>5.8999999999999995</v>
      </c>
    </row>
    <row r="155" spans="1:18" x14ac:dyDescent="0.25">
      <c r="A155" s="1">
        <v>4</v>
      </c>
      <c r="D155" s="1">
        <v>200</v>
      </c>
      <c r="E155" s="3">
        <v>28800</v>
      </c>
      <c r="F155" s="5">
        <f t="shared" si="42"/>
        <v>4077.9856</v>
      </c>
      <c r="G155" s="5">
        <f t="shared" si="43"/>
        <v>4343.4975999999997</v>
      </c>
      <c r="H155" s="5">
        <f t="shared" si="44"/>
        <v>265.51199999999972</v>
      </c>
      <c r="I155" s="6">
        <f t="shared" si="45"/>
        <v>6.5</v>
      </c>
      <c r="J155" s="5"/>
      <c r="K155" s="5">
        <f t="shared" si="46"/>
        <v>100.43</v>
      </c>
      <c r="L155" s="5">
        <f t="shared" si="47"/>
        <v>100.89</v>
      </c>
      <c r="M155" s="5">
        <f t="shared" si="48"/>
        <v>21.28</v>
      </c>
      <c r="N155" s="5">
        <f t="shared" si="49"/>
        <v>20.55</v>
      </c>
      <c r="O155" s="5">
        <f t="shared" si="50"/>
        <v>71.28</v>
      </c>
      <c r="P155" s="5">
        <f t="shared" si="51"/>
        <v>4371.8656000000001</v>
      </c>
      <c r="Q155" s="5">
        <f t="shared" si="52"/>
        <v>4636.6476000000002</v>
      </c>
      <c r="R155" s="4">
        <f t="shared" si="53"/>
        <v>6.1</v>
      </c>
    </row>
    <row r="156" spans="1:18" x14ac:dyDescent="0.25">
      <c r="A156" s="1">
        <v>5</v>
      </c>
      <c r="D156" s="1">
        <v>200</v>
      </c>
      <c r="E156" s="3">
        <v>57600</v>
      </c>
      <c r="F156" s="5">
        <f t="shared" si="42"/>
        <v>6138.9712</v>
      </c>
      <c r="G156" s="5">
        <f t="shared" si="43"/>
        <v>6540.9951999999994</v>
      </c>
      <c r="H156" s="5">
        <f t="shared" si="44"/>
        <v>402.02399999999943</v>
      </c>
      <c r="I156" s="6">
        <f t="shared" si="45"/>
        <v>6.5</v>
      </c>
      <c r="J156" s="5"/>
      <c r="K156" s="5">
        <f t="shared" si="46"/>
        <v>200.86</v>
      </c>
      <c r="L156" s="5">
        <f t="shared" si="47"/>
        <v>201.77</v>
      </c>
      <c r="M156" s="5">
        <f t="shared" si="48"/>
        <v>29.47</v>
      </c>
      <c r="N156" s="5">
        <f t="shared" si="49"/>
        <v>28.65</v>
      </c>
      <c r="O156" s="5">
        <f t="shared" si="50"/>
        <v>142.56</v>
      </c>
      <c r="P156" s="5">
        <f t="shared" si="51"/>
        <v>6713.6312000000007</v>
      </c>
      <c r="Q156" s="5">
        <f t="shared" si="52"/>
        <v>7114.8351999999995</v>
      </c>
      <c r="R156" s="4">
        <f t="shared" si="53"/>
        <v>6</v>
      </c>
    </row>
    <row r="157" spans="1:18" x14ac:dyDescent="0.25">
      <c r="A157" s="1">
        <v>6</v>
      </c>
      <c r="D157" s="1">
        <v>200</v>
      </c>
      <c r="E157" s="3">
        <v>86400</v>
      </c>
      <c r="F157" s="5">
        <f t="shared" si="42"/>
        <v>7949.3152</v>
      </c>
      <c r="G157" s="5">
        <f t="shared" si="43"/>
        <v>8469.6615999999995</v>
      </c>
      <c r="H157" s="5">
        <f t="shared" si="44"/>
        <v>520.34639999999945</v>
      </c>
      <c r="I157" s="6">
        <f t="shared" si="45"/>
        <v>6.5</v>
      </c>
      <c r="J157" s="5"/>
      <c r="K157" s="5">
        <f t="shared" si="46"/>
        <v>301.3</v>
      </c>
      <c r="L157" s="5">
        <f t="shared" si="47"/>
        <v>302.66000000000003</v>
      </c>
      <c r="M157" s="5">
        <f t="shared" si="48"/>
        <v>36.020000000000003</v>
      </c>
      <c r="N157" s="5">
        <f t="shared" si="49"/>
        <v>35.19</v>
      </c>
      <c r="O157" s="5">
        <f t="shared" si="50"/>
        <v>213.84</v>
      </c>
      <c r="P157" s="5">
        <f t="shared" si="51"/>
        <v>8803.1352000000006</v>
      </c>
      <c r="Q157" s="5">
        <f t="shared" si="52"/>
        <v>9322.6515999999992</v>
      </c>
      <c r="R157" s="4">
        <f t="shared" si="53"/>
        <v>5.8999999999999995</v>
      </c>
    </row>
    <row r="158" spans="1:18" x14ac:dyDescent="0.25">
      <c r="A158" s="1">
        <v>7</v>
      </c>
      <c r="D158" s="1">
        <v>300</v>
      </c>
      <c r="E158" s="3">
        <v>43200</v>
      </c>
      <c r="F158" s="5">
        <f t="shared" si="42"/>
        <v>6058.4784</v>
      </c>
      <c r="G158" s="5">
        <f t="shared" si="43"/>
        <v>6455.2464</v>
      </c>
      <c r="H158" s="5">
        <f t="shared" si="44"/>
        <v>396.76800000000003</v>
      </c>
      <c r="I158" s="6">
        <f t="shared" si="45"/>
        <v>6.5</v>
      </c>
      <c r="J158" s="5"/>
      <c r="K158" s="5">
        <f t="shared" si="46"/>
        <v>150.65</v>
      </c>
      <c r="L158" s="5">
        <f t="shared" si="47"/>
        <v>151.33000000000001</v>
      </c>
      <c r="M158" s="5">
        <f t="shared" si="48"/>
        <v>31.54</v>
      </c>
      <c r="N158" s="5">
        <f t="shared" si="49"/>
        <v>30.47</v>
      </c>
      <c r="O158" s="5">
        <f t="shared" si="50"/>
        <v>106.92</v>
      </c>
      <c r="P158" s="5">
        <f t="shared" si="51"/>
        <v>6498.9183999999996</v>
      </c>
      <c r="Q158" s="5">
        <f t="shared" si="52"/>
        <v>6894.6163999999999</v>
      </c>
      <c r="R158" s="4">
        <f t="shared" si="53"/>
        <v>6.1</v>
      </c>
    </row>
    <row r="159" spans="1:18" x14ac:dyDescent="0.25">
      <c r="A159" s="1">
        <v>8</v>
      </c>
      <c r="D159" s="1">
        <v>300</v>
      </c>
      <c r="E159" s="3">
        <v>86400</v>
      </c>
      <c r="F159" s="5">
        <f t="shared" si="42"/>
        <v>9149.9567999999999</v>
      </c>
      <c r="G159" s="5">
        <f t="shared" si="43"/>
        <v>9751.4928</v>
      </c>
      <c r="H159" s="5">
        <f t="shared" si="44"/>
        <v>601.53600000000006</v>
      </c>
      <c r="I159" s="6">
        <f t="shared" si="45"/>
        <v>6.6000000000000005</v>
      </c>
      <c r="J159" s="5"/>
      <c r="K159" s="5">
        <f t="shared" si="46"/>
        <v>301.3</v>
      </c>
      <c r="L159" s="5">
        <f t="shared" si="47"/>
        <v>302.66000000000003</v>
      </c>
      <c r="M159" s="5">
        <f t="shared" si="48"/>
        <v>43.82</v>
      </c>
      <c r="N159" s="5">
        <f t="shared" si="49"/>
        <v>42.62</v>
      </c>
      <c r="O159" s="5">
        <f t="shared" si="50"/>
        <v>213.84</v>
      </c>
      <c r="P159" s="5">
        <f t="shared" si="51"/>
        <v>10011.576799999999</v>
      </c>
      <c r="Q159" s="5">
        <f t="shared" si="52"/>
        <v>10611.9128</v>
      </c>
      <c r="R159" s="4">
        <f t="shared" si="53"/>
        <v>6</v>
      </c>
    </row>
    <row r="160" spans="1:18" x14ac:dyDescent="0.25">
      <c r="A160" s="1">
        <v>9</v>
      </c>
      <c r="D160" s="1">
        <v>300</v>
      </c>
      <c r="E160" s="3">
        <v>129600</v>
      </c>
      <c r="F160" s="5">
        <f t="shared" si="42"/>
        <v>11865.4728</v>
      </c>
      <c r="G160" s="5">
        <f t="shared" si="43"/>
        <v>12644.492399999999</v>
      </c>
      <c r="H160" s="5">
        <f t="shared" si="44"/>
        <v>779.01959999999963</v>
      </c>
      <c r="I160" s="6">
        <f t="shared" si="45"/>
        <v>6.6000000000000005</v>
      </c>
      <c r="J160" s="5"/>
      <c r="K160" s="5">
        <f t="shared" si="46"/>
        <v>451.94</v>
      </c>
      <c r="L160" s="5">
        <f t="shared" si="47"/>
        <v>453.99</v>
      </c>
      <c r="M160" s="5">
        <f t="shared" si="48"/>
        <v>53.66</v>
      </c>
      <c r="N160" s="5">
        <f t="shared" si="49"/>
        <v>52.44</v>
      </c>
      <c r="O160" s="5">
        <f t="shared" si="50"/>
        <v>320.76</v>
      </c>
      <c r="P160" s="5">
        <f t="shared" si="51"/>
        <v>13145.8228</v>
      </c>
      <c r="Q160" s="5">
        <f t="shared" si="52"/>
        <v>13923.6224</v>
      </c>
      <c r="R160" s="4">
        <f t="shared" si="53"/>
        <v>5.8999999999999995</v>
      </c>
    </row>
    <row r="161" spans="1:18" x14ac:dyDescent="0.25">
      <c r="A161" s="1">
        <v>10</v>
      </c>
      <c r="D161" s="1">
        <v>500</v>
      </c>
      <c r="E161" s="3">
        <v>72000</v>
      </c>
      <c r="F161" s="5">
        <f t="shared" si="42"/>
        <v>10019.464</v>
      </c>
      <c r="G161" s="5">
        <f t="shared" si="43"/>
        <v>10678.743999999999</v>
      </c>
      <c r="H161" s="5">
        <f t="shared" si="44"/>
        <v>659.27999999999884</v>
      </c>
      <c r="I161" s="6">
        <f t="shared" si="45"/>
        <v>6.6000000000000005</v>
      </c>
      <c r="J161" s="5"/>
      <c r="K161" s="5">
        <f t="shared" si="46"/>
        <v>251.08</v>
      </c>
      <c r="L161" s="5">
        <f t="shared" si="47"/>
        <v>252.22</v>
      </c>
      <c r="M161" s="5">
        <f t="shared" si="48"/>
        <v>52.07</v>
      </c>
      <c r="N161" s="5">
        <f t="shared" si="49"/>
        <v>50.32</v>
      </c>
      <c r="O161" s="5">
        <f t="shared" si="50"/>
        <v>178.2</v>
      </c>
      <c r="P161" s="5">
        <f t="shared" si="51"/>
        <v>10753.034</v>
      </c>
      <c r="Q161" s="5">
        <f t="shared" si="52"/>
        <v>11410.563999999998</v>
      </c>
      <c r="R161" s="4">
        <f t="shared" si="53"/>
        <v>6.1</v>
      </c>
    </row>
    <row r="162" spans="1:18" x14ac:dyDescent="0.25">
      <c r="A162" s="1">
        <v>11</v>
      </c>
      <c r="D162" s="1">
        <v>500</v>
      </c>
      <c r="E162" s="3">
        <v>144000</v>
      </c>
      <c r="F162" s="5">
        <f t="shared" si="42"/>
        <v>15171.928</v>
      </c>
      <c r="G162" s="5">
        <f t="shared" si="43"/>
        <v>16172.487999999999</v>
      </c>
      <c r="H162" s="5">
        <f t="shared" si="44"/>
        <v>1000.5599999999995</v>
      </c>
      <c r="I162" s="6">
        <f t="shared" si="45"/>
        <v>6.6000000000000005</v>
      </c>
      <c r="J162" s="5"/>
      <c r="K162" s="5">
        <f t="shared" si="46"/>
        <v>502.16</v>
      </c>
      <c r="L162" s="5">
        <f t="shared" si="47"/>
        <v>504.43</v>
      </c>
      <c r="M162" s="5">
        <f t="shared" si="48"/>
        <v>72.53</v>
      </c>
      <c r="N162" s="5">
        <f t="shared" si="49"/>
        <v>70.58</v>
      </c>
      <c r="O162" s="5">
        <f t="shared" si="50"/>
        <v>356.4</v>
      </c>
      <c r="P162" s="5">
        <f t="shared" si="51"/>
        <v>16607.448</v>
      </c>
      <c r="Q162" s="5">
        <f t="shared" si="52"/>
        <v>17606.058000000005</v>
      </c>
      <c r="R162" s="4">
        <f t="shared" si="53"/>
        <v>6</v>
      </c>
    </row>
    <row r="163" spans="1:18" x14ac:dyDescent="0.25">
      <c r="A163" s="1">
        <v>12</v>
      </c>
      <c r="D163" s="1">
        <v>500</v>
      </c>
      <c r="E163" s="3">
        <v>216000</v>
      </c>
      <c r="F163" s="5">
        <f t="shared" si="42"/>
        <v>19697.788</v>
      </c>
      <c r="G163" s="5">
        <f t="shared" si="43"/>
        <v>20994.153999999999</v>
      </c>
      <c r="H163" s="5">
        <f t="shared" si="44"/>
        <v>1296.3659999999982</v>
      </c>
      <c r="I163" s="6">
        <f t="shared" si="45"/>
        <v>6.6000000000000005</v>
      </c>
      <c r="J163" s="5"/>
      <c r="K163" s="5">
        <f t="shared" si="46"/>
        <v>753.24</v>
      </c>
      <c r="L163" s="5">
        <f t="shared" si="47"/>
        <v>756.65</v>
      </c>
      <c r="M163" s="5">
        <f t="shared" si="48"/>
        <v>88.92</v>
      </c>
      <c r="N163" s="5">
        <f t="shared" si="49"/>
        <v>86.93</v>
      </c>
      <c r="O163" s="5">
        <f t="shared" si="50"/>
        <v>534.6</v>
      </c>
      <c r="P163" s="5">
        <f t="shared" si="51"/>
        <v>21831.198</v>
      </c>
      <c r="Q163" s="5">
        <f t="shared" si="52"/>
        <v>23125.574000000001</v>
      </c>
      <c r="R163" s="4">
        <f t="shared" si="53"/>
        <v>5.8999999999999995</v>
      </c>
    </row>
    <row r="164" spans="1:18" x14ac:dyDescent="0.25">
      <c r="A164" s="1">
        <v>13</v>
      </c>
      <c r="D164" s="1">
        <v>800</v>
      </c>
      <c r="E164" s="3">
        <v>115200</v>
      </c>
      <c r="F164" s="5">
        <f t="shared" si="42"/>
        <v>15960.9424</v>
      </c>
      <c r="G164" s="5">
        <f t="shared" si="43"/>
        <v>17013.990399999999</v>
      </c>
      <c r="H164" s="5">
        <f t="shared" si="44"/>
        <v>1053.0479999999989</v>
      </c>
      <c r="I164" s="6">
        <f t="shared" si="45"/>
        <v>6.6000000000000005</v>
      </c>
      <c r="J164" s="5"/>
      <c r="K164" s="5">
        <f t="shared" si="46"/>
        <v>401.73</v>
      </c>
      <c r="L164" s="5">
        <f t="shared" si="47"/>
        <v>403.55</v>
      </c>
      <c r="M164" s="5">
        <f t="shared" si="48"/>
        <v>82.85</v>
      </c>
      <c r="N164" s="5">
        <f t="shared" si="49"/>
        <v>80.099999999999994</v>
      </c>
      <c r="O164" s="5">
        <f t="shared" si="50"/>
        <v>285.12</v>
      </c>
      <c r="P164" s="5">
        <f t="shared" si="51"/>
        <v>17134.192399999996</v>
      </c>
      <c r="Q164" s="5">
        <f t="shared" si="52"/>
        <v>18184.490399999995</v>
      </c>
      <c r="R164" s="4">
        <f t="shared" si="53"/>
        <v>6.1</v>
      </c>
    </row>
    <row r="165" spans="1:18" x14ac:dyDescent="0.25">
      <c r="A165" s="1">
        <v>14</v>
      </c>
      <c r="D165" s="1">
        <v>800</v>
      </c>
      <c r="E165" s="3">
        <v>230400</v>
      </c>
      <c r="F165" s="5">
        <f t="shared" si="42"/>
        <v>24204.8848</v>
      </c>
      <c r="G165" s="5">
        <f t="shared" si="43"/>
        <v>25803.980799999998</v>
      </c>
      <c r="H165" s="5">
        <f t="shared" si="44"/>
        <v>1599.0959999999977</v>
      </c>
      <c r="I165" s="6">
        <f t="shared" si="45"/>
        <v>6.6000000000000005</v>
      </c>
      <c r="J165" s="5"/>
      <c r="K165" s="5">
        <f t="shared" si="46"/>
        <v>803.45</v>
      </c>
      <c r="L165" s="5">
        <f t="shared" si="47"/>
        <v>807.09</v>
      </c>
      <c r="M165" s="5">
        <f t="shared" si="48"/>
        <v>115.59</v>
      </c>
      <c r="N165" s="5">
        <f t="shared" si="49"/>
        <v>112.5</v>
      </c>
      <c r="O165" s="5">
        <f t="shared" si="50"/>
        <v>570.24</v>
      </c>
      <c r="P165" s="5">
        <f t="shared" si="51"/>
        <v>26501.254800000002</v>
      </c>
      <c r="Q165" s="5">
        <f t="shared" si="52"/>
        <v>28097.2608</v>
      </c>
      <c r="R165" s="4">
        <f t="shared" si="53"/>
        <v>6</v>
      </c>
    </row>
    <row r="166" spans="1:18" x14ac:dyDescent="0.25">
      <c r="A166" s="1">
        <v>15</v>
      </c>
      <c r="D166" s="1">
        <v>800</v>
      </c>
      <c r="E166" s="3">
        <v>345600</v>
      </c>
      <c r="F166" s="5">
        <f t="shared" si="42"/>
        <v>31446.2608</v>
      </c>
      <c r="G166" s="5">
        <f t="shared" si="43"/>
        <v>33518.646399999998</v>
      </c>
      <c r="H166" s="5">
        <f t="shared" si="44"/>
        <v>2072.3855999999978</v>
      </c>
      <c r="I166" s="6">
        <f t="shared" si="45"/>
        <v>6.6000000000000005</v>
      </c>
      <c r="J166" s="5"/>
      <c r="K166" s="5">
        <f t="shared" si="46"/>
        <v>1205.18</v>
      </c>
      <c r="L166" s="5">
        <f t="shared" si="47"/>
        <v>1210.6400000000001</v>
      </c>
      <c r="M166" s="5">
        <f t="shared" si="48"/>
        <v>141.82</v>
      </c>
      <c r="N166" s="5">
        <f t="shared" si="49"/>
        <v>138.66999999999999</v>
      </c>
      <c r="O166" s="5">
        <f t="shared" si="50"/>
        <v>855.36</v>
      </c>
      <c r="P166" s="5">
        <f t="shared" si="51"/>
        <v>34859.260800000004</v>
      </c>
      <c r="Q166" s="5">
        <f t="shared" si="52"/>
        <v>36928.496399999996</v>
      </c>
      <c r="R166" s="4">
        <f t="shared" si="53"/>
        <v>5.8999999999999995</v>
      </c>
    </row>
    <row r="167" spans="1:18" x14ac:dyDescent="0.25">
      <c r="A167" s="1">
        <v>16</v>
      </c>
      <c r="D167" s="1">
        <v>1000</v>
      </c>
      <c r="E167" s="3">
        <v>144000</v>
      </c>
      <c r="F167" s="5">
        <f t="shared" si="42"/>
        <v>19921.928</v>
      </c>
      <c r="G167" s="5">
        <f t="shared" si="43"/>
        <v>21237.487999999998</v>
      </c>
      <c r="H167" s="5">
        <f t="shared" si="44"/>
        <v>1315.5599999999977</v>
      </c>
      <c r="I167" s="6">
        <f t="shared" si="45"/>
        <v>6.6000000000000005</v>
      </c>
      <c r="J167" s="5"/>
      <c r="K167" s="5">
        <f t="shared" si="46"/>
        <v>502.16</v>
      </c>
      <c r="L167" s="5">
        <f t="shared" si="47"/>
        <v>504.43</v>
      </c>
      <c r="M167" s="5">
        <f t="shared" si="48"/>
        <v>103.38</v>
      </c>
      <c r="N167" s="5">
        <f t="shared" si="49"/>
        <v>99.95</v>
      </c>
      <c r="O167" s="5">
        <f t="shared" si="50"/>
        <v>356.4</v>
      </c>
      <c r="P167" s="5">
        <f t="shared" si="51"/>
        <v>21388.298000000003</v>
      </c>
      <c r="Q167" s="5">
        <f t="shared" si="52"/>
        <v>22700.428</v>
      </c>
      <c r="R167" s="4">
        <f t="shared" si="53"/>
        <v>6.1</v>
      </c>
    </row>
    <row r="168" spans="1:18" x14ac:dyDescent="0.25">
      <c r="A168" s="1">
        <v>17</v>
      </c>
      <c r="D168" s="1">
        <v>1000</v>
      </c>
      <c r="E168" s="3">
        <v>288000</v>
      </c>
      <c r="F168" s="5">
        <f t="shared" si="42"/>
        <v>30226.856</v>
      </c>
      <c r="G168" s="5">
        <f t="shared" si="43"/>
        <v>32224.975999999999</v>
      </c>
      <c r="H168" s="5">
        <f t="shared" si="44"/>
        <v>1998.119999999999</v>
      </c>
      <c r="I168" s="6">
        <f t="shared" si="45"/>
        <v>6.6000000000000005</v>
      </c>
      <c r="J168" s="5"/>
      <c r="K168" s="5">
        <f t="shared" si="46"/>
        <v>1004.32</v>
      </c>
      <c r="L168" s="5">
        <f t="shared" si="47"/>
        <v>1008.86</v>
      </c>
      <c r="M168" s="5">
        <f t="shared" si="48"/>
        <v>144.30000000000001</v>
      </c>
      <c r="N168" s="5">
        <f t="shared" si="49"/>
        <v>140.44999999999999</v>
      </c>
      <c r="O168" s="5">
        <f t="shared" si="50"/>
        <v>712.8</v>
      </c>
      <c r="P168" s="5">
        <f t="shared" si="51"/>
        <v>33097.135999999999</v>
      </c>
      <c r="Q168" s="5">
        <f t="shared" si="52"/>
        <v>35091.406000000003</v>
      </c>
      <c r="R168" s="4">
        <f t="shared" si="53"/>
        <v>6</v>
      </c>
    </row>
    <row r="169" spans="1:18" x14ac:dyDescent="0.25">
      <c r="A169" s="1">
        <v>18</v>
      </c>
      <c r="D169" s="1">
        <v>1000</v>
      </c>
      <c r="E169" s="3">
        <v>432000</v>
      </c>
      <c r="F169" s="5">
        <f t="shared" si="42"/>
        <v>39278.576000000001</v>
      </c>
      <c r="G169" s="5">
        <f t="shared" si="43"/>
        <v>41868.307999999997</v>
      </c>
      <c r="H169" s="5">
        <f t="shared" si="44"/>
        <v>2589.7319999999963</v>
      </c>
      <c r="I169" s="6">
        <f t="shared" si="45"/>
        <v>6.6000000000000005</v>
      </c>
      <c r="J169" s="5"/>
      <c r="K169" s="5">
        <f t="shared" si="46"/>
        <v>1506.48</v>
      </c>
      <c r="L169" s="5">
        <f t="shared" si="47"/>
        <v>1513.3</v>
      </c>
      <c r="M169" s="5">
        <f t="shared" si="48"/>
        <v>177.08</v>
      </c>
      <c r="N169" s="5">
        <f t="shared" si="49"/>
        <v>173.16</v>
      </c>
      <c r="O169" s="5">
        <f t="shared" si="50"/>
        <v>1069.2</v>
      </c>
      <c r="P169" s="5">
        <f t="shared" si="51"/>
        <v>43544.636000000006</v>
      </c>
      <c r="Q169" s="5">
        <f t="shared" si="52"/>
        <v>46130.448000000004</v>
      </c>
      <c r="R169" s="4">
        <f t="shared" si="53"/>
        <v>5.8999999999999995</v>
      </c>
    </row>
    <row r="170" spans="1:18" x14ac:dyDescent="0.25">
      <c r="A170" s="1">
        <v>19</v>
      </c>
      <c r="D170" s="1">
        <v>1500</v>
      </c>
      <c r="E170" s="3">
        <v>216000</v>
      </c>
      <c r="F170" s="5">
        <f t="shared" si="42"/>
        <v>29824.392</v>
      </c>
      <c r="G170" s="5">
        <f t="shared" si="43"/>
        <v>31796.232000000004</v>
      </c>
      <c r="H170" s="5">
        <f t="shared" si="44"/>
        <v>1971.8400000000038</v>
      </c>
      <c r="I170" s="6">
        <f t="shared" si="45"/>
        <v>6.6000000000000005</v>
      </c>
      <c r="J170" s="5"/>
      <c r="K170" s="5">
        <f t="shared" si="46"/>
        <v>753.24</v>
      </c>
      <c r="L170" s="5">
        <f t="shared" si="47"/>
        <v>756.65</v>
      </c>
      <c r="M170" s="5">
        <f t="shared" si="48"/>
        <v>154.69</v>
      </c>
      <c r="N170" s="5">
        <f t="shared" si="49"/>
        <v>149.58000000000001</v>
      </c>
      <c r="O170" s="5">
        <f t="shared" si="50"/>
        <v>534.6</v>
      </c>
      <c r="P170" s="5">
        <f t="shared" si="51"/>
        <v>32023.572</v>
      </c>
      <c r="Q170" s="5">
        <f t="shared" si="52"/>
        <v>33990.302000000003</v>
      </c>
      <c r="R170" s="4">
        <f t="shared" si="53"/>
        <v>6.1</v>
      </c>
    </row>
    <row r="171" spans="1:18" x14ac:dyDescent="0.25">
      <c r="A171" s="1">
        <v>20</v>
      </c>
      <c r="D171" s="1">
        <v>1500</v>
      </c>
      <c r="E171" s="3">
        <v>432000</v>
      </c>
      <c r="F171" s="5">
        <f t="shared" si="42"/>
        <v>45281.784</v>
      </c>
      <c r="G171" s="5">
        <f t="shared" si="43"/>
        <v>48277.464</v>
      </c>
      <c r="H171" s="5">
        <f t="shared" si="44"/>
        <v>2995.6800000000003</v>
      </c>
      <c r="I171" s="6">
        <f t="shared" si="45"/>
        <v>6.6000000000000005</v>
      </c>
      <c r="J171" s="5"/>
      <c r="K171" s="5">
        <f t="shared" si="46"/>
        <v>1506.48</v>
      </c>
      <c r="L171" s="5">
        <f t="shared" si="47"/>
        <v>1513.3</v>
      </c>
      <c r="M171" s="5">
        <f t="shared" si="48"/>
        <v>216.07</v>
      </c>
      <c r="N171" s="5">
        <f t="shared" si="49"/>
        <v>210.33</v>
      </c>
      <c r="O171" s="5">
        <f t="shared" si="50"/>
        <v>1069.2</v>
      </c>
      <c r="P171" s="5">
        <f t="shared" si="51"/>
        <v>49586.834000000003</v>
      </c>
      <c r="Q171" s="5">
        <f t="shared" si="52"/>
        <v>52576.774000000005</v>
      </c>
      <c r="R171" s="4">
        <f t="shared" si="53"/>
        <v>6</v>
      </c>
    </row>
    <row r="172" spans="1:18" x14ac:dyDescent="0.25">
      <c r="A172" s="1">
        <v>21</v>
      </c>
      <c r="D172" s="1">
        <v>1500</v>
      </c>
      <c r="E172" s="3">
        <v>648000</v>
      </c>
      <c r="F172" s="5">
        <f t="shared" si="42"/>
        <v>58859.364000000001</v>
      </c>
      <c r="G172" s="5">
        <f t="shared" si="43"/>
        <v>62742.461999999992</v>
      </c>
      <c r="H172" s="5">
        <f t="shared" si="44"/>
        <v>3883.0979999999909</v>
      </c>
      <c r="I172" s="6">
        <f t="shared" si="45"/>
        <v>6.6000000000000005</v>
      </c>
      <c r="J172" s="5"/>
      <c r="K172" s="5">
        <f t="shared" si="46"/>
        <v>2259.71</v>
      </c>
      <c r="L172" s="5">
        <f t="shared" si="47"/>
        <v>2269.94</v>
      </c>
      <c r="M172" s="5">
        <f t="shared" si="48"/>
        <v>265.25</v>
      </c>
      <c r="N172" s="5">
        <f t="shared" si="49"/>
        <v>259.39999999999998</v>
      </c>
      <c r="O172" s="5">
        <f t="shared" si="50"/>
        <v>1603.8</v>
      </c>
      <c r="P172" s="5">
        <f t="shared" si="51"/>
        <v>65258.064000000006</v>
      </c>
      <c r="Q172" s="5">
        <f t="shared" si="52"/>
        <v>69135.311999999991</v>
      </c>
      <c r="R172" s="4">
        <f t="shared" si="53"/>
        <v>5.8999999999999995</v>
      </c>
    </row>
    <row r="173" spans="1:18" x14ac:dyDescent="0.25">
      <c r="A173" s="1">
        <v>22</v>
      </c>
      <c r="D173" s="1">
        <v>3000</v>
      </c>
      <c r="E173" s="3">
        <v>432000</v>
      </c>
      <c r="F173" s="5">
        <f t="shared" si="42"/>
        <v>59531.784</v>
      </c>
      <c r="G173" s="5">
        <f t="shared" si="43"/>
        <v>63472.464000000007</v>
      </c>
      <c r="H173" s="5">
        <f t="shared" si="44"/>
        <v>3940.6800000000076</v>
      </c>
      <c r="I173" s="6">
        <f t="shared" si="45"/>
        <v>6.6000000000000005</v>
      </c>
      <c r="J173" s="5"/>
      <c r="K173" s="5">
        <f t="shared" si="46"/>
        <v>1506.48</v>
      </c>
      <c r="L173" s="5">
        <f t="shared" si="47"/>
        <v>1513.3</v>
      </c>
      <c r="M173" s="5">
        <f t="shared" si="48"/>
        <v>308.61</v>
      </c>
      <c r="N173" s="5">
        <f t="shared" si="49"/>
        <v>298.45999999999998</v>
      </c>
      <c r="O173" s="5">
        <f t="shared" si="50"/>
        <v>1069.2</v>
      </c>
      <c r="P173" s="5">
        <f t="shared" si="51"/>
        <v>63929.374000000003</v>
      </c>
      <c r="Q173" s="5">
        <f t="shared" si="52"/>
        <v>67859.90400000001</v>
      </c>
      <c r="R173" s="4">
        <f t="shared" si="53"/>
        <v>6.1</v>
      </c>
    </row>
    <row r="174" spans="1:18" x14ac:dyDescent="0.25">
      <c r="A174" s="1">
        <v>23</v>
      </c>
      <c r="D174" s="1">
        <v>3000</v>
      </c>
      <c r="E174" s="3">
        <v>864000</v>
      </c>
      <c r="F174" s="5">
        <f t="shared" si="42"/>
        <v>90446.567999999999</v>
      </c>
      <c r="G174" s="5">
        <f t="shared" si="43"/>
        <v>96434.928</v>
      </c>
      <c r="H174" s="5">
        <f t="shared" si="44"/>
        <v>5988.3600000000006</v>
      </c>
      <c r="I174" s="6">
        <f t="shared" si="45"/>
        <v>6.6000000000000005</v>
      </c>
      <c r="J174" s="5"/>
      <c r="K174" s="5">
        <f t="shared" si="46"/>
        <v>3012.95</v>
      </c>
      <c r="L174" s="5">
        <f t="shared" si="47"/>
        <v>3026.59</v>
      </c>
      <c r="M174" s="5">
        <f t="shared" si="48"/>
        <v>431.38</v>
      </c>
      <c r="N174" s="5">
        <f t="shared" si="49"/>
        <v>419.97</v>
      </c>
      <c r="O174" s="5">
        <f t="shared" si="50"/>
        <v>2138.4</v>
      </c>
      <c r="P174" s="5">
        <f t="shared" si="51"/>
        <v>99055.887999999992</v>
      </c>
      <c r="Q174" s="5">
        <f t="shared" si="52"/>
        <v>105032.83799999999</v>
      </c>
      <c r="R174" s="4">
        <f t="shared" si="53"/>
        <v>6</v>
      </c>
    </row>
    <row r="175" spans="1:18" x14ac:dyDescent="0.25">
      <c r="A175" s="1">
        <v>24</v>
      </c>
      <c r="D175" s="1">
        <v>3000</v>
      </c>
      <c r="E175" s="3">
        <v>1296000</v>
      </c>
      <c r="F175" s="5">
        <f t="shared" si="42"/>
        <v>117601.728</v>
      </c>
      <c r="G175" s="5">
        <f t="shared" si="43"/>
        <v>125364.92399999998</v>
      </c>
      <c r="H175" s="5">
        <f t="shared" si="44"/>
        <v>7763.1959999999817</v>
      </c>
      <c r="I175" s="6">
        <f t="shared" si="45"/>
        <v>6.6000000000000005</v>
      </c>
      <c r="J175" s="5"/>
      <c r="K175" s="5">
        <f t="shared" si="46"/>
        <v>4519.43</v>
      </c>
      <c r="L175" s="5">
        <f t="shared" si="47"/>
        <v>4539.8900000000003</v>
      </c>
      <c r="M175" s="5">
        <f t="shared" si="48"/>
        <v>529.73</v>
      </c>
      <c r="N175" s="5">
        <f t="shared" si="49"/>
        <v>518.1</v>
      </c>
      <c r="O175" s="5">
        <f t="shared" si="50"/>
        <v>3207.6</v>
      </c>
      <c r="P175" s="5">
        <f t="shared" si="51"/>
        <v>130398.378</v>
      </c>
      <c r="Q175" s="5">
        <f t="shared" si="52"/>
        <v>138149.94400000002</v>
      </c>
      <c r="R175" s="4">
        <f t="shared" si="53"/>
        <v>5.8999999999999995</v>
      </c>
    </row>
    <row r="176" spans="1:18" x14ac:dyDescent="0.25">
      <c r="A176" s="356" t="s">
        <v>174</v>
      </c>
    </row>
    <row r="177" spans="1:18" x14ac:dyDescent="0.25">
      <c r="H177" s="5"/>
      <c r="I177" s="6"/>
      <c r="J177" s="6"/>
      <c r="K177" s="5"/>
      <c r="L177" s="5"/>
      <c r="M177" s="5"/>
      <c r="N177" s="5"/>
      <c r="O177" s="5"/>
      <c r="P177" s="5"/>
      <c r="Q177" s="5"/>
      <c r="R177" s="6"/>
    </row>
    <row r="178" spans="1:18" ht="15.6" x14ac:dyDescent="0.3">
      <c r="C178" s="42" t="str">
        <f>"(1) REFLECTS FUEL ADJUSTMENT COMPONENT (FAC) OF "&amp;TEXT(CUR_FAC,"$0.000000;($0.000000)")&amp;" PER KWH."</f>
        <v>(1) REFLECTS FUEL ADJUSTMENT COMPONENT (FAC) OF $0.003487 PER KWH.</v>
      </c>
      <c r="H178" s="5"/>
      <c r="I178" s="6"/>
      <c r="J178" s="6"/>
      <c r="K178" s="5"/>
      <c r="L178" s="5"/>
      <c r="M178" s="5"/>
      <c r="N178" s="5"/>
      <c r="O178" s="5"/>
      <c r="P178" s="5"/>
      <c r="Q178" s="5"/>
      <c r="R178" s="6"/>
    </row>
    <row r="179" spans="1:18" ht="15.6" x14ac:dyDescent="0.3">
      <c r="A179" s="356" t="s">
        <v>174</v>
      </c>
      <c r="C179" s="42" t="str">
        <f>"(2) RIDER DSMR "&amp;TEXT(DSM_DIST,"$0.000000;($0.000000)")&amp;" PER KWH."</f>
        <v>(2) RIDER DSMR $0.003503 PER KWH.</v>
      </c>
      <c r="H179" s="5"/>
      <c r="K179" s="5"/>
      <c r="L179" s="5"/>
      <c r="M179" s="5"/>
      <c r="N179" s="5"/>
      <c r="O179" s="5"/>
    </row>
    <row r="180" spans="1:18" ht="15.6" x14ac:dyDescent="0.3">
      <c r="A180" s="356"/>
      <c r="C180" s="42" t="str">
        <f>"(3) RIDER ESM "&amp;TEXT(CUR_ESM_NonRes,"#0.00%")&amp;"  OF TOTAL CURRENT BILL."</f>
        <v>(3) RIDER ESM 0.65%  OF TOTAL CURRENT BILL.</v>
      </c>
      <c r="H180" s="5"/>
      <c r="K180" s="5"/>
      <c r="L180" s="5"/>
      <c r="M180" s="5"/>
      <c r="N180" s="5"/>
      <c r="O180" s="5"/>
    </row>
    <row r="181" spans="1:18" ht="15.6" x14ac:dyDescent="0.3">
      <c r="A181" s="356"/>
      <c r="C181" s="42" t="str">
        <f>"(4) RIDER PSM "&amp;TEXT(RS_PSM,"$0.000000;($0.000000)")&amp;"  PER KWH."</f>
        <v>(4) RIDER PSM $0.002475  PER KWH.</v>
      </c>
      <c r="H181" s="5"/>
      <c r="K181" s="5"/>
      <c r="L181" s="5"/>
      <c r="M181" s="5"/>
      <c r="N181" s="5"/>
      <c r="O181" s="5"/>
    </row>
    <row r="182" spans="1:18" ht="15.6" x14ac:dyDescent="0.3">
      <c r="C182" s="42" t="str">
        <f>"(5) REFLECTS FUEL COST RECOVERY INCLUDED IN BASE RATES OF "&amp;TEXT(CUR_BASE_FUEL,"$0.000000;($0.000000)")&amp;"  PER KWH."</f>
        <v>(5) REFLECTS FUEL COST RECOVERY INCLUDED IN BASE RATES OF $0.033780  PER KWH.</v>
      </c>
    </row>
    <row r="183" spans="1:18" ht="15.6" x14ac:dyDescent="0.3">
      <c r="C183" s="42" t="str">
        <f>"(6) RIDER ESM "&amp;TEXT(PRO_ESM_NONRES,"#0.00%")&amp;"  OF TOTAL CURRENT BILL."</f>
        <v>(6) RIDER ESM 0.58%  OF TOTAL CURRENT BILL.</v>
      </c>
    </row>
    <row r="184" spans="1:18" ht="15.6" x14ac:dyDescent="0.3">
      <c r="A184" s="40" t="str">
        <f>NAME</f>
        <v>DUKE ENERGY KENTUCKY, INC.</v>
      </c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</row>
    <row r="185" spans="1:18" ht="15.6" x14ac:dyDescent="0.3">
      <c r="A185" s="40" t="str">
        <f>CASE_NO</f>
        <v>CASE NO.   2024-00354</v>
      </c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</row>
    <row r="186" spans="1:18" ht="15.6" x14ac:dyDescent="0.3">
      <c r="A186" s="40" t="s">
        <v>172</v>
      </c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</row>
    <row r="187" spans="1:18" ht="15.6" x14ac:dyDescent="0.3">
      <c r="A187" s="40" t="str">
        <f>SERVICE</f>
        <v>(ELECTRIC SERVICE)</v>
      </c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</row>
    <row r="188" spans="1:18" ht="15.6" x14ac:dyDescent="0.3">
      <c r="A188" s="42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</row>
    <row r="189" spans="1:18" ht="15.6" x14ac:dyDescent="0.3">
      <c r="A189" s="41" t="str">
        <f>DATA_PERIOD</f>
        <v>DATA: ____ BASE PERIOD   __X__FORECASTED PERIOD</v>
      </c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2" t="s">
        <v>173</v>
      </c>
      <c r="R189" s="41"/>
    </row>
    <row r="190" spans="1:18" ht="15.6" x14ac:dyDescent="0.3">
      <c r="A190" s="41" t="str">
        <f>TYPE</f>
        <v>TYPE OF FILING: _X_ ORIGINAL   ___UPDATED  ___ REVISED</v>
      </c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2" t="s">
        <v>124</v>
      </c>
      <c r="R190" s="41"/>
    </row>
    <row r="191" spans="1:18" ht="15.6" x14ac:dyDescent="0.3">
      <c r="A191" s="42" t="s">
        <v>100</v>
      </c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2" t="s">
        <v>3</v>
      </c>
      <c r="R191" s="41"/>
    </row>
    <row r="192" spans="1:18" ht="15.6" x14ac:dyDescent="0.3">
      <c r="A192" s="153" t="str">
        <f>TIME</f>
        <v>12 Months Projected with Riders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 t="str">
        <f>WIT</f>
        <v>B. L. Sailers</v>
      </c>
      <c r="R192" s="41"/>
    </row>
    <row r="193" spans="1:27" ht="15.6" x14ac:dyDescent="0.3">
      <c r="A193" s="472" t="s">
        <v>428</v>
      </c>
      <c r="B193" s="472"/>
      <c r="C193" s="472"/>
      <c r="D193" s="472"/>
      <c r="E193" s="472"/>
      <c r="F193" s="472"/>
      <c r="G193" s="472"/>
      <c r="H193" s="472"/>
      <c r="I193" s="472"/>
      <c r="J193" s="472"/>
      <c r="K193" s="472"/>
      <c r="L193" s="472"/>
      <c r="M193" s="472"/>
      <c r="N193" s="472"/>
      <c r="O193" s="472"/>
      <c r="P193" s="472"/>
      <c r="Q193" s="472"/>
      <c r="R193" s="472"/>
    </row>
    <row r="194" spans="1:27" ht="15.6" x14ac:dyDescent="0.3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</row>
    <row r="195" spans="1:27" ht="15.6" x14ac:dyDescent="0.3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</row>
    <row r="196" spans="1:27" ht="15.6" x14ac:dyDescent="0.3">
      <c r="A196" s="41"/>
      <c r="B196" s="41"/>
      <c r="C196" s="41"/>
      <c r="D196" s="41"/>
      <c r="E196" s="41"/>
      <c r="F196" s="12" t="s">
        <v>377</v>
      </c>
      <c r="G196" s="12"/>
      <c r="H196" s="12"/>
      <c r="I196" s="12"/>
      <c r="J196" s="40"/>
      <c r="K196" s="471" t="s">
        <v>360</v>
      </c>
      <c r="L196" s="471"/>
      <c r="M196" s="471"/>
      <c r="N196" s="471"/>
      <c r="O196" s="471"/>
      <c r="P196" s="44" t="s">
        <v>11</v>
      </c>
      <c r="Q196" s="44" t="s">
        <v>11</v>
      </c>
      <c r="R196" s="41"/>
    </row>
    <row r="197" spans="1:27" ht="17.100000000000001" customHeight="1" x14ac:dyDescent="0.3">
      <c r="A197" s="41"/>
      <c r="B197" s="41"/>
      <c r="C197" s="41"/>
      <c r="D197" s="44" t="s">
        <v>101</v>
      </c>
      <c r="E197" s="44" t="s">
        <v>101</v>
      </c>
      <c r="F197" s="41"/>
      <c r="G197" s="41"/>
      <c r="H197" s="44" t="s">
        <v>102</v>
      </c>
      <c r="I197" s="44" t="s">
        <v>103</v>
      </c>
      <c r="J197" s="44"/>
      <c r="K197" s="41"/>
      <c r="L197" s="41"/>
      <c r="O197" s="41"/>
      <c r="P197" s="44" t="s">
        <v>8</v>
      </c>
      <c r="Q197" s="44" t="s">
        <v>6</v>
      </c>
      <c r="R197" s="44" t="s">
        <v>103</v>
      </c>
    </row>
    <row r="198" spans="1:27" ht="15.6" x14ac:dyDescent="0.3">
      <c r="A198" s="41"/>
      <c r="B198" s="41"/>
      <c r="C198" s="41"/>
      <c r="D198" s="44" t="s">
        <v>104</v>
      </c>
      <c r="E198" s="44" t="s">
        <v>104</v>
      </c>
      <c r="F198" s="44" t="s">
        <v>8</v>
      </c>
      <c r="G198" s="44" t="s">
        <v>6</v>
      </c>
      <c r="H198" s="44" t="s">
        <v>105</v>
      </c>
      <c r="I198" s="44" t="s">
        <v>105</v>
      </c>
      <c r="J198" s="44"/>
      <c r="K198" s="44" t="s">
        <v>253</v>
      </c>
      <c r="L198" s="44" t="s">
        <v>253</v>
      </c>
      <c r="M198" s="44" t="s">
        <v>253</v>
      </c>
      <c r="N198" s="44" t="s">
        <v>253</v>
      </c>
      <c r="O198" s="44" t="s">
        <v>253</v>
      </c>
      <c r="P198" s="44" t="s">
        <v>107</v>
      </c>
      <c r="Q198" s="44" t="s">
        <v>107</v>
      </c>
      <c r="R198" s="44" t="s">
        <v>105</v>
      </c>
    </row>
    <row r="199" spans="1:27" ht="15.6" x14ac:dyDescent="0.3">
      <c r="A199" s="44" t="s">
        <v>17</v>
      </c>
      <c r="B199" s="41"/>
      <c r="C199" s="42" t="s">
        <v>18</v>
      </c>
      <c r="D199" s="44" t="s">
        <v>109</v>
      </c>
      <c r="E199" s="44" t="s">
        <v>110</v>
      </c>
      <c r="F199" s="46" t="s">
        <v>833</v>
      </c>
      <c r="G199" s="46" t="s">
        <v>833</v>
      </c>
      <c r="H199" s="141" t="s">
        <v>111</v>
      </c>
      <c r="I199" s="141" t="s">
        <v>112</v>
      </c>
      <c r="J199" s="44"/>
      <c r="K199" s="44" t="s">
        <v>358</v>
      </c>
      <c r="L199" s="46" t="s">
        <v>256</v>
      </c>
      <c r="M199" s="46" t="s">
        <v>536</v>
      </c>
      <c r="N199" s="46" t="s">
        <v>1036</v>
      </c>
      <c r="O199" s="46" t="s">
        <v>832</v>
      </c>
      <c r="P199" s="156" t="s">
        <v>1037</v>
      </c>
      <c r="Q199" s="156" t="s">
        <v>1038</v>
      </c>
      <c r="R199" s="156" t="s">
        <v>969</v>
      </c>
    </row>
    <row r="200" spans="1:27" ht="15.6" x14ac:dyDescent="0.3">
      <c r="A200" s="48" t="s">
        <v>22</v>
      </c>
      <c r="B200" s="47"/>
      <c r="C200" s="352" t="s">
        <v>23</v>
      </c>
      <c r="D200" s="358" t="s">
        <v>33</v>
      </c>
      <c r="E200" s="358" t="s">
        <v>34</v>
      </c>
      <c r="F200" s="358" t="s">
        <v>35</v>
      </c>
      <c r="G200" s="358" t="s">
        <v>36</v>
      </c>
      <c r="H200" s="358" t="s">
        <v>37</v>
      </c>
      <c r="I200" s="358" t="s">
        <v>38</v>
      </c>
      <c r="J200" s="358"/>
      <c r="K200" s="358" t="s">
        <v>39</v>
      </c>
      <c r="L200" s="358" t="s">
        <v>40</v>
      </c>
      <c r="M200" s="137" t="s">
        <v>1034</v>
      </c>
      <c r="N200" s="137" t="s">
        <v>1035</v>
      </c>
      <c r="O200" s="136" t="s">
        <v>42</v>
      </c>
      <c r="P200" s="136" t="s">
        <v>43</v>
      </c>
      <c r="Q200" s="136" t="s">
        <v>44</v>
      </c>
      <c r="R200" s="136" t="s">
        <v>45</v>
      </c>
      <c r="X200" s="1" t="s">
        <v>528</v>
      </c>
      <c r="Z200" s="1" t="s">
        <v>527</v>
      </c>
    </row>
    <row r="201" spans="1:27" ht="15.6" x14ac:dyDescent="0.3">
      <c r="A201" s="41"/>
      <c r="B201" s="41"/>
      <c r="C201" s="41"/>
      <c r="D201" s="171" t="s">
        <v>118</v>
      </c>
      <c r="E201" s="171" t="s">
        <v>49</v>
      </c>
      <c r="F201" s="171" t="s">
        <v>50</v>
      </c>
      <c r="G201" s="171" t="s">
        <v>50</v>
      </c>
      <c r="H201" s="171" t="s">
        <v>50</v>
      </c>
      <c r="I201" s="171" t="s">
        <v>51</v>
      </c>
      <c r="J201" s="171"/>
      <c r="K201" s="171" t="s">
        <v>50</v>
      </c>
      <c r="L201" s="171" t="s">
        <v>50</v>
      </c>
      <c r="M201" s="171" t="s">
        <v>50</v>
      </c>
      <c r="N201" s="171" t="s">
        <v>50</v>
      </c>
      <c r="O201" s="171" t="s">
        <v>50</v>
      </c>
      <c r="P201" s="171" t="s">
        <v>50</v>
      </c>
      <c r="Q201" s="171" t="s">
        <v>50</v>
      </c>
      <c r="R201" s="171" t="s">
        <v>51</v>
      </c>
      <c r="X201" s="1" t="s">
        <v>175</v>
      </c>
      <c r="Y201" s="1" t="s">
        <v>176</v>
      </c>
      <c r="Z201" s="1" t="s">
        <v>175</v>
      </c>
      <c r="AA201" s="1" t="s">
        <v>176</v>
      </c>
    </row>
    <row r="202" spans="1:27" ht="15.6" x14ac:dyDescent="0.3">
      <c r="A202" s="1">
        <v>1</v>
      </c>
      <c r="C202" s="42" t="s">
        <v>125</v>
      </c>
      <c r="D202" s="3">
        <v>1000</v>
      </c>
      <c r="E202" s="3">
        <v>200000</v>
      </c>
      <c r="F202" s="5">
        <f t="shared" ref="F202:F219" si="54">ROUND($E202*$Z$202*CUR_SUM_TT_ON_KWH,2)+ROUND($E202*(1-$Z$202)*CUR_TT_OFF,2)+ROUND($D202*$X$202*CUR_TT_SUM_PEAK,2)+ROUND($D202*(1-$X$202)*CUR_TT_SUM_PK_OFF,2)+CUR_TT_SUM_CST</f>
        <v>21593.42</v>
      </c>
      <c r="G202" s="5">
        <f t="shared" ref="G202:G219" si="55">ROUND($E202*$Z$202*PRO_SUM_TT_ON_KWH,2)+ROUND($E202*(1-$Z$202)*PRO_TT_OFF,2)+ROUND($D202*$X$202*PRO_TT_SUM_PEAK,2)+ROUND($D202*(1-$X$202)*PRO_TT_SUM_PK_OFF,2)+PRO_TT_SUM_CST</f>
        <v>23434.36</v>
      </c>
      <c r="H202" s="5">
        <f t="shared" ref="H202:H219" si="56">G202-F202</f>
        <v>1840.9400000000023</v>
      </c>
      <c r="I202" s="6">
        <f t="shared" ref="I202:I219" si="57">ROUND(H202/F202,3)*100</f>
        <v>8.5</v>
      </c>
      <c r="J202" s="6"/>
      <c r="K202" s="5">
        <f t="shared" ref="K202:K219" si="58">ROUND(E202*CUR_FAC,2)</f>
        <v>697.44</v>
      </c>
      <c r="L202" s="5">
        <f t="shared" ref="L202:L219" si="59">ROUND(E202*DSM_TRANS,2)</f>
        <v>102.8</v>
      </c>
      <c r="M202" s="5">
        <f t="shared" ref="M202:M219" si="60">ROUND((F202+$L202+$O202-PRO_BASE_FUEL*$E202)*CUR_ESM_NonRes,2)</f>
        <v>100.24</v>
      </c>
      <c r="N202" s="5">
        <f t="shared" ref="N202:N219" si="61">ROUND((G202+$L202+$O202-PRO_BASE_FUEL*$E202)*PRO_ESM_NONRES,2)</f>
        <v>100.19</v>
      </c>
      <c r="O202" s="5">
        <f t="shared" ref="O202:O219" si="62">ROUND(E202*RS_PSM,2)</f>
        <v>495</v>
      </c>
      <c r="P202" s="5">
        <f t="shared" ref="P202:P219" si="63">F202+K202+L202+M202+O202</f>
        <v>22988.899999999998</v>
      </c>
      <c r="Q202" s="5">
        <f>G202+K202+L202+N202+O202</f>
        <v>24829.789999999997</v>
      </c>
      <c r="R202" s="4">
        <f>ROUND((Q202-P202)/P202,3)*100</f>
        <v>8</v>
      </c>
      <c r="X202" s="1">
        <f>'Rate TT'!H24/'Rate TT'!H26</f>
        <v>0.95974068998750128</v>
      </c>
      <c r="Y202" s="1">
        <f>'Rate TT'!H38/'Rate TT'!H40</f>
        <v>0.96802534764475623</v>
      </c>
      <c r="Z202" s="1">
        <f>'Rate TT'!H29/'Rate TT'!H31</f>
        <v>0.26336918014082528</v>
      </c>
      <c r="AA202" s="1">
        <f>'Rate TT'!H43/'Rate TT'!H45</f>
        <v>0.26508265653791752</v>
      </c>
    </row>
    <row r="203" spans="1:27" x14ac:dyDescent="0.25">
      <c r="A203" s="1">
        <v>2</v>
      </c>
      <c r="D203" s="3">
        <v>1000</v>
      </c>
      <c r="E203" s="3">
        <v>400000</v>
      </c>
      <c r="F203" s="5">
        <f t="shared" si="54"/>
        <v>33598.11</v>
      </c>
      <c r="G203" s="5">
        <f t="shared" si="55"/>
        <v>36488.170000000006</v>
      </c>
      <c r="H203" s="5">
        <f t="shared" si="56"/>
        <v>2890.0600000000049</v>
      </c>
      <c r="I203" s="6">
        <f t="shared" si="57"/>
        <v>8.6</v>
      </c>
      <c r="J203" s="6"/>
      <c r="K203" s="5">
        <f t="shared" si="58"/>
        <v>1394.89</v>
      </c>
      <c r="L203" s="5">
        <f t="shared" si="59"/>
        <v>205.6</v>
      </c>
      <c r="M203" s="5">
        <f t="shared" si="60"/>
        <v>138.21</v>
      </c>
      <c r="N203" s="5">
        <f t="shared" si="61"/>
        <v>140.19</v>
      </c>
      <c r="O203" s="5">
        <f t="shared" si="62"/>
        <v>990</v>
      </c>
      <c r="P203" s="5">
        <f t="shared" si="63"/>
        <v>36326.81</v>
      </c>
      <c r="Q203" s="5">
        <f t="shared" ref="Q203:Q219" si="64">G203+K203+L203+N203+O203</f>
        <v>39218.850000000006</v>
      </c>
      <c r="R203" s="6">
        <f t="shared" ref="R203:R219" si="65">ROUND((Q203-P203)/P203,3)*100</f>
        <v>8</v>
      </c>
    </row>
    <row r="204" spans="1:27" x14ac:dyDescent="0.25">
      <c r="A204" s="1">
        <v>3</v>
      </c>
      <c r="D204" s="3">
        <v>2500</v>
      </c>
      <c r="E204" s="3">
        <v>500000</v>
      </c>
      <c r="F204" s="5">
        <f t="shared" si="54"/>
        <v>53233.560000000005</v>
      </c>
      <c r="G204" s="5">
        <f t="shared" si="55"/>
        <v>57835.899999999994</v>
      </c>
      <c r="H204" s="5">
        <f t="shared" si="56"/>
        <v>4602.3399999999892</v>
      </c>
      <c r="I204" s="6">
        <f t="shared" si="57"/>
        <v>8.6</v>
      </c>
      <c r="J204" s="6"/>
      <c r="K204" s="5">
        <f t="shared" si="58"/>
        <v>1743.61</v>
      </c>
      <c r="L204" s="5">
        <f t="shared" si="59"/>
        <v>257</v>
      </c>
      <c r="M204" s="5">
        <f t="shared" si="60"/>
        <v>245.73</v>
      </c>
      <c r="N204" s="5">
        <f t="shared" si="61"/>
        <v>246.14</v>
      </c>
      <c r="O204" s="5">
        <f t="shared" si="62"/>
        <v>1237.5</v>
      </c>
      <c r="P204" s="5">
        <f t="shared" si="63"/>
        <v>56717.400000000009</v>
      </c>
      <c r="Q204" s="5">
        <f t="shared" si="64"/>
        <v>61320.149999999994</v>
      </c>
      <c r="R204" s="6">
        <f t="shared" si="65"/>
        <v>8.1</v>
      </c>
    </row>
    <row r="205" spans="1:27" x14ac:dyDescent="0.25">
      <c r="A205" s="1">
        <v>4</v>
      </c>
      <c r="D205" s="3">
        <v>2500</v>
      </c>
      <c r="E205" s="3">
        <v>1000000</v>
      </c>
      <c r="F205" s="5">
        <f t="shared" si="54"/>
        <v>83245.279999999999</v>
      </c>
      <c r="G205" s="5">
        <f t="shared" si="55"/>
        <v>90470.43</v>
      </c>
      <c r="H205" s="5">
        <f t="shared" si="56"/>
        <v>7225.1499999999942</v>
      </c>
      <c r="I205" s="6">
        <f t="shared" si="57"/>
        <v>8.6999999999999993</v>
      </c>
      <c r="J205" s="6"/>
      <c r="K205" s="5">
        <f t="shared" si="58"/>
        <v>3487.21</v>
      </c>
      <c r="L205" s="5">
        <f t="shared" si="59"/>
        <v>514</v>
      </c>
      <c r="M205" s="5">
        <f t="shared" si="60"/>
        <v>340.65</v>
      </c>
      <c r="N205" s="5">
        <f t="shared" si="61"/>
        <v>346.12</v>
      </c>
      <c r="O205" s="5">
        <f t="shared" si="62"/>
        <v>2475</v>
      </c>
      <c r="P205" s="5">
        <f t="shared" si="63"/>
        <v>90062.14</v>
      </c>
      <c r="Q205" s="5">
        <f t="shared" si="64"/>
        <v>97292.76</v>
      </c>
      <c r="R205" s="6">
        <f t="shared" si="65"/>
        <v>8</v>
      </c>
    </row>
    <row r="206" spans="1:27" x14ac:dyDescent="0.25">
      <c r="A206" s="1">
        <v>5</v>
      </c>
      <c r="D206" s="3">
        <v>5000</v>
      </c>
      <c r="E206" s="3">
        <v>1000000</v>
      </c>
      <c r="F206" s="5">
        <f t="shared" si="54"/>
        <v>105967.1</v>
      </c>
      <c r="G206" s="5">
        <f t="shared" si="55"/>
        <v>115171.80999999998</v>
      </c>
      <c r="H206" s="5">
        <f t="shared" si="56"/>
        <v>9204.7099999999773</v>
      </c>
      <c r="I206" s="6">
        <f t="shared" si="57"/>
        <v>8.6999999999999993</v>
      </c>
      <c r="J206" s="6"/>
      <c r="K206" s="5">
        <f t="shared" si="58"/>
        <v>3487.21</v>
      </c>
      <c r="L206" s="5">
        <f t="shared" si="59"/>
        <v>514</v>
      </c>
      <c r="M206" s="5">
        <f t="shared" si="60"/>
        <v>488.21</v>
      </c>
      <c r="N206" s="5">
        <f t="shared" si="61"/>
        <v>489.37</v>
      </c>
      <c r="O206" s="5">
        <f t="shared" si="62"/>
        <v>2475</v>
      </c>
      <c r="P206" s="5">
        <f t="shared" si="63"/>
        <v>112931.52000000002</v>
      </c>
      <c r="Q206" s="5">
        <f t="shared" si="64"/>
        <v>122137.38999999998</v>
      </c>
      <c r="R206" s="6">
        <f t="shared" si="65"/>
        <v>8.2000000000000011</v>
      </c>
    </row>
    <row r="207" spans="1:27" x14ac:dyDescent="0.25">
      <c r="A207" s="1">
        <v>6</v>
      </c>
      <c r="D207" s="3">
        <v>5000</v>
      </c>
      <c r="E207" s="3">
        <v>2000000</v>
      </c>
      <c r="F207" s="5">
        <f t="shared" si="54"/>
        <v>165990.55000000002</v>
      </c>
      <c r="G207" s="5">
        <f t="shared" si="55"/>
        <v>180440.88</v>
      </c>
      <c r="H207" s="5">
        <f t="shared" si="56"/>
        <v>14450.329999999987</v>
      </c>
      <c r="I207" s="6">
        <f t="shared" si="57"/>
        <v>8.6999999999999993</v>
      </c>
      <c r="J207" s="6"/>
      <c r="K207" s="5">
        <f t="shared" si="58"/>
        <v>6974.43</v>
      </c>
      <c r="L207" s="5">
        <f t="shared" si="59"/>
        <v>1028</v>
      </c>
      <c r="M207" s="5">
        <f t="shared" si="60"/>
        <v>678.05</v>
      </c>
      <c r="N207" s="5">
        <f t="shared" si="61"/>
        <v>689.33</v>
      </c>
      <c r="O207" s="5">
        <f t="shared" si="62"/>
        <v>4950</v>
      </c>
      <c r="P207" s="5">
        <f t="shared" si="63"/>
        <v>179621.03</v>
      </c>
      <c r="Q207" s="5">
        <f t="shared" si="64"/>
        <v>194082.63999999998</v>
      </c>
      <c r="R207" s="6">
        <f t="shared" si="65"/>
        <v>8.1</v>
      </c>
    </row>
    <row r="208" spans="1:27" x14ac:dyDescent="0.25">
      <c r="A208" s="1">
        <v>7</v>
      </c>
      <c r="D208" s="3">
        <v>10000</v>
      </c>
      <c r="E208" s="3">
        <v>2000000</v>
      </c>
      <c r="F208" s="5">
        <f t="shared" si="54"/>
        <v>211434.21</v>
      </c>
      <c r="G208" s="5">
        <f t="shared" si="55"/>
        <v>229843.62</v>
      </c>
      <c r="H208" s="5">
        <f t="shared" si="56"/>
        <v>18409.410000000003</v>
      </c>
      <c r="I208" s="6">
        <f t="shared" si="57"/>
        <v>8.6999999999999993</v>
      </c>
      <c r="J208" s="6"/>
      <c r="K208" s="5">
        <f t="shared" si="58"/>
        <v>6974.43</v>
      </c>
      <c r="L208" s="5">
        <f t="shared" si="59"/>
        <v>1028</v>
      </c>
      <c r="M208" s="5">
        <f t="shared" si="60"/>
        <v>973.16</v>
      </c>
      <c r="N208" s="5">
        <f t="shared" si="61"/>
        <v>975.85</v>
      </c>
      <c r="O208" s="5">
        <f t="shared" si="62"/>
        <v>4950</v>
      </c>
      <c r="P208" s="5">
        <f t="shared" si="63"/>
        <v>225359.8</v>
      </c>
      <c r="Q208" s="5">
        <f t="shared" si="64"/>
        <v>243771.9</v>
      </c>
      <c r="R208" s="6">
        <f t="shared" si="65"/>
        <v>8.2000000000000011</v>
      </c>
    </row>
    <row r="209" spans="1:18" x14ac:dyDescent="0.25">
      <c r="A209" s="1">
        <v>8</v>
      </c>
      <c r="D209" s="3">
        <v>10000</v>
      </c>
      <c r="E209" s="3">
        <v>4000000</v>
      </c>
      <c r="F209" s="5">
        <f t="shared" si="54"/>
        <v>331481.12000000005</v>
      </c>
      <c r="G209" s="5">
        <f t="shared" si="55"/>
        <v>360381.74</v>
      </c>
      <c r="H209" s="5">
        <f t="shared" si="56"/>
        <v>28900.619999999937</v>
      </c>
      <c r="I209" s="6">
        <f t="shared" si="57"/>
        <v>8.6999999999999993</v>
      </c>
      <c r="J209" s="6"/>
      <c r="K209" s="5">
        <f t="shared" si="58"/>
        <v>13948.85</v>
      </c>
      <c r="L209" s="5">
        <f t="shared" si="59"/>
        <v>2056</v>
      </c>
      <c r="M209" s="5">
        <f t="shared" si="60"/>
        <v>1352.84</v>
      </c>
      <c r="N209" s="5">
        <f t="shared" si="61"/>
        <v>1375.76</v>
      </c>
      <c r="O209" s="5">
        <f t="shared" si="62"/>
        <v>9900</v>
      </c>
      <c r="P209" s="5">
        <f t="shared" si="63"/>
        <v>358738.81000000006</v>
      </c>
      <c r="Q209" s="5">
        <f t="shared" si="64"/>
        <v>387662.35</v>
      </c>
      <c r="R209" s="6">
        <f t="shared" si="65"/>
        <v>8.1</v>
      </c>
    </row>
    <row r="210" spans="1:18" x14ac:dyDescent="0.25">
      <c r="A210" s="1">
        <v>9</v>
      </c>
      <c r="D210" s="3">
        <v>10000</v>
      </c>
      <c r="E210" s="3">
        <v>6000000</v>
      </c>
      <c r="F210" s="5">
        <f t="shared" si="54"/>
        <v>451528.02000000008</v>
      </c>
      <c r="G210" s="5">
        <f t="shared" si="55"/>
        <v>490919.87</v>
      </c>
      <c r="H210" s="5">
        <f t="shared" si="56"/>
        <v>39391.849999999919</v>
      </c>
      <c r="I210" s="6">
        <f t="shared" si="57"/>
        <v>8.6999999999999993</v>
      </c>
      <c r="J210" s="6"/>
      <c r="K210" s="5">
        <f t="shared" si="58"/>
        <v>20923.28</v>
      </c>
      <c r="L210" s="5">
        <f t="shared" si="59"/>
        <v>3084</v>
      </c>
      <c r="M210" s="5">
        <f t="shared" si="60"/>
        <v>1732.53</v>
      </c>
      <c r="N210" s="5">
        <f t="shared" si="61"/>
        <v>1775.68</v>
      </c>
      <c r="O210" s="5">
        <f t="shared" si="62"/>
        <v>14850</v>
      </c>
      <c r="P210" s="5">
        <f t="shared" si="63"/>
        <v>492117.83000000007</v>
      </c>
      <c r="Q210" s="5">
        <f t="shared" si="64"/>
        <v>531552.83000000007</v>
      </c>
      <c r="R210" s="6">
        <f t="shared" si="65"/>
        <v>8</v>
      </c>
    </row>
    <row r="211" spans="1:18" x14ac:dyDescent="0.25">
      <c r="A211" s="1">
        <v>10</v>
      </c>
      <c r="D211" s="3">
        <v>20000</v>
      </c>
      <c r="E211" s="3">
        <v>4000000</v>
      </c>
      <c r="F211" s="5">
        <f t="shared" si="54"/>
        <v>422368.43</v>
      </c>
      <c r="G211" s="5">
        <f t="shared" si="55"/>
        <v>459187.24</v>
      </c>
      <c r="H211" s="5">
        <f t="shared" si="56"/>
        <v>36818.81</v>
      </c>
      <c r="I211" s="6">
        <f t="shared" si="57"/>
        <v>8.6999999999999993</v>
      </c>
      <c r="J211" s="6"/>
      <c r="K211" s="5">
        <f t="shared" si="58"/>
        <v>13948.85</v>
      </c>
      <c r="L211" s="5">
        <f t="shared" si="59"/>
        <v>2056</v>
      </c>
      <c r="M211" s="5">
        <f t="shared" si="60"/>
        <v>1943.08</v>
      </c>
      <c r="N211" s="5">
        <f t="shared" si="61"/>
        <v>1948.79</v>
      </c>
      <c r="O211" s="5">
        <f t="shared" si="62"/>
        <v>9900</v>
      </c>
      <c r="P211" s="5">
        <f t="shared" si="63"/>
        <v>450216.36</v>
      </c>
      <c r="Q211" s="5">
        <f t="shared" si="64"/>
        <v>487040.87999999995</v>
      </c>
      <c r="R211" s="6">
        <f t="shared" si="65"/>
        <v>8.2000000000000011</v>
      </c>
    </row>
    <row r="212" spans="1:18" x14ac:dyDescent="0.25">
      <c r="A212" s="1">
        <v>11</v>
      </c>
      <c r="D212" s="3">
        <v>20000</v>
      </c>
      <c r="E212" s="3">
        <v>8000000</v>
      </c>
      <c r="F212" s="5">
        <f t="shared" si="54"/>
        <v>662462.2300000001</v>
      </c>
      <c r="G212" s="5">
        <f t="shared" si="55"/>
        <v>720263.5</v>
      </c>
      <c r="H212" s="5">
        <f t="shared" si="56"/>
        <v>57801.269999999902</v>
      </c>
      <c r="I212" s="6">
        <f t="shared" si="57"/>
        <v>8.6999999999999993</v>
      </c>
      <c r="J212" s="6"/>
      <c r="K212" s="5">
        <f t="shared" si="58"/>
        <v>27897.7</v>
      </c>
      <c r="L212" s="5">
        <f t="shared" si="59"/>
        <v>4112</v>
      </c>
      <c r="M212" s="5">
        <f t="shared" si="60"/>
        <v>2702.44</v>
      </c>
      <c r="N212" s="5">
        <f t="shared" si="61"/>
        <v>2748.63</v>
      </c>
      <c r="O212" s="5">
        <f t="shared" si="62"/>
        <v>19800</v>
      </c>
      <c r="P212" s="5">
        <f t="shared" si="63"/>
        <v>716974.37</v>
      </c>
      <c r="Q212" s="5">
        <f t="shared" si="64"/>
        <v>774821.83</v>
      </c>
      <c r="R212" s="6">
        <f t="shared" si="65"/>
        <v>8.1</v>
      </c>
    </row>
    <row r="213" spans="1:18" x14ac:dyDescent="0.25">
      <c r="A213" s="1">
        <v>12</v>
      </c>
      <c r="D213" s="3">
        <v>20000</v>
      </c>
      <c r="E213" s="3">
        <v>12000000</v>
      </c>
      <c r="F213" s="5">
        <f t="shared" si="54"/>
        <v>902556.03000000014</v>
      </c>
      <c r="G213" s="5">
        <f t="shared" si="55"/>
        <v>981339.75</v>
      </c>
      <c r="H213" s="5">
        <f t="shared" si="56"/>
        <v>78783.719999999856</v>
      </c>
      <c r="I213" s="6">
        <f t="shared" si="57"/>
        <v>8.6999999999999993</v>
      </c>
      <c r="J213" s="6"/>
      <c r="K213" s="5">
        <f t="shared" si="58"/>
        <v>41846.550000000003</v>
      </c>
      <c r="L213" s="5">
        <f t="shared" si="59"/>
        <v>6168</v>
      </c>
      <c r="M213" s="5">
        <f t="shared" si="60"/>
        <v>3461.8</v>
      </c>
      <c r="N213" s="5">
        <f t="shared" si="61"/>
        <v>3548.46</v>
      </c>
      <c r="O213" s="5">
        <f t="shared" si="62"/>
        <v>29700</v>
      </c>
      <c r="P213" s="5">
        <f t="shared" si="63"/>
        <v>983732.38000000024</v>
      </c>
      <c r="Q213" s="5">
        <f t="shared" si="64"/>
        <v>1062602.76</v>
      </c>
      <c r="R213" s="6">
        <f t="shared" si="65"/>
        <v>8</v>
      </c>
    </row>
    <row r="214" spans="1:18" x14ac:dyDescent="0.25">
      <c r="A214" s="1">
        <v>13</v>
      </c>
      <c r="D214" s="3">
        <v>40000</v>
      </c>
      <c r="E214" s="3">
        <v>16000000</v>
      </c>
      <c r="F214" s="5">
        <f t="shared" si="54"/>
        <v>1324424.4500000002</v>
      </c>
      <c r="G214" s="5">
        <f t="shared" si="55"/>
        <v>1440026.9900000002</v>
      </c>
      <c r="H214" s="5">
        <f t="shared" si="56"/>
        <v>115602.54000000004</v>
      </c>
      <c r="I214" s="6">
        <f t="shared" si="57"/>
        <v>8.6999999999999993</v>
      </c>
      <c r="J214" s="6"/>
      <c r="K214" s="5">
        <f t="shared" si="58"/>
        <v>55795.4</v>
      </c>
      <c r="L214" s="5">
        <f t="shared" si="59"/>
        <v>8224</v>
      </c>
      <c r="M214" s="5">
        <f t="shared" si="60"/>
        <v>5401.64</v>
      </c>
      <c r="N214" s="5">
        <f t="shared" si="61"/>
        <v>5494.36</v>
      </c>
      <c r="O214" s="5">
        <f t="shared" si="62"/>
        <v>39600</v>
      </c>
      <c r="P214" s="5">
        <f t="shared" si="63"/>
        <v>1433445.49</v>
      </c>
      <c r="Q214" s="5">
        <f t="shared" si="64"/>
        <v>1549140.7500000002</v>
      </c>
      <c r="R214" s="6">
        <f t="shared" si="65"/>
        <v>8.1</v>
      </c>
    </row>
    <row r="215" spans="1:18" x14ac:dyDescent="0.25">
      <c r="A215" s="1">
        <v>14</v>
      </c>
      <c r="D215" s="3">
        <v>40000</v>
      </c>
      <c r="E215" s="3">
        <v>24000000</v>
      </c>
      <c r="F215" s="5">
        <f t="shared" si="54"/>
        <v>1804612.06</v>
      </c>
      <c r="G215" s="5">
        <f t="shared" si="55"/>
        <v>1962179.5</v>
      </c>
      <c r="H215" s="5">
        <f t="shared" si="56"/>
        <v>157567.43999999994</v>
      </c>
      <c r="I215" s="6">
        <f t="shared" si="57"/>
        <v>8.6999999999999993</v>
      </c>
      <c r="J215" s="6"/>
      <c r="K215" s="5">
        <f t="shared" si="58"/>
        <v>83693.11</v>
      </c>
      <c r="L215" s="5">
        <f t="shared" si="59"/>
        <v>12336</v>
      </c>
      <c r="M215" s="5">
        <f t="shared" si="60"/>
        <v>6920.36</v>
      </c>
      <c r="N215" s="5">
        <f t="shared" si="61"/>
        <v>7094.02</v>
      </c>
      <c r="O215" s="5">
        <f t="shared" si="62"/>
        <v>59400</v>
      </c>
      <c r="P215" s="5">
        <f t="shared" si="63"/>
        <v>1966961.5300000003</v>
      </c>
      <c r="Q215" s="5">
        <f t="shared" si="64"/>
        <v>2124702.63</v>
      </c>
      <c r="R215" s="6">
        <f t="shared" si="65"/>
        <v>8</v>
      </c>
    </row>
    <row r="216" spans="1:18" x14ac:dyDescent="0.25">
      <c r="A216" s="1">
        <v>15</v>
      </c>
      <c r="D216" s="3">
        <v>80000</v>
      </c>
      <c r="E216" s="3">
        <v>32000000</v>
      </c>
      <c r="F216" s="5">
        <f t="shared" si="54"/>
        <v>2648348.9</v>
      </c>
      <c r="G216" s="5">
        <f t="shared" si="55"/>
        <v>2879553.97</v>
      </c>
      <c r="H216" s="5">
        <f t="shared" si="56"/>
        <v>231205.0700000003</v>
      </c>
      <c r="I216" s="6">
        <f t="shared" si="57"/>
        <v>8.6999999999999993</v>
      </c>
      <c r="J216" s="6"/>
      <c r="K216" s="5">
        <f t="shared" si="58"/>
        <v>111590.81</v>
      </c>
      <c r="L216" s="5">
        <f t="shared" si="59"/>
        <v>16448</v>
      </c>
      <c r="M216" s="5">
        <f t="shared" si="60"/>
        <v>10800.03</v>
      </c>
      <c r="N216" s="5">
        <f t="shared" si="61"/>
        <v>10985.81</v>
      </c>
      <c r="O216" s="5">
        <f t="shared" si="62"/>
        <v>79200</v>
      </c>
      <c r="P216" s="5">
        <f t="shared" si="63"/>
        <v>2866387.7399999998</v>
      </c>
      <c r="Q216" s="5">
        <f t="shared" si="64"/>
        <v>3097778.5900000003</v>
      </c>
      <c r="R216" s="6">
        <f t="shared" si="65"/>
        <v>8.1</v>
      </c>
    </row>
    <row r="217" spans="1:18" x14ac:dyDescent="0.25">
      <c r="A217" s="1">
        <v>16</v>
      </c>
      <c r="D217" s="3">
        <v>80000</v>
      </c>
      <c r="E217" s="3">
        <v>48000000</v>
      </c>
      <c r="F217" s="5">
        <f t="shared" si="54"/>
        <v>3608724.12</v>
      </c>
      <c r="G217" s="5">
        <f t="shared" si="55"/>
        <v>3923858.9899999998</v>
      </c>
      <c r="H217" s="5">
        <f t="shared" si="56"/>
        <v>315134.86999999965</v>
      </c>
      <c r="I217" s="6">
        <f t="shared" si="57"/>
        <v>8.6999999999999993</v>
      </c>
      <c r="J217" s="6"/>
      <c r="K217" s="5">
        <f t="shared" si="58"/>
        <v>167386.21</v>
      </c>
      <c r="L217" s="5">
        <f t="shared" si="59"/>
        <v>24672</v>
      </c>
      <c r="M217" s="5">
        <f t="shared" si="60"/>
        <v>13837.47</v>
      </c>
      <c r="N217" s="5">
        <f t="shared" si="61"/>
        <v>14185.15</v>
      </c>
      <c r="O217" s="5">
        <f t="shared" si="62"/>
        <v>118800</v>
      </c>
      <c r="P217" s="5">
        <f t="shared" si="63"/>
        <v>3933419.8000000003</v>
      </c>
      <c r="Q217" s="5">
        <f t="shared" si="64"/>
        <v>4248902.3499999996</v>
      </c>
      <c r="R217" s="6">
        <f t="shared" si="65"/>
        <v>8</v>
      </c>
    </row>
    <row r="218" spans="1:18" x14ac:dyDescent="0.25">
      <c r="A218" s="1">
        <v>17</v>
      </c>
      <c r="D218" s="3">
        <v>160000</v>
      </c>
      <c r="E218" s="3">
        <v>64000000</v>
      </c>
      <c r="F218" s="5">
        <f t="shared" si="54"/>
        <v>5296197.79</v>
      </c>
      <c r="G218" s="5">
        <f t="shared" si="55"/>
        <v>5758607.9500000002</v>
      </c>
      <c r="H218" s="5">
        <f t="shared" si="56"/>
        <v>462410.16000000015</v>
      </c>
      <c r="I218" s="6">
        <f t="shared" si="57"/>
        <v>8.6999999999999993</v>
      </c>
      <c r="J218" s="6"/>
      <c r="K218" s="5">
        <f t="shared" si="58"/>
        <v>223181.62</v>
      </c>
      <c r="L218" s="5">
        <f t="shared" si="59"/>
        <v>32896</v>
      </c>
      <c r="M218" s="5">
        <f t="shared" si="60"/>
        <v>21596.81</v>
      </c>
      <c r="N218" s="5">
        <f t="shared" si="61"/>
        <v>21968.720000000001</v>
      </c>
      <c r="O218" s="5">
        <f t="shared" si="62"/>
        <v>158400</v>
      </c>
      <c r="P218" s="5">
        <f t="shared" si="63"/>
        <v>5732272.2199999997</v>
      </c>
      <c r="Q218" s="5">
        <f t="shared" si="64"/>
        <v>6195054.29</v>
      </c>
      <c r="R218" s="6">
        <f t="shared" si="65"/>
        <v>8.1</v>
      </c>
    </row>
    <row r="219" spans="1:18" x14ac:dyDescent="0.25">
      <c r="A219" s="1">
        <v>18</v>
      </c>
      <c r="D219" s="3">
        <v>160000</v>
      </c>
      <c r="E219" s="3">
        <v>96000000</v>
      </c>
      <c r="F219" s="5">
        <f t="shared" si="54"/>
        <v>7216948.2300000004</v>
      </c>
      <c r="G219" s="5">
        <f t="shared" si="55"/>
        <v>7847217.9899999993</v>
      </c>
      <c r="H219" s="5">
        <f t="shared" si="56"/>
        <v>630269.75999999885</v>
      </c>
      <c r="I219" s="6">
        <f t="shared" si="57"/>
        <v>8.6999999999999993</v>
      </c>
      <c r="J219" s="6"/>
      <c r="K219" s="5">
        <f t="shared" si="58"/>
        <v>334772.43</v>
      </c>
      <c r="L219" s="5">
        <f t="shared" si="59"/>
        <v>49344</v>
      </c>
      <c r="M219" s="5">
        <f t="shared" si="60"/>
        <v>27671.7</v>
      </c>
      <c r="N219" s="5">
        <f t="shared" si="61"/>
        <v>28367.39</v>
      </c>
      <c r="O219" s="5">
        <f t="shared" si="62"/>
        <v>237600</v>
      </c>
      <c r="P219" s="5">
        <f t="shared" si="63"/>
        <v>7866336.3600000003</v>
      </c>
      <c r="Q219" s="5">
        <f t="shared" si="64"/>
        <v>8497301.8099999987</v>
      </c>
      <c r="R219" s="6">
        <f t="shared" si="65"/>
        <v>8</v>
      </c>
    </row>
    <row r="220" spans="1:18" x14ac:dyDescent="0.25">
      <c r="H220" s="5"/>
      <c r="K220" s="5"/>
      <c r="L220" s="5"/>
      <c r="M220" s="5"/>
      <c r="N220" s="5"/>
      <c r="O220" s="5"/>
      <c r="P220" s="5"/>
      <c r="Q220" s="5"/>
    </row>
    <row r="221" spans="1:18" ht="15.6" x14ac:dyDescent="0.3">
      <c r="A221" s="1">
        <v>19</v>
      </c>
      <c r="C221" s="42" t="s">
        <v>126</v>
      </c>
      <c r="D221" s="3">
        <v>1000</v>
      </c>
      <c r="E221" s="3">
        <v>200000</v>
      </c>
      <c r="F221" s="5">
        <f t="shared" ref="F221:F238" si="66">ROUND($E221*$AA$202*CUR_WIN_TT_ON_KWH,2)+ROUND($E221*(1-$AA$202)*CUR_TT_OFF,2)+ROUND($D221*$Y$202*CUR_TT_WIN_PEAK,2)+ROUND($D221*(1-$Y$202)*CUR_TT_WIN_PK_OFF,2)+CUR_TT_WIN_CST</f>
        <v>19889.54</v>
      </c>
      <c r="G221" s="5">
        <f t="shared" ref="G221:G238" si="67">ROUND($E221*$AA$202*PRO_WIN_TT_ON_KWH,2)+ROUND($E221*(1-$AA$202)*PRO_TT_OFF,2)+ROUND($D221*$Y$202*PRO_TT_WIN_PEAK,2)+ROUND($D221*(1-$Y$202)*PRO_TT_WIN_PK_OFF,2)+PRO_TT_WIN_CST</f>
        <v>21579.350000000002</v>
      </c>
      <c r="H221" s="5">
        <f t="shared" ref="H221:H238" si="68">G221-F221</f>
        <v>1689.8100000000013</v>
      </c>
      <c r="I221" s="6">
        <f t="shared" ref="I221:I238" si="69">ROUND(H221/F221,3)*100</f>
        <v>8.5</v>
      </c>
      <c r="J221" s="6"/>
      <c r="K221" s="5">
        <f t="shared" ref="K221:K238" si="70">ROUND(E221*CUR_FAC,2)</f>
        <v>697.44</v>
      </c>
      <c r="L221" s="5">
        <f t="shared" ref="L221:L238" si="71">ROUND(E221*DSM_TRANS,2)</f>
        <v>102.8</v>
      </c>
      <c r="M221" s="5">
        <f t="shared" ref="M221:M238" si="72">ROUND((F221+$L221+$O221-PRO_BASE_FUEL*$E221)*CUR_ESM_NonRes,2)</f>
        <v>89.17</v>
      </c>
      <c r="N221" s="5">
        <f t="shared" ref="N221:N238" si="73">ROUND((G221+$L221+$O221-PRO_BASE_FUEL*$E221)*PRO_ESM_NONRES,2)</f>
        <v>89.44</v>
      </c>
      <c r="O221" s="5">
        <f t="shared" ref="O221:O238" si="74">ROUND(E221*RS_PSM,2)</f>
        <v>495</v>
      </c>
      <c r="P221" s="5">
        <f t="shared" ref="P221:P238" si="75">F221+K221+L221+M221+O221</f>
        <v>21273.949999999997</v>
      </c>
      <c r="Q221" s="5">
        <f>G221+K221+L221+N221+O221</f>
        <v>22964.03</v>
      </c>
      <c r="R221" s="6">
        <f t="shared" ref="R221:R238" si="76">ROUND((Q221-P221)/P221,3)*100</f>
        <v>7.9</v>
      </c>
    </row>
    <row r="222" spans="1:18" x14ac:dyDescent="0.25">
      <c r="A222" s="1">
        <v>20</v>
      </c>
      <c r="D222" s="3">
        <v>1000</v>
      </c>
      <c r="E222" s="3">
        <v>400000</v>
      </c>
      <c r="F222" s="5">
        <f t="shared" si="66"/>
        <v>31760.2</v>
      </c>
      <c r="G222" s="5">
        <f t="shared" si="67"/>
        <v>34487.410000000003</v>
      </c>
      <c r="H222" s="5">
        <f t="shared" si="68"/>
        <v>2727.2100000000028</v>
      </c>
      <c r="I222" s="6">
        <f t="shared" si="69"/>
        <v>8.6</v>
      </c>
      <c r="J222" s="6"/>
      <c r="K222" s="5">
        <f t="shared" si="70"/>
        <v>1394.89</v>
      </c>
      <c r="L222" s="5">
        <f t="shared" si="71"/>
        <v>205.6</v>
      </c>
      <c r="M222" s="5">
        <f t="shared" si="72"/>
        <v>126.27</v>
      </c>
      <c r="N222" s="5">
        <f t="shared" si="73"/>
        <v>128.58000000000001</v>
      </c>
      <c r="O222" s="5">
        <f t="shared" si="74"/>
        <v>990</v>
      </c>
      <c r="P222" s="5">
        <f t="shared" si="75"/>
        <v>34476.959999999999</v>
      </c>
      <c r="Q222" s="5">
        <f t="shared" ref="Q222:Q238" si="77">G222+K222+L222+N222+O222</f>
        <v>37206.480000000003</v>
      </c>
      <c r="R222" s="6">
        <f t="shared" si="76"/>
        <v>7.9</v>
      </c>
    </row>
    <row r="223" spans="1:18" x14ac:dyDescent="0.25">
      <c r="A223" s="1">
        <v>21</v>
      </c>
      <c r="D223" s="3">
        <v>2500</v>
      </c>
      <c r="E223" s="3">
        <v>500000</v>
      </c>
      <c r="F223" s="5">
        <f t="shared" si="66"/>
        <v>48973.85</v>
      </c>
      <c r="G223" s="5">
        <f t="shared" si="67"/>
        <v>53198.380000000005</v>
      </c>
      <c r="H223" s="5">
        <f t="shared" si="68"/>
        <v>4224.5300000000061</v>
      </c>
      <c r="I223" s="6">
        <f t="shared" si="69"/>
        <v>8.6</v>
      </c>
      <c r="J223" s="6"/>
      <c r="K223" s="5">
        <f t="shared" si="70"/>
        <v>1743.61</v>
      </c>
      <c r="L223" s="5">
        <f t="shared" si="71"/>
        <v>257</v>
      </c>
      <c r="M223" s="5">
        <f t="shared" si="72"/>
        <v>218.06</v>
      </c>
      <c r="N223" s="5">
        <f t="shared" si="73"/>
        <v>219.24</v>
      </c>
      <c r="O223" s="5">
        <f t="shared" si="74"/>
        <v>1237.5</v>
      </c>
      <c r="P223" s="5">
        <f t="shared" si="75"/>
        <v>52430.02</v>
      </c>
      <c r="Q223" s="5">
        <f t="shared" si="77"/>
        <v>56655.73</v>
      </c>
      <c r="R223" s="6">
        <f t="shared" si="76"/>
        <v>8.1</v>
      </c>
    </row>
    <row r="224" spans="1:18" x14ac:dyDescent="0.25">
      <c r="A224" s="1">
        <v>22</v>
      </c>
      <c r="D224" s="3">
        <v>2500</v>
      </c>
      <c r="E224" s="3">
        <v>1000000</v>
      </c>
      <c r="F224" s="5">
        <f t="shared" si="66"/>
        <v>78650.5</v>
      </c>
      <c r="G224" s="5">
        <f t="shared" si="67"/>
        <v>85468.53</v>
      </c>
      <c r="H224" s="5">
        <f t="shared" si="68"/>
        <v>6818.0299999999988</v>
      </c>
      <c r="I224" s="6">
        <f t="shared" si="69"/>
        <v>8.6999999999999993</v>
      </c>
      <c r="J224" s="6"/>
      <c r="K224" s="5">
        <f t="shared" si="70"/>
        <v>3487.21</v>
      </c>
      <c r="L224" s="5">
        <f t="shared" si="71"/>
        <v>514</v>
      </c>
      <c r="M224" s="5">
        <f t="shared" si="72"/>
        <v>310.81</v>
      </c>
      <c r="N224" s="5">
        <f t="shared" si="73"/>
        <v>317.11</v>
      </c>
      <c r="O224" s="5">
        <f t="shared" si="74"/>
        <v>2475</v>
      </c>
      <c r="P224" s="5">
        <f t="shared" si="75"/>
        <v>85437.52</v>
      </c>
      <c r="Q224" s="5">
        <f t="shared" si="77"/>
        <v>92261.85</v>
      </c>
      <c r="R224" s="6">
        <f t="shared" si="76"/>
        <v>8</v>
      </c>
    </row>
    <row r="225" spans="1:18" x14ac:dyDescent="0.25">
      <c r="A225" s="1">
        <v>23</v>
      </c>
      <c r="D225" s="3">
        <v>5000</v>
      </c>
      <c r="E225" s="3">
        <v>1000000</v>
      </c>
      <c r="F225" s="5">
        <f t="shared" si="66"/>
        <v>97447.7</v>
      </c>
      <c r="G225" s="5">
        <f t="shared" si="67"/>
        <v>105896.76000000001</v>
      </c>
      <c r="H225" s="5">
        <f t="shared" si="68"/>
        <v>8449.0600000000122</v>
      </c>
      <c r="I225" s="6">
        <f t="shared" si="69"/>
        <v>8.6999999999999993</v>
      </c>
      <c r="J225" s="6"/>
      <c r="K225" s="5">
        <f t="shared" si="70"/>
        <v>3487.21</v>
      </c>
      <c r="L225" s="5">
        <f t="shared" si="71"/>
        <v>514</v>
      </c>
      <c r="M225" s="5">
        <f t="shared" si="72"/>
        <v>432.88</v>
      </c>
      <c r="N225" s="5">
        <f t="shared" si="73"/>
        <v>435.58</v>
      </c>
      <c r="O225" s="5">
        <f t="shared" si="74"/>
        <v>2475</v>
      </c>
      <c r="P225" s="5">
        <f t="shared" si="75"/>
        <v>104356.79000000001</v>
      </c>
      <c r="Q225" s="5">
        <f t="shared" si="77"/>
        <v>112808.55000000002</v>
      </c>
      <c r="R225" s="6">
        <f t="shared" si="76"/>
        <v>8.1</v>
      </c>
    </row>
    <row r="226" spans="1:18" x14ac:dyDescent="0.25">
      <c r="A226" s="1">
        <v>24</v>
      </c>
      <c r="D226" s="3">
        <v>5000</v>
      </c>
      <c r="E226" s="3">
        <v>2000000</v>
      </c>
      <c r="F226" s="5">
        <f t="shared" si="66"/>
        <v>156801.00999999998</v>
      </c>
      <c r="G226" s="5">
        <f t="shared" si="67"/>
        <v>170437.05</v>
      </c>
      <c r="H226" s="5">
        <f t="shared" si="68"/>
        <v>13636.040000000008</v>
      </c>
      <c r="I226" s="6">
        <f t="shared" si="69"/>
        <v>8.6999999999999993</v>
      </c>
      <c r="J226" s="6"/>
      <c r="K226" s="5">
        <f t="shared" si="70"/>
        <v>6974.43</v>
      </c>
      <c r="L226" s="5">
        <f t="shared" si="71"/>
        <v>1028</v>
      </c>
      <c r="M226" s="5">
        <f t="shared" si="72"/>
        <v>618.37</v>
      </c>
      <c r="N226" s="5">
        <f t="shared" si="73"/>
        <v>631.30999999999995</v>
      </c>
      <c r="O226" s="5">
        <f t="shared" si="74"/>
        <v>4950</v>
      </c>
      <c r="P226" s="5">
        <f t="shared" si="75"/>
        <v>170371.80999999997</v>
      </c>
      <c r="Q226" s="5">
        <f t="shared" si="77"/>
        <v>184020.78999999998</v>
      </c>
      <c r="R226" s="6">
        <f t="shared" si="76"/>
        <v>8</v>
      </c>
    </row>
    <row r="227" spans="1:18" x14ac:dyDescent="0.25">
      <c r="A227" s="1">
        <v>25</v>
      </c>
      <c r="D227" s="3">
        <v>10000</v>
      </c>
      <c r="E227" s="3">
        <v>2000000</v>
      </c>
      <c r="F227" s="5">
        <f t="shared" si="66"/>
        <v>194395.40999999997</v>
      </c>
      <c r="G227" s="5">
        <f t="shared" si="67"/>
        <v>211293.52999999997</v>
      </c>
      <c r="H227" s="5">
        <f t="shared" si="68"/>
        <v>16898.119999999995</v>
      </c>
      <c r="I227" s="6">
        <f t="shared" si="69"/>
        <v>8.6999999999999993</v>
      </c>
      <c r="J227" s="6"/>
      <c r="K227" s="5">
        <f t="shared" si="70"/>
        <v>6974.43</v>
      </c>
      <c r="L227" s="5">
        <f t="shared" si="71"/>
        <v>1028</v>
      </c>
      <c r="M227" s="5">
        <f t="shared" si="72"/>
        <v>862.51</v>
      </c>
      <c r="N227" s="5">
        <f t="shared" si="73"/>
        <v>868.26</v>
      </c>
      <c r="O227" s="5">
        <f t="shared" si="74"/>
        <v>4950</v>
      </c>
      <c r="P227" s="5">
        <f t="shared" si="75"/>
        <v>208210.34999999998</v>
      </c>
      <c r="Q227" s="5">
        <f t="shared" si="77"/>
        <v>225114.21999999997</v>
      </c>
      <c r="R227" s="6">
        <f t="shared" si="76"/>
        <v>8.1</v>
      </c>
    </row>
    <row r="228" spans="1:18" x14ac:dyDescent="0.25">
      <c r="A228" s="1">
        <v>26</v>
      </c>
      <c r="D228" s="3">
        <v>10000</v>
      </c>
      <c r="E228" s="3">
        <v>4000000</v>
      </c>
      <c r="F228" s="5">
        <f t="shared" si="66"/>
        <v>313102.02999999997</v>
      </c>
      <c r="G228" s="5">
        <f t="shared" si="67"/>
        <v>340374.13</v>
      </c>
      <c r="H228" s="5">
        <f t="shared" si="68"/>
        <v>27272.100000000035</v>
      </c>
      <c r="I228" s="6">
        <f t="shared" si="69"/>
        <v>8.6999999999999993</v>
      </c>
      <c r="J228" s="6"/>
      <c r="K228" s="5">
        <f t="shared" si="70"/>
        <v>13948.85</v>
      </c>
      <c r="L228" s="5">
        <f t="shared" si="71"/>
        <v>2056</v>
      </c>
      <c r="M228" s="5">
        <f t="shared" si="72"/>
        <v>1233.49</v>
      </c>
      <c r="N228" s="5">
        <f t="shared" si="73"/>
        <v>1259.73</v>
      </c>
      <c r="O228" s="5">
        <f t="shared" si="74"/>
        <v>9900</v>
      </c>
      <c r="P228" s="5">
        <f t="shared" si="75"/>
        <v>340240.36999999994</v>
      </c>
      <c r="Q228" s="5">
        <f t="shared" si="77"/>
        <v>367538.70999999996</v>
      </c>
      <c r="R228" s="6">
        <f t="shared" si="76"/>
        <v>8</v>
      </c>
    </row>
    <row r="229" spans="1:18" x14ac:dyDescent="0.25">
      <c r="A229" s="1">
        <v>27</v>
      </c>
      <c r="D229" s="3">
        <v>10000</v>
      </c>
      <c r="E229" s="3">
        <v>6000000</v>
      </c>
      <c r="F229" s="5">
        <f t="shared" si="66"/>
        <v>431808.63</v>
      </c>
      <c r="G229" s="5">
        <f t="shared" si="67"/>
        <v>469454.72000000003</v>
      </c>
      <c r="H229" s="5">
        <f t="shared" si="68"/>
        <v>37646.090000000026</v>
      </c>
      <c r="I229" s="6">
        <f t="shared" si="69"/>
        <v>8.6999999999999993</v>
      </c>
      <c r="J229" s="6"/>
      <c r="K229" s="5">
        <f t="shared" si="70"/>
        <v>20923.28</v>
      </c>
      <c r="L229" s="5">
        <f t="shared" si="71"/>
        <v>3084</v>
      </c>
      <c r="M229" s="5">
        <f t="shared" si="72"/>
        <v>1604.46</v>
      </c>
      <c r="N229" s="5">
        <f t="shared" si="73"/>
        <v>1651.19</v>
      </c>
      <c r="O229" s="5">
        <f t="shared" si="74"/>
        <v>14850</v>
      </c>
      <c r="P229" s="5">
        <f t="shared" si="75"/>
        <v>472270.37000000005</v>
      </c>
      <c r="Q229" s="5">
        <f t="shared" si="77"/>
        <v>509963.19</v>
      </c>
      <c r="R229" s="6">
        <f t="shared" si="76"/>
        <v>8</v>
      </c>
    </row>
    <row r="230" spans="1:18" x14ac:dyDescent="0.25">
      <c r="A230" s="1">
        <v>28</v>
      </c>
      <c r="D230" s="3">
        <v>20000</v>
      </c>
      <c r="E230" s="3">
        <v>4000000</v>
      </c>
      <c r="F230" s="5">
        <f t="shared" si="66"/>
        <v>388290.81999999995</v>
      </c>
      <c r="G230" s="5">
        <f t="shared" si="67"/>
        <v>422087.05</v>
      </c>
      <c r="H230" s="5">
        <f t="shared" si="68"/>
        <v>33796.23000000004</v>
      </c>
      <c r="I230" s="6">
        <f t="shared" si="69"/>
        <v>8.6999999999999993</v>
      </c>
      <c r="J230" s="6"/>
      <c r="K230" s="5">
        <f t="shared" si="70"/>
        <v>13948.85</v>
      </c>
      <c r="L230" s="5">
        <f t="shared" si="71"/>
        <v>2056</v>
      </c>
      <c r="M230" s="5">
        <f t="shared" si="72"/>
        <v>1721.78</v>
      </c>
      <c r="N230" s="5">
        <f t="shared" si="73"/>
        <v>1733.63</v>
      </c>
      <c r="O230" s="5">
        <f t="shared" si="74"/>
        <v>9900</v>
      </c>
      <c r="P230" s="5">
        <f t="shared" si="75"/>
        <v>415917.44999999995</v>
      </c>
      <c r="Q230" s="5">
        <f t="shared" si="77"/>
        <v>449725.52999999997</v>
      </c>
      <c r="R230" s="6">
        <f t="shared" si="76"/>
        <v>8.1</v>
      </c>
    </row>
    <row r="231" spans="1:18" x14ac:dyDescent="0.25">
      <c r="A231" s="1">
        <v>29</v>
      </c>
      <c r="D231" s="3">
        <v>20000</v>
      </c>
      <c r="E231" s="3">
        <v>8000000</v>
      </c>
      <c r="F231" s="5">
        <f t="shared" si="66"/>
        <v>625704.04</v>
      </c>
      <c r="G231" s="5">
        <f t="shared" si="67"/>
        <v>680248.24</v>
      </c>
      <c r="H231" s="5">
        <f t="shared" si="68"/>
        <v>54544.199999999953</v>
      </c>
      <c r="I231" s="6">
        <f t="shared" si="69"/>
        <v>8.6999999999999993</v>
      </c>
      <c r="J231" s="6"/>
      <c r="K231" s="5">
        <f t="shared" si="70"/>
        <v>27897.7</v>
      </c>
      <c r="L231" s="5">
        <f t="shared" si="71"/>
        <v>4112</v>
      </c>
      <c r="M231" s="5">
        <f t="shared" si="72"/>
        <v>2463.73</v>
      </c>
      <c r="N231" s="5">
        <f t="shared" si="73"/>
        <v>2516.56</v>
      </c>
      <c r="O231" s="5">
        <f t="shared" si="74"/>
        <v>19800</v>
      </c>
      <c r="P231" s="5">
        <f t="shared" si="75"/>
        <v>679977.47</v>
      </c>
      <c r="Q231" s="5">
        <f t="shared" si="77"/>
        <v>734574.5</v>
      </c>
      <c r="R231" s="6">
        <f t="shared" si="76"/>
        <v>8</v>
      </c>
    </row>
    <row r="232" spans="1:18" x14ac:dyDescent="0.25">
      <c r="A232" s="1">
        <v>30</v>
      </c>
      <c r="D232" s="3">
        <v>20000</v>
      </c>
      <c r="E232" s="3">
        <v>12000000</v>
      </c>
      <c r="F232" s="5">
        <f t="shared" si="66"/>
        <v>863117.27</v>
      </c>
      <c r="G232" s="5">
        <f t="shared" si="67"/>
        <v>938409.43</v>
      </c>
      <c r="H232" s="5">
        <f t="shared" si="68"/>
        <v>75292.160000000033</v>
      </c>
      <c r="I232" s="6">
        <f t="shared" si="69"/>
        <v>8.6999999999999993</v>
      </c>
      <c r="J232" s="6"/>
      <c r="K232" s="5">
        <f t="shared" si="70"/>
        <v>41846.550000000003</v>
      </c>
      <c r="L232" s="5">
        <f t="shared" si="71"/>
        <v>6168</v>
      </c>
      <c r="M232" s="5">
        <f t="shared" si="72"/>
        <v>3205.68</v>
      </c>
      <c r="N232" s="5">
        <f t="shared" si="73"/>
        <v>3299.48</v>
      </c>
      <c r="O232" s="5">
        <f t="shared" si="74"/>
        <v>29700</v>
      </c>
      <c r="P232" s="5">
        <f t="shared" si="75"/>
        <v>944037.50000000012</v>
      </c>
      <c r="Q232" s="5">
        <f t="shared" si="77"/>
        <v>1019423.4600000001</v>
      </c>
      <c r="R232" s="6">
        <f t="shared" si="76"/>
        <v>8</v>
      </c>
    </row>
    <row r="233" spans="1:18" x14ac:dyDescent="0.25">
      <c r="A233" s="1">
        <v>31</v>
      </c>
      <c r="D233" s="3">
        <v>40000</v>
      </c>
      <c r="E233" s="3">
        <v>16000000</v>
      </c>
      <c r="F233" s="5">
        <f t="shared" si="66"/>
        <v>1250908.0899999999</v>
      </c>
      <c r="G233" s="5">
        <f t="shared" si="67"/>
        <v>1359996.5</v>
      </c>
      <c r="H233" s="5">
        <f t="shared" si="68"/>
        <v>109088.41000000015</v>
      </c>
      <c r="I233" s="6">
        <f t="shared" si="69"/>
        <v>8.6999999999999993</v>
      </c>
      <c r="J233" s="6"/>
      <c r="K233" s="5">
        <f t="shared" si="70"/>
        <v>55795.4</v>
      </c>
      <c r="L233" s="5">
        <f t="shared" si="71"/>
        <v>8224</v>
      </c>
      <c r="M233" s="5">
        <f t="shared" si="72"/>
        <v>4924.21</v>
      </c>
      <c r="N233" s="5">
        <f t="shared" si="73"/>
        <v>5030.21</v>
      </c>
      <c r="O233" s="5">
        <f t="shared" si="74"/>
        <v>39600</v>
      </c>
      <c r="P233" s="5">
        <f t="shared" si="75"/>
        <v>1359451.6999999997</v>
      </c>
      <c r="Q233" s="5">
        <f t="shared" si="77"/>
        <v>1468646.1099999999</v>
      </c>
      <c r="R233" s="6">
        <f t="shared" si="76"/>
        <v>8</v>
      </c>
    </row>
    <row r="234" spans="1:18" x14ac:dyDescent="0.25">
      <c r="A234" s="1">
        <v>32</v>
      </c>
      <c r="D234" s="3">
        <v>40000</v>
      </c>
      <c r="E234" s="3">
        <v>24000000</v>
      </c>
      <c r="F234" s="5">
        <f t="shared" si="66"/>
        <v>1725734.54</v>
      </c>
      <c r="G234" s="5">
        <f t="shared" si="67"/>
        <v>1876318.8900000001</v>
      </c>
      <c r="H234" s="5">
        <f t="shared" si="68"/>
        <v>150584.35000000009</v>
      </c>
      <c r="I234" s="6">
        <f t="shared" si="69"/>
        <v>8.6999999999999993</v>
      </c>
      <c r="J234" s="6"/>
      <c r="K234" s="5">
        <f t="shared" si="70"/>
        <v>83693.11</v>
      </c>
      <c r="L234" s="5">
        <f t="shared" si="71"/>
        <v>12336</v>
      </c>
      <c r="M234" s="5">
        <f t="shared" si="72"/>
        <v>6408.12</v>
      </c>
      <c r="N234" s="5">
        <f t="shared" si="73"/>
        <v>6596.07</v>
      </c>
      <c r="O234" s="5">
        <f t="shared" si="74"/>
        <v>59400</v>
      </c>
      <c r="P234" s="5">
        <f t="shared" si="75"/>
        <v>1887571.7700000003</v>
      </c>
      <c r="Q234" s="5">
        <f t="shared" si="77"/>
        <v>2038344.0700000003</v>
      </c>
      <c r="R234" s="6">
        <f t="shared" si="76"/>
        <v>8</v>
      </c>
    </row>
    <row r="235" spans="1:18" x14ac:dyDescent="0.25">
      <c r="A235" s="1">
        <v>33</v>
      </c>
      <c r="D235" s="3">
        <v>80000</v>
      </c>
      <c r="E235" s="3">
        <v>32000000</v>
      </c>
      <c r="F235" s="5">
        <f t="shared" si="66"/>
        <v>2501316.1599999997</v>
      </c>
      <c r="G235" s="5">
        <f t="shared" si="67"/>
        <v>2719493</v>
      </c>
      <c r="H235" s="5">
        <f t="shared" si="68"/>
        <v>218176.84000000032</v>
      </c>
      <c r="I235" s="6">
        <f t="shared" si="69"/>
        <v>8.6999999999999993</v>
      </c>
      <c r="J235" s="6"/>
      <c r="K235" s="5">
        <f t="shared" si="70"/>
        <v>111590.81</v>
      </c>
      <c r="L235" s="5">
        <f t="shared" si="71"/>
        <v>16448</v>
      </c>
      <c r="M235" s="5">
        <f t="shared" si="72"/>
        <v>9845.17</v>
      </c>
      <c r="N235" s="5">
        <f t="shared" si="73"/>
        <v>10057.530000000001</v>
      </c>
      <c r="O235" s="5">
        <f t="shared" si="74"/>
        <v>79200</v>
      </c>
      <c r="P235" s="5">
        <f t="shared" si="75"/>
        <v>2718400.1399999997</v>
      </c>
      <c r="Q235" s="5">
        <f t="shared" si="77"/>
        <v>2936789.34</v>
      </c>
      <c r="R235" s="6">
        <f t="shared" si="76"/>
        <v>8</v>
      </c>
    </row>
    <row r="236" spans="1:18" x14ac:dyDescent="0.25">
      <c r="A236" s="1">
        <v>34</v>
      </c>
      <c r="D236" s="3">
        <v>80000</v>
      </c>
      <c r="E236" s="3">
        <v>48000000</v>
      </c>
      <c r="F236" s="5">
        <f t="shared" si="66"/>
        <v>3450969.06</v>
      </c>
      <c r="G236" s="5">
        <f t="shared" si="67"/>
        <v>3752137.7499999995</v>
      </c>
      <c r="H236" s="5">
        <f t="shared" si="68"/>
        <v>301168.68999999948</v>
      </c>
      <c r="I236" s="6">
        <f t="shared" si="69"/>
        <v>8.6999999999999993</v>
      </c>
      <c r="J236" s="6"/>
      <c r="K236" s="5">
        <f t="shared" si="70"/>
        <v>167386.21</v>
      </c>
      <c r="L236" s="5">
        <f t="shared" si="71"/>
        <v>24672</v>
      </c>
      <c r="M236" s="5">
        <f t="shared" si="72"/>
        <v>12812.99</v>
      </c>
      <c r="N236" s="5">
        <f t="shared" si="73"/>
        <v>13189.23</v>
      </c>
      <c r="O236" s="5">
        <f t="shared" si="74"/>
        <v>118800</v>
      </c>
      <c r="P236" s="5">
        <f t="shared" si="75"/>
        <v>3774640.2600000002</v>
      </c>
      <c r="Q236" s="5">
        <f t="shared" si="77"/>
        <v>4076185.1899999995</v>
      </c>
      <c r="R236" s="6">
        <f t="shared" si="76"/>
        <v>8</v>
      </c>
    </row>
    <row r="237" spans="1:18" x14ac:dyDescent="0.25">
      <c r="A237" s="1">
        <v>35</v>
      </c>
      <c r="D237" s="3">
        <v>160000</v>
      </c>
      <c r="E237" s="3">
        <v>64000000</v>
      </c>
      <c r="F237" s="5">
        <f t="shared" si="66"/>
        <v>5002132.32</v>
      </c>
      <c r="G237" s="5">
        <f t="shared" si="67"/>
        <v>5438485.9899999993</v>
      </c>
      <c r="H237" s="5">
        <f t="shared" si="68"/>
        <v>436353.66999999899</v>
      </c>
      <c r="I237" s="6">
        <f t="shared" si="69"/>
        <v>8.6999999999999993</v>
      </c>
      <c r="J237" s="6"/>
      <c r="K237" s="5">
        <f t="shared" si="70"/>
        <v>223181.62</v>
      </c>
      <c r="L237" s="5">
        <f t="shared" si="71"/>
        <v>32896</v>
      </c>
      <c r="M237" s="5">
        <f t="shared" si="72"/>
        <v>19687.099999999999</v>
      </c>
      <c r="N237" s="5">
        <f t="shared" si="73"/>
        <v>20112.150000000001</v>
      </c>
      <c r="O237" s="5">
        <f t="shared" si="74"/>
        <v>158400</v>
      </c>
      <c r="P237" s="5">
        <f t="shared" si="75"/>
        <v>5436297.04</v>
      </c>
      <c r="Q237" s="5">
        <f t="shared" si="77"/>
        <v>5873075.7599999998</v>
      </c>
      <c r="R237" s="6">
        <f t="shared" si="76"/>
        <v>8</v>
      </c>
    </row>
    <row r="238" spans="1:18" x14ac:dyDescent="0.25">
      <c r="A238" s="1">
        <v>36</v>
      </c>
      <c r="D238" s="3">
        <v>160000</v>
      </c>
      <c r="E238" s="3">
        <v>96000000</v>
      </c>
      <c r="F238" s="5">
        <f t="shared" si="66"/>
        <v>6901438.1299999999</v>
      </c>
      <c r="G238" s="5">
        <f t="shared" si="67"/>
        <v>7503775.5100000007</v>
      </c>
      <c r="H238" s="5">
        <f t="shared" si="68"/>
        <v>602337.38000000082</v>
      </c>
      <c r="I238" s="6">
        <f t="shared" si="69"/>
        <v>8.6999999999999993</v>
      </c>
      <c r="J238" s="6"/>
      <c r="K238" s="5">
        <f t="shared" si="70"/>
        <v>334772.43</v>
      </c>
      <c r="L238" s="5">
        <f t="shared" si="71"/>
        <v>49344</v>
      </c>
      <c r="M238" s="5">
        <f t="shared" si="72"/>
        <v>25622.73</v>
      </c>
      <c r="N238" s="5">
        <f t="shared" si="73"/>
        <v>26375.57</v>
      </c>
      <c r="O238" s="5">
        <f t="shared" si="74"/>
        <v>237600</v>
      </c>
      <c r="P238" s="5">
        <f t="shared" si="75"/>
        <v>7548777.29</v>
      </c>
      <c r="Q238" s="5">
        <f t="shared" si="77"/>
        <v>8151867.5100000007</v>
      </c>
      <c r="R238" s="6">
        <f t="shared" si="76"/>
        <v>8</v>
      </c>
    </row>
    <row r="239" spans="1:18" x14ac:dyDescent="0.25">
      <c r="K239" s="5"/>
      <c r="L239" s="5"/>
      <c r="M239" s="5"/>
      <c r="N239" s="5"/>
      <c r="O239" s="5"/>
    </row>
    <row r="240" spans="1:18" ht="15.6" x14ac:dyDescent="0.3">
      <c r="C240" s="42" t="str">
        <f>"(1) REFLECTS FUEL ADJUSTMENT COMPONENT (FAC) OF "&amp;TEXT(CUR_FAC,"$0.000000;($0.000000)")&amp;" PER KWH."</f>
        <v>(1) REFLECTS FUEL ADJUSTMENT COMPONENT (FAC) OF $0.003487 PER KWH.</v>
      </c>
      <c r="K240" s="5"/>
      <c r="L240" s="5"/>
      <c r="M240" s="5"/>
      <c r="N240" s="5"/>
      <c r="O240" s="5"/>
    </row>
    <row r="241" spans="3:3" ht="15.6" x14ac:dyDescent="0.3">
      <c r="C241" s="42" t="str">
        <f>"(2) RIDER DSMR "&amp;TEXT(DSM_TRANS,"$0.000000;($0.000000)")&amp;" PER KWH."</f>
        <v>(2) RIDER DSMR $0.000514 PER KWH.</v>
      </c>
    </row>
    <row r="242" spans="3:3" ht="15.6" x14ac:dyDescent="0.3">
      <c r="C242" s="42" t="str">
        <f>"(3) RIDER ESM "&amp;TEXT(CUR_ESM_NonRes,"#0.00%")&amp;"  OF TOTAL CURRENT BILL."</f>
        <v>(3) RIDER ESM 0.65%  OF TOTAL CURRENT BILL.</v>
      </c>
    </row>
    <row r="243" spans="3:3" ht="15.6" x14ac:dyDescent="0.3">
      <c r="C243" s="42" t="str">
        <f>"(4) RIDER PSM "&amp;TEXT(RS_PSM,"$0.000000;($0.000000)")&amp;"  PER KWH."</f>
        <v>(4) RIDER PSM $0.002475  PER KWH.</v>
      </c>
    </row>
    <row r="244" spans="3:3" ht="15.6" x14ac:dyDescent="0.3">
      <c r="C244" s="42" t="str">
        <f>"(5) REFLECTS FUEL COST RECOVERY INCLUDED IN BASE RATES OF "&amp;TEXT(CUR_BASE_FUEL,"$0.000000;($0.000000)")&amp;"  PER KWH."</f>
        <v>(5) REFLECTS FUEL COST RECOVERY INCLUDED IN BASE RATES OF $0.033780  PER KWH.</v>
      </c>
    </row>
    <row r="245" spans="3:3" ht="15.6" x14ac:dyDescent="0.3">
      <c r="C245" s="42" t="str">
        <f>"(6) DEMAND VALUE REPRESENTS THE SUM OF ON AND OFF PEAK.  FOR BILL CALCULATION, VALUE IS SPLIT USING THE RATIO OF VALUES IN SCHEDULE M-2.3."</f>
        <v>(6) DEMAND VALUE REPRESENTS THE SUM OF ON AND OFF PEAK.  FOR BILL CALCULATION, VALUE IS SPLIT USING THE RATIO OF VALUES IN SCHEDULE M-2.3.</v>
      </c>
    </row>
    <row r="246" spans="3:3" ht="15.6" x14ac:dyDescent="0.3">
      <c r="C246" s="42" t="str">
        <f>"(7) RIDER ESM "&amp;TEXT(PRO_ESM_NONRES,"#0.00%")&amp;"  OF TOTAL CURRENT BILL."</f>
        <v>(7) RIDER ESM 0.58%  OF TOTAL CURRENT BILL.</v>
      </c>
    </row>
    <row r="247" spans="3:3" ht="15.6" x14ac:dyDescent="0.3">
      <c r="C247" s="45"/>
    </row>
  </sheetData>
  <customSheetViews>
    <customSheetView guid="{195DF303-1BBD-4236-94B5-47432850B006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1"/>
      <headerFooter alignWithMargins="0"/>
    </customSheetView>
    <customSheetView guid="{0C49E549-011E-46F4-A82E-2CC8951A9C1E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2"/>
      <headerFooter alignWithMargins="0"/>
    </customSheetView>
    <customSheetView guid="{4BC93440-BA85-4935-A8C9-66DC6AE5DE5E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3"/>
      <headerFooter alignWithMargins="0"/>
    </customSheetView>
    <customSheetView guid="{2431C9E5-7CC2-4B8D-99C3-962247B1DBF5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4"/>
      <headerFooter alignWithMargins="0"/>
    </customSheetView>
    <customSheetView guid="{2EA35095-1ADC-4CC7-8C3C-B487D65FA247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5"/>
      <headerFooter alignWithMargins="0"/>
    </customSheetView>
    <customSheetView guid="{8FC77C99-DBF7-40B8-99B8-01B75826CDCB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6"/>
      <headerFooter alignWithMargins="0"/>
    </customSheetView>
    <customSheetView guid="{8FB94551-8874-4095-B8FB-5316E0D2FD2C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7"/>
      <headerFooter alignWithMargins="0"/>
    </customSheetView>
    <customSheetView guid="{6B3D5C27-2FDE-4561-9575-1E98BFB869D0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8"/>
      <headerFooter alignWithMargins="0"/>
    </customSheetView>
    <customSheetView guid="{0BC1F393-8A13-47D5-BC6C-0C99615B5AB9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9"/>
      <headerFooter alignWithMargins="0"/>
    </customSheetView>
    <customSheetView guid="{18BDED73-BFA0-442E-87EC-CED86EE4CF94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10"/>
      <headerFooter alignWithMargins="0"/>
    </customSheetView>
    <customSheetView guid="{35F19056-2E6F-4935-B863-78836FE990BF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4" orientation="landscape" horizontalDpi="300" verticalDpi="300" r:id="rId11"/>
      <headerFooter alignWithMargins="0"/>
    </customSheetView>
    <customSheetView guid="{F562D92E-120C-4AE9-9663-89E64D41DC53}" scale="75" fitToPage="1">
      <rowBreaks count="2" manualBreakCount="2">
        <brk id="42" max="16383" man="1"/>
        <brk id="88" max="16383" man="1"/>
      </rowBreaks>
      <pageMargins left="0.5" right="0.5" top="1" bottom="1" header="0.5" footer="0.5"/>
      <pageSetup scale="54" orientation="landscape" horizontalDpi="300" verticalDpi="300" r:id="rId12"/>
      <headerFooter alignWithMargins="0"/>
    </customSheetView>
  </customSheetViews>
  <mergeCells count="10">
    <mergeCell ref="K196:O196"/>
    <mergeCell ref="K13:O13"/>
    <mergeCell ref="K47:O47"/>
    <mergeCell ref="K99:O99"/>
    <mergeCell ref="A10:R10"/>
    <mergeCell ref="A44:R44"/>
    <mergeCell ref="A96:R96"/>
    <mergeCell ref="A143:R143"/>
    <mergeCell ref="A193:R193"/>
    <mergeCell ref="K146:O146"/>
  </mergeCells>
  <phoneticPr fontId="11" type="noConversion"/>
  <pageMargins left="0.5" right="0.5" top="1" bottom="1" header="0.5" footer="0.5"/>
  <pageSetup scale="45" orientation="landscape" verticalDpi="300" r:id="rId13"/>
  <headerFooter alignWithMargins="0"/>
  <rowBreaks count="2" manualBreakCount="2">
    <brk id="34" max="16383" man="1"/>
    <brk id="81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0"/>
  <dimension ref="A1:R90"/>
  <sheetViews>
    <sheetView showRowColHeaders="0" zoomScale="75" workbookViewId="0"/>
  </sheetViews>
  <sheetFormatPr defaultColWidth="8.9140625" defaultRowHeight="15" x14ac:dyDescent="0.25"/>
  <cols>
    <col min="1" max="1" width="8.4140625" style="1" customWidth="1"/>
    <col min="2" max="2" width="10.9140625" style="1" customWidth="1"/>
    <col min="3" max="3" width="12.08203125" style="1" customWidth="1"/>
    <col min="4" max="4" width="12.25" style="1" customWidth="1"/>
    <col min="5" max="5" width="12.58203125" style="1" customWidth="1"/>
    <col min="6" max="6" width="14.4140625" style="1" customWidth="1"/>
    <col min="7" max="7" width="10" style="1" customWidth="1"/>
    <col min="8" max="8" width="10.4140625" style="1" customWidth="1"/>
    <col min="9" max="9" width="12.08203125" style="1" customWidth="1"/>
    <col min="10" max="10" width="10.4140625" style="1" customWidth="1"/>
    <col min="11" max="11" width="12.4140625" style="1" customWidth="1"/>
    <col min="12" max="12" width="12" style="1" customWidth="1"/>
    <col min="13" max="13" width="10.08203125" style="1" customWidth="1"/>
    <col min="14" max="17" width="8.9140625" style="1"/>
    <col min="18" max="18" width="9.75" style="1" customWidth="1"/>
    <col min="19" max="16384" width="8.9140625" style="1"/>
  </cols>
  <sheetData>
    <row r="1" spans="2:18" ht="15.6" x14ac:dyDescent="0.3">
      <c r="B1" s="12" t="s">
        <v>183</v>
      </c>
      <c r="C1" s="10"/>
      <c r="D1" s="10"/>
      <c r="E1" s="10"/>
      <c r="F1" s="10"/>
      <c r="H1" s="12" t="s">
        <v>184</v>
      </c>
      <c r="I1" s="10"/>
      <c r="J1" s="10"/>
      <c r="K1" s="10"/>
      <c r="L1" s="10"/>
    </row>
    <row r="2" spans="2:18" x14ac:dyDescent="0.25">
      <c r="C2" s="2" t="s">
        <v>108</v>
      </c>
      <c r="D2" s="2" t="s">
        <v>108</v>
      </c>
      <c r="E2" s="2" t="s">
        <v>108</v>
      </c>
      <c r="I2" s="2" t="s">
        <v>108</v>
      </c>
      <c r="J2" s="2" t="s">
        <v>108</v>
      </c>
      <c r="K2" s="2" t="s">
        <v>108</v>
      </c>
    </row>
    <row r="3" spans="2:18" x14ac:dyDescent="0.25">
      <c r="B3" s="2" t="s">
        <v>20</v>
      </c>
      <c r="C3" s="2" t="s">
        <v>113</v>
      </c>
      <c r="D3" s="2" t="s">
        <v>114</v>
      </c>
      <c r="E3" s="2" t="s">
        <v>115</v>
      </c>
      <c r="F3" s="2" t="s">
        <v>11</v>
      </c>
      <c r="H3" s="2" t="s">
        <v>20</v>
      </c>
      <c r="I3" s="2" t="s">
        <v>113</v>
      </c>
      <c r="J3" s="2" t="s">
        <v>114</v>
      </c>
      <c r="K3" s="2" t="s">
        <v>115</v>
      </c>
      <c r="L3" s="2" t="s">
        <v>11</v>
      </c>
    </row>
    <row r="4" spans="2:18" x14ac:dyDescent="0.25">
      <c r="B4" s="9" t="s">
        <v>116</v>
      </c>
      <c r="C4" s="9" t="s">
        <v>117</v>
      </c>
      <c r="D4" s="9" t="s">
        <v>117</v>
      </c>
      <c r="E4" s="9" t="s">
        <v>117</v>
      </c>
      <c r="F4" s="9" t="s">
        <v>107</v>
      </c>
      <c r="H4" s="9" t="s">
        <v>116</v>
      </c>
      <c r="I4" s="9" t="s">
        <v>117</v>
      </c>
      <c r="J4" s="9" t="s">
        <v>117</v>
      </c>
      <c r="K4" s="9" t="s">
        <v>117</v>
      </c>
      <c r="L4" s="9" t="s">
        <v>107</v>
      </c>
    </row>
    <row r="5" spans="2:18" ht="15.6" x14ac:dyDescent="0.3">
      <c r="B5" s="61" t="s">
        <v>526</v>
      </c>
    </row>
    <row r="7" spans="2:18" x14ac:dyDescent="0.25">
      <c r="B7" s="5">
        <f t="shared" ref="B7:B13" si="0">+CUR_RS_CUST</f>
        <v>13</v>
      </c>
      <c r="C7" s="5">
        <f>IF('SCH N'!E20&lt;=1000,ROUND('SCH N'!E20*(+CUR_RS_ENERGY),2),ROUND(1000*(CUR_RS_ENERGY),2))</f>
        <v>33.49</v>
      </c>
      <c r="D7" s="60">
        <v>0</v>
      </c>
      <c r="E7" s="60">
        <v>0</v>
      </c>
      <c r="F7" s="5">
        <f t="shared" ref="F7:F13" si="1">SUM(B7:E7)</f>
        <v>46.49</v>
      </c>
      <c r="H7" s="5">
        <f t="shared" ref="H7:H13" si="2">PRO_RS_CUST</f>
        <v>14.75</v>
      </c>
      <c r="I7" s="5">
        <f>IF('SCH N'!E20&lt;=1000,ROUND('SCH N'!E20*(PRO_RS_ENERGY),2),ROUND(1000*(PRO_RS_ENERGY),2))</f>
        <v>36.72</v>
      </c>
      <c r="J7" s="60">
        <v>0</v>
      </c>
      <c r="K7" s="60">
        <v>0</v>
      </c>
      <c r="L7" s="5">
        <f t="shared" ref="L7:L13" si="3">SUM(H7:K7)</f>
        <v>51.47</v>
      </c>
    </row>
    <row r="8" spans="2:18" x14ac:dyDescent="0.25">
      <c r="B8" s="5">
        <f t="shared" si="0"/>
        <v>13</v>
      </c>
      <c r="C8" s="5">
        <f>IF('SCH N'!E21&lt;=1000,ROUND('SCH N'!E21*(+CUR_RS_ENERGY),2),ROUND(1000*(CUR_RS_ENERGY),2))</f>
        <v>44.66</v>
      </c>
      <c r="D8" s="60">
        <v>0</v>
      </c>
      <c r="E8" s="60">
        <v>0</v>
      </c>
      <c r="F8" s="5">
        <f t="shared" si="1"/>
        <v>57.66</v>
      </c>
      <c r="H8" s="5">
        <f t="shared" si="2"/>
        <v>14.75</v>
      </c>
      <c r="I8" s="5">
        <f>IF('SCH N'!E21&lt;=1000,ROUND('SCH N'!E21*(PRO_RS_ENERGY),2),ROUND(1000*(PRO_RS_ENERGY),2))</f>
        <v>48.96</v>
      </c>
      <c r="J8" s="60">
        <v>0</v>
      </c>
      <c r="K8" s="60">
        <v>0</v>
      </c>
      <c r="L8" s="5">
        <f t="shared" si="3"/>
        <v>63.71</v>
      </c>
    </row>
    <row r="9" spans="2:18" x14ac:dyDescent="0.25">
      <c r="B9" s="5">
        <f t="shared" si="0"/>
        <v>13</v>
      </c>
      <c r="C9" s="5">
        <f>IF('SCH N'!E22&lt;=1000,ROUND('SCH N'!E22*(+CUR_RS_ENERGY),2),ROUND(1000*(CUR_RS_ENERGY),2))</f>
        <v>55.82</v>
      </c>
      <c r="D9" s="60">
        <v>0</v>
      </c>
      <c r="E9" s="60">
        <v>0</v>
      </c>
      <c r="F9" s="5">
        <f t="shared" si="1"/>
        <v>68.819999999999993</v>
      </c>
      <c r="H9" s="5">
        <f t="shared" si="2"/>
        <v>14.75</v>
      </c>
      <c r="I9" s="5">
        <f>IF('SCH N'!E22&lt;=1000,ROUND('SCH N'!E22*(PRO_RS_ENERGY),2),ROUND(1000*(PRO_RS_ENERGY),2))</f>
        <v>61.2</v>
      </c>
      <c r="J9" s="60">
        <v>0</v>
      </c>
      <c r="K9" s="60">
        <v>0</v>
      </c>
      <c r="L9" s="5">
        <f t="shared" si="3"/>
        <v>75.95</v>
      </c>
    </row>
    <row r="10" spans="2:18" x14ac:dyDescent="0.25">
      <c r="B10" s="5">
        <f t="shared" si="0"/>
        <v>13</v>
      </c>
      <c r="C10" s="5">
        <f>IF('SCH N'!E23&lt;=1000,ROUND('SCH N'!E23*(+CUR_RS_ENERGY),2),ROUND(1000*(CUR_RS_ENERGY),2))</f>
        <v>89.31</v>
      </c>
      <c r="D10" s="60">
        <v>0</v>
      </c>
      <c r="E10" s="60">
        <v>0</v>
      </c>
      <c r="F10" s="5">
        <f t="shared" si="1"/>
        <v>102.31</v>
      </c>
      <c r="H10" s="5">
        <f t="shared" si="2"/>
        <v>14.75</v>
      </c>
      <c r="I10" s="5">
        <f>IF('SCH N'!E23&lt;=1000,ROUND('SCH N'!E23*(PRO_RS_ENERGY),2),ROUND(1000*(PRO_RS_ENERGY),2))</f>
        <v>97.93</v>
      </c>
      <c r="J10" s="60">
        <v>0</v>
      </c>
      <c r="K10" s="60">
        <v>0</v>
      </c>
      <c r="L10" s="5">
        <f t="shared" si="3"/>
        <v>112.68</v>
      </c>
    </row>
    <row r="11" spans="2:18" x14ac:dyDescent="0.25">
      <c r="B11" s="5">
        <f t="shared" si="0"/>
        <v>13</v>
      </c>
      <c r="C11" s="5">
        <f>IF('SCH N'!E24&lt;=1000,ROUND('SCH N'!E24*(+CUR_RS_ENERGY),2),ROUND(1000*(CUR_RS_ENERGY),2))</f>
        <v>111.64</v>
      </c>
      <c r="D11" s="60">
        <v>0</v>
      </c>
      <c r="E11" s="60">
        <v>0</v>
      </c>
      <c r="F11" s="5">
        <f t="shared" si="1"/>
        <v>124.64</v>
      </c>
      <c r="H11" s="5">
        <f t="shared" si="2"/>
        <v>14.75</v>
      </c>
      <c r="I11" s="5">
        <f>IF('SCH N'!E24&lt;=1000,ROUND('SCH N'!E24*(PRO_RS_ENERGY),2),ROUND(1000*(PRO_RS_ENERGY),2))</f>
        <v>122.41</v>
      </c>
      <c r="J11" s="60">
        <v>0</v>
      </c>
      <c r="K11" s="60">
        <v>0</v>
      </c>
      <c r="L11" s="5">
        <f t="shared" si="3"/>
        <v>137.16</v>
      </c>
    </row>
    <row r="12" spans="2:18" x14ac:dyDescent="0.25">
      <c r="B12" s="5">
        <f t="shared" si="0"/>
        <v>13</v>
      </c>
      <c r="C12" s="5">
        <f>IF('SCH N'!E25&lt;=1000,ROUND('SCH N'!E25*(+CUR_RS_ENERGY),2),ROUND(1000*(CUR_RS_ENERGY),2))</f>
        <v>111.64</v>
      </c>
      <c r="D12" s="60">
        <v>0</v>
      </c>
      <c r="E12" s="60">
        <v>0</v>
      </c>
      <c r="F12" s="5">
        <f t="shared" si="1"/>
        <v>124.64</v>
      </c>
      <c r="H12" s="5">
        <f t="shared" si="2"/>
        <v>14.75</v>
      </c>
      <c r="I12" s="5">
        <f>IF('SCH N'!E25&lt;=1000,ROUND('SCH N'!E25*(PRO_RS_ENERGY),2),ROUND(1000*(PRO_RS_ENERGY),2))</f>
        <v>122.41</v>
      </c>
      <c r="J12" s="60">
        <v>0</v>
      </c>
      <c r="K12" s="60">
        <v>0</v>
      </c>
      <c r="L12" s="5">
        <f t="shared" si="3"/>
        <v>137.16</v>
      </c>
    </row>
    <row r="13" spans="2:18" x14ac:dyDescent="0.25">
      <c r="B13" s="5">
        <f t="shared" si="0"/>
        <v>13</v>
      </c>
      <c r="C13" s="5">
        <f>IF('SCH N'!E26&lt;=1000,ROUND('SCH N'!E26*(+CUR_RS_ENERGY),2),ROUND(1000*(CUR_RS_ENERGY),2))</f>
        <v>111.64</v>
      </c>
      <c r="D13" s="60">
        <v>0</v>
      </c>
      <c r="E13" s="60">
        <v>0</v>
      </c>
      <c r="F13" s="5">
        <f t="shared" si="1"/>
        <v>124.64</v>
      </c>
      <c r="H13" s="5">
        <f t="shared" si="2"/>
        <v>14.75</v>
      </c>
      <c r="I13" s="5">
        <f>IF('SCH N'!E26&lt;=1000,ROUND('SCH N'!E26*(PRO_RS_ENERGY),2),ROUND(1000*(PRO_RS_ENERGY),2))</f>
        <v>122.41</v>
      </c>
      <c r="J13" s="60">
        <v>0</v>
      </c>
      <c r="K13" s="60">
        <v>0</v>
      </c>
      <c r="L13" s="5">
        <f t="shared" si="3"/>
        <v>137.16</v>
      </c>
    </row>
    <row r="14" spans="2:18" x14ac:dyDescent="0.25">
      <c r="F14" s="5"/>
      <c r="L14" s="5"/>
    </row>
    <row r="15" spans="2:18" s="15" customFormat="1" x14ac:dyDescent="0.25"/>
    <row r="16" spans="2:18" ht="15.6" x14ac:dyDescent="0.3">
      <c r="B16" s="12" t="s">
        <v>177</v>
      </c>
      <c r="C16" s="10"/>
      <c r="D16" s="10"/>
      <c r="E16" s="10"/>
      <c r="F16" s="10"/>
      <c r="G16" s="10"/>
      <c r="H16" s="10"/>
      <c r="I16" s="10"/>
      <c r="K16" s="12" t="s">
        <v>178</v>
      </c>
      <c r="L16" s="10"/>
      <c r="M16" s="10"/>
      <c r="N16" s="10"/>
      <c r="O16" s="10"/>
      <c r="P16" s="10"/>
      <c r="Q16" s="10"/>
      <c r="R16" s="10"/>
    </row>
    <row r="17" spans="1:18" x14ac:dyDescent="0.25">
      <c r="C17" s="2" t="s">
        <v>109</v>
      </c>
      <c r="D17" s="2" t="s">
        <v>109</v>
      </c>
      <c r="E17" s="2" t="s">
        <v>109</v>
      </c>
      <c r="F17" s="2" t="s">
        <v>108</v>
      </c>
      <c r="G17" s="2" t="s">
        <v>108</v>
      </c>
      <c r="H17" s="2" t="s">
        <v>108</v>
      </c>
      <c r="L17" s="2" t="s">
        <v>109</v>
      </c>
      <c r="M17" s="2" t="s">
        <v>109</v>
      </c>
      <c r="N17" s="2" t="s">
        <v>109</v>
      </c>
      <c r="O17" s="2" t="s">
        <v>108</v>
      </c>
      <c r="P17" s="2" t="s">
        <v>108</v>
      </c>
      <c r="Q17" s="2" t="s">
        <v>108</v>
      </c>
    </row>
    <row r="18" spans="1:18" x14ac:dyDescent="0.25">
      <c r="B18" s="2" t="s">
        <v>20</v>
      </c>
      <c r="C18" s="2" t="s">
        <v>113</v>
      </c>
      <c r="D18" s="2" t="s">
        <v>114</v>
      </c>
      <c r="E18" s="2" t="s">
        <v>115</v>
      </c>
      <c r="F18" s="2" t="s">
        <v>113</v>
      </c>
      <c r="G18" s="2" t="s">
        <v>114</v>
      </c>
      <c r="H18" s="2" t="s">
        <v>115</v>
      </c>
      <c r="I18" s="2" t="s">
        <v>11</v>
      </c>
      <c r="K18" s="2" t="s">
        <v>20</v>
      </c>
      <c r="L18" s="2" t="s">
        <v>113</v>
      </c>
      <c r="M18" s="2" t="s">
        <v>114</v>
      </c>
      <c r="N18" s="2" t="s">
        <v>115</v>
      </c>
      <c r="O18" s="2" t="s">
        <v>113</v>
      </c>
      <c r="P18" s="2" t="s">
        <v>114</v>
      </c>
      <c r="Q18" s="2" t="s">
        <v>115</v>
      </c>
      <c r="R18" s="2" t="s">
        <v>11</v>
      </c>
    </row>
    <row r="19" spans="1:18" x14ac:dyDescent="0.25">
      <c r="B19" s="9" t="s">
        <v>116</v>
      </c>
      <c r="C19" s="9" t="s">
        <v>117</v>
      </c>
      <c r="D19" s="9" t="s">
        <v>117</v>
      </c>
      <c r="E19" s="9" t="s">
        <v>117</v>
      </c>
      <c r="F19" s="9" t="s">
        <v>117</v>
      </c>
      <c r="G19" s="9" t="s">
        <v>117</v>
      </c>
      <c r="H19" s="9" t="s">
        <v>117</v>
      </c>
      <c r="I19" s="9" t="s">
        <v>107</v>
      </c>
      <c r="J19" s="8"/>
      <c r="K19" s="9" t="s">
        <v>116</v>
      </c>
      <c r="L19" s="9" t="s">
        <v>117</v>
      </c>
      <c r="M19" s="9" t="s">
        <v>117</v>
      </c>
      <c r="N19" s="9" t="s">
        <v>117</v>
      </c>
      <c r="O19" s="9" t="s">
        <v>117</v>
      </c>
      <c r="P19" s="9" t="s">
        <v>117</v>
      </c>
      <c r="Q19" s="9" t="s">
        <v>117</v>
      </c>
      <c r="R19" s="9" t="s">
        <v>107</v>
      </c>
    </row>
    <row r="20" spans="1:18" ht="15.6" x14ac:dyDescent="0.3">
      <c r="B20" s="61" t="s">
        <v>357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</row>
    <row r="21" spans="1:18" x14ac:dyDescent="0.25">
      <c r="A21" s="1" t="s">
        <v>91</v>
      </c>
      <c r="B21" s="5">
        <f>CUR_DS_CST_2</f>
        <v>30</v>
      </c>
      <c r="C21" s="5">
        <f>IF('SCH N'!$D53&lt;=15,ROUND('SCH N'!$D53*CUR_DS_DEM_1,2),ROUND(15*CUR_DS_DEM_1,2))</f>
        <v>0</v>
      </c>
      <c r="D21" s="5">
        <f>IF('SCH N'!$D53&lt;=15,0,ROUND(('SCH N'!$D53-15)*CUR_DS_DEM_3,2))</f>
        <v>0</v>
      </c>
      <c r="E21" s="13">
        <v>0</v>
      </c>
      <c r="F21" s="5">
        <f>IF('SCH N'!$E53&lt;=6000,ROUND('SCH N'!$E53*(CUR_DS_KWH_1),2),ROUND(6000*(CUR_DS_KWH_1),2))</f>
        <v>229.58</v>
      </c>
      <c r="G21" s="5">
        <f>IF('SCH N'!$E53&lt;=6000,0,IF(('SCH N'!$D53*300)&lt;=('SCH N'!$E53-6000),ROUND(('SCH N'!$D53*300)*(CUR_DS_KWH_2),2),ROUND(('SCH N'!$E53-6000)*(CUR_DS_KWH_2),2)))</f>
        <v>0</v>
      </c>
      <c r="H21" s="5">
        <f>IF('SCH N'!$E53&lt;=(6000+('SCH N'!$D53*300)),0,ROUND(('SCH N'!$E53-(6000+('SCH N'!$D53*300)))*(CUR_DS_KWH_3),2))</f>
        <v>0</v>
      </c>
      <c r="I21" s="5">
        <f t="shared" ref="I21:I41" si="4">SUM(B21:H21)</f>
        <v>259.58000000000004</v>
      </c>
      <c r="J21" s="5"/>
      <c r="K21" s="5">
        <f>PRO_DS_CST_2</f>
        <v>30</v>
      </c>
      <c r="L21" s="5">
        <f>IF('SCH N'!$D53&lt;=15,ROUND('SCH N'!$D53*PRO_DS_DEM_1,2),ROUND(15*PRO_DS_DEM_1,2))</f>
        <v>0</v>
      </c>
      <c r="M21" s="5">
        <f>IF('SCH N'!$D53&lt;=15,0,ROUND(('SCH N'!$D53-15)*PRO_DS_DEM_3,2))</f>
        <v>0</v>
      </c>
      <c r="N21" s="13">
        <v>0</v>
      </c>
      <c r="O21" s="5">
        <f>IF('SCH N'!$E53&lt;=6000,ROUND('SCH N'!$E53*(PRO_DS_KWH_1),2),ROUND(6000*(PRO_DS_KWH_1),2))</f>
        <v>246.05</v>
      </c>
      <c r="P21" s="5">
        <f>IF('SCH N'!$E53&lt;=6000,0,IF(('SCH N'!$D53*300)&lt;=('SCH N'!$E53-6000),ROUND(('SCH N'!$D53*300)*(PRO_DS_KWH_2),2),ROUND(('SCH N'!$E53-6000)*(PRO_DS_KWH_2),2)))</f>
        <v>0</v>
      </c>
      <c r="Q21" s="5">
        <f>IF('SCH N'!$E53&lt;=(6000+('SCH N'!$D53*300)),0,ROUND(('SCH N'!$E53-(6000+('SCH N'!$D53*300)))*(PRO_DS_KWH_3),2))</f>
        <v>0</v>
      </c>
      <c r="R21" s="5">
        <f t="shared" ref="R21:R41" si="5">SUM(K21:Q21)</f>
        <v>276.05</v>
      </c>
    </row>
    <row r="22" spans="1:18" x14ac:dyDescent="0.25">
      <c r="B22" s="5">
        <f t="shared" ref="B22:B41" si="6">CUR_DS_CST_2</f>
        <v>30</v>
      </c>
      <c r="C22" s="5">
        <f>IF('SCH N'!$D54&lt;=15,ROUND('SCH N'!$D54*CUR_DS_DEM_1,2),ROUND(15*CUR_DS_DEM_1,2))</f>
        <v>0</v>
      </c>
      <c r="D22" s="5">
        <f>IF('SCH N'!$D54&lt;=15,0,ROUND(('SCH N'!$D54-15)*CUR_DS_DEM_3,2))</f>
        <v>0</v>
      </c>
      <c r="E22" s="13">
        <v>0</v>
      </c>
      <c r="F22" s="5">
        <f>IF('SCH N'!$E54&lt;=6000,ROUND('SCH N'!$E54*(CUR_DS_KWH_1),2),ROUND(6000*(CUR_DS_KWH_1),2))</f>
        <v>459.15</v>
      </c>
      <c r="G22" s="5">
        <f>IF('SCH N'!$E54&lt;=6000,0,IF(('SCH N'!$D54*300)&lt;=('SCH N'!$E54-6000),ROUND(('SCH N'!$D54*300)*(CUR_DS_KWH_2),2),ROUND(('SCH N'!$E54-6000)*(CUR_DS_KWH_2),2)))</f>
        <v>0</v>
      </c>
      <c r="H22" s="5">
        <f>IF('SCH N'!$E54&lt;=(6000+('SCH N'!$D54*300)),0,ROUND(('SCH N'!$E54-(6000+('SCH N'!$D54*300)))*(CUR_DS_KWH_3),2))</f>
        <v>0</v>
      </c>
      <c r="I22" s="5">
        <f t="shared" si="4"/>
        <v>489.15</v>
      </c>
      <c r="J22" s="5"/>
      <c r="K22" s="5">
        <f t="shared" ref="K22:K41" si="7">PRO_DS_CST_2</f>
        <v>30</v>
      </c>
      <c r="L22" s="5">
        <f>IF('SCH N'!$D54&lt;=15,ROUND('SCH N'!$D54*PRO_DS_DEM_1,2),ROUND(15*PRO_DS_DEM_1,2))</f>
        <v>0</v>
      </c>
      <c r="M22" s="5">
        <f>IF('SCH N'!$D54&lt;=15,0,ROUND(('SCH N'!$D54-15)*PRO_DS_DEM_3,2))</f>
        <v>0</v>
      </c>
      <c r="N22" s="13">
        <v>0</v>
      </c>
      <c r="O22" s="5">
        <f>IF('SCH N'!$E54&lt;=6000,ROUND('SCH N'!$E54*(PRO_DS_KWH_1),2),ROUND(6000*(PRO_DS_KWH_1),2))</f>
        <v>492.11</v>
      </c>
      <c r="P22" s="5">
        <f>IF('SCH N'!$E54&lt;=6000,0,IF(('SCH N'!$D54*300)&lt;=('SCH N'!$E54-6000),ROUND(('SCH N'!$D54*300)*(PRO_DS_KWH_2),2),ROUND(('SCH N'!$E54-6000)*(PRO_DS_KWH_2),2)))</f>
        <v>0</v>
      </c>
      <c r="Q22" s="5">
        <f>IF('SCH N'!$E54&lt;=(6000+('SCH N'!$D54*300)),0,ROUND(('SCH N'!$E54-(6000+('SCH N'!$D54*300)))*(PRO_DS_KWH_3),2))</f>
        <v>0</v>
      </c>
      <c r="R22" s="5">
        <f t="shared" si="5"/>
        <v>522.11</v>
      </c>
    </row>
    <row r="23" spans="1:18" x14ac:dyDescent="0.25">
      <c r="B23" s="5">
        <f t="shared" si="6"/>
        <v>30</v>
      </c>
      <c r="C23" s="5">
        <f>IF('SCH N'!$D55&lt;=15,ROUND('SCH N'!$D55*CUR_DS_DEM_1,2),ROUND(15*CUR_DS_DEM_1,2))</f>
        <v>0</v>
      </c>
      <c r="D23" s="5">
        <f>IF('SCH N'!$D55&lt;=15,0,ROUND(('SCH N'!$D55-15)*CUR_DS_DEM_3,2))</f>
        <v>0</v>
      </c>
      <c r="E23" s="13">
        <v>0</v>
      </c>
      <c r="F23" s="5">
        <f>IF('SCH N'!$E55&lt;=6000,ROUND('SCH N'!$E55*(CUR_DS_KWH_1),2),ROUND(6000*(CUR_DS_KWH_1),2))</f>
        <v>688.73</v>
      </c>
      <c r="G23" s="5">
        <f>IF('SCH N'!$E55&lt;=6000,0,IF(('SCH N'!$D55*300)&lt;=('SCH N'!$E55-6000),ROUND(('SCH N'!$D55*300)*(CUR_DS_KWH_2),2),ROUND(('SCH N'!$E55-6000)*(CUR_DS_KWH_2),2)))</f>
        <v>0</v>
      </c>
      <c r="H23" s="5">
        <f>IF('SCH N'!$E55&lt;=(6000+('SCH N'!$D55*300)),0,ROUND(('SCH N'!$E55-(6000+('SCH N'!$D55*300)))*(CUR_DS_KWH_3),2))</f>
        <v>0</v>
      </c>
      <c r="I23" s="5">
        <f t="shared" si="4"/>
        <v>718.73</v>
      </c>
      <c r="J23" s="5"/>
      <c r="K23" s="5">
        <f t="shared" si="7"/>
        <v>30</v>
      </c>
      <c r="L23" s="5">
        <f>IF('SCH N'!$D55&lt;=15,ROUND('SCH N'!$D55*PRO_DS_DEM_1,2),ROUND(15*PRO_DS_DEM_1,2))</f>
        <v>0</v>
      </c>
      <c r="M23" s="5">
        <f>IF('SCH N'!$D55&lt;=15,0,ROUND(('SCH N'!$D55-15)*PRO_DS_DEM_3,2))</f>
        <v>0</v>
      </c>
      <c r="N23" s="13">
        <v>0</v>
      </c>
      <c r="O23" s="5">
        <f>IF('SCH N'!$E55&lt;=6000,ROUND('SCH N'!$E55*(PRO_DS_KWH_1),2),ROUND(6000*(PRO_DS_KWH_1),2))</f>
        <v>738.16</v>
      </c>
      <c r="P23" s="5">
        <f>IF('SCH N'!$E55&lt;=6000,0,IF(('SCH N'!$D55*300)&lt;=('SCH N'!$E55-6000),ROUND(('SCH N'!$D55*300)*(PRO_DS_KWH_2),2),ROUND(('SCH N'!$E55-6000)*(PRO_DS_KWH_2),2)))</f>
        <v>0</v>
      </c>
      <c r="Q23" s="5">
        <f>IF('SCH N'!$E55&lt;=(6000+('SCH N'!$D55*300)),0,ROUND(('SCH N'!$E55-(6000+('SCH N'!$D55*300)))*(PRO_DS_KWH_3),2))</f>
        <v>0</v>
      </c>
      <c r="R23" s="5">
        <f t="shared" si="5"/>
        <v>768.16</v>
      </c>
    </row>
    <row r="24" spans="1:18" x14ac:dyDescent="0.25">
      <c r="B24" s="5">
        <f t="shared" si="6"/>
        <v>30</v>
      </c>
      <c r="C24" s="5">
        <f>IF('SCH N'!$D56&lt;=15,ROUND('SCH N'!$D56*CUR_DS_DEM_1,2),ROUND(15*CUR_DS_DEM_1,2))</f>
        <v>0</v>
      </c>
      <c r="D24" s="5">
        <f>IF('SCH N'!$D56&lt;=15,0,ROUND(('SCH N'!$D56-15)*CUR_DS_DEM_3,2))</f>
        <v>160.19999999999999</v>
      </c>
      <c r="E24" s="13">
        <v>0</v>
      </c>
      <c r="F24" s="5">
        <f>IF('SCH N'!$E56&lt;=6000,ROUND('SCH N'!$E56*(CUR_DS_KWH_1),2),ROUND(6000*(CUR_DS_KWH_1),2))</f>
        <v>688.73</v>
      </c>
      <c r="G24" s="5">
        <f>IF('SCH N'!$E56&lt;=6000,0,IF(('SCH N'!$D56*300)&lt;=('SCH N'!$E56-6000),ROUND(('SCH N'!$D56*300)*(CUR_DS_KWH_2),2),ROUND(('SCH N'!$E56-6000)*(CUR_DS_KWH_2),2)))</f>
        <v>0</v>
      </c>
      <c r="H24" s="5">
        <f>IF('SCH N'!$E56&lt;=(6000+('SCH N'!$D56*300)),0,ROUND(('SCH N'!$E56-(6000+('SCH N'!$D56*300)))*(CUR_DS_KWH_3),2))</f>
        <v>0</v>
      </c>
      <c r="I24" s="5">
        <f t="shared" si="4"/>
        <v>878.93000000000006</v>
      </c>
      <c r="J24" s="5"/>
      <c r="K24" s="5">
        <f t="shared" si="7"/>
        <v>30</v>
      </c>
      <c r="L24" s="5">
        <f>IF('SCH N'!$D56&lt;=15,ROUND('SCH N'!$D56*PRO_DS_DEM_1,2),ROUND(15*PRO_DS_DEM_1,2))</f>
        <v>0</v>
      </c>
      <c r="M24" s="5">
        <f>IF('SCH N'!$D56&lt;=15,0,ROUND(('SCH N'!$D56-15)*PRO_DS_DEM_3,2))</f>
        <v>194.55</v>
      </c>
      <c r="N24" s="13">
        <v>0</v>
      </c>
      <c r="O24" s="5">
        <f>IF('SCH N'!$E56&lt;=6000,ROUND('SCH N'!$E56*(PRO_DS_KWH_1),2),ROUND(6000*(PRO_DS_KWH_1),2))</f>
        <v>738.16</v>
      </c>
      <c r="P24" s="5">
        <f>IF('SCH N'!$E56&lt;=6000,0,IF(('SCH N'!$D56*300)&lt;=('SCH N'!$E56-6000),ROUND(('SCH N'!$D56*300)*(PRO_DS_KWH_2),2),ROUND(('SCH N'!$E56-6000)*(PRO_DS_KWH_2),2)))</f>
        <v>0</v>
      </c>
      <c r="Q24" s="5">
        <f>IF('SCH N'!$E56&lt;=(6000+('SCH N'!$D56*300)),0,ROUND(('SCH N'!$E56-(6000+('SCH N'!$D56*300)))*(PRO_DS_KWH_3),2))</f>
        <v>0</v>
      </c>
      <c r="R24" s="5">
        <f t="shared" si="5"/>
        <v>962.71</v>
      </c>
    </row>
    <row r="25" spans="1:18" x14ac:dyDescent="0.25">
      <c r="B25" s="5">
        <f t="shared" si="6"/>
        <v>30</v>
      </c>
      <c r="C25" s="5">
        <f>IF('SCH N'!$D57&lt;=15,ROUND('SCH N'!$D57*CUR_DS_DEM_1,2),ROUND(15*CUR_DS_DEM_1,2))</f>
        <v>0</v>
      </c>
      <c r="D25" s="5">
        <f>IF('SCH N'!$D57&lt;=15,0,ROUND(('SCH N'!$D57-15)*CUR_DS_DEM_3,2))</f>
        <v>160.19999999999999</v>
      </c>
      <c r="E25" s="13">
        <v>0</v>
      </c>
      <c r="F25" s="5">
        <f>IF('SCH N'!$E57&lt;=6000,ROUND('SCH N'!$E57*(CUR_DS_KWH_1),2),ROUND(6000*(CUR_DS_KWH_1),2))</f>
        <v>688.73</v>
      </c>
      <c r="G25" s="5">
        <f>IF('SCH N'!$E57&lt;=6000,0,IF(('SCH N'!$D57*300)&lt;=('SCH N'!$E57-6000),ROUND(('SCH N'!$D57*300)*(CUR_DS_KWH_2),2),ROUND(('SCH N'!$E57-6000)*(CUR_DS_KWH_2),2)))</f>
        <v>223.86</v>
      </c>
      <c r="H25" s="5">
        <f>IF('SCH N'!$E57&lt;=(6000+('SCH N'!$D57*300)),0,ROUND(('SCH N'!$E57-(6000+('SCH N'!$D57*300)))*(CUR_DS_KWH_3),2))</f>
        <v>0</v>
      </c>
      <c r="I25" s="5">
        <f>SUM(B25:H25)</f>
        <v>1102.79</v>
      </c>
      <c r="J25" s="5"/>
      <c r="K25" s="5">
        <f t="shared" si="7"/>
        <v>30</v>
      </c>
      <c r="L25" s="5">
        <f>IF('SCH N'!$D57&lt;=15,ROUND('SCH N'!$D57*PRO_DS_DEM_1,2),ROUND(15*PRO_DS_DEM_1,2))</f>
        <v>0</v>
      </c>
      <c r="M25" s="5">
        <f>IF('SCH N'!$D57&lt;=15,0,ROUND(('SCH N'!$D57-15)*PRO_DS_DEM_3,2))</f>
        <v>194.55</v>
      </c>
      <c r="N25" s="13">
        <v>0</v>
      </c>
      <c r="O25" s="5">
        <f>IF('SCH N'!$E57&lt;=6000,ROUND('SCH N'!$E57*(PRO_DS_KWH_1),2),ROUND(6000*(PRO_DS_KWH_1),2))</f>
        <v>738.16</v>
      </c>
      <c r="P25" s="5">
        <f>IF('SCH N'!$E57&lt;=6000,0,IF(('SCH N'!$D57*300)&lt;=('SCH N'!$E57-6000),ROUND(('SCH N'!$D57*300)*(PRO_DS_KWH_2),2),ROUND(('SCH N'!$E57-6000)*(PRO_DS_KWH_2),2)))</f>
        <v>248.56</v>
      </c>
      <c r="Q25" s="5">
        <f>IF('SCH N'!$E57&lt;=(6000+('SCH N'!$D57*300)),0,ROUND(('SCH N'!$E57-(6000+('SCH N'!$D57*300)))*(PRO_DS_KWH_3),2))</f>
        <v>0</v>
      </c>
      <c r="R25" s="5">
        <f t="shared" si="5"/>
        <v>1211.27</v>
      </c>
    </row>
    <row r="26" spans="1:18" x14ac:dyDescent="0.25">
      <c r="B26" s="5">
        <f t="shared" si="6"/>
        <v>30</v>
      </c>
      <c r="C26" s="5">
        <f>IF('SCH N'!$D58&lt;=15,ROUND('SCH N'!$D58*CUR_DS_DEM_1,2),ROUND(15*CUR_DS_DEM_1,2))</f>
        <v>0</v>
      </c>
      <c r="D26" s="5">
        <f>IF('SCH N'!$D58&lt;=15,0,ROUND(('SCH N'!$D58-15)*CUR_DS_DEM_3,2))</f>
        <v>160.19999999999999</v>
      </c>
      <c r="E26" s="13">
        <v>0</v>
      </c>
      <c r="F26" s="5">
        <f>IF('SCH N'!$E58&lt;=6000,ROUND('SCH N'!$E58*(CUR_DS_KWH_1),2),ROUND(6000*(CUR_DS_KWH_1),2))</f>
        <v>688.73</v>
      </c>
      <c r="G26" s="5">
        <f>IF('SCH N'!$E58&lt;=6000,0,IF(('SCH N'!$D58*300)&lt;=('SCH N'!$E58-6000),ROUND(('SCH N'!$D58*300)*(CUR_DS_KWH_2),2),ROUND(('SCH N'!$E58-6000)*(CUR_DS_KWH_2),2)))</f>
        <v>447.71</v>
      </c>
      <c r="H26" s="5">
        <f>IF('SCH N'!$E58&lt;=(6000+('SCH N'!$D58*300)),0,ROUND(('SCH N'!$E58-(6000+('SCH N'!$D58*300)))*(CUR_DS_KWH_3),2))</f>
        <v>0</v>
      </c>
      <c r="I26" s="5">
        <f t="shared" si="4"/>
        <v>1326.64</v>
      </c>
      <c r="J26" s="5"/>
      <c r="K26" s="5">
        <f t="shared" si="7"/>
        <v>30</v>
      </c>
      <c r="L26" s="5">
        <f>IF('SCH N'!$D58&lt;=15,ROUND('SCH N'!$D58*PRO_DS_DEM_1,2),ROUND(15*PRO_DS_DEM_1,2))</f>
        <v>0</v>
      </c>
      <c r="M26" s="5">
        <f>IF('SCH N'!$D58&lt;=15,0,ROUND(('SCH N'!$D58-15)*PRO_DS_DEM_3,2))</f>
        <v>194.55</v>
      </c>
      <c r="N26" s="13">
        <v>0</v>
      </c>
      <c r="O26" s="5">
        <f>IF('SCH N'!$E58&lt;=6000,ROUND('SCH N'!$E58*(PRO_DS_KWH_1),2),ROUND(6000*(PRO_DS_KWH_1),2))</f>
        <v>738.16</v>
      </c>
      <c r="P26" s="5">
        <f>IF('SCH N'!$E58&lt;=6000,0,IF(('SCH N'!$D58*300)&lt;=('SCH N'!$E58-6000),ROUND(('SCH N'!$D58*300)*(PRO_DS_KWH_2),2),ROUND(('SCH N'!$E58-6000)*(PRO_DS_KWH_2),2)))</f>
        <v>497.12</v>
      </c>
      <c r="Q26" s="5">
        <f>IF('SCH N'!$E58&lt;=(6000+('SCH N'!$D58*300)),0,ROUND(('SCH N'!$E58-(6000+('SCH N'!$D58*300)))*(PRO_DS_KWH_3),2))</f>
        <v>0</v>
      </c>
      <c r="R26" s="5">
        <f t="shared" si="5"/>
        <v>1459.83</v>
      </c>
    </row>
    <row r="27" spans="1:18" x14ac:dyDescent="0.25">
      <c r="B27" s="5">
        <f t="shared" si="6"/>
        <v>30</v>
      </c>
      <c r="C27" s="5">
        <f>IF('SCH N'!$D59&lt;=15,ROUND('SCH N'!$D59*CUR_DS_DEM_1,2),ROUND(15*CUR_DS_DEM_1,2))</f>
        <v>0</v>
      </c>
      <c r="D27" s="5">
        <f>IF('SCH N'!$D59&lt;=15,0,ROUND(('SCH N'!$D59-15)*CUR_DS_DEM_3,2))</f>
        <v>373.8</v>
      </c>
      <c r="E27" s="13">
        <v>0</v>
      </c>
      <c r="F27" s="5">
        <f>IF('SCH N'!$E59&lt;=6000,ROUND('SCH N'!$E59*(CUR_DS_KWH_1),2),ROUND(6000*(CUR_DS_KWH_1),2))</f>
        <v>688.73</v>
      </c>
      <c r="G27" s="5">
        <f>IF('SCH N'!$E59&lt;=6000,0,IF(('SCH N'!$D59*300)&lt;=('SCH N'!$E59-6000),ROUND(('SCH N'!$D59*300)*(CUR_DS_KWH_2),2),ROUND(('SCH N'!$E59-6000)*(CUR_DS_KWH_2),2)))</f>
        <v>298.48</v>
      </c>
      <c r="H27" s="5">
        <f>IF('SCH N'!$E59&lt;=(6000+('SCH N'!$D59*300)),0,ROUND(('SCH N'!$E59-(6000+('SCH N'!$D59*300)))*(CUR_DS_KWH_3),2))</f>
        <v>0</v>
      </c>
      <c r="I27" s="5">
        <f t="shared" si="4"/>
        <v>1391.01</v>
      </c>
      <c r="J27" s="5"/>
      <c r="K27" s="5">
        <f t="shared" si="7"/>
        <v>30</v>
      </c>
      <c r="L27" s="5">
        <f>IF('SCH N'!$D59&lt;=15,ROUND('SCH N'!$D59*PRO_DS_DEM_1,2),ROUND(15*PRO_DS_DEM_1,2))</f>
        <v>0</v>
      </c>
      <c r="M27" s="5">
        <f>IF('SCH N'!$D59&lt;=15,0,ROUND(('SCH N'!$D59-15)*PRO_DS_DEM_3,2))</f>
        <v>453.95</v>
      </c>
      <c r="N27" s="13">
        <v>0</v>
      </c>
      <c r="O27" s="5">
        <f>IF('SCH N'!$E59&lt;=6000,ROUND('SCH N'!$E59*(PRO_DS_KWH_1),2),ROUND(6000*(PRO_DS_KWH_1),2))</f>
        <v>738.16</v>
      </c>
      <c r="P27" s="5">
        <f>IF('SCH N'!$E59&lt;=6000,0,IF(('SCH N'!$D59*300)&lt;=('SCH N'!$E59-6000),ROUND(('SCH N'!$D59*300)*(PRO_DS_KWH_2),2),ROUND(('SCH N'!$E59-6000)*(PRO_DS_KWH_2),2)))</f>
        <v>331.42</v>
      </c>
      <c r="Q27" s="5">
        <f>IF('SCH N'!$E59&lt;=(6000+('SCH N'!$D59*300)),0,ROUND(('SCH N'!$E59-(6000+('SCH N'!$D59*300)))*(PRO_DS_KWH_3),2))</f>
        <v>0</v>
      </c>
      <c r="R27" s="5">
        <f t="shared" si="5"/>
        <v>1553.53</v>
      </c>
    </row>
    <row r="28" spans="1:18" x14ac:dyDescent="0.25">
      <c r="B28" s="5">
        <f t="shared" si="6"/>
        <v>30</v>
      </c>
      <c r="C28" s="5">
        <f>IF('SCH N'!$D60&lt;=15,ROUND('SCH N'!$D60*CUR_DS_DEM_1,2),ROUND(15*CUR_DS_DEM_1,2))</f>
        <v>0</v>
      </c>
      <c r="D28" s="5">
        <f>IF('SCH N'!$D60&lt;=15,0,ROUND(('SCH N'!$D60-15)*CUR_DS_DEM_3,2))</f>
        <v>373.8</v>
      </c>
      <c r="E28" s="13">
        <v>0</v>
      </c>
      <c r="F28" s="5">
        <f>IF('SCH N'!$E60&lt;=6000,ROUND('SCH N'!$E60*(CUR_DS_KWH_1),2),ROUND(6000*(CUR_DS_KWH_1),2))</f>
        <v>688.73</v>
      </c>
      <c r="G28" s="5">
        <f>IF('SCH N'!$E60&lt;=6000,0,IF(('SCH N'!$D60*300)&lt;=('SCH N'!$E60-6000),ROUND(('SCH N'!$D60*300)*(CUR_DS_KWH_2),2),ROUND(('SCH N'!$E60-6000)*(CUR_DS_KWH_2),2)))</f>
        <v>671.57</v>
      </c>
      <c r="H28" s="5">
        <f>IF('SCH N'!$E60&lt;=(6000+('SCH N'!$D60*300)),0,ROUND(('SCH N'!$E60-(6000+('SCH N'!$D60*300)))*(CUR_DS_KWH_3),2))</f>
        <v>0</v>
      </c>
      <c r="I28" s="5">
        <f t="shared" si="4"/>
        <v>1764.1</v>
      </c>
      <c r="J28" s="5"/>
      <c r="K28" s="5">
        <f t="shared" si="7"/>
        <v>30</v>
      </c>
      <c r="L28" s="5">
        <f>IF('SCH N'!$D60&lt;=15,ROUND('SCH N'!$D60*PRO_DS_DEM_1,2),ROUND(15*PRO_DS_DEM_1,2))</f>
        <v>0</v>
      </c>
      <c r="M28" s="5">
        <f>IF('SCH N'!$D60&lt;=15,0,ROUND(('SCH N'!$D60-15)*PRO_DS_DEM_3,2))</f>
        <v>453.95</v>
      </c>
      <c r="N28" s="13">
        <v>0</v>
      </c>
      <c r="O28" s="5">
        <f>IF('SCH N'!$E60&lt;=6000,ROUND('SCH N'!$E60*(PRO_DS_KWH_1),2),ROUND(6000*(PRO_DS_KWH_1),2))</f>
        <v>738.16</v>
      </c>
      <c r="P28" s="5">
        <f>IF('SCH N'!$E60&lt;=6000,0,IF(('SCH N'!$D60*300)&lt;=('SCH N'!$E60-6000),ROUND(('SCH N'!$D60*300)*(PRO_DS_KWH_2),2),ROUND(('SCH N'!$E60-6000)*(PRO_DS_KWH_2),2)))</f>
        <v>745.69</v>
      </c>
      <c r="Q28" s="5">
        <f>IF('SCH N'!$E60&lt;=(6000+('SCH N'!$D60*300)),0,ROUND(('SCH N'!$E60-(6000+('SCH N'!$D60*300)))*(PRO_DS_KWH_3),2))</f>
        <v>0</v>
      </c>
      <c r="R28" s="5">
        <f t="shared" si="5"/>
        <v>1967.8</v>
      </c>
    </row>
    <row r="29" spans="1:18" x14ac:dyDescent="0.25">
      <c r="B29" s="5">
        <f t="shared" si="6"/>
        <v>30</v>
      </c>
      <c r="C29" s="5">
        <f>IF('SCH N'!$D61&lt;=15,ROUND('SCH N'!$D61*CUR_DS_DEM_1,2),ROUND(15*CUR_DS_DEM_1,2))</f>
        <v>0</v>
      </c>
      <c r="D29" s="5">
        <f>IF('SCH N'!$D61&lt;=15,0,ROUND(('SCH N'!$D61-15)*CUR_DS_DEM_3,2))</f>
        <v>373.8</v>
      </c>
      <c r="E29" s="13">
        <v>0</v>
      </c>
      <c r="F29" s="5">
        <f>IF('SCH N'!$E61&lt;=6000,ROUND('SCH N'!$E61*(CUR_DS_KWH_1),2),ROUND(6000*(CUR_DS_KWH_1),2))</f>
        <v>688.73</v>
      </c>
      <c r="G29" s="5">
        <f>IF('SCH N'!$E61&lt;=6000,0,IF(('SCH N'!$D61*300)&lt;=('SCH N'!$E61-6000),ROUND(('SCH N'!$D61*300)*(CUR_DS_KWH_2),2),ROUND(('SCH N'!$E61-6000)*(CUR_DS_KWH_2),2)))</f>
        <v>1044.67</v>
      </c>
      <c r="H29" s="5">
        <f>IF('SCH N'!$E61&lt;=(6000+('SCH N'!$D61*300)),0,ROUND(('SCH N'!$E61-(6000+('SCH N'!$D61*300)))*(CUR_DS_KWH_3),2))</f>
        <v>0</v>
      </c>
      <c r="I29" s="5">
        <f t="shared" si="4"/>
        <v>2137.1999999999998</v>
      </c>
      <c r="J29" s="5"/>
      <c r="K29" s="5">
        <f t="shared" si="7"/>
        <v>30</v>
      </c>
      <c r="L29" s="5">
        <f>IF('SCH N'!$D61&lt;=15,ROUND('SCH N'!$D61*PRO_DS_DEM_1,2),ROUND(15*PRO_DS_DEM_1,2))</f>
        <v>0</v>
      </c>
      <c r="M29" s="5">
        <f>IF('SCH N'!$D61&lt;=15,0,ROUND(('SCH N'!$D61-15)*PRO_DS_DEM_3,2))</f>
        <v>453.95</v>
      </c>
      <c r="N29" s="13">
        <v>0</v>
      </c>
      <c r="O29" s="5">
        <f>IF('SCH N'!$E61&lt;=6000,ROUND('SCH N'!$E61*(PRO_DS_KWH_1),2),ROUND(6000*(PRO_DS_KWH_1),2))</f>
        <v>738.16</v>
      </c>
      <c r="P29" s="5">
        <f>IF('SCH N'!$E61&lt;=6000,0,IF(('SCH N'!$D61*300)&lt;=('SCH N'!$E61-6000),ROUND(('SCH N'!$D61*300)*(PRO_DS_KWH_2),2),ROUND(('SCH N'!$E61-6000)*(PRO_DS_KWH_2),2)))</f>
        <v>1159.96</v>
      </c>
      <c r="Q29" s="5">
        <f>IF('SCH N'!$E61&lt;=(6000+('SCH N'!$D61*300)),0,ROUND(('SCH N'!$E61-(6000+('SCH N'!$D61*300)))*(PRO_DS_KWH_3),2))</f>
        <v>0</v>
      </c>
      <c r="R29" s="5">
        <f t="shared" si="5"/>
        <v>2382.0699999999997</v>
      </c>
    </row>
    <row r="30" spans="1:18" x14ac:dyDescent="0.25">
      <c r="B30" s="5">
        <f t="shared" si="6"/>
        <v>30</v>
      </c>
      <c r="C30" s="5">
        <f>IF('SCH N'!$D62&lt;=15,ROUND('SCH N'!$D62*CUR_DS_DEM_1,2),ROUND(15*CUR_DS_DEM_1,2))</f>
        <v>0</v>
      </c>
      <c r="D30" s="5">
        <f>IF('SCH N'!$D62&lt;=15,0,ROUND(('SCH N'!$D62-15)*CUR_DS_DEM_3,2))</f>
        <v>640.79999999999995</v>
      </c>
      <c r="E30" s="13">
        <v>0</v>
      </c>
      <c r="F30" s="5">
        <f>IF('SCH N'!$E62&lt;=6000,ROUND('SCH N'!$E62*(CUR_DS_KWH_1),2),ROUND(6000*(CUR_DS_KWH_1),2))</f>
        <v>688.73</v>
      </c>
      <c r="G30" s="5">
        <f>IF('SCH N'!$E62&lt;=6000,0,IF(('SCH N'!$D62*300)&lt;=('SCH N'!$E62-6000),ROUND(('SCH N'!$D62*300)*(CUR_DS_KWH_2),2),ROUND(('SCH N'!$E62-6000)*(CUR_DS_KWH_2),2)))</f>
        <v>671.57</v>
      </c>
      <c r="H30" s="5">
        <f>IF('SCH N'!$E62&lt;=(6000+('SCH N'!$D62*300)),0,ROUND(('SCH N'!$E62-(6000+('SCH N'!$D62*300)))*(CUR_DS_KWH_3),2))</f>
        <v>0</v>
      </c>
      <c r="I30" s="5">
        <f t="shared" si="4"/>
        <v>2031.1</v>
      </c>
      <c r="J30" s="5"/>
      <c r="K30" s="5">
        <f t="shared" si="7"/>
        <v>30</v>
      </c>
      <c r="L30" s="5">
        <f>IF('SCH N'!$D62&lt;=15,ROUND('SCH N'!$D62*PRO_DS_DEM_1,2),ROUND(15*PRO_DS_DEM_1,2))</f>
        <v>0</v>
      </c>
      <c r="M30" s="5">
        <f>IF('SCH N'!$D62&lt;=15,0,ROUND(('SCH N'!$D62-15)*PRO_DS_DEM_3,2))</f>
        <v>778.2</v>
      </c>
      <c r="N30" s="13">
        <v>0</v>
      </c>
      <c r="O30" s="5">
        <f>IF('SCH N'!$E62&lt;=6000,ROUND('SCH N'!$E62*(PRO_DS_KWH_1),2),ROUND(6000*(PRO_DS_KWH_1),2))</f>
        <v>738.16</v>
      </c>
      <c r="P30" s="5">
        <f>IF('SCH N'!$E62&lt;=6000,0,IF(('SCH N'!$D62*300)&lt;=('SCH N'!$E62-6000),ROUND(('SCH N'!$D62*300)*(PRO_DS_KWH_2),2),ROUND(('SCH N'!$E62-6000)*(PRO_DS_KWH_2),2)))</f>
        <v>745.69</v>
      </c>
      <c r="Q30" s="5">
        <f>IF('SCH N'!$E62&lt;=(6000+('SCH N'!$D62*300)),0,ROUND(('SCH N'!$E62-(6000+('SCH N'!$D62*300)))*(PRO_DS_KWH_3),2))</f>
        <v>0</v>
      </c>
      <c r="R30" s="5">
        <f t="shared" si="5"/>
        <v>2292.0500000000002</v>
      </c>
    </row>
    <row r="31" spans="1:18" x14ac:dyDescent="0.25">
      <c r="B31" s="5">
        <f t="shared" si="6"/>
        <v>30</v>
      </c>
      <c r="C31" s="5">
        <f>IF('SCH N'!$D63&lt;=15,ROUND('SCH N'!$D63*CUR_DS_DEM_1,2),ROUND(15*CUR_DS_DEM_1,2))</f>
        <v>0</v>
      </c>
      <c r="D31" s="5">
        <f>IF('SCH N'!$D63&lt;=15,0,ROUND(('SCH N'!$D63-15)*CUR_DS_DEM_3,2))</f>
        <v>640.79999999999995</v>
      </c>
      <c r="E31" s="13">
        <v>0</v>
      </c>
      <c r="F31" s="5">
        <f>IF('SCH N'!$E63&lt;=6000,ROUND('SCH N'!$E63*(CUR_DS_KWH_1),2),ROUND(6000*(CUR_DS_KWH_1),2))</f>
        <v>688.73</v>
      </c>
      <c r="G31" s="5">
        <f>IF('SCH N'!$E63&lt;=6000,0,IF(('SCH N'!$D63*300)&lt;=('SCH N'!$E63-6000),ROUND(('SCH N'!$D63*300)*(CUR_DS_KWH_2),2),ROUND(('SCH N'!$E63-6000)*(CUR_DS_KWH_2),2)))</f>
        <v>1044.67</v>
      </c>
      <c r="H31" s="5">
        <f>IF('SCH N'!$E63&lt;=(6000+('SCH N'!$D63*300)),0,ROUND(('SCH N'!$E63-(6000+('SCH N'!$D63*300)))*(CUR_DS_KWH_3),2))</f>
        <v>0</v>
      </c>
      <c r="I31" s="5">
        <f t="shared" si="4"/>
        <v>2404.1999999999998</v>
      </c>
      <c r="J31" s="5"/>
      <c r="K31" s="5">
        <f t="shared" si="7"/>
        <v>30</v>
      </c>
      <c r="L31" s="5">
        <f>IF('SCH N'!$D63&lt;=15,ROUND('SCH N'!$D63*PRO_DS_DEM_1,2),ROUND(15*PRO_DS_DEM_1,2))</f>
        <v>0</v>
      </c>
      <c r="M31" s="5">
        <f>IF('SCH N'!$D63&lt;=15,0,ROUND(('SCH N'!$D63-15)*PRO_DS_DEM_3,2))</f>
        <v>778.2</v>
      </c>
      <c r="N31" s="13">
        <v>0</v>
      </c>
      <c r="O31" s="5">
        <f>IF('SCH N'!$E63&lt;=6000,ROUND('SCH N'!$E63*(PRO_DS_KWH_1),2),ROUND(6000*(PRO_DS_KWH_1),2))</f>
        <v>738.16</v>
      </c>
      <c r="P31" s="5">
        <f>IF('SCH N'!$E63&lt;=6000,0,IF(('SCH N'!$D63*300)&lt;=('SCH N'!$E63-6000),ROUND(('SCH N'!$D63*300)*(PRO_DS_KWH_2),2),ROUND(('SCH N'!$E63-6000)*(PRO_DS_KWH_2),2)))</f>
        <v>1159.96</v>
      </c>
      <c r="Q31" s="5">
        <f>IF('SCH N'!$E63&lt;=(6000+('SCH N'!$D63*300)),0,ROUND(('SCH N'!$E63-(6000+('SCH N'!$D63*300)))*(PRO_DS_KWH_3),2))</f>
        <v>0</v>
      </c>
      <c r="R31" s="5">
        <f t="shared" si="5"/>
        <v>2706.32</v>
      </c>
    </row>
    <row r="32" spans="1:18" x14ac:dyDescent="0.25">
      <c r="B32" s="5">
        <f t="shared" si="6"/>
        <v>30</v>
      </c>
      <c r="C32" s="5">
        <f>IF('SCH N'!$D64&lt;=15,ROUND('SCH N'!$D64*CUR_DS_DEM_1,2),ROUND(15*CUR_DS_DEM_1,2))</f>
        <v>0</v>
      </c>
      <c r="D32" s="5">
        <f>IF('SCH N'!$D64&lt;=15,0,ROUND(('SCH N'!$D64-15)*CUR_DS_DEM_3,2))</f>
        <v>640.79999999999995</v>
      </c>
      <c r="E32" s="13">
        <v>0</v>
      </c>
      <c r="F32" s="5">
        <f>IF('SCH N'!$E64&lt;=6000,ROUND('SCH N'!$E64*(CUR_DS_KWH_1),2),ROUND(6000*(CUR_DS_KWH_1),2))</f>
        <v>688.73</v>
      </c>
      <c r="G32" s="5">
        <f>IF('SCH N'!$E64&lt;=6000,0,IF(('SCH N'!$D64*300)&lt;=('SCH N'!$E64-6000),ROUND(('SCH N'!$D64*300)*(CUR_DS_KWH_2),2),ROUND(('SCH N'!$E64-6000)*(CUR_DS_KWH_2),2)))</f>
        <v>1678.93</v>
      </c>
      <c r="H32" s="5">
        <f>IF('SCH N'!$E64&lt;=(6000+('SCH N'!$D64*300)),0,ROUND(('SCH N'!$E64-(6000+('SCH N'!$D64*300)))*(CUR_DS_KWH_3),2))</f>
        <v>94.58</v>
      </c>
      <c r="I32" s="5">
        <f t="shared" si="4"/>
        <v>3133.04</v>
      </c>
      <c r="J32" s="5"/>
      <c r="K32" s="5">
        <f t="shared" si="7"/>
        <v>30</v>
      </c>
      <c r="L32" s="5">
        <f>IF('SCH N'!$D64&lt;=15,ROUND('SCH N'!$D64*PRO_DS_DEM_1,2),ROUND(15*PRO_DS_DEM_1,2))</f>
        <v>0</v>
      </c>
      <c r="M32" s="5">
        <f>IF('SCH N'!$D64&lt;=15,0,ROUND(('SCH N'!$D64-15)*PRO_DS_DEM_3,2))</f>
        <v>778.2</v>
      </c>
      <c r="N32" s="13">
        <v>0</v>
      </c>
      <c r="O32" s="5">
        <f>IF('SCH N'!$E64&lt;=6000,ROUND('SCH N'!$E64*(PRO_DS_KWH_1),2),ROUND(6000*(PRO_DS_KWH_1),2))</f>
        <v>738.16</v>
      </c>
      <c r="P32" s="5">
        <f>IF('SCH N'!$E64&lt;=6000,0,IF(('SCH N'!$D64*300)&lt;=('SCH N'!$E64-6000),ROUND(('SCH N'!$D64*300)*(PRO_DS_KWH_2),2),ROUND(('SCH N'!$E64-6000)*(PRO_DS_KWH_2),2)))</f>
        <v>1864.22</v>
      </c>
      <c r="Q32" s="5">
        <f>IF('SCH N'!$E64&lt;=(6000+('SCH N'!$D64*300)),0,ROUND(('SCH N'!$E64-(6000+('SCH N'!$D64*300)))*(PRO_DS_KWH_3),2))</f>
        <v>91.33</v>
      </c>
      <c r="R32" s="5">
        <f t="shared" si="5"/>
        <v>3501.91</v>
      </c>
    </row>
    <row r="33" spans="1:18" x14ac:dyDescent="0.25">
      <c r="B33" s="5">
        <f t="shared" si="6"/>
        <v>30</v>
      </c>
      <c r="C33" s="5">
        <f>IF('SCH N'!$D65&lt;=15,ROUND('SCH N'!$D65*CUR_DS_DEM_1,2),ROUND(15*CUR_DS_DEM_1,2))</f>
        <v>0</v>
      </c>
      <c r="D33" s="5">
        <f>IF('SCH N'!$D65&lt;=15,0,ROUND(('SCH N'!$D65-15)*CUR_DS_DEM_3,2))</f>
        <v>907.8</v>
      </c>
      <c r="E33" s="13">
        <v>0</v>
      </c>
      <c r="F33" s="5">
        <f>IF('SCH N'!$E65&lt;=6000,ROUND('SCH N'!$E65*(CUR_DS_KWH_1),2),ROUND(6000*(CUR_DS_KWH_1),2))</f>
        <v>688.73</v>
      </c>
      <c r="G33" s="5">
        <f>IF('SCH N'!$E65&lt;=6000,0,IF(('SCH N'!$D65*300)&lt;=('SCH N'!$E65-6000),ROUND(('SCH N'!$D65*300)*(CUR_DS_KWH_2),2),ROUND(('SCH N'!$E65-6000)*(CUR_DS_KWH_2),2)))</f>
        <v>1044.67</v>
      </c>
      <c r="H33" s="5">
        <f>IF('SCH N'!$E65&lt;=(6000+('SCH N'!$D65*300)),0,ROUND(('SCH N'!$E65-(6000+('SCH N'!$D65*300)))*(CUR_DS_KWH_3),2))</f>
        <v>0</v>
      </c>
      <c r="I33" s="5">
        <f t="shared" si="4"/>
        <v>2671.2</v>
      </c>
      <c r="J33" s="5"/>
      <c r="K33" s="5">
        <f t="shared" si="7"/>
        <v>30</v>
      </c>
      <c r="L33" s="5">
        <f>IF('SCH N'!$D65&lt;=15,ROUND('SCH N'!$D65*PRO_DS_DEM_1,2),ROUND(15*PRO_DS_DEM_1,2))</f>
        <v>0</v>
      </c>
      <c r="M33" s="5">
        <f>IF('SCH N'!$D65&lt;=15,0,ROUND(('SCH N'!$D65-15)*PRO_DS_DEM_3,2))</f>
        <v>1102.45</v>
      </c>
      <c r="N33" s="13">
        <v>0</v>
      </c>
      <c r="O33" s="5">
        <f>IF('SCH N'!$E65&lt;=6000,ROUND('SCH N'!$E65*(PRO_DS_KWH_1),2),ROUND(6000*(PRO_DS_KWH_1),2))</f>
        <v>738.16</v>
      </c>
      <c r="P33" s="5">
        <f>IF('SCH N'!$E65&lt;=6000,0,IF(('SCH N'!$D65*300)&lt;=('SCH N'!$E65-6000),ROUND(('SCH N'!$D65*300)*(PRO_DS_KWH_2),2),ROUND(('SCH N'!$E65-6000)*(PRO_DS_KWH_2),2)))</f>
        <v>1159.96</v>
      </c>
      <c r="Q33" s="5">
        <f>IF('SCH N'!$E65&lt;=(6000+('SCH N'!$D65*300)),0,ROUND(('SCH N'!$E65-(6000+('SCH N'!$D65*300)))*(PRO_DS_KWH_3),2))</f>
        <v>0</v>
      </c>
      <c r="R33" s="5">
        <f t="shared" si="5"/>
        <v>3030.57</v>
      </c>
    </row>
    <row r="34" spans="1:18" x14ac:dyDescent="0.25">
      <c r="B34" s="5">
        <f t="shared" si="6"/>
        <v>30</v>
      </c>
      <c r="C34" s="5">
        <f>IF('SCH N'!$D66&lt;=15,ROUND('SCH N'!$D66*CUR_DS_DEM_1,2),ROUND(15*CUR_DS_DEM_1,2))</f>
        <v>0</v>
      </c>
      <c r="D34" s="5">
        <f>IF('SCH N'!$D66&lt;=15,0,ROUND(('SCH N'!$D66-15)*CUR_DS_DEM_3,2))</f>
        <v>907.8</v>
      </c>
      <c r="E34" s="13">
        <v>0</v>
      </c>
      <c r="F34" s="5">
        <f>IF('SCH N'!$E66&lt;=6000,ROUND('SCH N'!$E66*(CUR_DS_KWH_1),2),ROUND(6000*(CUR_DS_KWH_1),2))</f>
        <v>688.73</v>
      </c>
      <c r="G34" s="5">
        <f>IF('SCH N'!$E66&lt;=6000,0,IF(('SCH N'!$D66*300)&lt;=('SCH N'!$E66-6000),ROUND(('SCH N'!$D66*300)*(CUR_DS_KWH_2),2),ROUND(('SCH N'!$E66-6000)*(CUR_DS_KWH_2),2)))</f>
        <v>1790.86</v>
      </c>
      <c r="H34" s="5">
        <f>IF('SCH N'!$E66&lt;=(6000+('SCH N'!$D66*300)),0,ROUND(('SCH N'!$E66-(6000+('SCH N'!$D66*300)))*(CUR_DS_KWH_3),2))</f>
        <v>0</v>
      </c>
      <c r="I34" s="5">
        <f t="shared" si="4"/>
        <v>3417.39</v>
      </c>
      <c r="J34" s="5"/>
      <c r="K34" s="5">
        <f t="shared" si="7"/>
        <v>30</v>
      </c>
      <c r="L34" s="5">
        <f>IF('SCH N'!$D66&lt;=15,ROUND('SCH N'!$D66*PRO_DS_DEM_1,2),ROUND(15*PRO_DS_DEM_1,2))</f>
        <v>0</v>
      </c>
      <c r="M34" s="5">
        <f>IF('SCH N'!$D66&lt;=15,0,ROUND(('SCH N'!$D66-15)*PRO_DS_DEM_3,2))</f>
        <v>1102.45</v>
      </c>
      <c r="N34" s="13">
        <v>0</v>
      </c>
      <c r="O34" s="5">
        <f>IF('SCH N'!$E66&lt;=6000,ROUND('SCH N'!$E66*(PRO_DS_KWH_1),2),ROUND(6000*(PRO_DS_KWH_1),2))</f>
        <v>738.16</v>
      </c>
      <c r="P34" s="5">
        <f>IF('SCH N'!$E66&lt;=6000,0,IF(('SCH N'!$D66*300)&lt;=('SCH N'!$E66-6000),ROUND(('SCH N'!$D66*300)*(PRO_DS_KWH_2),2),ROUND(('SCH N'!$E66-6000)*(PRO_DS_KWH_2),2)))</f>
        <v>1988.5</v>
      </c>
      <c r="Q34" s="5">
        <f>IF('SCH N'!$E66&lt;=(6000+('SCH N'!$D66*300)),0,ROUND(('SCH N'!$E66-(6000+('SCH N'!$D66*300)))*(PRO_DS_KWH_3),2))</f>
        <v>0</v>
      </c>
      <c r="R34" s="5">
        <f t="shared" si="5"/>
        <v>3859.11</v>
      </c>
    </row>
    <row r="35" spans="1:18" x14ac:dyDescent="0.25">
      <c r="B35" s="5">
        <f t="shared" si="6"/>
        <v>30</v>
      </c>
      <c r="C35" s="5">
        <f>IF('SCH N'!$D67&lt;=15,ROUND('SCH N'!$D67*CUR_DS_DEM_1,2),ROUND(15*CUR_DS_DEM_1,2))</f>
        <v>0</v>
      </c>
      <c r="D35" s="5">
        <f>IF('SCH N'!$D67&lt;=15,0,ROUND(('SCH N'!$D67-15)*CUR_DS_DEM_3,2))</f>
        <v>907.8</v>
      </c>
      <c r="E35" s="13">
        <v>0</v>
      </c>
      <c r="F35" s="5">
        <f>IF('SCH N'!$E67&lt;=6000,ROUND('SCH N'!$E67*(CUR_DS_KWH_1),2),ROUND(6000*(CUR_DS_KWH_1),2))</f>
        <v>688.73</v>
      </c>
      <c r="G35" s="5">
        <f>IF('SCH N'!$E67&lt;=6000,0,IF(('SCH N'!$D67*300)&lt;=('SCH N'!$E67-6000),ROUND(('SCH N'!$D67*300)*(CUR_DS_KWH_2),2),ROUND(('SCH N'!$E67-6000)*(CUR_DS_KWH_2),2)))</f>
        <v>2238.5700000000002</v>
      </c>
      <c r="H35" s="5">
        <f>IF('SCH N'!$E67&lt;=(6000+('SCH N'!$D67*300)),0,ROUND(('SCH N'!$E67-(6000+('SCH N'!$D67*300)))*(CUR_DS_KWH_3),2))</f>
        <v>252.22</v>
      </c>
      <c r="I35" s="5">
        <f t="shared" si="4"/>
        <v>4117.3200000000006</v>
      </c>
      <c r="J35" s="5"/>
      <c r="K35" s="5">
        <f t="shared" si="7"/>
        <v>30</v>
      </c>
      <c r="L35" s="5">
        <f>IF('SCH N'!$D67&lt;=15,ROUND('SCH N'!$D67*PRO_DS_DEM_1,2),ROUND(15*PRO_DS_DEM_1,2))</f>
        <v>0</v>
      </c>
      <c r="M35" s="5">
        <f>IF('SCH N'!$D67&lt;=15,0,ROUND(('SCH N'!$D67-15)*PRO_DS_DEM_3,2))</f>
        <v>1102.45</v>
      </c>
      <c r="N35" s="13">
        <v>0</v>
      </c>
      <c r="O35" s="5">
        <f>IF('SCH N'!$E67&lt;=6000,ROUND('SCH N'!$E67*(PRO_DS_KWH_1),2),ROUND(6000*(PRO_DS_KWH_1),2))</f>
        <v>738.16</v>
      </c>
      <c r="P35" s="5">
        <f>IF('SCH N'!$E67&lt;=6000,0,IF(('SCH N'!$D67*300)&lt;=('SCH N'!$E67-6000),ROUND(('SCH N'!$D67*300)*(PRO_DS_KWH_2),2),ROUND(('SCH N'!$E67-6000)*(PRO_DS_KWH_2),2)))</f>
        <v>2485.62</v>
      </c>
      <c r="Q35" s="5">
        <f>IF('SCH N'!$E67&lt;=(6000+('SCH N'!$D67*300)),0,ROUND(('SCH N'!$E67-(6000+('SCH N'!$D67*300)))*(PRO_DS_KWH_3),2))</f>
        <v>243.55</v>
      </c>
      <c r="R35" s="5">
        <f t="shared" si="5"/>
        <v>4599.78</v>
      </c>
    </row>
    <row r="36" spans="1:18" x14ac:dyDescent="0.25">
      <c r="B36" s="5">
        <f t="shared" si="6"/>
        <v>30</v>
      </c>
      <c r="C36" s="5">
        <f>IF('SCH N'!$D68&lt;=15,ROUND('SCH N'!$D68*CUR_DS_DEM_1,2),ROUND(15*CUR_DS_DEM_1,2))</f>
        <v>0</v>
      </c>
      <c r="D36" s="5">
        <f>IF('SCH N'!$D68&lt;=15,0,ROUND(('SCH N'!$D68-15)*CUR_DS_DEM_3,2))</f>
        <v>3043.8</v>
      </c>
      <c r="E36" s="13">
        <v>0</v>
      </c>
      <c r="F36" s="5">
        <f>IF('SCH N'!$E68&lt;=6000,ROUND('SCH N'!$E68*(CUR_DS_KWH_1),2),ROUND(6000*(CUR_DS_KWH_1),2))</f>
        <v>688.73</v>
      </c>
      <c r="G36" s="5">
        <f>IF('SCH N'!$E68&lt;=6000,0,IF(('SCH N'!$D68*300)&lt;=('SCH N'!$E68-6000),ROUND(('SCH N'!$D68*300)*(CUR_DS_KWH_2),2),ROUND(('SCH N'!$E68-6000)*(CUR_DS_KWH_2),2)))</f>
        <v>4029.43</v>
      </c>
      <c r="H36" s="5">
        <f>IF('SCH N'!$E68&lt;=(6000+('SCH N'!$D68*300)),0,ROUND(('SCH N'!$E68-(6000+('SCH N'!$D68*300)))*(CUR_DS_KWH_3),2))</f>
        <v>0</v>
      </c>
      <c r="I36" s="5">
        <f t="shared" si="4"/>
        <v>7791.96</v>
      </c>
      <c r="J36" s="5"/>
      <c r="K36" s="5">
        <f t="shared" si="7"/>
        <v>30</v>
      </c>
      <c r="L36" s="5">
        <f>IF('SCH N'!$D68&lt;=15,ROUND('SCH N'!$D68*PRO_DS_DEM_1,2),ROUND(15*PRO_DS_DEM_1,2))</f>
        <v>0</v>
      </c>
      <c r="M36" s="5">
        <f>IF('SCH N'!$D68&lt;=15,0,ROUND(('SCH N'!$D68-15)*PRO_DS_DEM_3,2))</f>
        <v>3696.45</v>
      </c>
      <c r="N36" s="13">
        <v>0</v>
      </c>
      <c r="O36" s="5">
        <f>IF('SCH N'!$E68&lt;=6000,ROUND('SCH N'!$E68*(PRO_DS_KWH_1),2),ROUND(6000*(PRO_DS_KWH_1),2))</f>
        <v>738.16</v>
      </c>
      <c r="P36" s="5">
        <f>IF('SCH N'!$E68&lt;=6000,0,IF(('SCH N'!$D68*300)&lt;=('SCH N'!$E68-6000),ROUND(('SCH N'!$D68*300)*(PRO_DS_KWH_2),2),ROUND(('SCH N'!$E68-6000)*(PRO_DS_KWH_2),2)))</f>
        <v>4474.12</v>
      </c>
      <c r="Q36" s="5">
        <f>IF('SCH N'!$E68&lt;=(6000+('SCH N'!$D68*300)),0,ROUND(('SCH N'!$E68-(6000+('SCH N'!$D68*300)))*(PRO_DS_KWH_3),2))</f>
        <v>0</v>
      </c>
      <c r="R36" s="5">
        <f t="shared" si="5"/>
        <v>8938.73</v>
      </c>
    </row>
    <row r="37" spans="1:18" x14ac:dyDescent="0.25">
      <c r="B37" s="5">
        <f t="shared" si="6"/>
        <v>30</v>
      </c>
      <c r="C37" s="5">
        <f>IF('SCH N'!$D69&lt;=15,ROUND('SCH N'!$D69*CUR_DS_DEM_1,2),ROUND(15*CUR_DS_DEM_1,2))</f>
        <v>0</v>
      </c>
      <c r="D37" s="5">
        <f>IF('SCH N'!$D69&lt;=15,0,ROUND(('SCH N'!$D69-15)*CUR_DS_DEM_3,2))</f>
        <v>3043.8</v>
      </c>
      <c r="E37" s="13">
        <v>0</v>
      </c>
      <c r="F37" s="5">
        <f>IF('SCH N'!$E69&lt;=6000,ROUND('SCH N'!$E69*(CUR_DS_KWH_1),2),ROUND(6000*(CUR_DS_KWH_1),2))</f>
        <v>688.73</v>
      </c>
      <c r="G37" s="5">
        <f>IF('SCH N'!$E69&lt;=6000,0,IF(('SCH N'!$D69*300)&lt;=('SCH N'!$E69-6000),ROUND(('SCH N'!$D69*300)*(CUR_DS_KWH_2),2),ROUND(('SCH N'!$E69-6000)*(CUR_DS_KWH_2),2)))</f>
        <v>6268</v>
      </c>
      <c r="H37" s="5">
        <f>IF('SCH N'!$E69&lt;=(6000+('SCH N'!$D69*300)),0,ROUND(('SCH N'!$E69-(6000+('SCH N'!$D69*300)))*(CUR_DS_KWH_3),2))</f>
        <v>0</v>
      </c>
      <c r="I37" s="5">
        <f t="shared" si="4"/>
        <v>10030.530000000001</v>
      </c>
      <c r="J37" s="5"/>
      <c r="K37" s="5">
        <f t="shared" si="7"/>
        <v>30</v>
      </c>
      <c r="L37" s="5">
        <f>IF('SCH N'!$D69&lt;=15,ROUND('SCH N'!$D69*PRO_DS_DEM_1,2),ROUND(15*PRO_DS_DEM_1,2))</f>
        <v>0</v>
      </c>
      <c r="M37" s="5">
        <f>IF('SCH N'!$D69&lt;=15,0,ROUND(('SCH N'!$D69-15)*PRO_DS_DEM_3,2))</f>
        <v>3696.45</v>
      </c>
      <c r="N37" s="13">
        <v>0</v>
      </c>
      <c r="O37" s="5">
        <f>IF('SCH N'!$E69&lt;=6000,ROUND('SCH N'!$E69*(PRO_DS_KWH_1),2),ROUND(6000*(PRO_DS_KWH_1),2))</f>
        <v>738.16</v>
      </c>
      <c r="P37" s="5">
        <f>IF('SCH N'!$E69&lt;=6000,0,IF(('SCH N'!$D69*300)&lt;=('SCH N'!$E69-6000),ROUND(('SCH N'!$D69*300)*(PRO_DS_KWH_2),2),ROUND(('SCH N'!$E69-6000)*(PRO_DS_KWH_2),2)))</f>
        <v>6959.74</v>
      </c>
      <c r="Q37" s="5">
        <f>IF('SCH N'!$E69&lt;=(6000+('SCH N'!$D69*300)),0,ROUND(('SCH N'!$E69-(6000+('SCH N'!$D69*300)))*(PRO_DS_KWH_3),2))</f>
        <v>0</v>
      </c>
      <c r="R37" s="5">
        <f t="shared" si="5"/>
        <v>11424.349999999999</v>
      </c>
    </row>
    <row r="38" spans="1:18" x14ac:dyDescent="0.25">
      <c r="B38" s="5">
        <f t="shared" si="6"/>
        <v>30</v>
      </c>
      <c r="C38" s="5">
        <f>IF('SCH N'!$D70&lt;=15,ROUND('SCH N'!$D70*CUR_DS_DEM_1,2),ROUND(15*CUR_DS_DEM_1,2))</f>
        <v>0</v>
      </c>
      <c r="D38" s="5">
        <f>IF('SCH N'!$D70&lt;=15,0,ROUND(('SCH N'!$D70-15)*CUR_DS_DEM_3,2))</f>
        <v>3043.8</v>
      </c>
      <c r="E38" s="13">
        <v>0</v>
      </c>
      <c r="F38" s="5">
        <f>IF('SCH N'!$E70&lt;=6000,ROUND('SCH N'!$E70*(CUR_DS_KWH_1),2),ROUND(6000*(CUR_DS_KWH_1),2))</f>
        <v>688.73</v>
      </c>
      <c r="G38" s="5">
        <f>IF('SCH N'!$E70&lt;=6000,0,IF(('SCH N'!$D70*300)&lt;=('SCH N'!$E70-6000),ROUND(('SCH N'!$D70*300)*(CUR_DS_KWH_2),2),ROUND(('SCH N'!$E70-6000)*(CUR_DS_KWH_2),2)))</f>
        <v>6715.71</v>
      </c>
      <c r="H38" s="5">
        <f>IF('SCH N'!$E70&lt;=(6000+('SCH N'!$D70*300)),0,ROUND(('SCH N'!$E70-(6000+('SCH N'!$D70*300)))*(CUR_DS_KWH_3),2))</f>
        <v>1513.34</v>
      </c>
      <c r="I38" s="5">
        <f t="shared" si="4"/>
        <v>11991.58</v>
      </c>
      <c r="J38" s="5"/>
      <c r="K38" s="5">
        <f t="shared" si="7"/>
        <v>30</v>
      </c>
      <c r="L38" s="5">
        <f>IF('SCH N'!$D70&lt;=15,ROUND('SCH N'!$D70*PRO_DS_DEM_1,2),ROUND(15*PRO_DS_DEM_1,2))</f>
        <v>0</v>
      </c>
      <c r="M38" s="5">
        <f>IF('SCH N'!$D70&lt;=15,0,ROUND(('SCH N'!$D70-15)*PRO_DS_DEM_3,2))</f>
        <v>3696.45</v>
      </c>
      <c r="N38" s="13">
        <v>0</v>
      </c>
      <c r="O38" s="5">
        <f>IF('SCH N'!$E70&lt;=6000,ROUND('SCH N'!$E70*(PRO_DS_KWH_1),2),ROUND(6000*(PRO_DS_KWH_1),2))</f>
        <v>738.16</v>
      </c>
      <c r="P38" s="5">
        <f>IF('SCH N'!$E70&lt;=6000,0,IF(('SCH N'!$D70*300)&lt;=('SCH N'!$E70-6000),ROUND(('SCH N'!$D70*300)*(PRO_DS_KWH_2),2),ROUND(('SCH N'!$E70-6000)*(PRO_DS_KWH_2),2)))</f>
        <v>7456.86</v>
      </c>
      <c r="Q38" s="5">
        <f>IF('SCH N'!$E70&lt;=(6000+('SCH N'!$D70*300)),0,ROUND(('SCH N'!$E70-(6000+('SCH N'!$D70*300)))*(PRO_DS_KWH_3),2))</f>
        <v>1461.31</v>
      </c>
      <c r="R38" s="5">
        <f t="shared" si="5"/>
        <v>13382.779999999999</v>
      </c>
    </row>
    <row r="39" spans="1:18" x14ac:dyDescent="0.25">
      <c r="B39" s="5">
        <f t="shared" si="6"/>
        <v>30</v>
      </c>
      <c r="C39" s="5">
        <f>IF('SCH N'!$D71&lt;=15,ROUND('SCH N'!$D71*CUR_DS_DEM_1,2),ROUND(15*CUR_DS_DEM_1,2))</f>
        <v>0</v>
      </c>
      <c r="D39" s="5">
        <f>IF('SCH N'!$D71&lt;=15,0,ROUND(('SCH N'!$D71-15)*CUR_DS_DEM_3,2))</f>
        <v>5179.8</v>
      </c>
      <c r="E39" s="13">
        <v>0</v>
      </c>
      <c r="F39" s="5">
        <f>IF('SCH N'!$E71&lt;=6000,ROUND('SCH N'!$E71*(CUR_DS_KWH_1),2),ROUND(6000*(CUR_DS_KWH_1),2))</f>
        <v>688.73</v>
      </c>
      <c r="G39" s="5">
        <f>IF('SCH N'!$E71&lt;=6000,0,IF(('SCH N'!$D71*300)&lt;=('SCH N'!$E71-6000),ROUND(('SCH N'!$D71*300)*(CUR_DS_KWH_2),2),ROUND(('SCH N'!$E71-6000)*(CUR_DS_KWH_2),2)))</f>
        <v>7014.19</v>
      </c>
      <c r="H39" s="5">
        <f>IF('SCH N'!$E71&lt;=(6000+('SCH N'!$D71*300)),0,ROUND(('SCH N'!$E71-(6000+('SCH N'!$D71*300)))*(CUR_DS_KWH_3),2))</f>
        <v>0</v>
      </c>
      <c r="I39" s="5">
        <f t="shared" si="4"/>
        <v>12912.720000000001</v>
      </c>
      <c r="J39" s="5"/>
      <c r="K39" s="5">
        <f t="shared" si="7"/>
        <v>30</v>
      </c>
      <c r="L39" s="5">
        <f>IF('SCH N'!$D71&lt;=15,ROUND('SCH N'!$D71*PRO_DS_DEM_1,2),ROUND(15*PRO_DS_DEM_1,2))</f>
        <v>0</v>
      </c>
      <c r="M39" s="5">
        <f>IF('SCH N'!$D71&lt;=15,0,ROUND(('SCH N'!$D71-15)*PRO_DS_DEM_3,2))</f>
        <v>6290.45</v>
      </c>
      <c r="N39" s="13">
        <v>0</v>
      </c>
      <c r="O39" s="5">
        <f>IF('SCH N'!$E71&lt;=6000,ROUND('SCH N'!$E71*(PRO_DS_KWH_1),2),ROUND(6000*(PRO_DS_KWH_1),2))</f>
        <v>738.16</v>
      </c>
      <c r="P39" s="5">
        <f>IF('SCH N'!$E71&lt;=6000,0,IF(('SCH N'!$D71*300)&lt;=('SCH N'!$E71-6000),ROUND(('SCH N'!$D71*300)*(PRO_DS_KWH_2),2),ROUND(('SCH N'!$E71-6000)*(PRO_DS_KWH_2),2)))</f>
        <v>7788.28</v>
      </c>
      <c r="Q39" s="5">
        <f>IF('SCH N'!$E71&lt;=(6000+('SCH N'!$D71*300)),0,ROUND(('SCH N'!$E71-(6000+('SCH N'!$D71*300)))*(PRO_DS_KWH_3),2))</f>
        <v>0</v>
      </c>
      <c r="R39" s="5">
        <f t="shared" si="5"/>
        <v>14846.89</v>
      </c>
    </row>
    <row r="40" spans="1:18" x14ac:dyDescent="0.25">
      <c r="B40" s="5">
        <f t="shared" si="6"/>
        <v>30</v>
      </c>
      <c r="C40" s="5">
        <f>IF('SCH N'!$D72&lt;=15,ROUND('SCH N'!$D72*CUR_DS_DEM_1,2),ROUND(15*CUR_DS_DEM_1,2))</f>
        <v>0</v>
      </c>
      <c r="D40" s="5">
        <f>IF('SCH N'!$D72&lt;=15,0,ROUND(('SCH N'!$D72-15)*CUR_DS_DEM_3,2))</f>
        <v>5179.8</v>
      </c>
      <c r="E40" s="13">
        <v>0</v>
      </c>
      <c r="F40" s="5">
        <f>IF('SCH N'!$E72&lt;=6000,ROUND('SCH N'!$E72*(CUR_DS_KWH_1),2),ROUND(6000*(CUR_DS_KWH_1),2))</f>
        <v>688.73</v>
      </c>
      <c r="G40" s="5">
        <f>IF('SCH N'!$E72&lt;=6000,0,IF(('SCH N'!$D72*300)&lt;=('SCH N'!$E72-6000),ROUND(('SCH N'!$D72*300)*(CUR_DS_KWH_2),2),ROUND(('SCH N'!$E72-6000)*(CUR_DS_KWH_2),2)))</f>
        <v>11192.85</v>
      </c>
      <c r="H40" s="5">
        <f>IF('SCH N'!$E72&lt;=(6000+('SCH N'!$D72*300)),0,ROUND(('SCH N'!$E72-(6000+('SCH N'!$D72*300)))*(CUR_DS_KWH_3),2))</f>
        <v>2774.46</v>
      </c>
      <c r="I40" s="5">
        <f t="shared" si="4"/>
        <v>19865.84</v>
      </c>
      <c r="J40" s="5"/>
      <c r="K40" s="5">
        <f t="shared" si="7"/>
        <v>30</v>
      </c>
      <c r="L40" s="5">
        <f>IF('SCH N'!$D72&lt;=15,ROUND('SCH N'!$D72*PRO_DS_DEM_1,2),ROUND(15*PRO_DS_DEM_1,2))</f>
        <v>0</v>
      </c>
      <c r="M40" s="5">
        <f>IF('SCH N'!$D72&lt;=15,0,ROUND(('SCH N'!$D72-15)*PRO_DS_DEM_3,2))</f>
        <v>6290.45</v>
      </c>
      <c r="N40" s="13">
        <v>0</v>
      </c>
      <c r="O40" s="5">
        <f>IF('SCH N'!$E72&lt;=6000,ROUND('SCH N'!$E72*(PRO_DS_KWH_1),2),ROUND(6000*(PRO_DS_KWH_1),2))</f>
        <v>738.16</v>
      </c>
      <c r="P40" s="5">
        <f>IF('SCH N'!$E72&lt;=6000,0,IF(('SCH N'!$D72*300)&lt;=('SCH N'!$E72-6000),ROUND(('SCH N'!$D72*300)*(PRO_DS_KWH_2),2),ROUND(('SCH N'!$E72-6000)*(PRO_DS_KWH_2),2)))</f>
        <v>12428.1</v>
      </c>
      <c r="Q40" s="5">
        <f>IF('SCH N'!$E72&lt;=(6000+('SCH N'!$D72*300)),0,ROUND(('SCH N'!$E72-(6000+('SCH N'!$D72*300)))*(PRO_DS_KWH_3),2))</f>
        <v>2679.07</v>
      </c>
      <c r="R40" s="5">
        <f t="shared" si="5"/>
        <v>22165.78</v>
      </c>
    </row>
    <row r="41" spans="1:18" x14ac:dyDescent="0.25">
      <c r="B41" s="5">
        <f t="shared" si="6"/>
        <v>30</v>
      </c>
      <c r="C41" s="5">
        <f>IF('SCH N'!$D73&lt;=15,ROUND('SCH N'!$D73*CUR_DS_DEM_1,2),ROUND(15*CUR_DS_DEM_1,2))</f>
        <v>0</v>
      </c>
      <c r="D41" s="5">
        <f>IF('SCH N'!$D73&lt;=15,0,ROUND(('SCH N'!$D73-15)*CUR_DS_DEM_3,2))</f>
        <v>5179.8</v>
      </c>
      <c r="E41" s="13">
        <v>0</v>
      </c>
      <c r="F41" s="5">
        <f>IF('SCH N'!$E73&lt;=6000,ROUND('SCH N'!$E73*(CUR_DS_KWH_1),2),ROUND(6000*(CUR_DS_KWH_1),2))</f>
        <v>688.73</v>
      </c>
      <c r="G41" s="5">
        <f>IF('SCH N'!$E73&lt;=6000,0,IF(('SCH N'!$D73*300)&lt;=('SCH N'!$E73-6000),ROUND(('SCH N'!$D73*300)*(CUR_DS_KWH_2),2),ROUND(('SCH N'!$E73-6000)*(CUR_DS_KWH_2),2)))</f>
        <v>11192.85</v>
      </c>
      <c r="H41" s="5">
        <f>IF('SCH N'!$E73&lt;=(6000+('SCH N'!$D73*300)),0,ROUND(('SCH N'!$E73-(6000+('SCH N'!$D73*300)))*(CUR_DS_KWH_3),2))</f>
        <v>9080.06</v>
      </c>
      <c r="I41" s="5">
        <f t="shared" si="4"/>
        <v>26171.440000000002</v>
      </c>
      <c r="J41" s="5"/>
      <c r="K41" s="5">
        <f t="shared" si="7"/>
        <v>30</v>
      </c>
      <c r="L41" s="5">
        <f>IF('SCH N'!$D73&lt;=15,ROUND('SCH N'!$D73*PRO_DS_DEM_1,2),ROUND(15*PRO_DS_DEM_1,2))</f>
        <v>0</v>
      </c>
      <c r="M41" s="5">
        <f>IF('SCH N'!$D73&lt;=15,0,ROUND(('SCH N'!$D73-15)*PRO_DS_DEM_3,2))</f>
        <v>6290.45</v>
      </c>
      <c r="N41" s="13">
        <v>0</v>
      </c>
      <c r="O41" s="5">
        <f>IF('SCH N'!$E73&lt;=6000,ROUND('SCH N'!$E73*(PRO_DS_KWH_1),2),ROUND(6000*(PRO_DS_KWH_1),2))</f>
        <v>738.16</v>
      </c>
      <c r="P41" s="5">
        <f>IF('SCH N'!$E73&lt;=6000,0,IF(('SCH N'!$D73*300)&lt;=('SCH N'!$E73-6000),ROUND(('SCH N'!$D73*300)*(PRO_DS_KWH_2),2),ROUND(('SCH N'!$E73-6000)*(PRO_DS_KWH_2),2)))</f>
        <v>12428.1</v>
      </c>
      <c r="Q41" s="5">
        <f>IF('SCH N'!$E73&lt;=(6000+('SCH N'!$D73*300)),0,ROUND(('SCH N'!$E73-(6000+('SCH N'!$D73*300)))*(PRO_DS_KWH_3),2))</f>
        <v>8767.8700000000008</v>
      </c>
      <c r="R41" s="5">
        <f t="shared" si="5"/>
        <v>28254.58</v>
      </c>
    </row>
    <row r="42" spans="1:18" s="15" customFormat="1" x14ac:dyDescent="0.25">
      <c r="B42" s="16"/>
      <c r="C42" s="16"/>
      <c r="D42" s="16"/>
      <c r="E42" s="17"/>
      <c r="F42" s="16"/>
      <c r="G42" s="16"/>
      <c r="H42" s="16"/>
      <c r="I42" s="16"/>
      <c r="J42" s="16"/>
      <c r="K42" s="16"/>
      <c r="L42" s="16"/>
      <c r="M42" s="16"/>
      <c r="N42" s="17"/>
      <c r="O42" s="16"/>
      <c r="P42" s="16"/>
      <c r="Q42" s="16"/>
      <c r="R42" s="16"/>
    </row>
    <row r="43" spans="1:18" ht="15.6" x14ac:dyDescent="0.3">
      <c r="B43" s="12" t="s">
        <v>179</v>
      </c>
      <c r="C43" s="10"/>
      <c r="D43" s="10"/>
      <c r="E43" s="10"/>
      <c r="F43" s="10"/>
      <c r="G43" s="10"/>
      <c r="H43" s="10"/>
      <c r="I43" s="10"/>
      <c r="J43" s="5"/>
      <c r="K43" s="12" t="s">
        <v>180</v>
      </c>
      <c r="L43" s="10"/>
      <c r="M43" s="10"/>
      <c r="N43" s="10"/>
      <c r="O43" s="10"/>
      <c r="P43" s="10"/>
      <c r="Q43" s="10"/>
      <c r="R43" s="10"/>
    </row>
    <row r="44" spans="1:18" x14ac:dyDescent="0.25">
      <c r="B44" s="11" t="s">
        <v>122</v>
      </c>
      <c r="C44" s="5"/>
      <c r="D44" s="5"/>
      <c r="E44" s="5"/>
      <c r="F44" s="11" t="s">
        <v>123</v>
      </c>
      <c r="G44" s="14"/>
      <c r="H44" s="5"/>
      <c r="I44" s="11" t="s">
        <v>11</v>
      </c>
      <c r="J44" s="5"/>
      <c r="K44" s="11" t="s">
        <v>122</v>
      </c>
      <c r="L44" s="5"/>
      <c r="M44" s="5"/>
      <c r="N44" s="5"/>
      <c r="O44" s="11" t="s">
        <v>123</v>
      </c>
      <c r="P44" s="14"/>
      <c r="Q44" s="5"/>
      <c r="R44" s="11" t="s">
        <v>11</v>
      </c>
    </row>
    <row r="45" spans="1:18" x14ac:dyDescent="0.25">
      <c r="A45" s="1" t="s">
        <v>94</v>
      </c>
      <c r="B45" s="5">
        <f>CUR_EH_CST_2</f>
        <v>30</v>
      </c>
      <c r="C45" s="5"/>
      <c r="D45" s="5"/>
      <c r="E45" s="5"/>
      <c r="F45" s="5">
        <f>ROUND('SCH N'!E76*(CUR_EH_KWH_1),2)</f>
        <v>1724.89</v>
      </c>
      <c r="G45" s="14"/>
      <c r="H45" s="5"/>
      <c r="I45" s="5">
        <f>SUM(B45:H45)</f>
        <v>1754.89</v>
      </c>
      <c r="J45" s="5"/>
      <c r="K45" s="5">
        <f>PRO_EH_CST_2</f>
        <v>30</v>
      </c>
      <c r="L45" s="5"/>
      <c r="M45" s="5"/>
      <c r="N45" s="5"/>
      <c r="O45" s="5">
        <f>ROUND('SCH N'!E76*(PRO_EH_KWH_1),2)</f>
        <v>1995.25</v>
      </c>
      <c r="P45" s="14"/>
      <c r="Q45" s="5"/>
      <c r="R45" s="5">
        <f>SUM(K45:Q45)</f>
        <v>2025.25</v>
      </c>
    </row>
    <row r="46" spans="1:18" x14ac:dyDescent="0.25">
      <c r="B46" s="5">
        <f>CUR_EH_CST_2</f>
        <v>30</v>
      </c>
      <c r="C46" s="5"/>
      <c r="D46" s="5"/>
      <c r="E46" s="5"/>
      <c r="F46" s="5">
        <f>ROUND('SCH N'!E77*(CUR_EH_KWH_1),2)</f>
        <v>2139.0100000000002</v>
      </c>
      <c r="G46" s="14"/>
      <c r="H46" s="5"/>
      <c r="I46" s="5">
        <f>SUM(B46:H46)</f>
        <v>2169.0100000000002</v>
      </c>
      <c r="J46" s="5"/>
      <c r="K46" s="5">
        <f>PRO_EH_CST_2</f>
        <v>30</v>
      </c>
      <c r="L46" s="5"/>
      <c r="M46" s="5"/>
      <c r="N46" s="5"/>
      <c r="O46" s="5">
        <f>ROUND('SCH N'!E77*(PRO_EH_KWH_1),2)</f>
        <v>2474.27</v>
      </c>
      <c r="P46" s="14"/>
      <c r="Q46" s="5"/>
      <c r="R46" s="5">
        <f>SUM(K46:Q46)</f>
        <v>2504.27</v>
      </c>
    </row>
    <row r="47" spans="1:18" x14ac:dyDescent="0.25">
      <c r="B47" s="5">
        <f>CUR_EH_CST_2</f>
        <v>30</v>
      </c>
      <c r="C47" s="5"/>
      <c r="D47" s="5"/>
      <c r="E47" s="5"/>
      <c r="F47" s="5">
        <f>ROUND('SCH N'!E78*(CUR_EH_KWH_1),2)</f>
        <v>3426.04</v>
      </c>
      <c r="G47" s="14"/>
      <c r="H47" s="5"/>
      <c r="I47" s="5">
        <f>SUM(B47:H47)</f>
        <v>3456.04</v>
      </c>
      <c r="J47" s="5"/>
      <c r="K47" s="5">
        <f>PRO_EH_CST_2</f>
        <v>30</v>
      </c>
      <c r="L47" s="5"/>
      <c r="M47" s="5"/>
      <c r="N47" s="5"/>
      <c r="O47" s="5">
        <f>ROUND('SCH N'!E78*(PRO_EH_KWH_1),2)</f>
        <v>3963.03</v>
      </c>
      <c r="P47" s="14"/>
      <c r="Q47" s="5"/>
      <c r="R47" s="5">
        <f>SUM(K47:Q47)</f>
        <v>3993.03</v>
      </c>
    </row>
    <row r="48" spans="1:18" s="15" customFormat="1" x14ac:dyDescent="0.25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</row>
    <row r="49" spans="2:14" ht="15.6" x14ac:dyDescent="0.3">
      <c r="B49" s="12"/>
      <c r="C49" s="10"/>
      <c r="D49" s="10"/>
      <c r="E49" s="10"/>
      <c r="F49" s="10"/>
      <c r="H49" s="12"/>
      <c r="I49" s="10"/>
      <c r="J49" s="10"/>
      <c r="K49" s="10"/>
      <c r="L49" s="10"/>
    </row>
    <row r="50" spans="2:14" x14ac:dyDescent="0.25">
      <c r="C50" s="2"/>
      <c r="D50" s="2"/>
      <c r="I50" s="2"/>
      <c r="J50" s="2"/>
    </row>
    <row r="51" spans="2:14" x14ac:dyDescent="0.25">
      <c r="B51" s="2"/>
      <c r="C51" s="2"/>
      <c r="D51" s="2"/>
      <c r="E51" s="2"/>
      <c r="F51" s="2"/>
      <c r="H51" s="2"/>
      <c r="I51" s="2"/>
      <c r="J51" s="2"/>
      <c r="K51" s="2"/>
      <c r="L51" s="2"/>
    </row>
    <row r="52" spans="2:14" x14ac:dyDescent="0.25">
      <c r="B52" s="9"/>
      <c r="C52" s="9"/>
      <c r="D52" s="9"/>
      <c r="E52" s="9"/>
      <c r="F52" s="9"/>
      <c r="H52" s="9"/>
      <c r="I52" s="9"/>
      <c r="J52" s="9"/>
      <c r="K52" s="9"/>
      <c r="L52" s="9"/>
    </row>
    <row r="53" spans="2:14" ht="15.6" x14ac:dyDescent="0.3">
      <c r="B53" s="61"/>
      <c r="C53" s="5"/>
      <c r="D53" s="5"/>
      <c r="E53" s="5"/>
      <c r="F53" s="5"/>
      <c r="G53" s="5"/>
      <c r="H53" s="5"/>
      <c r="I53" s="5"/>
      <c r="J53" s="5"/>
      <c r="K53" s="5"/>
      <c r="L53" s="5"/>
    </row>
    <row r="54" spans="2:14" x14ac:dyDescent="0.25"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</row>
    <row r="55" spans="2:14" x14ac:dyDescent="0.25"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</row>
    <row r="56" spans="2:14" x14ac:dyDescent="0.25"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</row>
    <row r="57" spans="2:14" x14ac:dyDescent="0.25"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</row>
    <row r="58" spans="2:14" x14ac:dyDescent="0.25"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</row>
    <row r="59" spans="2:14" x14ac:dyDescent="0.25"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</row>
    <row r="60" spans="2:14" x14ac:dyDescent="0.25"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</row>
    <row r="61" spans="2:14" x14ac:dyDescent="0.25"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</row>
    <row r="62" spans="2:14" x14ac:dyDescent="0.25"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</row>
    <row r="63" spans="2:14" x14ac:dyDescent="0.25"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</row>
    <row r="64" spans="2:14" x14ac:dyDescent="0.25"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</row>
    <row r="65" spans="2:14" x14ac:dyDescent="0.25"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</row>
    <row r="66" spans="2:14" x14ac:dyDescent="0.25"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</row>
    <row r="67" spans="2:14" x14ac:dyDescent="0.25"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</row>
    <row r="68" spans="2:14" x14ac:dyDescent="0.25"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</row>
    <row r="69" spans="2:14" x14ac:dyDescent="0.25"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</row>
    <row r="70" spans="2:14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</row>
    <row r="71" spans="2:14" x14ac:dyDescent="0.25"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</row>
    <row r="72" spans="2:14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</row>
    <row r="73" spans="2:14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</row>
    <row r="74" spans="2:14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</row>
    <row r="75" spans="2:14" x14ac:dyDescent="0.25"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</row>
    <row r="76" spans="2:14" x14ac:dyDescent="0.25"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</row>
    <row r="77" spans="2:14" x14ac:dyDescent="0.25"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</row>
    <row r="78" spans="2:14" x14ac:dyDescent="0.25"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</row>
    <row r="79" spans="2:14" x14ac:dyDescent="0.25"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</row>
    <row r="80" spans="2:14" x14ac:dyDescent="0.25"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</row>
    <row r="81" spans="2:12" x14ac:dyDescent="0.25"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</row>
    <row r="82" spans="2:12" x14ac:dyDescent="0.25"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</row>
    <row r="83" spans="2:12" x14ac:dyDescent="0.25"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</row>
    <row r="84" spans="2:12" x14ac:dyDescent="0.25"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</row>
    <row r="85" spans="2:12" x14ac:dyDescent="0.25"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</row>
    <row r="86" spans="2:12" x14ac:dyDescent="0.25"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</row>
    <row r="87" spans="2:12" x14ac:dyDescent="0.25"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</row>
    <row r="88" spans="2:12" x14ac:dyDescent="0.25"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</row>
    <row r="89" spans="2:12" x14ac:dyDescent="0.25"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</row>
    <row r="90" spans="2:12" x14ac:dyDescent="0.25"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</row>
  </sheetData>
  <customSheetViews>
    <customSheetView guid="{195DF303-1BBD-4236-94B5-47432850B006}" scale="75" showRuler="0">
      <pane xSplit="6.4558823529411766" topLeftCell="M1"/>
      <pageMargins left="0.75" right="0.75" top="1" bottom="1" header="0.5" footer="0.5"/>
      <pageSetup orientation="portrait" r:id="rId1"/>
      <headerFooter alignWithMargins="0"/>
    </customSheetView>
    <customSheetView guid="{0C49E549-011E-46F4-A82E-2CC8951A9C1E}" scale="75" showRuler="0">
      <pane xSplit="6.8555555555555552" topLeftCell="M1"/>
      <selection activeCell="I13" sqref="I13"/>
      <pageMargins left="0.75" right="0.75" top="1" bottom="1" header="0.5" footer="0.5"/>
      <pageSetup orientation="portrait" r:id="rId2"/>
      <headerFooter alignWithMargins="0"/>
    </customSheetView>
    <customSheetView guid="{4BC93440-BA85-4935-A8C9-66DC6AE5DE5E}" scale="75" showRuler="0">
      <pane xSplit="9.8591549295774641" topLeftCell="M1"/>
      <pageMargins left="0.75" right="0.75" top="1" bottom="1" header="0.5" footer="0.5"/>
      <pageSetup orientation="portrait" r:id="rId3"/>
      <headerFooter alignWithMargins="0"/>
    </customSheetView>
    <customSheetView guid="{2431C9E5-7CC2-4B8D-99C3-962247B1DBF5}" scale="75" showRuler="0">
      <pane xSplit="9.8591549295774641" topLeftCell="M1"/>
      <pageMargins left="0.75" right="0.75" top="1" bottom="1" header="0.5" footer="0.5"/>
      <pageSetup orientation="portrait" r:id="rId4"/>
      <headerFooter alignWithMargins="0"/>
    </customSheetView>
    <customSheetView guid="{2EA35095-1ADC-4CC7-8C3C-B487D65FA247}" scale="75" showRuler="0">
      <pane xSplit="11.712962962962964" topLeftCell="M1"/>
      <selection activeCell="I13" sqref="I13"/>
      <pageMargins left="0.75" right="0.75" top="1" bottom="1" header="0.5" footer="0.5"/>
      <pageSetup orientation="portrait" r:id="rId5"/>
      <headerFooter alignWithMargins="0"/>
    </customSheetView>
    <customSheetView guid="{8FC77C99-DBF7-40B8-99B8-01B75826CDCB}" scale="75" showRuler="0">
      <pane xSplit="12.426470588235293" topLeftCell="M1"/>
      <selection activeCell="I13" sqref="I13"/>
      <pageMargins left="0.75" right="0.75" top="1" bottom="1" header="0.5" footer="0.5"/>
      <pageSetup orientation="portrait" r:id="rId6"/>
      <headerFooter alignWithMargins="0"/>
    </customSheetView>
    <customSheetView guid="{8FB94551-8874-4095-B8FB-5316E0D2FD2C}" scale="75" showRuler="0">
      <pane xSplit="12.426470588235293" topLeftCell="M1"/>
      <pageMargins left="0.75" right="0.75" top="1" bottom="1" header="0.5" footer="0.5"/>
      <pageSetup orientation="portrait" r:id="rId7"/>
      <headerFooter alignWithMargins="0"/>
    </customSheetView>
    <customSheetView guid="{6B3D5C27-2FDE-4561-9575-1E98BFB869D0}" scale="75" showRuler="0">
      <pane xSplit="12.426470588235293" topLeftCell="M1"/>
      <selection activeCell="H1" sqref="H1"/>
      <pageMargins left="0.75" right="0.75" top="1" bottom="1" header="0.5" footer="0.5"/>
      <pageSetup orientation="portrait" r:id="rId8"/>
      <headerFooter alignWithMargins="0"/>
    </customSheetView>
    <customSheetView guid="{0BC1F393-8A13-47D5-BC6C-0C99615B5AB9}" scale="75" showRuler="0">
      <pane xSplit="12.426470588235293" topLeftCell="M1"/>
      <pageMargins left="0.75" right="0.75" top="1" bottom="1" header="0.5" footer="0.5"/>
      <pageSetup orientation="portrait" r:id="rId9"/>
      <headerFooter alignWithMargins="0"/>
    </customSheetView>
    <customSheetView guid="{18BDED73-BFA0-442E-87EC-CED86EE4CF94}" scale="75" showRuler="0">
      <pane xSplit="12.426470588235293" topLeftCell="M1"/>
      <pageMargins left="0.75" right="0.75" top="1" bottom="1" header="0.5" footer="0.5"/>
      <pageSetup orientation="portrait" r:id="rId10"/>
      <headerFooter alignWithMargins="0"/>
    </customSheetView>
    <customSheetView guid="{35F19056-2E6F-4935-B863-78836FE990BF}" scale="75" showRuler="0">
      <pane xSplit="12.426470588235293" topLeftCell="M1"/>
      <pageMargins left="0.75" right="0.75" top="1" bottom="1" header="0.5" footer="0.5"/>
      <pageSetup orientation="portrait" r:id="rId11"/>
      <headerFooter alignWithMargins="0"/>
    </customSheetView>
    <customSheetView guid="{F562D92E-120C-4AE9-9663-89E64D41DC53}" scale="75">
      <pane xSplit="12.426470588235293" topLeftCell="M1"/>
      <selection activeCell="H7" sqref="H7"/>
      <pageMargins left="0.75" right="0.75" top="1" bottom="1" header="0.5" footer="0.5"/>
      <pageSetup orientation="portrait" r:id="rId12"/>
      <headerFooter alignWithMargins="0"/>
    </customSheetView>
  </customSheetViews>
  <phoneticPr fontId="11" type="noConversion"/>
  <pageMargins left="0.75" right="0.75" top="1" bottom="1" header="0.5" footer="0.5"/>
  <pageSetup orientation="portrait" r:id="rId13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5">
    <pageSetUpPr fitToPage="1"/>
  </sheetPr>
  <dimension ref="A1:R48"/>
  <sheetViews>
    <sheetView workbookViewId="0"/>
  </sheetViews>
  <sheetFormatPr defaultColWidth="8.6640625" defaultRowHeight="15.6" x14ac:dyDescent="0.3"/>
  <cols>
    <col min="1" max="1" width="8.6640625" style="360"/>
    <col min="2" max="2" width="22.58203125" style="360" customWidth="1"/>
    <col min="3" max="3" width="15.08203125" style="360" bestFit="1" customWidth="1"/>
    <col min="4" max="4" width="17.25" style="360" customWidth="1"/>
    <col min="5" max="6" width="8.6640625" style="360"/>
    <col min="7" max="7" width="24.4140625" style="360" customWidth="1"/>
    <col min="8" max="8" width="13.08203125" style="360" bestFit="1" customWidth="1"/>
    <col min="9" max="9" width="14.08203125" style="360" bestFit="1" customWidth="1"/>
    <col min="10" max="10" width="11" style="360" bestFit="1" customWidth="1"/>
    <col min="11" max="11" width="16.08203125" style="360" bestFit="1" customWidth="1"/>
    <col min="12" max="12" width="26.4140625" style="360" bestFit="1" customWidth="1"/>
    <col min="13" max="13" width="24.4140625" style="360" customWidth="1"/>
    <col min="14" max="14" width="19.25" style="360" bestFit="1" customWidth="1"/>
    <col min="15" max="15" width="11" style="360" bestFit="1" customWidth="1"/>
    <col min="16" max="16" width="33.6640625" style="360" bestFit="1" customWidth="1"/>
    <col min="17" max="17" width="22.75" style="360" customWidth="1"/>
    <col min="18" max="18" width="33.6640625" style="360" bestFit="1" customWidth="1"/>
    <col min="19" max="16384" width="8.6640625" style="360"/>
  </cols>
  <sheetData>
    <row r="1" spans="1:18" ht="19.8" x14ac:dyDescent="0.4">
      <c r="A1" s="359" t="s">
        <v>542</v>
      </c>
    </row>
    <row r="3" spans="1:18" x14ac:dyDescent="0.3">
      <c r="B3" s="360" t="str">
        <f>NAME</f>
        <v>DUKE ENERGY KENTUCKY, INC.</v>
      </c>
    </row>
    <row r="4" spans="1:18" x14ac:dyDescent="0.3">
      <c r="B4" s="360" t="str">
        <f>CASE_NO</f>
        <v>CASE NO.   2024-00354</v>
      </c>
    </row>
    <row r="5" spans="1:18" x14ac:dyDescent="0.3">
      <c r="B5" s="360" t="s">
        <v>665</v>
      </c>
      <c r="Q5" s="360" t="s">
        <v>657</v>
      </c>
    </row>
    <row r="6" spans="1:18" x14ac:dyDescent="0.3">
      <c r="B6" s="360" t="s">
        <v>666</v>
      </c>
      <c r="G6" s="360" t="s">
        <v>545</v>
      </c>
      <c r="Q6" s="360" t="str">
        <f>B4</f>
        <v>CASE NO.   2024-00354</v>
      </c>
    </row>
    <row r="7" spans="1:18" x14ac:dyDescent="0.3">
      <c r="G7" s="360" t="str">
        <f>B4</f>
        <v>CASE NO.   2024-00354</v>
      </c>
      <c r="M7" s="360" t="s">
        <v>638</v>
      </c>
    </row>
    <row r="8" spans="1:18" x14ac:dyDescent="0.3">
      <c r="O8" s="361"/>
      <c r="Q8" s="362" t="s">
        <v>640</v>
      </c>
      <c r="R8" s="363" t="s">
        <v>658</v>
      </c>
    </row>
    <row r="9" spans="1:18" ht="46.8" x14ac:dyDescent="0.3">
      <c r="C9" s="360" t="s">
        <v>550</v>
      </c>
      <c r="D9" s="364" t="s">
        <v>667</v>
      </c>
      <c r="G9" s="360" t="s">
        <v>640</v>
      </c>
      <c r="H9" s="364" t="s">
        <v>671</v>
      </c>
      <c r="I9" s="364" t="s">
        <v>670</v>
      </c>
      <c r="J9" s="364" t="s">
        <v>668</v>
      </c>
      <c r="K9" s="364" t="s">
        <v>787</v>
      </c>
      <c r="M9" s="360" t="s">
        <v>639</v>
      </c>
      <c r="N9" s="365" t="s">
        <v>669</v>
      </c>
      <c r="O9" s="366" t="s">
        <v>609</v>
      </c>
      <c r="P9" s="366" t="s">
        <v>790</v>
      </c>
      <c r="Q9" s="360" t="s">
        <v>52</v>
      </c>
      <c r="R9" s="367">
        <f>'Proposed Rates - Not Used'!C21</f>
        <v>-13878847</v>
      </c>
    </row>
    <row r="10" spans="1:18" x14ac:dyDescent="0.3">
      <c r="B10" s="360" t="s">
        <v>52</v>
      </c>
      <c r="C10" s="368">
        <f>'SCH M-2.3'!F23</f>
        <v>1689991</v>
      </c>
      <c r="D10" s="368">
        <f>+'Rate RS'!AN69+'Rate RS'!AN75</f>
        <v>197851566</v>
      </c>
      <c r="G10" s="360" t="s">
        <v>52</v>
      </c>
      <c r="H10" s="368">
        <v>31301526</v>
      </c>
      <c r="I10" s="368">
        <v>231141541</v>
      </c>
      <c r="J10" s="366">
        <f>(I10-D10)/D10</f>
        <v>0.16825732377574409</v>
      </c>
      <c r="K10" s="369">
        <f>I10-D10</f>
        <v>33289975</v>
      </c>
      <c r="L10" s="370"/>
      <c r="M10" s="360" t="s">
        <v>77</v>
      </c>
      <c r="N10" s="371">
        <f>'Rate SL'!AO265+'Rate SL'!AO196+'Rate SL'!AO282+'Rate SL'!AO292</f>
        <v>1418514</v>
      </c>
      <c r="O10" s="366">
        <f t="shared" ref="O10:O16" si="0">N10/$N$17</f>
        <v>0.56823795495642015</v>
      </c>
      <c r="P10" s="369">
        <f>'SCH M'!G47</f>
        <v>1642118</v>
      </c>
      <c r="Q10" s="360" t="s">
        <v>91</v>
      </c>
      <c r="R10" s="367">
        <f>'Proposed Rates - Not Used'!G50</f>
        <v>-6437730</v>
      </c>
    </row>
    <row r="11" spans="1:18" x14ac:dyDescent="0.3">
      <c r="B11" s="360" t="s">
        <v>91</v>
      </c>
      <c r="C11" s="368">
        <f>'SCH M-2.3'!F26</f>
        <v>155005</v>
      </c>
      <c r="D11" s="368">
        <f>+'Rate DS'!AO97+'Rate DS'!AO102</f>
        <v>128944821</v>
      </c>
      <c r="G11" s="360" t="s">
        <v>91</v>
      </c>
      <c r="H11" s="368">
        <v>2844514</v>
      </c>
      <c r="I11" s="368">
        <f>148047701-36735</f>
        <v>148010966</v>
      </c>
      <c r="J11" s="366">
        <f>(I11-D11)/D11</f>
        <v>0.14786282110547116</v>
      </c>
      <c r="K11" s="369"/>
      <c r="L11" s="370"/>
      <c r="M11" s="360" t="s">
        <v>81</v>
      </c>
      <c r="N11" s="371">
        <f>'Rate TL'!AO65</f>
        <v>101597</v>
      </c>
      <c r="O11" s="366">
        <f t="shared" si="0"/>
        <v>4.0698415038348174E-2</v>
      </c>
      <c r="P11" s="369">
        <f>'SCH M'!G48</f>
        <v>119336</v>
      </c>
      <c r="Q11" s="360" t="s">
        <v>261</v>
      </c>
      <c r="R11" s="360" t="s">
        <v>119</v>
      </c>
    </row>
    <row r="12" spans="1:18" x14ac:dyDescent="0.3">
      <c r="B12" s="360" t="s">
        <v>261</v>
      </c>
      <c r="C12" s="368">
        <f>'SCH M-2.3'!F42</f>
        <v>12</v>
      </c>
      <c r="D12" s="368">
        <f>+'Rate DS RTP'!AO83</f>
        <v>2021</v>
      </c>
      <c r="G12" s="360" t="s">
        <v>261</v>
      </c>
      <c r="H12" s="368"/>
      <c r="I12" s="368"/>
      <c r="J12" s="366"/>
      <c r="M12" s="360" t="s">
        <v>240</v>
      </c>
      <c r="N12" s="371">
        <f>'Rate UOLS'!AO56</f>
        <v>597561</v>
      </c>
      <c r="O12" s="366">
        <f t="shared" si="0"/>
        <v>0.23937503655354364</v>
      </c>
      <c r="P12" s="369">
        <f>'SCH M'!G49</f>
        <v>702058</v>
      </c>
    </row>
    <row r="13" spans="1:18" x14ac:dyDescent="0.3">
      <c r="B13" s="360" t="s">
        <v>540</v>
      </c>
      <c r="C13" s="368">
        <f>'SCH M-2.3'!F28</f>
        <v>1363</v>
      </c>
      <c r="D13" s="368">
        <f>+'Rate DT-Sec'!AO124+'Rate DT-Sec'!AO129</f>
        <v>57138458</v>
      </c>
      <c r="G13" s="360" t="s">
        <v>540</v>
      </c>
      <c r="H13" s="368">
        <v>224550</v>
      </c>
      <c r="I13" s="368">
        <v>65387908</v>
      </c>
      <c r="J13" s="366">
        <f>(I13-D13)/D13</f>
        <v>0.14437648982406912</v>
      </c>
      <c r="K13" s="371"/>
      <c r="M13" s="360" t="s">
        <v>86</v>
      </c>
      <c r="N13" s="371">
        <f>'Rate NSU'!AO88</f>
        <v>95798</v>
      </c>
      <c r="O13" s="366">
        <f t="shared" si="0"/>
        <v>3.8375412303942813E-2</v>
      </c>
      <c r="P13" s="369">
        <f>'SCH M'!G50</f>
        <v>110803</v>
      </c>
      <c r="Q13" s="360" t="s">
        <v>546</v>
      </c>
      <c r="R13" s="360" t="s">
        <v>119</v>
      </c>
    </row>
    <row r="14" spans="1:18" x14ac:dyDescent="0.3">
      <c r="B14" s="360" t="s">
        <v>546</v>
      </c>
      <c r="C14" s="368">
        <f>'SCH M-2.3'!F41</f>
        <v>12</v>
      </c>
      <c r="D14" s="368">
        <f>+'Rate DT RTP-S'!AO75</f>
        <v>68302</v>
      </c>
      <c r="G14" s="360" t="s">
        <v>546</v>
      </c>
      <c r="H14" s="368"/>
      <c r="I14" s="368"/>
      <c r="J14" s="366"/>
      <c r="K14" s="369"/>
      <c r="M14" s="360" t="s">
        <v>73</v>
      </c>
      <c r="N14" s="371">
        <f>'Rate SC'!AO138</f>
        <v>6346</v>
      </c>
      <c r="O14" s="366">
        <f t="shared" si="0"/>
        <v>2.5421237027998611E-3</v>
      </c>
      <c r="P14" s="369">
        <f>'SCH M'!G51</f>
        <v>7457</v>
      </c>
      <c r="Q14" s="360" t="s">
        <v>1132</v>
      </c>
      <c r="R14" s="367">
        <f>'Proposed Rates - Not Used'!O41</f>
        <v>-5742234</v>
      </c>
    </row>
    <row r="15" spans="1:18" x14ac:dyDescent="0.3">
      <c r="B15" s="360" t="s">
        <v>539</v>
      </c>
      <c r="C15" s="368">
        <f>'SCH M-2.3'!F27</f>
        <v>395</v>
      </c>
      <c r="D15" s="368">
        <f>+'Rate DT-Pri'!AO128+'Rate DT-Pri'!AO133</f>
        <v>44398656</v>
      </c>
      <c r="G15" s="360" t="s">
        <v>539</v>
      </c>
      <c r="H15" s="368">
        <v>142589</v>
      </c>
      <c r="I15" s="368">
        <f>51390855-L26</f>
        <v>51307104</v>
      </c>
      <c r="J15" s="366">
        <f>(I15-D15)/D15</f>
        <v>0.15560038574140622</v>
      </c>
      <c r="M15" s="360" t="s">
        <v>70</v>
      </c>
      <c r="N15" s="371">
        <f>'Rate SE'!AO101</f>
        <v>256678</v>
      </c>
      <c r="O15" s="366">
        <f t="shared" si="0"/>
        <v>0.10282181339225697</v>
      </c>
      <c r="P15" s="369">
        <f>'SCH M'!G52</f>
        <v>297161</v>
      </c>
      <c r="Q15" s="360" t="s">
        <v>547</v>
      </c>
      <c r="R15" s="360" t="s">
        <v>119</v>
      </c>
    </row>
    <row r="16" spans="1:18" x14ac:dyDescent="0.3">
      <c r="B16" s="360" t="s">
        <v>547</v>
      </c>
      <c r="C16" s="368">
        <f>'SCH M-2.3'!F40</f>
        <v>0</v>
      </c>
      <c r="D16" s="368">
        <v>0</v>
      </c>
      <c r="G16" s="360" t="s">
        <v>547</v>
      </c>
      <c r="H16" s="368"/>
      <c r="I16" s="368"/>
      <c r="J16" s="366"/>
      <c r="M16" s="360" t="s">
        <v>796</v>
      </c>
      <c r="N16" s="371">
        <f>'Rate LED'!AO684</f>
        <v>19844</v>
      </c>
      <c r="O16" s="366">
        <f t="shared" si="0"/>
        <v>7.9492440526883774E-3</v>
      </c>
      <c r="P16" s="369">
        <f>'SCH M'!G53</f>
        <v>22881.429167999999</v>
      </c>
      <c r="Q16" s="360" t="s">
        <v>94</v>
      </c>
      <c r="R16" s="367">
        <f>'Proposed Rates - Not Used'!W24</f>
        <v>148</v>
      </c>
    </row>
    <row r="17" spans="2:18" x14ac:dyDescent="0.3">
      <c r="B17" s="360" t="s">
        <v>94</v>
      </c>
      <c r="C17" s="368">
        <f>'SCH M-2.3'!F29</f>
        <v>1006</v>
      </c>
      <c r="D17" s="368">
        <f>+'Rate EH'!AO82+'Rate EH'!AO87</f>
        <v>1829152</v>
      </c>
      <c r="G17" s="360" t="s">
        <v>94</v>
      </c>
      <c r="H17" s="368">
        <v>30621</v>
      </c>
      <c r="I17" s="368">
        <v>2273990</v>
      </c>
      <c r="J17" s="366">
        <f>(I17-D17)/D17</f>
        <v>0.24319356729238467</v>
      </c>
      <c r="M17" s="360" t="s">
        <v>543</v>
      </c>
      <c r="N17" s="371">
        <f>SUM(N10:N16)</f>
        <v>2496338</v>
      </c>
      <c r="P17" s="371">
        <f>SUM(P10:P16)</f>
        <v>2901814.4291679999</v>
      </c>
      <c r="Q17" s="360" t="s">
        <v>95</v>
      </c>
      <c r="R17" s="367">
        <f>'Proposed Rates - Not Used'!AA24</f>
        <v>4</v>
      </c>
    </row>
    <row r="18" spans="2:18" x14ac:dyDescent="0.3">
      <c r="B18" s="360" t="s">
        <v>95</v>
      </c>
      <c r="C18" s="368">
        <f>'SCH M-2.3'!F30</f>
        <v>166</v>
      </c>
      <c r="D18" s="368">
        <f>+'Rate SP GSFL'!AO92+'Rate SP GSFL'!AO97</f>
        <v>50918</v>
      </c>
      <c r="G18" s="360" t="s">
        <v>95</v>
      </c>
      <c r="H18" s="368">
        <v>2517</v>
      </c>
      <c r="I18" s="368">
        <v>52824</v>
      </c>
      <c r="J18" s="366">
        <f>(I18-D18)/D18</f>
        <v>3.743273498566322E-2</v>
      </c>
      <c r="K18" s="371">
        <f>I18-D18</f>
        <v>1906</v>
      </c>
      <c r="Q18" s="360" t="s">
        <v>93</v>
      </c>
      <c r="R18" s="367">
        <f>'Proposed Rates - Not Used'!AE22</f>
        <v>64</v>
      </c>
    </row>
    <row r="19" spans="2:18" x14ac:dyDescent="0.3">
      <c r="B19" s="360" t="s">
        <v>93</v>
      </c>
      <c r="C19" s="368">
        <f>'SCH M-2.3'!F31</f>
        <v>275</v>
      </c>
      <c r="D19" s="368">
        <f>+'Rate SP GSFL'!AO111+'Rate SP GSFL'!AO116</f>
        <v>800742</v>
      </c>
      <c r="G19" s="360" t="s">
        <v>93</v>
      </c>
      <c r="H19" s="368">
        <v>5850</v>
      </c>
      <c r="I19" s="368">
        <v>850522</v>
      </c>
      <c r="J19" s="366">
        <f>(I19-D19)/D19</f>
        <v>6.2167339792342603E-2</v>
      </c>
      <c r="M19" s="360" t="s">
        <v>641</v>
      </c>
      <c r="N19" s="371">
        <f>I23</f>
        <v>2843207</v>
      </c>
      <c r="Q19" s="360" t="s">
        <v>92</v>
      </c>
      <c r="R19" s="367">
        <f>'Proposed Rates - Not Used'!AJ36</f>
        <v>60</v>
      </c>
    </row>
    <row r="20" spans="2:18" x14ac:dyDescent="0.3">
      <c r="B20" s="360" t="s">
        <v>92</v>
      </c>
      <c r="C20" s="368">
        <f>'SCH M-2.3'!F32</f>
        <v>120</v>
      </c>
      <c r="D20" s="368">
        <f>+'Rate DP'!AO89+'Rate DP'!AO94</f>
        <v>846253</v>
      </c>
      <c r="G20" s="360" t="s">
        <v>92</v>
      </c>
      <c r="H20" s="368">
        <v>14419</v>
      </c>
      <c r="I20" s="368">
        <v>899851</v>
      </c>
      <c r="J20" s="366">
        <f>(I20-D20)/D20</f>
        <v>6.3335669120227645E-2</v>
      </c>
      <c r="K20" s="371">
        <f>I20-D20</f>
        <v>53598</v>
      </c>
      <c r="N20" s="366"/>
      <c r="Q20" s="360" t="s">
        <v>60</v>
      </c>
      <c r="R20" s="367">
        <f>'Proposed Rates - Not Used'!AO38</f>
        <v>-1247</v>
      </c>
    </row>
    <row r="21" spans="2:18" x14ac:dyDescent="0.3">
      <c r="B21" s="360" t="s">
        <v>60</v>
      </c>
      <c r="C21" s="368">
        <f>'SCH M-2.3'!F36</f>
        <v>156</v>
      </c>
      <c r="D21" s="368">
        <f>+'Rate TT'!AO111+'Rate TT'!AO116</f>
        <v>14977027</v>
      </c>
      <c r="G21" s="360" t="s">
        <v>60</v>
      </c>
      <c r="H21" s="368">
        <v>49918</v>
      </c>
      <c r="I21" s="368">
        <v>16766906</v>
      </c>
      <c r="J21" s="366">
        <f>(I21-D21-D22)/(D21+D22)</f>
        <v>8.315193489087927E-2</v>
      </c>
      <c r="K21" s="371">
        <f>I21-D21-D22</f>
        <v>1287170</v>
      </c>
      <c r="Q21" s="360" t="s">
        <v>548</v>
      </c>
      <c r="R21" s="360" t="s">
        <v>119</v>
      </c>
    </row>
    <row r="22" spans="2:18" ht="16.2" thickBot="1" x14ac:dyDescent="0.35">
      <c r="B22" s="360" t="s">
        <v>548</v>
      </c>
      <c r="C22" s="368">
        <f>'SCH M-2.3'!F43</f>
        <v>24</v>
      </c>
      <c r="D22" s="368">
        <f>+'Rate TT RTP'!AO77</f>
        <v>502709</v>
      </c>
      <c r="G22" s="360" t="s">
        <v>548</v>
      </c>
      <c r="H22" s="368"/>
      <c r="I22" s="368"/>
      <c r="J22" s="366"/>
      <c r="Q22" s="360" t="s">
        <v>549</v>
      </c>
      <c r="R22" s="369">
        <f>'Proposed Rates - Not Used'!AT9</f>
        <v>-200.57083200011402</v>
      </c>
    </row>
    <row r="23" spans="2:18" x14ac:dyDescent="0.3">
      <c r="B23" s="360" t="s">
        <v>549</v>
      </c>
      <c r="C23" s="368">
        <f>'SCH M-2.3'!F54</f>
        <v>168482</v>
      </c>
      <c r="D23" s="368">
        <f>+N17</f>
        <v>2496338</v>
      </c>
      <c r="G23" s="360" t="s">
        <v>549</v>
      </c>
      <c r="H23" s="368">
        <v>1061548</v>
      </c>
      <c r="I23" s="368">
        <v>2843207</v>
      </c>
      <c r="J23" s="366">
        <f>(I23-D23)/D23</f>
        <v>0.13895113562346126</v>
      </c>
      <c r="L23" s="372" t="s">
        <v>975</v>
      </c>
    </row>
    <row r="24" spans="2:18" x14ac:dyDescent="0.3">
      <c r="B24" s="360" t="s">
        <v>673</v>
      </c>
      <c r="C24" s="368">
        <f>'SCH M-2.2'!F63</f>
        <v>12</v>
      </c>
      <c r="D24" s="368">
        <v>907583</v>
      </c>
      <c r="G24" s="360" t="s">
        <v>673</v>
      </c>
      <c r="H24" s="368">
        <v>2767</v>
      </c>
      <c r="I24" s="368">
        <v>991334</v>
      </c>
      <c r="J24" s="366">
        <f>(I24-D24)/D24</f>
        <v>9.2279163448411874E-2</v>
      </c>
      <c r="K24" s="371"/>
      <c r="L24" s="373">
        <v>9.2200000000000004E-2</v>
      </c>
      <c r="Q24" s="360" t="s">
        <v>663</v>
      </c>
      <c r="R24" s="374">
        <f>SUM(R9:R22)</f>
        <v>-26059982.570831999</v>
      </c>
    </row>
    <row r="25" spans="2:18" x14ac:dyDescent="0.3">
      <c r="C25" s="368"/>
      <c r="D25" s="368"/>
      <c r="H25" s="368"/>
      <c r="I25" s="365"/>
      <c r="J25" s="366"/>
      <c r="L25" s="375">
        <v>991334</v>
      </c>
      <c r="R25" s="369"/>
    </row>
    <row r="26" spans="2:18" ht="16.2" thickBot="1" x14ac:dyDescent="0.35">
      <c r="B26" s="360" t="s">
        <v>826</v>
      </c>
      <c r="C26" s="368"/>
      <c r="D26" s="368">
        <f>+'SCH M-2.2'!V57</f>
        <v>33541</v>
      </c>
      <c r="G26" s="360" t="s">
        <v>826</v>
      </c>
      <c r="H26" s="368"/>
      <c r="I26" s="368">
        <v>36850</v>
      </c>
      <c r="J26" s="366">
        <f>(I26-D26)/D26</f>
        <v>9.8655377001282019E-2</v>
      </c>
      <c r="L26" s="376">
        <f>+L25-907583</f>
        <v>83751</v>
      </c>
      <c r="N26" s="365"/>
    </row>
    <row r="27" spans="2:18" x14ac:dyDescent="0.3">
      <c r="C27" s="368"/>
      <c r="D27" s="368"/>
      <c r="H27" s="368"/>
      <c r="I27" s="368"/>
      <c r="J27" s="366"/>
      <c r="L27" s="372" t="s">
        <v>826</v>
      </c>
      <c r="N27" s="367"/>
      <c r="O27" s="377"/>
      <c r="P27" s="374"/>
    </row>
    <row r="28" spans="2:18" ht="16.2" thickBot="1" x14ac:dyDescent="0.35">
      <c r="B28" s="360" t="s">
        <v>544</v>
      </c>
      <c r="C28" s="368">
        <f>'SCH M-2.2'!F63</f>
        <v>12</v>
      </c>
      <c r="D28" s="368"/>
      <c r="G28" s="360" t="s">
        <v>544</v>
      </c>
      <c r="H28" s="368">
        <v>0</v>
      </c>
      <c r="I28" s="368">
        <f>'SCH M-2.3'!R65-'SCH M-2.3'!R57-'SCH M-2.3'!R63</f>
        <v>3590465</v>
      </c>
      <c r="J28" s="366" t="e">
        <f>(I28-D28)/D28</f>
        <v>#DIV/0!</v>
      </c>
      <c r="L28" s="378">
        <v>36850</v>
      </c>
      <c r="N28" s="367"/>
      <c r="O28" s="377"/>
      <c r="P28" s="374"/>
    </row>
    <row r="29" spans="2:18" x14ac:dyDescent="0.3">
      <c r="B29" s="360" t="s">
        <v>11</v>
      </c>
      <c r="C29" s="371">
        <f>SUM(C10:C28)</f>
        <v>2017031</v>
      </c>
      <c r="D29" s="371">
        <f>SUM(D10:D28)</f>
        <v>450848087</v>
      </c>
      <c r="G29" s="360" t="s">
        <v>11</v>
      </c>
      <c r="H29" s="371">
        <f>SUM(H10:H24)+H28</f>
        <v>35680819</v>
      </c>
      <c r="I29" s="371">
        <f>SUM(I10:I24)+I28+I26</f>
        <v>524153468</v>
      </c>
      <c r="J29" s="366">
        <f>(I29-D29)/D29</f>
        <v>0.16259441508953326</v>
      </c>
      <c r="N29" s="367"/>
      <c r="O29" s="377"/>
      <c r="P29" s="374"/>
    </row>
    <row r="30" spans="2:18" x14ac:dyDescent="0.3">
      <c r="I30" s="371">
        <f>I29-D29</f>
        <v>73305381</v>
      </c>
      <c r="K30" s="371"/>
      <c r="L30" s="371"/>
      <c r="N30" s="367"/>
      <c r="O30" s="377"/>
      <c r="P30" s="374"/>
    </row>
    <row r="31" spans="2:18" x14ac:dyDescent="0.3">
      <c r="B31" s="379" t="s">
        <v>980</v>
      </c>
      <c r="C31" s="371">
        <f>C11+C19+C17+C18</f>
        <v>156452</v>
      </c>
      <c r="D31" s="371">
        <f>D11+D19+D17+D26+D18</f>
        <v>131659174</v>
      </c>
      <c r="G31" s="379" t="s">
        <v>980</v>
      </c>
      <c r="H31" s="371">
        <f>H11+H19+H17+H18+H24</f>
        <v>2886269</v>
      </c>
      <c r="I31" s="371">
        <f>I11+I19+I17+I18+I26</f>
        <v>151225152</v>
      </c>
      <c r="J31" s="366">
        <f>(I31-D31)/D31</f>
        <v>0.14861082145327753</v>
      </c>
      <c r="N31" s="367"/>
      <c r="O31" s="377"/>
      <c r="P31" s="374"/>
    </row>
    <row r="32" spans="2:18" x14ac:dyDescent="0.3">
      <c r="G32" s="379"/>
      <c r="N32" s="367"/>
      <c r="O32" s="377"/>
      <c r="P32" s="374"/>
    </row>
    <row r="33" spans="4:16" x14ac:dyDescent="0.3">
      <c r="D33" s="371"/>
      <c r="N33" s="367"/>
      <c r="O33" s="377"/>
      <c r="P33" s="374"/>
    </row>
    <row r="34" spans="4:16" x14ac:dyDescent="0.3">
      <c r="G34" s="360" t="s">
        <v>91</v>
      </c>
      <c r="I34" s="371">
        <f>I31-I35-I36-I38-I39-I37</f>
        <v>148109092</v>
      </c>
      <c r="J34" s="366">
        <f>K34/(D11+D12)</f>
        <v>0.14860581075727314</v>
      </c>
      <c r="K34" s="371">
        <f>I34-D11-D12</f>
        <v>19162250</v>
      </c>
      <c r="N34" s="374"/>
      <c r="O34" s="377"/>
      <c r="P34" s="374"/>
    </row>
    <row r="35" spans="4:16" x14ac:dyDescent="0.3">
      <c r="G35" s="360" t="s">
        <v>359</v>
      </c>
      <c r="I35" s="368">
        <f>ROUND(D19*(1+$J$31),0)</f>
        <v>919741</v>
      </c>
      <c r="J35" s="366">
        <f>K35/D19</f>
        <v>0.14861091337784205</v>
      </c>
      <c r="K35" s="371">
        <f>I35-D19</f>
        <v>118999</v>
      </c>
      <c r="O35" s="380"/>
      <c r="P35" s="374"/>
    </row>
    <row r="36" spans="4:16" x14ac:dyDescent="0.3">
      <c r="G36" s="360" t="s">
        <v>94</v>
      </c>
      <c r="I36" s="368">
        <f>ROUND(D17*(1+$J$31),0)</f>
        <v>2100984</v>
      </c>
      <c r="J36" s="366">
        <f>K36/D17</f>
        <v>0.14861094102622419</v>
      </c>
      <c r="K36" s="371">
        <f>I36-D17</f>
        <v>271832</v>
      </c>
    </row>
    <row r="37" spans="4:16" x14ac:dyDescent="0.3">
      <c r="G37" s="360" t="s">
        <v>95</v>
      </c>
      <c r="I37" s="368">
        <f>ROUND(D18*(1+$J$31),0)</f>
        <v>58485</v>
      </c>
      <c r="J37" s="366">
        <f>K37/D18</f>
        <v>0.14861149298872697</v>
      </c>
      <c r="K37" s="371">
        <f>I37-D18</f>
        <v>7567</v>
      </c>
      <c r="O37" s="369"/>
    </row>
    <row r="38" spans="4:16" x14ac:dyDescent="0.3">
      <c r="I38" s="368"/>
      <c r="J38" s="366"/>
      <c r="K38" s="371"/>
    </row>
    <row r="39" spans="4:16" x14ac:dyDescent="0.3">
      <c r="G39" s="360" t="s">
        <v>826</v>
      </c>
      <c r="I39" s="368">
        <f>I26</f>
        <v>36850</v>
      </c>
      <c r="J39" s="366">
        <f>+K39/D26</f>
        <v>9.8655377001282019E-2</v>
      </c>
      <c r="K39" s="371">
        <f>+I39-D26</f>
        <v>3309</v>
      </c>
    </row>
    <row r="40" spans="4:16" x14ac:dyDescent="0.3">
      <c r="G40" s="379" t="s">
        <v>980</v>
      </c>
      <c r="I40" s="371">
        <f>SUM(I34:I39)</f>
        <v>151225152</v>
      </c>
      <c r="J40" s="371">
        <f>I11+I17+I18+I19+I26-I40</f>
        <v>0</v>
      </c>
    </row>
    <row r="41" spans="4:16" x14ac:dyDescent="0.3">
      <c r="I41" s="371"/>
    </row>
    <row r="42" spans="4:16" x14ac:dyDescent="0.3">
      <c r="G42" s="360" t="s">
        <v>762</v>
      </c>
      <c r="J42" s="366">
        <f>((I13+I15)/(D13+D14+D15+D16))-1</f>
        <v>0.14851172894169351</v>
      </c>
      <c r="K42" s="368">
        <f>(I13+I15)-(D13+D14+D15+D16)</f>
        <v>15089596</v>
      </c>
    </row>
    <row r="44" spans="4:16" x14ac:dyDescent="0.3">
      <c r="F44" s="360" t="s">
        <v>789</v>
      </c>
      <c r="I44" s="360" t="s">
        <v>790</v>
      </c>
      <c r="J44" s="360" t="s">
        <v>780</v>
      </c>
      <c r="K44" s="360" t="s">
        <v>787</v>
      </c>
    </row>
    <row r="45" spans="4:16" x14ac:dyDescent="0.3">
      <c r="F45" s="369">
        <f>'Rate DS RTP'!AO75</f>
        <v>2024</v>
      </c>
      <c r="G45" s="360" t="s">
        <v>261</v>
      </c>
      <c r="I45" s="369">
        <f>'Rate DS RTP'!R31</f>
        <v>1994</v>
      </c>
      <c r="J45" s="366">
        <f>K45/F45</f>
        <v>-1.4822134387351778E-2</v>
      </c>
      <c r="K45" s="369">
        <f>I45-F45</f>
        <v>-30</v>
      </c>
    </row>
    <row r="46" spans="4:16" x14ac:dyDescent="0.3">
      <c r="F46" s="369">
        <f>'Rate DT RTP-S'!AO75</f>
        <v>68302</v>
      </c>
      <c r="G46" s="360" t="s">
        <v>788</v>
      </c>
      <c r="I46" s="369">
        <f>'Rate DT RTP-S'!R31</f>
        <v>79390</v>
      </c>
      <c r="J46" s="366">
        <f>K46/F46</f>
        <v>0.16233785247869756</v>
      </c>
      <c r="K46" s="369">
        <f>I46-F46</f>
        <v>11088</v>
      </c>
    </row>
    <row r="47" spans="4:16" x14ac:dyDescent="0.3">
      <c r="F47" s="369">
        <f>'Rate TT RTP'!AO77</f>
        <v>502709</v>
      </c>
      <c r="G47" s="360" t="s">
        <v>262</v>
      </c>
      <c r="I47" s="369">
        <f>'Rate TT RTP'!R31</f>
        <v>544664</v>
      </c>
      <c r="J47" s="366">
        <f>K47/F47</f>
        <v>8.3457825501433242E-2</v>
      </c>
      <c r="K47" s="369">
        <f>I47-F47</f>
        <v>41955</v>
      </c>
    </row>
    <row r="48" spans="4:16" x14ac:dyDescent="0.3">
      <c r="F48" s="369">
        <f>SUM(F45:F47)</f>
        <v>573035</v>
      </c>
      <c r="I48" s="369">
        <f>SUM(I45:I47)</f>
        <v>626048</v>
      </c>
      <c r="J48" s="366">
        <f>K48/F48</f>
        <v>9.2512673745931751E-2</v>
      </c>
      <c r="K48" s="369">
        <f>SUM(K45:K47)</f>
        <v>53013</v>
      </c>
    </row>
  </sheetData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8">
    <pageSetUpPr fitToPage="1"/>
  </sheetPr>
  <dimension ref="A1:X65"/>
  <sheetViews>
    <sheetView workbookViewId="0"/>
  </sheetViews>
  <sheetFormatPr defaultColWidth="8.9140625" defaultRowHeight="13.8" x14ac:dyDescent="0.25"/>
  <cols>
    <col min="1" max="1" width="42.58203125" style="100" bestFit="1" customWidth="1"/>
    <col min="2" max="2" width="14.08203125" style="100" customWidth="1"/>
    <col min="3" max="3" width="12.6640625" style="100" customWidth="1"/>
    <col min="4" max="4" width="12" style="100" bestFit="1" customWidth="1"/>
    <col min="5" max="5" width="11.75" style="100" customWidth="1"/>
    <col min="6" max="6" width="1.75" style="100" customWidth="1"/>
    <col min="7" max="7" width="11.9140625" style="100" customWidth="1"/>
    <col min="8" max="10" width="11" style="100" bestFit="1" customWidth="1"/>
    <col min="11" max="11" width="13.08203125" style="100" customWidth="1"/>
    <col min="12" max="12" width="14.08203125" style="100" customWidth="1"/>
    <col min="13" max="13" width="12.08203125" style="100" bestFit="1" customWidth="1"/>
    <col min="14" max="14" width="10.6640625" style="100" bestFit="1" customWidth="1"/>
    <col min="15" max="15" width="10" style="100" bestFit="1" customWidth="1"/>
    <col min="16" max="16" width="10.6640625" style="100" bestFit="1" customWidth="1"/>
    <col min="17" max="17" width="8.9140625" style="100"/>
    <col min="18" max="18" width="10.6640625" style="100" bestFit="1" customWidth="1"/>
    <col min="19" max="19" width="10" style="100" bestFit="1" customWidth="1"/>
    <col min="20" max="20" width="9.33203125" style="100" bestFit="1" customWidth="1"/>
    <col min="21" max="22" width="11" style="100" bestFit="1" customWidth="1"/>
    <col min="23" max="16384" width="8.9140625" style="100"/>
  </cols>
  <sheetData>
    <row r="1" spans="1:24" x14ac:dyDescent="0.25">
      <c r="A1" s="100" t="s">
        <v>974</v>
      </c>
      <c r="H1" s="118">
        <f>H6-H38</f>
        <v>18977</v>
      </c>
    </row>
    <row r="2" spans="1:24" x14ac:dyDescent="0.25">
      <c r="B2" s="103" t="s">
        <v>1128</v>
      </c>
      <c r="C2" s="103"/>
      <c r="D2" s="103"/>
      <c r="E2" s="103"/>
      <c r="G2" s="103"/>
      <c r="H2" s="103"/>
      <c r="I2" s="103"/>
      <c r="J2" s="103"/>
      <c r="K2" s="103"/>
      <c r="L2" s="107" t="s">
        <v>543</v>
      </c>
    </row>
    <row r="3" spans="1:24" x14ac:dyDescent="0.25">
      <c r="B3" s="104" t="s">
        <v>543</v>
      </c>
      <c r="C3" s="105" t="s">
        <v>848</v>
      </c>
      <c r="D3" s="105"/>
      <c r="E3" s="105"/>
      <c r="G3" s="106" t="s">
        <v>850</v>
      </c>
      <c r="H3" s="106"/>
      <c r="I3" s="106"/>
      <c r="J3" s="106"/>
      <c r="K3" s="106"/>
      <c r="L3" s="108" t="s">
        <v>851</v>
      </c>
      <c r="N3" s="100" t="s">
        <v>1119</v>
      </c>
      <c r="O3" s="100" t="s">
        <v>1120</v>
      </c>
      <c r="P3" s="100" t="s">
        <v>1121</v>
      </c>
      <c r="Q3" s="100" t="s">
        <v>1122</v>
      </c>
      <c r="S3" s="100" t="s">
        <v>1123</v>
      </c>
    </row>
    <row r="4" spans="1:24" x14ac:dyDescent="0.25">
      <c r="B4" s="109" t="s">
        <v>847</v>
      </c>
      <c r="C4" s="109" t="s">
        <v>834</v>
      </c>
      <c r="D4" s="109" t="s">
        <v>842</v>
      </c>
      <c r="E4" s="109" t="s">
        <v>543</v>
      </c>
      <c r="F4" s="109"/>
      <c r="G4" s="110" t="s">
        <v>846</v>
      </c>
      <c r="H4" s="110" t="s">
        <v>845</v>
      </c>
      <c r="I4" s="110" t="s">
        <v>844</v>
      </c>
      <c r="J4" s="110" t="s">
        <v>843</v>
      </c>
      <c r="K4" s="110" t="s">
        <v>543</v>
      </c>
      <c r="L4" s="109" t="s">
        <v>848</v>
      </c>
    </row>
    <row r="5" spans="1:24" x14ac:dyDescent="0.25">
      <c r="B5" s="109"/>
      <c r="C5" s="109"/>
      <c r="D5" s="109"/>
      <c r="E5" s="109"/>
      <c r="F5" s="109"/>
      <c r="G5" s="110"/>
      <c r="H5" s="110"/>
      <c r="I5" s="110"/>
      <c r="J5" s="110"/>
      <c r="K5" s="110"/>
      <c r="L5" s="109"/>
    </row>
    <row r="6" spans="1:24" ht="15" x14ac:dyDescent="0.25">
      <c r="A6" s="100" t="s">
        <v>52</v>
      </c>
      <c r="B6" s="101">
        <f>+'SCH M'!E21</f>
        <v>205065246</v>
      </c>
      <c r="C6" s="101">
        <f>+'SCH M-2.1'!H20*CUR_BASE_FUEL</f>
        <v>51606694.166339993</v>
      </c>
      <c r="D6" s="101">
        <f>+'SCH M-2.1'!P20</f>
        <v>5327517</v>
      </c>
      <c r="E6" s="101">
        <f>+C6+D6</f>
        <v>56934211.166339993</v>
      </c>
      <c r="F6" s="101"/>
      <c r="G6" s="101">
        <f>+'Rate RS'!AN72</f>
        <v>506997</v>
      </c>
      <c r="H6" s="101">
        <f>+'Rate RS'!AN74</f>
        <v>860063</v>
      </c>
      <c r="I6" s="101">
        <f>+'Rate RS'!AN73</f>
        <v>2065490</v>
      </c>
      <c r="J6" s="101">
        <f>+'Rate RS'!AN76</f>
        <v>3781130</v>
      </c>
      <c r="K6" s="101">
        <f>SUM(G6:J6)</f>
        <v>7213680</v>
      </c>
      <c r="L6" s="101">
        <f>+B6-E6-K6</f>
        <v>140917354.83366001</v>
      </c>
      <c r="M6" s="101"/>
      <c r="N6" s="101">
        <v>0</v>
      </c>
      <c r="O6" s="101"/>
      <c r="P6" s="101"/>
      <c r="Q6" s="101"/>
      <c r="R6" s="101"/>
      <c r="S6" s="101"/>
      <c r="T6" s="101"/>
      <c r="U6" s="101"/>
      <c r="V6" s="101"/>
      <c r="W6" s="118"/>
      <c r="X6" s="118"/>
    </row>
    <row r="7" spans="1:24" ht="15" x14ac:dyDescent="0.25"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18"/>
      <c r="X7" s="118"/>
    </row>
    <row r="8" spans="1:24" ht="15" x14ac:dyDescent="0.25">
      <c r="A8" s="100" t="s">
        <v>91</v>
      </c>
      <c r="B8" s="101">
        <f>+'SCH M'!E26</f>
        <v>136119148</v>
      </c>
      <c r="C8" s="101">
        <f>+'SCH M-2.1'!H22*CUR_BASE_FUEL</f>
        <v>37068243.938939996</v>
      </c>
      <c r="D8" s="101">
        <f>+'SCH M-2.1'!P22</f>
        <v>3826668</v>
      </c>
      <c r="E8" s="101">
        <f t="shared" ref="E8:E27" si="0">+C8+D8</f>
        <v>40894911.938939996</v>
      </c>
      <c r="F8" s="101"/>
      <c r="G8" s="101"/>
      <c r="H8" s="101">
        <f>+'Rate DS'!AO101</f>
        <v>614411</v>
      </c>
      <c r="I8" s="101">
        <f>+'Rate DS'!AO100</f>
        <v>3843992</v>
      </c>
      <c r="J8" s="101">
        <f>+'Rate DS'!AO103</f>
        <v>2715924</v>
      </c>
      <c r="K8" s="101">
        <f t="shared" ref="K8:K25" si="1">SUM(G8:J8)</f>
        <v>7174327</v>
      </c>
      <c r="L8" s="101">
        <f t="shared" ref="L8:L27" si="2">+B8-E8-K8</f>
        <v>88049909.061060011</v>
      </c>
      <c r="M8" s="101"/>
      <c r="N8" s="101">
        <f>'Rate DS'!AA87</f>
        <v>2641511</v>
      </c>
      <c r="O8" s="101">
        <v>2481303</v>
      </c>
      <c r="P8" s="101">
        <f>N8-O8</f>
        <v>160208</v>
      </c>
      <c r="Q8" s="120">
        <v>10.68</v>
      </c>
      <c r="R8" s="101">
        <f>P8*Q8</f>
        <v>1711021.44</v>
      </c>
      <c r="S8" s="101">
        <v>2735627</v>
      </c>
      <c r="T8" s="101">
        <f t="shared" ref="T8:T10" si="3">N8-S8</f>
        <v>-94116</v>
      </c>
      <c r="U8" s="101"/>
      <c r="V8" s="101"/>
      <c r="W8" s="118"/>
      <c r="X8" s="118"/>
    </row>
    <row r="9" spans="1:24" ht="15" x14ac:dyDescent="0.25">
      <c r="A9" s="100" t="s">
        <v>841</v>
      </c>
      <c r="B9" s="101">
        <f>+'SCH M'!E27</f>
        <v>47429831</v>
      </c>
      <c r="C9" s="101">
        <f>+'SCH M-2.1'!H23*CUR_BASE_FUEL</f>
        <v>16044400.123199999</v>
      </c>
      <c r="D9" s="101">
        <f>+'SCH M-2.1'!P23</f>
        <v>1656313</v>
      </c>
      <c r="E9" s="101">
        <f t="shared" si="0"/>
        <v>17700713.123199999</v>
      </c>
      <c r="F9" s="101"/>
      <c r="G9" s="101"/>
      <c r="H9" s="101">
        <f>+'Rate DT-Pri'!AO132</f>
        <v>191820</v>
      </c>
      <c r="I9" s="101">
        <f>+'Rate DT-Pri'!AO131</f>
        <v>1663811</v>
      </c>
      <c r="J9" s="101">
        <f>+'Rate DT-Pri'!AO134</f>
        <v>1175544</v>
      </c>
      <c r="K9" s="101">
        <f t="shared" si="1"/>
        <v>3031175</v>
      </c>
      <c r="L9" s="101">
        <f t="shared" si="2"/>
        <v>26697942.876800001</v>
      </c>
      <c r="M9" s="101"/>
      <c r="N9" s="101">
        <f>'Rate DT-Pri'!H29+'Rate DT-Pri'!H47</f>
        <v>972035</v>
      </c>
      <c r="O9" s="101">
        <v>1056031</v>
      </c>
      <c r="P9" s="101">
        <f t="shared" ref="P9:P10" si="4">N9-O9</f>
        <v>-83996</v>
      </c>
      <c r="Q9" s="120">
        <v>20</v>
      </c>
      <c r="R9" s="101">
        <f t="shared" ref="R9:R10" si="5">P9*Q9</f>
        <v>-1679920</v>
      </c>
      <c r="S9" s="101">
        <v>986388</v>
      </c>
      <c r="T9" s="101">
        <f t="shared" si="3"/>
        <v>-14353</v>
      </c>
      <c r="U9" s="101"/>
      <c r="V9" s="101"/>
      <c r="W9" s="118"/>
      <c r="X9" s="118"/>
    </row>
    <row r="10" spans="1:24" ht="15" x14ac:dyDescent="0.25">
      <c r="A10" s="100" t="s">
        <v>840</v>
      </c>
      <c r="B10" s="101">
        <f>+'SCH M'!E28</f>
        <v>60974671</v>
      </c>
      <c r="C10" s="101">
        <f>+'SCH M-2.1'!H24*CUR_BASE_FUEL</f>
        <v>20269548.77922</v>
      </c>
      <c r="D10" s="101">
        <f>+'SCH M-2.1'!P24</f>
        <v>2092488</v>
      </c>
      <c r="E10" s="101">
        <f t="shared" si="0"/>
        <v>22362036.77922</v>
      </c>
      <c r="F10" s="101"/>
      <c r="G10" s="101"/>
      <c r="H10" s="101">
        <f>+'Rate DT-Sec'!AO128</f>
        <v>249139</v>
      </c>
      <c r="I10" s="101">
        <f>+'Rate DT-Sec'!AO127</f>
        <v>2101961</v>
      </c>
      <c r="J10" s="101">
        <f>+'Rate DT-Sec'!AO130</f>
        <v>1485113</v>
      </c>
      <c r="K10" s="101">
        <f t="shared" si="1"/>
        <v>3836213</v>
      </c>
      <c r="L10" s="101">
        <f t="shared" si="2"/>
        <v>34776421.22078</v>
      </c>
      <c r="M10" s="101"/>
      <c r="N10" s="101">
        <f>'Rate DT-Sec'!H31+'Rate DT-Sec'!H48</f>
        <v>1228464</v>
      </c>
      <c r="O10" s="101">
        <v>1365584</v>
      </c>
      <c r="P10" s="101">
        <f t="shared" si="4"/>
        <v>-137120</v>
      </c>
      <c r="Q10" s="120">
        <v>20</v>
      </c>
      <c r="R10" s="101">
        <f t="shared" si="5"/>
        <v>-2742400</v>
      </c>
      <c r="S10" s="101">
        <v>1247155</v>
      </c>
      <c r="T10" s="101">
        <f t="shared" si="3"/>
        <v>-18691</v>
      </c>
      <c r="U10" s="101"/>
      <c r="V10" s="101"/>
      <c r="W10" s="118"/>
      <c r="X10" s="118"/>
    </row>
    <row r="11" spans="1:24" ht="15" x14ac:dyDescent="0.25">
      <c r="A11" s="100" t="s">
        <v>94</v>
      </c>
      <c r="B11" s="101">
        <f>+'SCH M'!E29</f>
        <v>1951593</v>
      </c>
      <c r="C11" s="101">
        <f>+'SCH M-2.1'!H25*CUR_BASE_FUEL</f>
        <v>646733.5374599999</v>
      </c>
      <c r="D11" s="101">
        <f>+'SCH M-2.1'!P25</f>
        <v>66764</v>
      </c>
      <c r="E11" s="101">
        <f t="shared" si="0"/>
        <v>713497.5374599999</v>
      </c>
      <c r="F11" s="101"/>
      <c r="G11" s="101"/>
      <c r="H11" s="101">
        <f>+'Rate EH'!AO86</f>
        <v>7989</v>
      </c>
      <c r="I11" s="101">
        <f>+'Rate EH'!AO85</f>
        <v>67067</v>
      </c>
      <c r="J11" s="101">
        <f>+'Rate EH'!AO88</f>
        <v>47385</v>
      </c>
      <c r="K11" s="101">
        <f t="shared" si="1"/>
        <v>122441</v>
      </c>
      <c r="L11" s="101">
        <f t="shared" si="2"/>
        <v>1115654.4625400002</v>
      </c>
      <c r="M11" s="101"/>
      <c r="N11" s="101">
        <v>0</v>
      </c>
      <c r="O11" s="101"/>
      <c r="P11" s="101"/>
      <c r="Q11" s="101"/>
      <c r="R11" s="101"/>
      <c r="S11" s="101"/>
      <c r="T11" s="101"/>
      <c r="U11" s="101"/>
      <c r="V11" s="101"/>
      <c r="W11" s="118"/>
      <c r="X11" s="118"/>
    </row>
    <row r="12" spans="1:24" ht="15" x14ac:dyDescent="0.25">
      <c r="A12" s="100" t="s">
        <v>95</v>
      </c>
      <c r="B12" s="101">
        <f>+'SCH M'!E30</f>
        <v>53138</v>
      </c>
      <c r="C12" s="101">
        <f>+'SCH M-2.1'!H26*CUR_BASE_FUEL</f>
        <v>11052.91734</v>
      </c>
      <c r="D12" s="101">
        <f>+'SCH M-2.1'!P26</f>
        <v>1141</v>
      </c>
      <c r="E12" s="101">
        <f t="shared" si="0"/>
        <v>12193.91734</v>
      </c>
      <c r="F12" s="101"/>
      <c r="G12" s="101"/>
      <c r="H12" s="101">
        <f>+'Rate SP GSFL'!AO96</f>
        <v>264</v>
      </c>
      <c r="I12" s="101">
        <f>+'Rate SP GSFL'!AO95</f>
        <v>1146</v>
      </c>
      <c r="J12" s="101">
        <f>+'Rate SP GSFL'!AO98</f>
        <v>810</v>
      </c>
      <c r="K12" s="101">
        <f t="shared" si="1"/>
        <v>2220</v>
      </c>
      <c r="L12" s="101">
        <f t="shared" si="2"/>
        <v>38724.08266</v>
      </c>
      <c r="M12" s="101"/>
      <c r="N12" s="101">
        <v>0</v>
      </c>
      <c r="O12" s="101"/>
      <c r="P12" s="101"/>
      <c r="Q12" s="101"/>
      <c r="R12" s="101"/>
      <c r="S12" s="101"/>
      <c r="T12" s="101"/>
      <c r="U12" s="101"/>
      <c r="V12" s="101"/>
      <c r="W12" s="118"/>
      <c r="X12" s="118"/>
    </row>
    <row r="13" spans="1:24" ht="15" x14ac:dyDescent="0.25">
      <c r="A13" s="100" t="s">
        <v>93</v>
      </c>
      <c r="B13" s="101">
        <f>+'SCH M'!E31</f>
        <v>840145</v>
      </c>
      <c r="C13" s="101">
        <f>+'SCH M-2.1'!H27*CUR_BASE_FUEL</f>
        <v>200070.25853999998</v>
      </c>
      <c r="D13" s="101">
        <f>+'SCH M-2.1'!P27</f>
        <v>20654</v>
      </c>
      <c r="E13" s="101">
        <f t="shared" si="0"/>
        <v>220724.25853999998</v>
      </c>
      <c r="F13" s="101"/>
      <c r="G13" s="101"/>
      <c r="H13" s="101">
        <f>+'Rate SP GSFL'!AO115</f>
        <v>3997</v>
      </c>
      <c r="I13" s="101">
        <f>+'Rate SP GSFL'!AO114</f>
        <v>20747</v>
      </c>
      <c r="J13" s="101">
        <f>+'Rate SP GSFL'!AO117</f>
        <v>14659</v>
      </c>
      <c r="K13" s="101">
        <f t="shared" si="1"/>
        <v>39403</v>
      </c>
      <c r="L13" s="101">
        <f t="shared" si="2"/>
        <v>580017.74146000005</v>
      </c>
      <c r="M13" s="101"/>
      <c r="N13" s="101">
        <v>0</v>
      </c>
      <c r="O13" s="101"/>
      <c r="P13" s="101"/>
      <c r="Q13" s="101"/>
      <c r="R13" s="101"/>
      <c r="S13" s="101"/>
      <c r="T13" s="101"/>
      <c r="U13" s="101"/>
      <c r="V13" s="101"/>
      <c r="W13" s="118"/>
      <c r="X13" s="118"/>
    </row>
    <row r="14" spans="1:24" ht="15" x14ac:dyDescent="0.25">
      <c r="A14" s="100" t="s">
        <v>92</v>
      </c>
      <c r="B14" s="101">
        <f>+'SCH M'!E32</f>
        <v>896371</v>
      </c>
      <c r="C14" s="101">
        <f>+'SCH M-2.1'!H28*CUR_BASE_FUEL</f>
        <v>261017.14794</v>
      </c>
      <c r="D14" s="101">
        <f>+'SCH M-2.1'!P28</f>
        <v>26946</v>
      </c>
      <c r="E14" s="101">
        <f t="shared" si="0"/>
        <v>287963.14794</v>
      </c>
      <c r="F14" s="101"/>
      <c r="G14" s="101"/>
      <c r="H14" s="101">
        <f>+'Rate DP'!AO93</f>
        <v>3926</v>
      </c>
      <c r="I14" s="101">
        <f>+'Rate DP'!AO92</f>
        <v>27068</v>
      </c>
      <c r="J14" s="101">
        <f>+'Rate DP'!AO95</f>
        <v>19124</v>
      </c>
      <c r="K14" s="101">
        <f t="shared" si="1"/>
        <v>50118</v>
      </c>
      <c r="L14" s="101">
        <f t="shared" si="2"/>
        <v>558289.85205999995</v>
      </c>
      <c r="M14" s="101"/>
      <c r="N14" s="101">
        <f>'Rate DP'!H29</f>
        <v>27415</v>
      </c>
      <c r="O14" s="101">
        <v>36838</v>
      </c>
      <c r="P14" s="101">
        <f t="shared" ref="P14:P15" si="6">N14-O14</f>
        <v>-9423</v>
      </c>
      <c r="Q14" s="120">
        <v>15</v>
      </c>
      <c r="R14" s="101">
        <f t="shared" ref="R14:R15" si="7">P14*Q14</f>
        <v>-141345</v>
      </c>
      <c r="S14" s="101">
        <v>27198</v>
      </c>
      <c r="T14" s="101">
        <f t="shared" ref="T14:T15" si="8">N14-S14</f>
        <v>217</v>
      </c>
      <c r="U14" s="101"/>
      <c r="V14" s="101"/>
      <c r="W14" s="118"/>
      <c r="X14" s="118"/>
    </row>
    <row r="15" spans="1:24" ht="15" x14ac:dyDescent="0.25">
      <c r="A15" s="100" t="s">
        <v>60</v>
      </c>
      <c r="B15" s="101">
        <f>+'SCH M'!E36</f>
        <v>15587354</v>
      </c>
      <c r="C15" s="101">
        <f>+'SCH M-2.1'!H29*CUR_BASE_FUEL</f>
        <v>6264942.0654599993</v>
      </c>
      <c r="D15" s="101">
        <f>+'SCH M-2.1'!P29</f>
        <v>646749</v>
      </c>
      <c r="E15" s="101">
        <f t="shared" si="0"/>
        <v>6911691.0654599993</v>
      </c>
      <c r="F15" s="101"/>
      <c r="G15" s="101"/>
      <c r="H15" s="101">
        <f>+'Rate TT'!AO115</f>
        <v>55978</v>
      </c>
      <c r="I15" s="101">
        <f>+'Rate TT'!AO114</f>
        <v>95328</v>
      </c>
      <c r="J15" s="101">
        <f>+'Rate TT'!AO117</f>
        <v>459021</v>
      </c>
      <c r="K15" s="101">
        <f t="shared" si="1"/>
        <v>610327</v>
      </c>
      <c r="L15" s="101">
        <f t="shared" si="2"/>
        <v>8065335.9345399998</v>
      </c>
      <c r="M15" s="101"/>
      <c r="N15" s="101">
        <f>'Rate TT'!H26+'Rate TT'!H40</f>
        <v>398243</v>
      </c>
      <c r="O15" s="101">
        <v>435740</v>
      </c>
      <c r="P15" s="101">
        <f t="shared" si="6"/>
        <v>-37497</v>
      </c>
      <c r="Q15" s="120">
        <v>8.5</v>
      </c>
      <c r="R15" s="101">
        <f t="shared" si="7"/>
        <v>-318724.5</v>
      </c>
      <c r="S15" s="101">
        <v>387830</v>
      </c>
      <c r="T15" s="101">
        <f t="shared" si="8"/>
        <v>10413</v>
      </c>
      <c r="U15" s="101"/>
      <c r="V15" s="101"/>
      <c r="W15" s="118"/>
      <c r="X15" s="118"/>
    </row>
    <row r="16" spans="1:24" ht="15" x14ac:dyDescent="0.25">
      <c r="A16" s="100" t="s">
        <v>849</v>
      </c>
      <c r="B16" s="101">
        <v>0</v>
      </c>
      <c r="C16" s="101">
        <v>0</v>
      </c>
      <c r="D16" s="101">
        <f>+'SCH M-2.1'!P30</f>
        <v>0</v>
      </c>
      <c r="E16" s="101">
        <f t="shared" si="0"/>
        <v>0</v>
      </c>
      <c r="F16" s="101"/>
      <c r="G16" s="101"/>
      <c r="H16" s="101"/>
      <c r="I16" s="101"/>
      <c r="J16" s="101"/>
      <c r="K16" s="101">
        <f t="shared" si="1"/>
        <v>0</v>
      </c>
      <c r="L16" s="101">
        <f t="shared" si="2"/>
        <v>0</v>
      </c>
      <c r="M16" s="101"/>
      <c r="N16" s="101">
        <v>0</v>
      </c>
      <c r="O16" s="101"/>
      <c r="P16" s="101"/>
      <c r="Q16" s="101"/>
      <c r="R16" s="101"/>
      <c r="S16" s="101"/>
      <c r="T16" s="101"/>
      <c r="U16" s="101"/>
      <c r="V16" s="101"/>
      <c r="W16" s="118"/>
      <c r="X16" s="118"/>
    </row>
    <row r="17" spans="1:24" ht="15" x14ac:dyDescent="0.25">
      <c r="A17" s="100" t="s">
        <v>839</v>
      </c>
      <c r="B17" s="101">
        <f>+'SCH M'!E41</f>
        <v>74934</v>
      </c>
      <c r="C17" s="101">
        <v>0</v>
      </c>
      <c r="D17" s="101">
        <f>+'SCH M-2.1'!P31</f>
        <v>0</v>
      </c>
      <c r="E17" s="101">
        <f t="shared" si="0"/>
        <v>0</v>
      </c>
      <c r="F17" s="101"/>
      <c r="G17" s="101"/>
      <c r="H17" s="101">
        <f>+'Rate DT RTP-S'!AO79</f>
        <v>14</v>
      </c>
      <c r="I17" s="101">
        <f>+'Rate DT RTP-S'!AO78</f>
        <v>3878</v>
      </c>
      <c r="J17" s="101">
        <f>+'Rate DT RTP-S'!AO80</f>
        <v>2740</v>
      </c>
      <c r="K17" s="101">
        <f t="shared" si="1"/>
        <v>6632</v>
      </c>
      <c r="L17" s="101">
        <f t="shared" si="2"/>
        <v>68302</v>
      </c>
      <c r="M17" s="101"/>
      <c r="N17" s="101">
        <v>0</v>
      </c>
      <c r="O17" s="101"/>
      <c r="P17" s="101"/>
      <c r="Q17" s="101"/>
      <c r="R17" s="101"/>
      <c r="S17" s="101"/>
      <c r="T17" s="101"/>
      <c r="U17" s="101"/>
      <c r="V17" s="101"/>
      <c r="W17" s="118"/>
      <c r="X17" s="118"/>
    </row>
    <row r="18" spans="1:24" ht="15" x14ac:dyDescent="0.25">
      <c r="A18" s="100" t="s">
        <v>308</v>
      </c>
      <c r="B18" s="101">
        <f>+'SCH M'!E42</f>
        <v>2021</v>
      </c>
      <c r="C18" s="101">
        <v>0</v>
      </c>
      <c r="D18" s="101">
        <f>+'SCH M-2.1'!P32</f>
        <v>0</v>
      </c>
      <c r="E18" s="101">
        <f t="shared" si="0"/>
        <v>0</v>
      </c>
      <c r="F18" s="101"/>
      <c r="G18" s="101"/>
      <c r="H18" s="101">
        <f>+'Rate DS RTP'!AO79</f>
        <v>14</v>
      </c>
      <c r="I18" s="101">
        <f>+'Rate DS RTP'!AO78</f>
        <v>-10</v>
      </c>
      <c r="J18" s="101">
        <f>+'Rate DS RTP'!AO80</f>
        <v>-7</v>
      </c>
      <c r="K18" s="101">
        <f t="shared" si="1"/>
        <v>-3</v>
      </c>
      <c r="L18" s="101">
        <f t="shared" si="2"/>
        <v>2024</v>
      </c>
      <c r="M18" s="101"/>
      <c r="N18" s="101">
        <v>0</v>
      </c>
      <c r="O18" s="101"/>
      <c r="P18" s="101"/>
      <c r="Q18" s="101"/>
      <c r="R18" s="101"/>
      <c r="S18" s="101"/>
      <c r="T18" s="101"/>
      <c r="U18" s="101"/>
      <c r="V18" s="101"/>
      <c r="W18" s="118"/>
      <c r="X18" s="118"/>
    </row>
    <row r="19" spans="1:24" ht="15" x14ac:dyDescent="0.25">
      <c r="A19" s="100" t="s">
        <v>838</v>
      </c>
      <c r="B19" s="101">
        <f>+'SCH M'!E43</f>
        <v>539003</v>
      </c>
      <c r="C19" s="101">
        <v>0</v>
      </c>
      <c r="D19" s="101">
        <f>+'SCH M-2.1'!P33</f>
        <v>0</v>
      </c>
      <c r="E19" s="101">
        <f t="shared" si="0"/>
        <v>0</v>
      </c>
      <c r="F19" s="101"/>
      <c r="G19" s="101"/>
      <c r="H19" s="101">
        <f>+'Rate TT RTP'!AO81</f>
        <v>29</v>
      </c>
      <c r="I19" s="101">
        <f>+'Rate TT RTP'!AO80</f>
        <v>6236</v>
      </c>
      <c r="J19" s="101">
        <f>+'Rate TT RTP'!AO82</f>
        <v>30029</v>
      </c>
      <c r="K19" s="101">
        <f t="shared" si="1"/>
        <v>36294</v>
      </c>
      <c r="L19" s="101">
        <f t="shared" si="2"/>
        <v>502709</v>
      </c>
      <c r="M19" s="101"/>
      <c r="N19" s="101">
        <v>0</v>
      </c>
      <c r="O19" s="101"/>
      <c r="P19" s="101"/>
      <c r="Q19" s="101"/>
      <c r="R19" s="101"/>
      <c r="S19" s="101"/>
      <c r="T19" s="101"/>
      <c r="U19" s="101"/>
      <c r="V19" s="101"/>
      <c r="W19" s="118"/>
      <c r="X19" s="118"/>
    </row>
    <row r="20" spans="1:24" ht="15" x14ac:dyDescent="0.25">
      <c r="A20" s="100" t="s">
        <v>77</v>
      </c>
      <c r="B20" s="101">
        <f>+'SCH M'!E47</f>
        <v>1443150</v>
      </c>
      <c r="C20" s="101">
        <f>+'SCH M-2.1'!H34*CUR_BASE_FUEL</f>
        <v>231655.80839999998</v>
      </c>
      <c r="D20" s="101">
        <f>+'SCH M-2.1'!P34</f>
        <v>23917</v>
      </c>
      <c r="E20" s="101">
        <f t="shared" si="0"/>
        <v>255572.80839999998</v>
      </c>
      <c r="F20" s="101"/>
      <c r="G20" s="101"/>
      <c r="H20" s="101">
        <f>+'Rate SL'!AO285</f>
        <v>7663</v>
      </c>
      <c r="I20" s="101"/>
      <c r="J20" s="101">
        <f>+'Rate SL'!AO286</f>
        <v>16973</v>
      </c>
      <c r="K20" s="101">
        <f t="shared" si="1"/>
        <v>24636</v>
      </c>
      <c r="L20" s="101">
        <f>+B20-E20-K20</f>
        <v>1162941.1916</v>
      </c>
      <c r="M20" s="101"/>
      <c r="N20" s="101">
        <v>0</v>
      </c>
      <c r="O20" s="101"/>
      <c r="P20" s="101"/>
      <c r="Q20" s="101"/>
      <c r="R20" s="101"/>
      <c r="S20" s="101"/>
      <c r="T20" s="101"/>
      <c r="U20" s="101"/>
      <c r="V20" s="101"/>
      <c r="W20" s="118"/>
      <c r="X20" s="118"/>
    </row>
    <row r="21" spans="1:24" ht="15" x14ac:dyDescent="0.25">
      <c r="A21" s="100" t="s">
        <v>81</v>
      </c>
      <c r="B21" s="101">
        <f>+'SCH M'!E48</f>
        <v>105521</v>
      </c>
      <c r="C21" s="101">
        <f>+'SCH M-2.1'!H35*CUR_BASE_FUEL</f>
        <v>48536.043117780006</v>
      </c>
      <c r="D21" s="101">
        <f>+'SCH M-2.1'!P35</f>
        <v>5011</v>
      </c>
      <c r="E21" s="101">
        <f t="shared" si="0"/>
        <v>53547.043117780006</v>
      </c>
      <c r="F21" s="101"/>
      <c r="G21" s="101"/>
      <c r="H21" s="101">
        <f>+'Rate TL'!AO68</f>
        <v>368</v>
      </c>
      <c r="I21" s="101"/>
      <c r="J21" s="101">
        <f>+'Rate TL'!AO69</f>
        <v>3556</v>
      </c>
      <c r="K21" s="101">
        <f t="shared" si="1"/>
        <v>3924</v>
      </c>
      <c r="L21" s="101">
        <f t="shared" si="2"/>
        <v>48049.956882219994</v>
      </c>
      <c r="M21" s="101"/>
      <c r="N21" s="101">
        <v>0</v>
      </c>
      <c r="O21" s="101"/>
      <c r="P21" s="101"/>
      <c r="Q21" s="101"/>
      <c r="R21" s="101"/>
      <c r="S21" s="101"/>
      <c r="T21" s="101"/>
      <c r="U21" s="101"/>
      <c r="V21" s="101"/>
      <c r="W21" s="118"/>
      <c r="X21" s="118"/>
    </row>
    <row r="22" spans="1:24" ht="15" x14ac:dyDescent="0.25">
      <c r="A22" s="100" t="s">
        <v>837</v>
      </c>
      <c r="B22" s="101">
        <f>+'SCH M'!E49</f>
        <v>620847</v>
      </c>
      <c r="C22" s="101">
        <f>+'SCH M-2.1'!H36*CUR_BASE_FUEL</f>
        <v>288554.80661999999</v>
      </c>
      <c r="D22" s="101">
        <f>+'SCH M-2.1'!P36</f>
        <v>29788</v>
      </c>
      <c r="E22" s="101">
        <f t="shared" si="0"/>
        <v>318342.80661999999</v>
      </c>
      <c r="F22" s="101"/>
      <c r="G22" s="101"/>
      <c r="H22" s="101">
        <f>+'Rate UOLS'!AO59</f>
        <v>2144</v>
      </c>
      <c r="I22" s="101"/>
      <c r="J22" s="101">
        <f>+'Rate UOLS'!AO60</f>
        <v>21142</v>
      </c>
      <c r="K22" s="101">
        <f t="shared" si="1"/>
        <v>23286</v>
      </c>
      <c r="L22" s="101">
        <f t="shared" si="2"/>
        <v>279218.19338000001</v>
      </c>
      <c r="M22" s="101"/>
      <c r="N22" s="101">
        <v>0</v>
      </c>
      <c r="O22" s="101"/>
      <c r="P22" s="101"/>
      <c r="Q22" s="101"/>
      <c r="R22" s="101"/>
      <c r="S22" s="101"/>
      <c r="T22" s="101"/>
      <c r="U22" s="101"/>
      <c r="V22" s="101"/>
      <c r="W22" s="118"/>
      <c r="X22" s="118"/>
    </row>
    <row r="23" spans="1:24" ht="15" x14ac:dyDescent="0.25">
      <c r="A23" s="100" t="s">
        <v>86</v>
      </c>
      <c r="B23" s="101">
        <f>+'SCH M'!E50</f>
        <v>97311</v>
      </c>
      <c r="C23" s="101">
        <f>+'SCH M-2.1'!H37*CUR_BASE_FUEL</f>
        <v>13254.393719999998</v>
      </c>
      <c r="D23" s="101">
        <f>+'SCH M-2.1'!P37</f>
        <v>1368</v>
      </c>
      <c r="E23" s="101">
        <f t="shared" si="0"/>
        <v>14622.393719999998</v>
      </c>
      <c r="F23" s="101"/>
      <c r="G23" s="101"/>
      <c r="H23" s="101">
        <f>+'Rate NSU'!AO91</f>
        <v>542</v>
      </c>
      <c r="I23" s="101"/>
      <c r="J23" s="101">
        <f>+'Rate NSU'!AO92</f>
        <v>971</v>
      </c>
      <c r="K23" s="101">
        <f t="shared" si="1"/>
        <v>1513</v>
      </c>
      <c r="L23" s="101">
        <f t="shared" si="2"/>
        <v>81175.606280000007</v>
      </c>
      <c r="M23" s="101"/>
      <c r="N23" s="101">
        <v>0</v>
      </c>
      <c r="O23" s="101"/>
      <c r="P23" s="101"/>
      <c r="Q23" s="101"/>
      <c r="R23" s="101"/>
      <c r="S23" s="101"/>
      <c r="T23" s="101"/>
      <c r="U23" s="101"/>
      <c r="V23" s="101"/>
      <c r="W23" s="118"/>
      <c r="X23" s="118"/>
    </row>
    <row r="24" spans="1:24" ht="15" x14ac:dyDescent="0.25">
      <c r="A24" s="100" t="s">
        <v>73</v>
      </c>
      <c r="B24" s="101">
        <f>+'SCH M'!E51</f>
        <v>6595</v>
      </c>
      <c r="C24" s="101">
        <f>+'SCH M-2.1'!H38*CUR_BASE_FUEL</f>
        <v>3083.5735199999999</v>
      </c>
      <c r="D24" s="101">
        <f>+'SCH M-2.1'!P38</f>
        <v>318</v>
      </c>
      <c r="E24" s="101">
        <f t="shared" si="0"/>
        <v>3401.5735199999999</v>
      </c>
      <c r="F24" s="101"/>
      <c r="G24" s="101"/>
      <c r="H24" s="101">
        <f>+'Rate SC'!AO141</f>
        <v>23</v>
      </c>
      <c r="I24" s="101"/>
      <c r="J24" s="101">
        <f>+'Rate SC'!AO142</f>
        <v>226</v>
      </c>
      <c r="K24" s="101">
        <f t="shared" si="1"/>
        <v>249</v>
      </c>
      <c r="L24" s="101">
        <f t="shared" si="2"/>
        <v>2944.4264800000001</v>
      </c>
      <c r="M24" s="101"/>
      <c r="N24" s="101">
        <v>0</v>
      </c>
      <c r="O24" s="101"/>
      <c r="P24" s="101"/>
      <c r="Q24" s="101"/>
      <c r="R24" s="101"/>
      <c r="S24" s="101"/>
      <c r="T24" s="101"/>
      <c r="U24" s="101"/>
      <c r="V24" s="101"/>
      <c r="W24" s="118"/>
      <c r="X24" s="118"/>
    </row>
    <row r="25" spans="1:24" ht="15" x14ac:dyDescent="0.25">
      <c r="A25" s="100" t="s">
        <v>70</v>
      </c>
      <c r="B25" s="101">
        <f>+'SCH M'!E52</f>
        <v>261093</v>
      </c>
      <c r="C25" s="101">
        <f>+'SCH M-2.1'!H39*CUR_BASE_FUEL</f>
        <v>40860.355559999996</v>
      </c>
      <c r="D25" s="101">
        <f>+'SCH M-2.1'!P39</f>
        <v>4218</v>
      </c>
      <c r="E25" s="101">
        <f t="shared" si="0"/>
        <v>45078.355559999996</v>
      </c>
      <c r="F25" s="101"/>
      <c r="G25" s="101"/>
      <c r="H25" s="101">
        <f>+'Rate SE'!AO104</f>
        <v>1421</v>
      </c>
      <c r="I25" s="101"/>
      <c r="J25" s="101">
        <f>+'Rate SE'!AO105</f>
        <v>2994</v>
      </c>
      <c r="K25" s="101">
        <f t="shared" si="1"/>
        <v>4415</v>
      </c>
      <c r="L25" s="101">
        <f t="shared" si="2"/>
        <v>211599.64444</v>
      </c>
      <c r="M25" s="101"/>
      <c r="N25" s="101">
        <v>0</v>
      </c>
      <c r="O25" s="101"/>
      <c r="P25" s="101"/>
      <c r="Q25" s="101"/>
      <c r="R25" s="101"/>
      <c r="S25" s="101"/>
      <c r="T25" s="101"/>
      <c r="U25" s="101"/>
      <c r="V25" s="101"/>
      <c r="W25" s="118"/>
      <c r="X25" s="118"/>
    </row>
    <row r="26" spans="1:24" ht="15" x14ac:dyDescent="0.25">
      <c r="A26" s="100" t="s">
        <v>796</v>
      </c>
      <c r="B26" s="101">
        <f>+'SCH M'!E53</f>
        <v>20067</v>
      </c>
      <c r="C26" s="101">
        <f>+'SCH M-2.1'!H40*CUR_BASE_FUEL</f>
        <v>1424.19858</v>
      </c>
      <c r="D26" s="101">
        <f>+'SCH M-2.1'!P40</f>
        <v>147</v>
      </c>
      <c r="E26" s="101">
        <f>+C26+D26</f>
        <v>1571.19858</v>
      </c>
      <c r="F26" s="101"/>
      <c r="G26" s="101"/>
      <c r="H26" s="101">
        <f>'Rate LED'!AO687</f>
        <v>119</v>
      </c>
      <c r="I26" s="101"/>
      <c r="J26" s="101">
        <f>'Rate LED'!AO689</f>
        <v>104</v>
      </c>
      <c r="K26" s="101">
        <f>SUM(G26:J26)</f>
        <v>223</v>
      </c>
      <c r="L26" s="101">
        <f>+B26-E26-K26</f>
        <v>18272.80142</v>
      </c>
      <c r="M26" s="101"/>
      <c r="N26" s="101">
        <v>0</v>
      </c>
      <c r="O26" s="101"/>
      <c r="P26" s="101"/>
      <c r="Q26" s="101"/>
      <c r="R26" s="101"/>
      <c r="S26" s="101"/>
      <c r="T26" s="101"/>
      <c r="U26" s="101"/>
      <c r="V26" s="101"/>
      <c r="W26" s="118"/>
      <c r="X26" s="118"/>
    </row>
    <row r="27" spans="1:24" ht="15" x14ac:dyDescent="0.25">
      <c r="A27" s="100" t="s">
        <v>836</v>
      </c>
      <c r="B27" s="102">
        <f>+'SCH M'!E56+'SCH M'!E57</f>
        <v>1024677.038357</v>
      </c>
      <c r="C27" s="102">
        <f>'SCH M-2.1'!H41*CUR_BASE_FUEL+'SCH M-2.1'!H47*CUR_BASE_FUEL</f>
        <v>483247.28915999999</v>
      </c>
      <c r="D27" s="102">
        <f>+'SCH M-2.1'!P41+'SCH M-2.1'!P47</f>
        <v>49887.096871641595</v>
      </c>
      <c r="E27" s="102">
        <f t="shared" si="0"/>
        <v>533134.38603164162</v>
      </c>
      <c r="F27" s="101"/>
      <c r="G27" s="102"/>
      <c r="H27" s="102"/>
      <c r="I27" s="102">
        <f>'SCH M-2.2'!H63*DSM_DIST</f>
        <v>48960.691867000001</v>
      </c>
      <c r="J27" s="102">
        <f>'SCH M-2.2'!H63*RS_PSM</f>
        <v>34592.552775000004</v>
      </c>
      <c r="K27" s="102">
        <f>SUM(G27:J27)</f>
        <v>83553.244642000005</v>
      </c>
      <c r="L27" s="102">
        <f t="shared" si="2"/>
        <v>407989.40768335835</v>
      </c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18"/>
      <c r="X27" s="118"/>
    </row>
    <row r="28" spans="1:24" ht="15" x14ac:dyDescent="0.25">
      <c r="A28" s="100" t="s">
        <v>835</v>
      </c>
      <c r="B28" s="101">
        <f>SUM(B6:B27)</f>
        <v>473112716.03835702</v>
      </c>
      <c r="C28" s="101">
        <f>SUM(C6:C27)</f>
        <v>133483319.40311776</v>
      </c>
      <c r="D28" s="101">
        <f>SUM(D6:D27)</f>
        <v>13779894.096871642</v>
      </c>
      <c r="E28" s="101">
        <f>SUM(E6:E27)</f>
        <v>147263213.49998942</v>
      </c>
      <c r="F28" s="101"/>
      <c r="G28" s="101">
        <f t="shared" ref="G28:S28" si="9">SUM(G6:G27)</f>
        <v>506997</v>
      </c>
      <c r="H28" s="101">
        <f t="shared" si="9"/>
        <v>1999924</v>
      </c>
      <c r="I28" s="101">
        <f t="shared" si="9"/>
        <v>9945674.6918669995</v>
      </c>
      <c r="J28" s="101">
        <f t="shared" si="9"/>
        <v>9812030.5527749993</v>
      </c>
      <c r="K28" s="101">
        <f t="shared" si="9"/>
        <v>22264626.244642001</v>
      </c>
      <c r="L28" s="101">
        <f t="shared" si="9"/>
        <v>303584876.29372567</v>
      </c>
      <c r="M28" s="101"/>
      <c r="N28" s="101">
        <f t="shared" si="9"/>
        <v>5267668</v>
      </c>
      <c r="O28" s="101">
        <f t="shared" si="9"/>
        <v>5375496</v>
      </c>
      <c r="P28" s="101">
        <f t="shared" si="9"/>
        <v>-107828</v>
      </c>
      <c r="Q28" s="101"/>
      <c r="R28" s="101">
        <f t="shared" si="9"/>
        <v>-3171368.06</v>
      </c>
      <c r="S28" s="101">
        <f t="shared" si="9"/>
        <v>5384198</v>
      </c>
      <c r="T28" s="101">
        <f>N28-S28</f>
        <v>-116530</v>
      </c>
      <c r="U28" s="101"/>
      <c r="V28" s="101"/>
    </row>
    <row r="30" spans="1:24" ht="15" x14ac:dyDescent="0.25">
      <c r="B30" s="118" t="s">
        <v>1117</v>
      </c>
      <c r="C30" s="101">
        <f>('SCH M-2.1'!H49-'SCH M-2.1'!H30-'SCH M-2.1'!H31-'SCH M-2.1'!H32-'SCH M-2.1'!H33)*CUR_BASE_FUEL</f>
        <v>133483319.40311778</v>
      </c>
      <c r="D30" s="118"/>
      <c r="E30" s="118"/>
      <c r="F30" s="118"/>
      <c r="G30" s="118"/>
      <c r="H30" s="118"/>
      <c r="I30" s="118"/>
      <c r="J30" s="118"/>
      <c r="K30" s="118"/>
      <c r="L30" s="118"/>
    </row>
    <row r="31" spans="1:24" x14ac:dyDescent="0.25">
      <c r="B31" s="119" t="s">
        <v>1118</v>
      </c>
      <c r="C31" s="119">
        <v>147263213</v>
      </c>
      <c r="D31" s="119"/>
      <c r="E31" s="119"/>
      <c r="F31" s="119"/>
      <c r="G31" s="119"/>
      <c r="H31" s="119">
        <v>1999924</v>
      </c>
      <c r="I31" s="119"/>
      <c r="J31" s="119"/>
      <c r="K31" s="119"/>
      <c r="L31" s="119"/>
    </row>
    <row r="32" spans="1:24" x14ac:dyDescent="0.25">
      <c r="B32" s="100" t="s">
        <v>842</v>
      </c>
      <c r="C32" s="118">
        <f>C31-C30</f>
        <v>13779893.596882224</v>
      </c>
      <c r="D32" s="118">
        <f>C32-D28</f>
        <v>-0.49998941831290722</v>
      </c>
    </row>
    <row r="33" spans="1:15" x14ac:dyDescent="0.25">
      <c r="A33" s="100" t="s">
        <v>994</v>
      </c>
    </row>
    <row r="34" spans="1:15" x14ac:dyDescent="0.25">
      <c r="B34" s="103"/>
      <c r="C34" s="103"/>
      <c r="D34" s="103"/>
      <c r="E34" s="103"/>
      <c r="G34" s="103"/>
      <c r="H34" s="103"/>
      <c r="I34" s="103"/>
      <c r="J34" s="103"/>
      <c r="K34" s="103"/>
      <c r="L34" s="107" t="s">
        <v>543</v>
      </c>
    </row>
    <row r="35" spans="1:15" x14ac:dyDescent="0.25">
      <c r="B35" s="104" t="s">
        <v>543</v>
      </c>
      <c r="C35" s="105" t="s">
        <v>848</v>
      </c>
      <c r="D35" s="105"/>
      <c r="E35" s="105"/>
      <c r="G35" s="106" t="s">
        <v>850</v>
      </c>
      <c r="H35" s="106"/>
      <c r="I35" s="106"/>
      <c r="J35" s="106"/>
      <c r="K35" s="106"/>
      <c r="L35" s="108" t="s">
        <v>851</v>
      </c>
    </row>
    <row r="36" spans="1:15" x14ac:dyDescent="0.25">
      <c r="B36" s="109" t="s">
        <v>847</v>
      </c>
      <c r="C36" s="109" t="s">
        <v>834</v>
      </c>
      <c r="D36" s="109" t="s">
        <v>842</v>
      </c>
      <c r="E36" s="109" t="s">
        <v>543</v>
      </c>
      <c r="F36" s="109"/>
      <c r="G36" s="110" t="s">
        <v>846</v>
      </c>
      <c r="H36" s="110" t="s">
        <v>845</v>
      </c>
      <c r="I36" s="110" t="s">
        <v>844</v>
      </c>
      <c r="J36" s="110" t="s">
        <v>843</v>
      </c>
      <c r="K36" s="110" t="s">
        <v>543</v>
      </c>
      <c r="L36" s="109" t="s">
        <v>848</v>
      </c>
    </row>
    <row r="37" spans="1:15" x14ac:dyDescent="0.25">
      <c r="B37" s="109"/>
      <c r="C37" s="109"/>
      <c r="D37" s="109"/>
      <c r="E37" s="109"/>
      <c r="F37" s="109"/>
      <c r="G37" s="110"/>
      <c r="H37" s="110"/>
      <c r="I37" s="110"/>
      <c r="J37" s="110"/>
      <c r="K37" s="110"/>
      <c r="L37" s="109"/>
    </row>
    <row r="38" spans="1:15" ht="15" x14ac:dyDescent="0.25">
      <c r="A38" s="100" t="s">
        <v>52</v>
      </c>
      <c r="B38" s="101">
        <f>'Rate RS'!R38</f>
        <v>224457397</v>
      </c>
      <c r="C38" s="101"/>
      <c r="D38" s="101">
        <f>'Rate RS'!R34</f>
        <v>5327517</v>
      </c>
      <c r="E38" s="101"/>
      <c r="F38" s="101"/>
      <c r="G38" s="101">
        <f>'Rate RS'!R31</f>
        <v>506997</v>
      </c>
      <c r="H38" s="101">
        <f>'Rate RS'!R33</f>
        <v>841086</v>
      </c>
      <c r="I38" s="101">
        <f>'Rate RS'!R32</f>
        <v>2065490</v>
      </c>
      <c r="J38" s="101">
        <f>'Rate RS'!R35</f>
        <v>3781130</v>
      </c>
      <c r="K38" s="101">
        <f>SUM(G38:J38)</f>
        <v>7194703</v>
      </c>
      <c r="L38" s="101">
        <f>+B38-E38-K38</f>
        <v>217262694</v>
      </c>
      <c r="N38" s="118"/>
      <c r="O38" s="118"/>
    </row>
    <row r="39" spans="1:15" ht="15" x14ac:dyDescent="0.25"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N39" s="118"/>
      <c r="O39" s="118"/>
    </row>
    <row r="40" spans="1:15" ht="15" x14ac:dyDescent="0.25">
      <c r="A40" s="100" t="s">
        <v>91</v>
      </c>
      <c r="B40" s="101">
        <f>'Rate DS'!R50</f>
        <v>148851779</v>
      </c>
      <c r="C40" s="101"/>
      <c r="D40" s="101">
        <f>'Rate DS'!R46</f>
        <v>3826668</v>
      </c>
      <c r="E40" s="101"/>
      <c r="F40" s="101"/>
      <c r="G40" s="101"/>
      <c r="H40" s="101">
        <f>'Rate DS'!R45</f>
        <v>622495</v>
      </c>
      <c r="I40" s="101">
        <f>'Rate DS'!R44</f>
        <v>3843992</v>
      </c>
      <c r="J40" s="101">
        <f>'Rate DS'!R47</f>
        <v>2715924</v>
      </c>
      <c r="K40" s="101">
        <f t="shared" ref="K40:K59" si="10">SUM(G40:J40)</f>
        <v>7182411</v>
      </c>
      <c r="L40" s="101">
        <f t="shared" ref="L40:L51" si="11">+B40-E40-K40</f>
        <v>141669368</v>
      </c>
      <c r="N40" s="118"/>
      <c r="O40" s="118"/>
    </row>
    <row r="41" spans="1:15" ht="15" x14ac:dyDescent="0.25">
      <c r="A41" s="100" t="s">
        <v>841</v>
      </c>
      <c r="B41" s="101">
        <f>'Rate DT-Pri'!R65</f>
        <v>51531880</v>
      </c>
      <c r="C41" s="101"/>
      <c r="D41" s="101">
        <f>'Rate DT-Pri'!R61</f>
        <v>1656313</v>
      </c>
      <c r="E41" s="101"/>
      <c r="F41" s="101"/>
      <c r="G41" s="101"/>
      <c r="H41" s="101">
        <f>'Rate DT-Pri'!R60</f>
        <v>195075</v>
      </c>
      <c r="I41" s="101">
        <f>'Rate DT-Pri'!R59</f>
        <v>1663811</v>
      </c>
      <c r="J41" s="101">
        <f>'Rate DT-Pri'!R62</f>
        <v>1175544</v>
      </c>
      <c r="K41" s="101">
        <f t="shared" si="10"/>
        <v>3034430</v>
      </c>
      <c r="L41" s="101">
        <f t="shared" si="11"/>
        <v>48497450</v>
      </c>
      <c r="N41" s="118"/>
      <c r="O41" s="118"/>
    </row>
    <row r="42" spans="1:15" ht="15" x14ac:dyDescent="0.25">
      <c r="A42" s="100" t="s">
        <v>840</v>
      </c>
      <c r="B42" s="101">
        <f>'Rate DT-Sec'!R63</f>
        <v>66215879</v>
      </c>
      <c r="C42" s="101"/>
      <c r="D42" s="101">
        <f>'Rate DT-Sec'!R59</f>
        <v>2092488</v>
      </c>
      <c r="E42" s="101"/>
      <c r="F42" s="101"/>
      <c r="G42" s="101"/>
      <c r="H42" s="101">
        <f>'Rate DT-Sec'!R58</f>
        <v>252867</v>
      </c>
      <c r="I42" s="101">
        <f>'Rate DT-Sec'!R57</f>
        <v>2101961</v>
      </c>
      <c r="J42" s="101">
        <f>'Rate DT-Sec'!R60</f>
        <v>1485113</v>
      </c>
      <c r="K42" s="101">
        <f t="shared" si="10"/>
        <v>3839941</v>
      </c>
      <c r="L42" s="101">
        <f t="shared" si="11"/>
        <v>62375938</v>
      </c>
      <c r="N42" s="118"/>
      <c r="O42" s="118"/>
    </row>
    <row r="43" spans="1:15" ht="15" x14ac:dyDescent="0.25">
      <c r="A43" s="100" t="s">
        <v>94</v>
      </c>
      <c r="B43" s="101">
        <f>'Rate EH'!R43</f>
        <v>2224295</v>
      </c>
      <c r="C43" s="101"/>
      <c r="D43" s="101">
        <f>'Rate EH'!R39</f>
        <v>66764</v>
      </c>
      <c r="E43" s="101"/>
      <c r="F43" s="101"/>
      <c r="G43" s="101"/>
      <c r="H43" s="101">
        <f>'Rate EH'!R38</f>
        <v>8711</v>
      </c>
      <c r="I43" s="101">
        <f>'Rate EH'!R37</f>
        <v>67067</v>
      </c>
      <c r="J43" s="101">
        <f>'Rate EH'!R40</f>
        <v>47385</v>
      </c>
      <c r="K43" s="101">
        <f t="shared" si="10"/>
        <v>123163</v>
      </c>
      <c r="L43" s="101">
        <f t="shared" si="11"/>
        <v>2101132</v>
      </c>
      <c r="N43" s="118"/>
      <c r="O43" s="118"/>
    </row>
    <row r="44" spans="1:15" ht="15" x14ac:dyDescent="0.25">
      <c r="A44" s="100" t="s">
        <v>95</v>
      </c>
      <c r="B44" s="101">
        <f>'Rate SP GSFL'!R38</f>
        <v>60725</v>
      </c>
      <c r="C44" s="101"/>
      <c r="D44" s="101">
        <f>'Rate SP GSFL'!R34</f>
        <v>1141</v>
      </c>
      <c r="E44" s="101"/>
      <c r="F44" s="101"/>
      <c r="G44" s="101"/>
      <c r="H44" s="101">
        <f>'Rate SP GSFL'!R33</f>
        <v>280</v>
      </c>
      <c r="I44" s="101">
        <f>'Rate SP GSFL'!R32</f>
        <v>1146</v>
      </c>
      <c r="J44" s="101">
        <f>'Rate SP GSFL'!R35</f>
        <v>810</v>
      </c>
      <c r="K44" s="101">
        <f t="shared" si="10"/>
        <v>2236</v>
      </c>
      <c r="L44" s="101">
        <f t="shared" si="11"/>
        <v>58489</v>
      </c>
      <c r="N44" s="118"/>
      <c r="O44" s="118"/>
    </row>
    <row r="45" spans="1:15" ht="15" x14ac:dyDescent="0.25">
      <c r="A45" s="100" t="s">
        <v>93</v>
      </c>
      <c r="B45" s="101">
        <f>'Rate SP GSFL'!R57</f>
        <v>959471</v>
      </c>
      <c r="C45" s="101"/>
      <c r="D45" s="101">
        <f>'Rate SP GSFL'!R53</f>
        <v>20654</v>
      </c>
      <c r="E45" s="101"/>
      <c r="F45" s="101"/>
      <c r="G45" s="101"/>
      <c r="H45" s="101">
        <f>'Rate SP GSFL'!R52</f>
        <v>4260</v>
      </c>
      <c r="I45" s="101">
        <f>'Rate SP GSFL'!R51</f>
        <v>20747</v>
      </c>
      <c r="J45" s="101">
        <f>'Rate SP GSFL'!R54</f>
        <v>14659</v>
      </c>
      <c r="K45" s="101">
        <f t="shared" si="10"/>
        <v>39666</v>
      </c>
      <c r="L45" s="101">
        <f t="shared" si="11"/>
        <v>919805</v>
      </c>
      <c r="N45" s="118"/>
      <c r="O45" s="118"/>
    </row>
    <row r="46" spans="1:15" ht="15" x14ac:dyDescent="0.25">
      <c r="A46" s="100" t="s">
        <v>92</v>
      </c>
      <c r="B46" s="101">
        <f>'Rate DP'!R46</f>
        <v>949920</v>
      </c>
      <c r="C46" s="101"/>
      <c r="D46" s="101">
        <f>'Rate DP'!R42</f>
        <v>26946</v>
      </c>
      <c r="E46" s="101"/>
      <c r="F46" s="101"/>
      <c r="G46" s="101"/>
      <c r="H46" s="101">
        <f>'Rate DP'!R41</f>
        <v>3817</v>
      </c>
      <c r="I46" s="101">
        <f>'Rate DP'!R40</f>
        <v>27068</v>
      </c>
      <c r="J46" s="101">
        <f>'Rate DP'!R43</f>
        <v>19124</v>
      </c>
      <c r="K46" s="101">
        <f t="shared" si="10"/>
        <v>50009</v>
      </c>
      <c r="L46" s="101">
        <f t="shared" si="11"/>
        <v>899911</v>
      </c>
      <c r="N46" s="118"/>
      <c r="O46" s="118"/>
    </row>
    <row r="47" spans="1:15" ht="15" x14ac:dyDescent="0.25">
      <c r="A47" s="100" t="s">
        <v>60</v>
      </c>
      <c r="B47" s="101">
        <f>'Rate TT'!R56</f>
        <v>16832549</v>
      </c>
      <c r="C47" s="101"/>
      <c r="D47" s="101">
        <f>'Rate TT'!R52</f>
        <v>646749</v>
      </c>
      <c r="E47" s="101"/>
      <c r="F47" s="101"/>
      <c r="G47" s="101"/>
      <c r="H47" s="101">
        <f>'Rate TT'!R51</f>
        <v>57205</v>
      </c>
      <c r="I47" s="101">
        <f>'Rate TT'!R50</f>
        <v>95328</v>
      </c>
      <c r="J47" s="101">
        <f>'Rate TT'!R53</f>
        <v>459021</v>
      </c>
      <c r="K47" s="101">
        <f t="shared" si="10"/>
        <v>611554</v>
      </c>
      <c r="L47" s="101">
        <f t="shared" si="11"/>
        <v>16220995</v>
      </c>
      <c r="N47" s="118"/>
      <c r="O47" s="118"/>
    </row>
    <row r="48" spans="1:15" ht="15" x14ac:dyDescent="0.25">
      <c r="A48" s="100" t="s">
        <v>849</v>
      </c>
      <c r="B48" s="101">
        <v>0</v>
      </c>
      <c r="C48" s="101"/>
      <c r="D48" s="101">
        <v>0</v>
      </c>
      <c r="E48" s="101"/>
      <c r="F48" s="101"/>
      <c r="G48" s="101"/>
      <c r="H48" s="101">
        <v>0</v>
      </c>
      <c r="I48" s="101">
        <v>0</v>
      </c>
      <c r="J48" s="101">
        <v>0</v>
      </c>
      <c r="K48" s="101">
        <f t="shared" si="10"/>
        <v>0</v>
      </c>
      <c r="L48" s="101">
        <f t="shared" si="11"/>
        <v>0</v>
      </c>
      <c r="N48" s="118"/>
      <c r="O48" s="118"/>
    </row>
    <row r="49" spans="1:15" ht="15" x14ac:dyDescent="0.25">
      <c r="A49" s="100" t="s">
        <v>839</v>
      </c>
      <c r="B49" s="101">
        <f>'Rate DT RTP-S'!R39</f>
        <v>86290</v>
      </c>
      <c r="C49" s="101"/>
      <c r="D49" s="101">
        <v>0</v>
      </c>
      <c r="E49" s="101"/>
      <c r="F49" s="101"/>
      <c r="G49" s="101"/>
      <c r="H49" s="101">
        <f>'Rate DT RTP-S'!R35</f>
        <v>282</v>
      </c>
      <c r="I49" s="101">
        <f>'Rate DT RTP-S'!R34</f>
        <v>3878</v>
      </c>
      <c r="J49" s="101">
        <f>'Rate DT RTP-S'!R36</f>
        <v>2740</v>
      </c>
      <c r="K49" s="101">
        <f t="shared" si="10"/>
        <v>6900</v>
      </c>
      <c r="L49" s="101">
        <f t="shared" si="11"/>
        <v>79390</v>
      </c>
      <c r="N49" s="118"/>
      <c r="O49" s="118"/>
    </row>
    <row r="50" spans="1:15" ht="15" x14ac:dyDescent="0.25">
      <c r="A50" s="100" t="s">
        <v>308</v>
      </c>
      <c r="B50" s="101">
        <f>'Rate DS RTP'!R39</f>
        <v>1989</v>
      </c>
      <c r="C50" s="101"/>
      <c r="D50" s="101">
        <v>0</v>
      </c>
      <c r="E50" s="101"/>
      <c r="F50" s="101"/>
      <c r="G50" s="101"/>
      <c r="H50" s="101">
        <f>'Rate DS RTP'!R35</f>
        <v>12</v>
      </c>
      <c r="I50" s="101">
        <f>'Rate DS RTP'!R34</f>
        <v>-10</v>
      </c>
      <c r="J50" s="101">
        <f>'Rate DS RTP'!R36</f>
        <v>-7</v>
      </c>
      <c r="K50" s="101">
        <f t="shared" si="10"/>
        <v>-5</v>
      </c>
      <c r="L50" s="101">
        <f t="shared" si="11"/>
        <v>1994</v>
      </c>
      <c r="N50" s="118"/>
      <c r="O50" s="118"/>
    </row>
    <row r="51" spans="1:15" ht="15" x14ac:dyDescent="0.25">
      <c r="A51" s="100" t="s">
        <v>838</v>
      </c>
      <c r="B51" s="101">
        <f>'Rate TT RTP'!R39</f>
        <v>581921</v>
      </c>
      <c r="C51" s="101"/>
      <c r="D51" s="101">
        <v>0</v>
      </c>
      <c r="E51" s="101"/>
      <c r="F51" s="101"/>
      <c r="G51" s="101"/>
      <c r="H51" s="101">
        <f>'Rate TT RTP'!R35</f>
        <v>992</v>
      </c>
      <c r="I51" s="101">
        <f>'Rate TT RTP'!R34</f>
        <v>6236</v>
      </c>
      <c r="J51" s="101">
        <f>'Rate TT RTP'!R36</f>
        <v>30029</v>
      </c>
      <c r="K51" s="101">
        <f t="shared" si="10"/>
        <v>37257</v>
      </c>
      <c r="L51" s="101">
        <f t="shared" si="11"/>
        <v>544664</v>
      </c>
      <c r="N51" s="118"/>
      <c r="O51" s="118"/>
    </row>
    <row r="52" spans="1:15" ht="15" x14ac:dyDescent="0.25">
      <c r="A52" s="100" t="s">
        <v>77</v>
      </c>
      <c r="B52" s="101">
        <f>'Rate SL'!R139</f>
        <v>1642118</v>
      </c>
      <c r="C52" s="101"/>
      <c r="D52" s="101">
        <f>'SCH M-2.3'!P47</f>
        <v>23915</v>
      </c>
      <c r="E52" s="101"/>
      <c r="F52" s="101"/>
      <c r="G52" s="101"/>
      <c r="H52" s="101">
        <f>'Rate SL'!R131</f>
        <v>7862</v>
      </c>
      <c r="I52" s="101"/>
      <c r="J52" s="101">
        <f>'Rate SL'!R132</f>
        <v>16973</v>
      </c>
      <c r="K52" s="101">
        <f t="shared" si="10"/>
        <v>24835</v>
      </c>
      <c r="L52" s="101">
        <f>+B52-E52-K52</f>
        <v>1617283</v>
      </c>
      <c r="N52" s="118"/>
      <c r="O52" s="118"/>
    </row>
    <row r="53" spans="1:15" ht="15" x14ac:dyDescent="0.25">
      <c r="A53" s="100" t="s">
        <v>81</v>
      </c>
      <c r="B53" s="101">
        <f>'Rate TL'!R34</f>
        <v>119336</v>
      </c>
      <c r="C53" s="101"/>
      <c r="D53" s="101">
        <f>'SCH M-2.3'!P48</f>
        <v>5011</v>
      </c>
      <c r="E53" s="101"/>
      <c r="F53" s="101"/>
      <c r="G53" s="101"/>
      <c r="H53" s="101">
        <f>'Rate TL'!R30</f>
        <v>408</v>
      </c>
      <c r="I53" s="101"/>
      <c r="J53" s="101">
        <f>'Rate TL'!R31</f>
        <v>3556</v>
      </c>
      <c r="K53" s="101">
        <f t="shared" si="10"/>
        <v>3964</v>
      </c>
      <c r="L53" s="101">
        <f t="shared" ref="L53:L59" si="12">+B53-E53-K53</f>
        <v>115372</v>
      </c>
      <c r="N53" s="118"/>
      <c r="O53" s="118"/>
    </row>
    <row r="54" spans="1:15" ht="15" x14ac:dyDescent="0.25">
      <c r="A54" s="100" t="s">
        <v>837</v>
      </c>
      <c r="B54" s="101">
        <f>'Rate UOLS'!R28</f>
        <v>702058</v>
      </c>
      <c r="C54" s="101"/>
      <c r="D54" s="101">
        <f>'SCH M-2.3'!P49</f>
        <v>29788</v>
      </c>
      <c r="E54" s="101"/>
      <c r="F54" s="101"/>
      <c r="G54" s="101"/>
      <c r="H54" s="101">
        <f>'Rate UOLS'!R24</f>
        <v>2384</v>
      </c>
      <c r="I54" s="101"/>
      <c r="J54" s="101">
        <f>'Rate UOLS'!R25</f>
        <v>21142</v>
      </c>
      <c r="K54" s="101">
        <f t="shared" si="10"/>
        <v>23526</v>
      </c>
      <c r="L54" s="101">
        <f t="shared" si="12"/>
        <v>678532</v>
      </c>
      <c r="N54" s="118"/>
      <c r="O54" s="118"/>
    </row>
    <row r="55" spans="1:15" ht="15" x14ac:dyDescent="0.25">
      <c r="A55" s="100" t="s">
        <v>86</v>
      </c>
      <c r="B55" s="101">
        <f>'Rate NSU'!R45</f>
        <v>110803</v>
      </c>
      <c r="C55" s="101"/>
      <c r="D55" s="101">
        <f>'SCH M-2.3'!P50</f>
        <v>1368</v>
      </c>
      <c r="E55" s="101"/>
      <c r="F55" s="101"/>
      <c r="G55" s="101"/>
      <c r="H55" s="101">
        <f>'Rate NSU'!R41</f>
        <v>562</v>
      </c>
      <c r="I55" s="101"/>
      <c r="J55" s="101">
        <f>'Rate NSU'!R42</f>
        <v>971</v>
      </c>
      <c r="K55" s="101">
        <f t="shared" si="10"/>
        <v>1533</v>
      </c>
      <c r="L55" s="101">
        <f t="shared" si="12"/>
        <v>109270</v>
      </c>
      <c r="N55" s="118"/>
      <c r="O55" s="118"/>
    </row>
    <row r="56" spans="1:15" ht="15" x14ac:dyDescent="0.25">
      <c r="A56" s="100" t="s">
        <v>73</v>
      </c>
      <c r="B56" s="101">
        <f>'Rate SC'!R72</f>
        <v>7457</v>
      </c>
      <c r="C56" s="101"/>
      <c r="D56" s="101">
        <f>'SCH M-2.3'!P51</f>
        <v>318</v>
      </c>
      <c r="E56" s="101"/>
      <c r="F56" s="101"/>
      <c r="G56" s="101"/>
      <c r="H56" s="101">
        <f>'Rate SC'!R68</f>
        <v>25</v>
      </c>
      <c r="I56" s="101"/>
      <c r="J56" s="101">
        <f>'Rate SC'!R69</f>
        <v>226</v>
      </c>
      <c r="K56" s="101">
        <f t="shared" si="10"/>
        <v>251</v>
      </c>
      <c r="L56" s="101">
        <f t="shared" si="12"/>
        <v>7206</v>
      </c>
      <c r="N56" s="118"/>
      <c r="O56" s="118"/>
    </row>
    <row r="57" spans="1:15" ht="15" x14ac:dyDescent="0.25">
      <c r="A57" s="100" t="s">
        <v>70</v>
      </c>
      <c r="B57" s="101">
        <f>'Rate SE'!R52</f>
        <v>297161</v>
      </c>
      <c r="C57" s="101"/>
      <c r="D57" s="101">
        <f>'SCH M-2.3'!P52</f>
        <v>4218</v>
      </c>
      <c r="E57" s="101"/>
      <c r="F57" s="101"/>
      <c r="G57" s="101"/>
      <c r="H57" s="101">
        <f>'Rate SE'!R48</f>
        <v>1478</v>
      </c>
      <c r="I57" s="101"/>
      <c r="J57" s="101">
        <f>'Rate SE'!R49</f>
        <v>2994</v>
      </c>
      <c r="K57" s="101">
        <f t="shared" si="10"/>
        <v>4472</v>
      </c>
      <c r="L57" s="101">
        <f t="shared" si="12"/>
        <v>292689</v>
      </c>
      <c r="N57" s="118"/>
      <c r="O57" s="118"/>
    </row>
    <row r="58" spans="1:15" ht="15" x14ac:dyDescent="0.25">
      <c r="A58" s="100" t="s">
        <v>796</v>
      </c>
      <c r="B58" s="101">
        <f>'Rate LED'!R340</f>
        <v>22881.429167999999</v>
      </c>
      <c r="C58" s="101"/>
      <c r="D58" s="101">
        <f>'SCH M-2.3'!P53</f>
        <v>147</v>
      </c>
      <c r="E58" s="101"/>
      <c r="F58" s="101"/>
      <c r="G58" s="101"/>
      <c r="H58" s="101">
        <f>'Rate LED'!R335</f>
        <v>123</v>
      </c>
      <c r="I58" s="101"/>
      <c r="J58" s="101">
        <f>'Rate LED'!R337</f>
        <v>104</v>
      </c>
      <c r="K58" s="101">
        <f t="shared" si="10"/>
        <v>227</v>
      </c>
      <c r="L58" s="101">
        <f t="shared" si="12"/>
        <v>22654.429167999999</v>
      </c>
      <c r="N58" s="118"/>
      <c r="O58" s="118"/>
    </row>
    <row r="59" spans="1:15" ht="15" x14ac:dyDescent="0.25">
      <c r="A59" s="100" t="s">
        <v>836</v>
      </c>
      <c r="B59" s="102">
        <f>'SCH M-2.3'!R57+'SCH M-2.3'!R63</f>
        <v>1111737</v>
      </c>
      <c r="C59" s="102"/>
      <c r="D59" s="102">
        <f>'SCH M-2.3'!P57+'SCH M-2.3'!P63</f>
        <v>49887.096871641595</v>
      </c>
      <c r="E59" s="102"/>
      <c r="F59" s="101"/>
      <c r="G59" s="102"/>
      <c r="H59" s="102"/>
      <c r="I59" s="102"/>
      <c r="J59" s="102"/>
      <c r="K59" s="102">
        <f t="shared" si="10"/>
        <v>0</v>
      </c>
      <c r="L59" s="102">
        <f t="shared" si="12"/>
        <v>1111737</v>
      </c>
      <c r="N59" s="118"/>
      <c r="O59" s="118"/>
    </row>
    <row r="60" spans="1:15" ht="15" x14ac:dyDescent="0.25">
      <c r="A60" s="100" t="s">
        <v>835</v>
      </c>
      <c r="B60" s="101">
        <f>SUM(B38:B59)</f>
        <v>516767646.42916799</v>
      </c>
      <c r="C60" s="101">
        <f>SUM(C38:C59)</f>
        <v>0</v>
      </c>
      <c r="D60" s="101">
        <f>SUM(D38:D59)</f>
        <v>13779892.096871642</v>
      </c>
      <c r="E60" s="101">
        <f>SUM(E38:E59)</f>
        <v>0</v>
      </c>
      <c r="F60" s="101"/>
      <c r="G60" s="101">
        <f t="shared" ref="G60:L60" si="13">SUM(G38:G59)</f>
        <v>506997</v>
      </c>
      <c r="H60" s="101">
        <f t="shared" si="13"/>
        <v>1999924</v>
      </c>
      <c r="I60" s="101">
        <f t="shared" si="13"/>
        <v>9896714</v>
      </c>
      <c r="J60" s="101">
        <f t="shared" si="13"/>
        <v>9777438</v>
      </c>
      <c r="K60" s="101">
        <f t="shared" si="13"/>
        <v>22181073</v>
      </c>
      <c r="L60" s="101">
        <f t="shared" si="13"/>
        <v>494586573.42916799</v>
      </c>
    </row>
    <row r="65" spans="8:8" x14ac:dyDescent="0.25">
      <c r="H65" s="118"/>
    </row>
  </sheetData>
  <pageMargins left="0.7" right="0.7" top="0.75" bottom="0.75" header="0.3" footer="0.3"/>
  <pageSetup scale="5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6"/>
  <dimension ref="A1:AT181"/>
  <sheetViews>
    <sheetView workbookViewId="0"/>
  </sheetViews>
  <sheetFormatPr defaultColWidth="8.6640625" defaultRowHeight="15.6" x14ac:dyDescent="0.3"/>
  <cols>
    <col min="1" max="1" width="8.6640625" style="360"/>
    <col min="2" max="2" width="29.58203125" style="360" bestFit="1" customWidth="1"/>
    <col min="3" max="3" width="20.25" style="360" bestFit="1" customWidth="1"/>
    <col min="4" max="5" width="8.6640625" style="360"/>
    <col min="6" max="6" width="30.4140625" style="360" customWidth="1"/>
    <col min="7" max="7" width="14.08203125" style="360" bestFit="1" customWidth="1"/>
    <col min="8" max="9" width="8.6640625" style="360"/>
    <col min="10" max="10" width="30.58203125" style="360" customWidth="1"/>
    <col min="11" max="11" width="13.4140625" style="360" customWidth="1"/>
    <col min="12" max="13" width="8.6640625" style="360"/>
    <col min="14" max="14" width="27.4140625" style="360" bestFit="1" customWidth="1"/>
    <col min="15" max="15" width="15.08203125" style="360" bestFit="1" customWidth="1"/>
    <col min="16" max="16" width="17.25" style="360" bestFit="1" customWidth="1"/>
    <col min="17" max="17" width="12" style="360" bestFit="1" customWidth="1"/>
    <col min="18" max="18" width="15.4140625" style="360" customWidth="1"/>
    <col min="19" max="19" width="13.9140625" style="360" customWidth="1"/>
    <col min="20" max="21" width="8.6640625" style="360"/>
    <col min="22" max="22" width="27.4140625" style="360" bestFit="1" customWidth="1"/>
    <col min="23" max="23" width="18.9140625" style="360" customWidth="1"/>
    <col min="24" max="25" width="8.6640625" style="360"/>
    <col min="26" max="26" width="27.4140625" style="360" bestFit="1" customWidth="1"/>
    <col min="27" max="27" width="13.08203125" style="360" bestFit="1" customWidth="1"/>
    <col min="28" max="29" width="8.6640625" style="360"/>
    <col min="30" max="30" width="27.4140625" style="360" bestFit="1" customWidth="1"/>
    <col min="31" max="31" width="15.08203125" style="360" bestFit="1" customWidth="1"/>
    <col min="32" max="32" width="11" style="360" bestFit="1" customWidth="1"/>
    <col min="33" max="34" width="8.6640625" style="360"/>
    <col min="35" max="35" width="27.4140625" style="360" bestFit="1" customWidth="1"/>
    <col min="36" max="36" width="16.08203125" style="360" bestFit="1" customWidth="1"/>
    <col min="37" max="37" width="11" style="360" bestFit="1" customWidth="1"/>
    <col min="38" max="39" width="8.6640625" style="360"/>
    <col min="40" max="40" width="29.58203125" style="360" bestFit="1" customWidth="1"/>
    <col min="41" max="41" width="15.08203125" style="360" bestFit="1" customWidth="1"/>
    <col min="42" max="42" width="11" style="360" bestFit="1" customWidth="1"/>
    <col min="43" max="43" width="8.6640625" style="360"/>
    <col min="44" max="44" width="12.08203125" style="360" bestFit="1" customWidth="1"/>
    <col min="45" max="45" width="18" style="360" customWidth="1"/>
    <col min="46" max="46" width="12" style="360" bestFit="1" customWidth="1"/>
    <col min="47" max="16384" width="8.6640625" style="360"/>
  </cols>
  <sheetData>
    <row r="1" spans="1:46" ht="19.8" x14ac:dyDescent="0.4">
      <c r="A1" s="359" t="s">
        <v>553</v>
      </c>
    </row>
    <row r="2" spans="1:46" x14ac:dyDescent="0.3">
      <c r="B2" s="360" t="str">
        <f>NAME</f>
        <v>DUKE ENERGY KENTUCKY, INC.</v>
      </c>
      <c r="F2" s="360" t="str">
        <f>NAME</f>
        <v>DUKE ENERGY KENTUCKY, INC.</v>
      </c>
      <c r="J2" s="360" t="str">
        <f>NAME</f>
        <v>DUKE ENERGY KENTUCKY, INC.</v>
      </c>
      <c r="N2" s="360" t="str">
        <f>NAME</f>
        <v>DUKE ENERGY KENTUCKY, INC.</v>
      </c>
      <c r="V2" s="360" t="str">
        <f>NAME</f>
        <v>DUKE ENERGY KENTUCKY, INC.</v>
      </c>
      <c r="Z2" s="360" t="str">
        <f>NAME</f>
        <v>DUKE ENERGY KENTUCKY, INC.</v>
      </c>
      <c r="AD2" s="360" t="str">
        <f>NAME</f>
        <v>DUKE ENERGY KENTUCKY, INC.</v>
      </c>
      <c r="AI2" s="360" t="str">
        <f>NAME</f>
        <v>DUKE ENERGY KENTUCKY, INC.</v>
      </c>
      <c r="AN2" s="360" t="str">
        <f>NAME</f>
        <v>DUKE ENERGY KENTUCKY, INC.</v>
      </c>
      <c r="AS2" s="360" t="str">
        <f>NAME</f>
        <v>DUKE ENERGY KENTUCKY, INC.</v>
      </c>
    </row>
    <row r="3" spans="1:46" x14ac:dyDescent="0.3">
      <c r="B3" s="360" t="str">
        <f>CASE_NO</f>
        <v>CASE NO.   2024-00354</v>
      </c>
      <c r="F3" s="360" t="str">
        <f>CASE_NO</f>
        <v>CASE NO.   2024-00354</v>
      </c>
      <c r="J3" s="360" t="str">
        <f>CASE_NO</f>
        <v>CASE NO.   2024-00354</v>
      </c>
      <c r="N3" s="360" t="str">
        <f>CASE_NO</f>
        <v>CASE NO.   2024-00354</v>
      </c>
      <c r="V3" s="360" t="str">
        <f>CASE_NO</f>
        <v>CASE NO.   2024-00354</v>
      </c>
      <c r="Z3" s="360" t="str">
        <f>CASE_NO</f>
        <v>CASE NO.   2024-00354</v>
      </c>
      <c r="AD3" s="360" t="str">
        <f>CASE_NO</f>
        <v>CASE NO.   2024-00354</v>
      </c>
      <c r="AI3" s="360" t="str">
        <f>CASE_NO</f>
        <v>CASE NO.   2024-00354</v>
      </c>
      <c r="AN3" s="360" t="str">
        <f>CASE_NO</f>
        <v>CASE NO.   2024-00354</v>
      </c>
      <c r="AS3" s="360" t="str">
        <f>CASE_NO</f>
        <v>CASE NO.   2024-00354</v>
      </c>
    </row>
    <row r="4" spans="1:46" x14ac:dyDescent="0.3">
      <c r="B4" s="360" t="s">
        <v>647</v>
      </c>
      <c r="F4" s="360" t="str">
        <f>$B$4</f>
        <v>PROPOSED RATE CALCULATION</v>
      </c>
      <c r="J4" s="360" t="str">
        <f>$B$4</f>
        <v>PROPOSED RATE CALCULATION</v>
      </c>
      <c r="N4" s="360" t="str">
        <f>$B$4</f>
        <v>PROPOSED RATE CALCULATION</v>
      </c>
      <c r="V4" s="360" t="str">
        <f>$B$4</f>
        <v>PROPOSED RATE CALCULATION</v>
      </c>
      <c r="Z4" s="360" t="str">
        <f>$B$4</f>
        <v>PROPOSED RATE CALCULATION</v>
      </c>
      <c r="AD4" s="360" t="str">
        <f>$B$4</f>
        <v>PROPOSED RATE CALCULATION</v>
      </c>
      <c r="AI4" s="360" t="str">
        <f>$B$4</f>
        <v>PROPOSED RATE CALCULATION</v>
      </c>
      <c r="AN4" s="360" t="str">
        <f>$B$4</f>
        <v>PROPOSED RATE CALCULATION</v>
      </c>
      <c r="AS4" s="360" t="str">
        <f>$B$4</f>
        <v>PROPOSED RATE CALCULATION</v>
      </c>
    </row>
    <row r="5" spans="1:46" x14ac:dyDescent="0.3">
      <c r="B5" s="360" t="s">
        <v>555</v>
      </c>
      <c r="F5" s="360" t="s">
        <v>562</v>
      </c>
      <c r="G5" s="360" t="s">
        <v>556</v>
      </c>
      <c r="J5" s="360" t="s">
        <v>583</v>
      </c>
      <c r="K5" s="360" t="s">
        <v>556</v>
      </c>
      <c r="N5" s="360" t="s">
        <v>585</v>
      </c>
      <c r="O5" s="360" t="s">
        <v>556</v>
      </c>
      <c r="V5" s="360" t="s">
        <v>599</v>
      </c>
      <c r="W5" s="360" t="s">
        <v>556</v>
      </c>
      <c r="Z5" s="360" t="s">
        <v>605</v>
      </c>
      <c r="AA5" s="360" t="s">
        <v>556</v>
      </c>
      <c r="AD5" s="360" t="s">
        <v>608</v>
      </c>
      <c r="AI5" s="360" t="s">
        <v>618</v>
      </c>
      <c r="AN5" s="360" t="s">
        <v>629</v>
      </c>
      <c r="AS5" s="360" t="s">
        <v>642</v>
      </c>
    </row>
    <row r="6" spans="1:46" ht="16.2" thickBot="1" x14ac:dyDescent="0.35">
      <c r="C6" s="360" t="s">
        <v>556</v>
      </c>
      <c r="AD6" s="381"/>
      <c r="AE6" s="382" t="s">
        <v>613</v>
      </c>
      <c r="AF6" s="383" t="s">
        <v>609</v>
      </c>
      <c r="AI6" s="381"/>
      <c r="AJ6" s="382" t="s">
        <v>613</v>
      </c>
      <c r="AK6" s="383" t="s">
        <v>609</v>
      </c>
      <c r="AN6" s="381"/>
      <c r="AO6" s="382" t="s">
        <v>613</v>
      </c>
      <c r="AP6" s="383" t="s">
        <v>609</v>
      </c>
      <c r="AS6" s="360" t="s">
        <v>643</v>
      </c>
    </row>
    <row r="7" spans="1:46" ht="31.2" x14ac:dyDescent="0.3">
      <c r="B7" s="384" t="s">
        <v>550</v>
      </c>
      <c r="C7" s="385">
        <f>'Rate RS'!F23</f>
        <v>1689991</v>
      </c>
      <c r="F7" s="384" t="s">
        <v>565</v>
      </c>
      <c r="G7" s="385">
        <f>'Rate DS'!F25</f>
        <v>79682</v>
      </c>
      <c r="J7" s="364" t="s">
        <v>584</v>
      </c>
      <c r="N7" s="384" t="s">
        <v>645</v>
      </c>
      <c r="O7" s="385">
        <f>'Rate DT-Sec'!F23</f>
        <v>0</v>
      </c>
      <c r="V7" s="384" t="s">
        <v>704</v>
      </c>
      <c r="W7" s="385">
        <f>'Rate EH'!F24</f>
        <v>204</v>
      </c>
      <c r="Z7" s="384" t="s">
        <v>606</v>
      </c>
      <c r="AA7" s="385">
        <f>'Rate SP GSFL'!F25</f>
        <v>166</v>
      </c>
      <c r="AD7" s="386" t="s">
        <v>610</v>
      </c>
      <c r="AE7" s="369">
        <f>'Rate SP GSFL'!AO106</f>
        <v>1042</v>
      </c>
      <c r="AF7" s="387">
        <f>AE7/SUM($AE$7:$AE$9)</f>
        <v>1.335746736265652E-3</v>
      </c>
      <c r="AI7" s="386" t="s">
        <v>619</v>
      </c>
      <c r="AJ7" s="369">
        <f>'Rate DP'!AO81</f>
        <v>260443</v>
      </c>
      <c r="AK7" s="387">
        <f>AJ7/SUM($AJ$7:$AJ$10)</f>
        <v>0.32347260810758782</v>
      </c>
      <c r="AN7" s="386" t="s">
        <v>718</v>
      </c>
      <c r="AO7" s="369">
        <f>'Rate TT'!AO88</f>
        <v>1199464</v>
      </c>
      <c r="AP7" s="387">
        <f>AO7/SUM($AO$7:$AO$10)</f>
        <v>8.4159458579182916E-2</v>
      </c>
      <c r="AS7" s="360" t="s">
        <v>664</v>
      </c>
    </row>
    <row r="8" spans="1:46" ht="31.2" x14ac:dyDescent="0.3">
      <c r="B8" s="388" t="s">
        <v>554</v>
      </c>
      <c r="C8" s="389">
        <f>'Revenue Requirements'!H10</f>
        <v>31301526</v>
      </c>
      <c r="F8" s="390" t="s">
        <v>563</v>
      </c>
      <c r="G8" s="391">
        <f>'Rate DS'!F26</f>
        <v>75323</v>
      </c>
      <c r="J8" s="364" t="s">
        <v>689</v>
      </c>
      <c r="N8" s="390" t="s">
        <v>588</v>
      </c>
      <c r="O8" s="391">
        <f>'Rate DT-Sec'!F24</f>
        <v>458</v>
      </c>
      <c r="V8" s="390" t="s">
        <v>705</v>
      </c>
      <c r="W8" s="391">
        <f>'Rate EH'!F25</f>
        <v>802</v>
      </c>
      <c r="Z8" s="390"/>
      <c r="AA8" s="391"/>
      <c r="AD8" s="386" t="s">
        <v>611</v>
      </c>
      <c r="AE8" s="369">
        <f>'Rate SP GSFL'!AO109</f>
        <v>1346</v>
      </c>
      <c r="AF8" s="387">
        <f>AE8/SUM($AE$7:$AE$9)</f>
        <v>1.7254463598978577E-3</v>
      </c>
      <c r="AI8" s="386" t="s">
        <v>620</v>
      </c>
      <c r="AJ8" s="369">
        <f>'Rate DP'!AO85</f>
        <v>490745</v>
      </c>
      <c r="AK8" s="387">
        <f>AJ8/SUM($AJ$7:$AJ$10)</f>
        <v>0.6095098162198952</v>
      </c>
      <c r="AN8" s="386" t="s">
        <v>719</v>
      </c>
      <c r="AO8" s="96">
        <f>'Rate TT'!AO102</f>
        <v>1983592</v>
      </c>
      <c r="AP8" s="387">
        <f>AO8/SUM($AO$7:$AO$10)</f>
        <v>0.13917718977976715</v>
      </c>
    </row>
    <row r="9" spans="1:46" ht="31.8" thickBot="1" x14ac:dyDescent="0.35">
      <c r="B9" s="390" t="s">
        <v>674</v>
      </c>
      <c r="C9" s="392">
        <f>ROUND(C8/C7,2)</f>
        <v>18.52</v>
      </c>
      <c r="F9" s="390" t="s">
        <v>564</v>
      </c>
      <c r="G9" s="391">
        <f>G7+G8</f>
        <v>155005</v>
      </c>
      <c r="J9" s="364"/>
      <c r="N9" s="390" t="s">
        <v>587</v>
      </c>
      <c r="O9" s="391">
        <f>'Rate DT-Pri'!F23</f>
        <v>131</v>
      </c>
      <c r="V9" s="390" t="s">
        <v>564</v>
      </c>
      <c r="W9" s="391">
        <f>SUM(W7:W8)</f>
        <v>1006</v>
      </c>
      <c r="Z9" s="390"/>
      <c r="AA9" s="391"/>
      <c r="AD9" s="386" t="s">
        <v>612</v>
      </c>
      <c r="AE9" s="369">
        <f>'Rate SP GSFL'!AO110</f>
        <v>777700</v>
      </c>
      <c r="AF9" s="393">
        <f>AE9/SUM($AE$7:$AE$9)</f>
        <v>0.99693880690383652</v>
      </c>
      <c r="AI9" s="386" t="s">
        <v>621</v>
      </c>
      <c r="AJ9" s="369">
        <f>'Rate DP'!AO86</f>
        <v>53959</v>
      </c>
      <c r="AK9" s="387">
        <f>AJ9/SUM($AJ$7:$AJ$10)</f>
        <v>6.7017575672516941E-2</v>
      </c>
      <c r="AN9" s="386" t="s">
        <v>720</v>
      </c>
      <c r="AO9" s="96">
        <f>'Rate TT'!AO89+'Rate TT'!AO103</f>
        <v>19782</v>
      </c>
      <c r="AP9" s="387">
        <f>AO9/SUM($AO$7:$AO$10)</f>
        <v>1.3879886429383429E-3</v>
      </c>
      <c r="AS9" s="364" t="s">
        <v>656</v>
      </c>
      <c r="AT9" s="369">
        <f>'Rate SL'!R42+'Rate SL'!R111+'Rate SL'!R128+'Rate SL'!R138+'Rate TL'!R27+'Rate UOLS'!R21+'Rate NSU'!R38+'Rate SC'!R65+'Rate SE'!R45+'Rate LED'!R332+'Rate LED'!R336-'Revenue Requirements'!I23</f>
        <v>-200.57083200011402</v>
      </c>
    </row>
    <row r="10" spans="1:46" ht="16.2" thickBot="1" x14ac:dyDescent="0.35">
      <c r="B10" s="390" t="s">
        <v>557</v>
      </c>
      <c r="C10" s="97">
        <f>INPUT!C43</f>
        <v>13</v>
      </c>
      <c r="F10" s="390"/>
      <c r="G10" s="394"/>
      <c r="J10" s="364"/>
      <c r="N10" s="390" t="s">
        <v>564</v>
      </c>
      <c r="O10" s="391">
        <f>SUM(O7:O9)</f>
        <v>589</v>
      </c>
      <c r="V10" s="388"/>
      <c r="W10" s="394"/>
      <c r="Z10" s="388"/>
      <c r="AA10" s="394"/>
      <c r="AD10" s="395"/>
      <c r="AE10" s="396" t="s">
        <v>556</v>
      </c>
      <c r="AI10" s="386" t="s">
        <v>622</v>
      </c>
      <c r="AJ10" s="369">
        <f>'Rate DP'!AO87</f>
        <v>0</v>
      </c>
      <c r="AK10" s="393">
        <f>AJ10/SUM($AJ$7:$AJ$10)</f>
        <v>0</v>
      </c>
      <c r="AN10" s="386" t="s">
        <v>721</v>
      </c>
      <c r="AO10" s="96">
        <f>'Rate TT'!AO93+'Rate TT'!AO94+'Rate TT'!AO107+'Rate TT'!AO108</f>
        <v>11049440</v>
      </c>
      <c r="AP10" s="393">
        <f>AO10/SUM($AO$7:$AO$10)</f>
        <v>0.77527536299811162</v>
      </c>
    </row>
    <row r="11" spans="1:46" ht="46.8" x14ac:dyDescent="0.3">
      <c r="B11" s="390" t="s">
        <v>552</v>
      </c>
      <c r="C11" s="392">
        <f>C9-C10</f>
        <v>5.52</v>
      </c>
      <c r="F11" s="390" t="s">
        <v>675</v>
      </c>
      <c r="G11" s="389">
        <f>'Revenue Requirements'!H11-'Rate DS RTP'!L25</f>
        <v>2842318</v>
      </c>
      <c r="J11" s="364" t="s">
        <v>690</v>
      </c>
      <c r="N11" s="390" t="s">
        <v>691</v>
      </c>
      <c r="O11" s="389">
        <f>'Revenue Requirements'!H13-'Rate DT RTP-S'!L25</f>
        <v>222354</v>
      </c>
      <c r="V11" s="390" t="s">
        <v>706</v>
      </c>
      <c r="W11" s="389">
        <f>'Revenue Requirements'!H17</f>
        <v>30621</v>
      </c>
      <c r="Z11" s="390" t="s">
        <v>706</v>
      </c>
      <c r="AA11" s="389">
        <f>'Revenue Requirements'!H18</f>
        <v>2517</v>
      </c>
      <c r="AD11" s="390" t="s">
        <v>734</v>
      </c>
      <c r="AE11" s="389">
        <f>'Revenue Requirements'!I35-'Rate SP GSFL'!R53</f>
        <v>899087</v>
      </c>
      <c r="AI11" s="384"/>
      <c r="AJ11" s="396" t="s">
        <v>556</v>
      </c>
      <c r="AN11" s="384"/>
      <c r="AO11" s="396" t="s">
        <v>556</v>
      </c>
      <c r="AS11" s="360" t="s">
        <v>787</v>
      </c>
      <c r="AT11" s="380">
        <v>0.14260999999999999</v>
      </c>
    </row>
    <row r="12" spans="1:46" ht="31.2" x14ac:dyDescent="0.3">
      <c r="A12" s="366">
        <v>0.5</v>
      </c>
      <c r="B12" s="390" t="s">
        <v>855</v>
      </c>
      <c r="C12" s="97">
        <f>ROUND(C10*'Revenue Requirements'!J10,2)</f>
        <v>2.19</v>
      </c>
      <c r="F12" s="390" t="s">
        <v>692</v>
      </c>
      <c r="G12" s="392">
        <f>ROUND(G11/G9,2)</f>
        <v>18.34</v>
      </c>
      <c r="J12" s="364"/>
      <c r="N12" s="390" t="s">
        <v>693</v>
      </c>
      <c r="O12" s="97">
        <f>ROUND(O11/(O8+O7),2)</f>
        <v>485.49</v>
      </c>
      <c r="V12" s="390" t="s">
        <v>692</v>
      </c>
      <c r="W12" s="97">
        <f>ROUND(W11/W9,2)</f>
        <v>30.44</v>
      </c>
      <c r="Z12" s="390" t="s">
        <v>674</v>
      </c>
      <c r="AA12" s="97">
        <f>ROUND(AA11/AA7,2)</f>
        <v>15.16</v>
      </c>
      <c r="AD12" s="390" t="s">
        <v>708</v>
      </c>
      <c r="AE12" s="389">
        <f>ROUND($AE$11*AF7,0)</f>
        <v>1201</v>
      </c>
      <c r="AI12" s="390" t="s">
        <v>649</v>
      </c>
      <c r="AJ12" s="397">
        <f>'Rate DP'!F26</f>
        <v>120</v>
      </c>
      <c r="AN12" s="390" t="s">
        <v>630</v>
      </c>
      <c r="AO12" s="391">
        <f>'Rate TT'!F47</f>
        <v>156</v>
      </c>
    </row>
    <row r="13" spans="1:46" ht="31.8" thickBot="1" x14ac:dyDescent="0.35">
      <c r="B13" s="390" t="s">
        <v>856</v>
      </c>
      <c r="C13" s="392">
        <f>C10+C12</f>
        <v>15.19</v>
      </c>
      <c r="F13" s="390" t="s">
        <v>551</v>
      </c>
      <c r="G13" s="97">
        <f>ROUND(((G7*INPUT!C48)+(G8*INPUT!C49))/G9,2)</f>
        <v>22.29</v>
      </c>
      <c r="J13" s="364"/>
      <c r="N13" s="390" t="s">
        <v>698</v>
      </c>
      <c r="O13" s="97">
        <f>INPUT!C69</f>
        <v>127</v>
      </c>
      <c r="V13" s="390" t="s">
        <v>600</v>
      </c>
      <c r="W13" s="97">
        <f>ROUND('Rate EH'!AO75/'Rate EH'!Y75,2)</f>
        <v>26.96</v>
      </c>
      <c r="Z13" s="390" t="s">
        <v>557</v>
      </c>
      <c r="AA13" s="97">
        <f>INPUT!C96</f>
        <v>15</v>
      </c>
      <c r="AD13" s="390" t="s">
        <v>611</v>
      </c>
      <c r="AE13" s="389">
        <f>ROUND($AE$11*AF8,0)</f>
        <v>1551</v>
      </c>
      <c r="AI13" s="390" t="s">
        <v>706</v>
      </c>
      <c r="AJ13" s="389">
        <f>'Revenue Requirements'!H20</f>
        <v>14419</v>
      </c>
      <c r="AN13" s="390" t="s">
        <v>722</v>
      </c>
      <c r="AO13" s="389">
        <f>'Revenue Requirements'!H21-'Rate TT RTP'!L25</f>
        <v>45526</v>
      </c>
    </row>
    <row r="14" spans="1:46" ht="31.8" thickBot="1" x14ac:dyDescent="0.35">
      <c r="B14" s="398" t="s">
        <v>558</v>
      </c>
      <c r="C14" s="399">
        <v>16</v>
      </c>
      <c r="D14" s="366">
        <f>(C14-C10)/C10</f>
        <v>0.23076923076923078</v>
      </c>
      <c r="F14" s="390" t="s">
        <v>676</v>
      </c>
      <c r="G14" s="400">
        <f>(G12-G13)/G13</f>
        <v>-0.17720951099147597</v>
      </c>
      <c r="J14" s="364"/>
      <c r="N14" s="390" t="s">
        <v>552</v>
      </c>
      <c r="O14" s="392">
        <f>O12-O13</f>
        <v>358.49</v>
      </c>
      <c r="V14" s="390"/>
      <c r="W14" s="392"/>
      <c r="Z14" s="390" t="s">
        <v>552</v>
      </c>
      <c r="AA14" s="392">
        <f>AA12-AA13</f>
        <v>0.16000000000000014</v>
      </c>
      <c r="AD14" s="390" t="s">
        <v>612</v>
      </c>
      <c r="AE14" s="389">
        <f>AE11-AE12-AE13</f>
        <v>896335</v>
      </c>
      <c r="AI14" s="390" t="s">
        <v>674</v>
      </c>
      <c r="AJ14" s="97">
        <f>ROUND(AJ13/AJ12,2)</f>
        <v>120.16</v>
      </c>
      <c r="AM14" s="361">
        <f>A12</f>
        <v>0.5</v>
      </c>
      <c r="AN14" s="390" t="s">
        <v>674</v>
      </c>
      <c r="AO14" s="97">
        <f>ROUND(AO13/AO12,2)</f>
        <v>291.83</v>
      </c>
    </row>
    <row r="15" spans="1:46" ht="31.8" thickBot="1" x14ac:dyDescent="0.35">
      <c r="B15" s="384" t="s">
        <v>559</v>
      </c>
      <c r="C15" s="401">
        <f>'Rate RS'!L23</f>
        <v>24927367</v>
      </c>
      <c r="E15" s="361">
        <v>1</v>
      </c>
      <c r="F15" s="390" t="s">
        <v>677</v>
      </c>
      <c r="G15" s="400">
        <f>G14*E15</f>
        <v>-0.17720951099147597</v>
      </c>
      <c r="J15" s="364"/>
      <c r="N15" s="390" t="s">
        <v>852</v>
      </c>
      <c r="O15" s="392">
        <f>ROUND(O13+(1+'Revenue Requirements'!J13),2)</f>
        <v>128.13999999999999</v>
      </c>
      <c r="V15" s="390"/>
      <c r="W15" s="392"/>
      <c r="Z15" s="390" t="s">
        <v>707</v>
      </c>
      <c r="AA15" s="392">
        <f>ROUND(AA13+(Migration_CC*AA14),2)</f>
        <v>15.08</v>
      </c>
      <c r="AD15" s="390" t="s">
        <v>617</v>
      </c>
      <c r="AE15" s="391">
        <f>'Rate SP GSFL'!F43</f>
        <v>275</v>
      </c>
      <c r="AI15" s="390" t="s">
        <v>557</v>
      </c>
      <c r="AJ15" s="97">
        <f>INPUT!C113</f>
        <v>117</v>
      </c>
      <c r="AN15" s="390" t="s">
        <v>557</v>
      </c>
      <c r="AO15" s="97">
        <f>INPUT!C123</f>
        <v>500</v>
      </c>
    </row>
    <row r="16" spans="1:46" ht="31.8" thickBot="1" x14ac:dyDescent="0.35">
      <c r="B16" s="390"/>
      <c r="C16" s="392"/>
      <c r="F16" s="390" t="s">
        <v>567</v>
      </c>
      <c r="G16" s="97">
        <f>ROUND(INPUT!C48*(1+'Proposed Rates - Not Used'!$G$15),2)</f>
        <v>12.34</v>
      </c>
      <c r="J16" s="364"/>
      <c r="N16" s="384" t="s">
        <v>694</v>
      </c>
      <c r="O16" s="402">
        <v>128</v>
      </c>
      <c r="P16" s="366">
        <f>(O16-O13)/O13</f>
        <v>7.874015748031496E-3</v>
      </c>
      <c r="V16" s="384" t="s">
        <v>601</v>
      </c>
      <c r="W16" s="402">
        <f>G19</f>
        <v>30</v>
      </c>
      <c r="X16" s="361">
        <f>(W16-INPUT!C87)/INPUT!C87</f>
        <v>0</v>
      </c>
      <c r="Z16" s="390"/>
      <c r="AA16" s="97"/>
      <c r="AD16" s="390" t="s">
        <v>661</v>
      </c>
      <c r="AE16" s="391">
        <f>'Rate SP GSFL'!H46</f>
        <v>11644</v>
      </c>
      <c r="AI16" s="390" t="s">
        <v>552</v>
      </c>
      <c r="AJ16" s="392">
        <f>AJ14-AJ15</f>
        <v>3.1599999999999966</v>
      </c>
      <c r="AN16" s="390" t="s">
        <v>552</v>
      </c>
      <c r="AO16" s="392">
        <f>AO14-AO15</f>
        <v>-208.17000000000002</v>
      </c>
    </row>
    <row r="17" spans="2:44" ht="31.8" thickBot="1" x14ac:dyDescent="0.35">
      <c r="B17" s="390" t="s">
        <v>560</v>
      </c>
      <c r="C17" s="389">
        <f>'Revenue Requirements'!I10</f>
        <v>231141541</v>
      </c>
      <c r="F17" s="390" t="s">
        <v>568</v>
      </c>
      <c r="G17" s="97">
        <f>ROUND(INPUT!C49*(1+'Proposed Rates - Not Used'!$G$15),2)</f>
        <v>24.68</v>
      </c>
      <c r="J17" s="364"/>
      <c r="N17" s="403" t="s">
        <v>695</v>
      </c>
      <c r="O17" s="404">
        <f>+O16/2</f>
        <v>64</v>
      </c>
      <c r="V17" s="403" t="s">
        <v>602</v>
      </c>
      <c r="W17" s="404">
        <f>G18</f>
        <v>15</v>
      </c>
      <c r="X17" s="361">
        <f>(W17-INPUT!C86)/INPUT!C86</f>
        <v>0</v>
      </c>
      <c r="Z17" s="398" t="s">
        <v>607</v>
      </c>
      <c r="AA17" s="405">
        <f>W17</f>
        <v>15</v>
      </c>
      <c r="AB17" s="361">
        <f>(AA17-AA13)/AA13</f>
        <v>0</v>
      </c>
      <c r="AD17" s="390" t="s">
        <v>662</v>
      </c>
      <c r="AE17" s="391">
        <f>'Rate SP GSFL'!H47</f>
        <v>5911099</v>
      </c>
      <c r="AI17" s="390" t="s">
        <v>1131</v>
      </c>
      <c r="AJ17" s="392">
        <f>ROUND(AJ15*(1+'Revenue Requirements'!J20),2)</f>
        <v>124.41</v>
      </c>
      <c r="AN17" s="390"/>
      <c r="AO17" s="392"/>
    </row>
    <row r="18" spans="2:44" ht="31.8" thickBot="1" x14ac:dyDescent="0.35">
      <c r="B18" s="390" t="s">
        <v>728</v>
      </c>
      <c r="C18" s="406">
        <f>C17-C15-'Rate RS'!R34</f>
        <v>200886657</v>
      </c>
      <c r="F18" s="384" t="s">
        <v>566</v>
      </c>
      <c r="G18" s="402">
        <v>15</v>
      </c>
      <c r="J18" s="364"/>
      <c r="N18" s="390" t="s">
        <v>696</v>
      </c>
      <c r="O18" s="389">
        <f>'Revenue Requirements'!H15</f>
        <v>142589</v>
      </c>
      <c r="V18" s="390" t="s">
        <v>603</v>
      </c>
      <c r="W18" s="406">
        <f>'Rate EH'!R27</f>
        <v>27120</v>
      </c>
      <c r="Z18" s="384" t="s">
        <v>603</v>
      </c>
      <c r="AA18" s="401">
        <f>'Rate SP GSFL'!R25</f>
        <v>2490</v>
      </c>
      <c r="AD18" s="384" t="s">
        <v>614</v>
      </c>
      <c r="AE18" s="407">
        <f>ROUND(AE12/AE15,2)</f>
        <v>4.37</v>
      </c>
      <c r="AI18" s="390"/>
      <c r="AJ18" s="97"/>
      <c r="AN18" s="398" t="s">
        <v>631</v>
      </c>
      <c r="AO18" s="405">
        <v>500</v>
      </c>
    </row>
    <row r="19" spans="2:44" ht="31.8" thickBot="1" x14ac:dyDescent="0.35">
      <c r="B19" s="390" t="s">
        <v>655</v>
      </c>
      <c r="C19" s="391">
        <f>'Rate RS'!H26</f>
        <v>1527729253</v>
      </c>
      <c r="F19" s="403" t="s">
        <v>569</v>
      </c>
      <c r="G19" s="404">
        <v>30</v>
      </c>
      <c r="J19" s="364"/>
      <c r="N19" s="390" t="s">
        <v>697</v>
      </c>
      <c r="O19" s="97">
        <f>ROUND(O18/O9,2)</f>
        <v>1088.47</v>
      </c>
      <c r="V19" s="398" t="s">
        <v>650</v>
      </c>
      <c r="W19" s="405">
        <f>AJ19</f>
        <v>120</v>
      </c>
      <c r="X19" s="361">
        <f>(W19-INPUT!C88)/INPUT!C88</f>
        <v>2.564102564102564E-2</v>
      </c>
      <c r="Z19" s="388"/>
      <c r="AA19" s="394"/>
      <c r="AD19" s="390" t="s">
        <v>615</v>
      </c>
      <c r="AE19" s="408">
        <f>ROUND(AE13/AE16,6)-0.0002</f>
        <v>0.13300199999999998</v>
      </c>
      <c r="AI19" s="398" t="s">
        <v>709</v>
      </c>
      <c r="AJ19" s="405">
        <v>120</v>
      </c>
      <c r="AN19" s="384" t="s">
        <v>632</v>
      </c>
      <c r="AO19" s="98">
        <f>AO18*AO12</f>
        <v>78000</v>
      </c>
    </row>
    <row r="20" spans="2:44" ht="31.8" thickBot="1" x14ac:dyDescent="0.35">
      <c r="B20" s="398" t="s">
        <v>561</v>
      </c>
      <c r="C20" s="409">
        <f>ROUND(C18/C19,6)</f>
        <v>0.131494</v>
      </c>
      <c r="F20" s="364"/>
      <c r="J20" s="364"/>
      <c r="N20" s="390" t="s">
        <v>589</v>
      </c>
      <c r="O20" s="97">
        <f>INPUT!C70</f>
        <v>138</v>
      </c>
      <c r="P20" s="360">
        <f>ROUND(O20*(1+'Revenue Requirements'!J15),2)</f>
        <v>159.47</v>
      </c>
      <c r="V20" s="384" t="s">
        <v>733</v>
      </c>
      <c r="W20" s="401">
        <f>'Revenue Requirements'!I36-'Proposed Rates - Not Used'!W18-'Rate EH'!R39</f>
        <v>2007100</v>
      </c>
      <c r="Z20" s="390" t="s">
        <v>733</v>
      </c>
      <c r="AA20" s="406">
        <f>'Revenue Requirements'!I37-'Proposed Rates - Not Used'!AA18-'Rate SP GSFL'!R34</f>
        <v>54854</v>
      </c>
      <c r="AD20" s="403" t="s">
        <v>616</v>
      </c>
      <c r="AE20" s="410">
        <f>ROUND(AE14/AE17,6)</f>
        <v>0.15163599999999999</v>
      </c>
      <c r="AI20" s="384" t="s">
        <v>603</v>
      </c>
      <c r="AJ20" s="401">
        <f>'Rate DP'!L26</f>
        <v>14520</v>
      </c>
      <c r="AN20" s="390" t="s">
        <v>723</v>
      </c>
      <c r="AO20" s="389">
        <f>'Revenue Requirements'!I21</f>
        <v>16766906</v>
      </c>
    </row>
    <row r="21" spans="2:44" ht="62.25" customHeight="1" thickBot="1" x14ac:dyDescent="0.35">
      <c r="B21" s="364" t="s">
        <v>656</v>
      </c>
      <c r="C21" s="374">
        <f>'Rate RS'!L28+'Rate RS'!R34-C17</f>
        <v>-13878847</v>
      </c>
      <c r="F21" s="384" t="s">
        <v>678</v>
      </c>
      <c r="G21" s="411">
        <f>'Rate DS'!AT88</f>
        <v>0.23189527103039187</v>
      </c>
      <c r="J21" s="364"/>
      <c r="N21" s="390" t="s">
        <v>552</v>
      </c>
      <c r="O21" s="392">
        <f>O19-O20</f>
        <v>950.47</v>
      </c>
      <c r="V21" s="390" t="s">
        <v>108</v>
      </c>
      <c r="W21" s="391">
        <f>'Rate EH'!H33</f>
        <v>19145457</v>
      </c>
      <c r="Z21" s="390" t="s">
        <v>108</v>
      </c>
      <c r="AA21" s="391">
        <f>'Rate SP GSFL'!H28</f>
        <v>327203</v>
      </c>
      <c r="AD21" s="364"/>
      <c r="AE21" s="369"/>
      <c r="AI21" s="390" t="s">
        <v>735</v>
      </c>
      <c r="AJ21" s="389">
        <f>'Revenue Requirements'!I20</f>
        <v>899851</v>
      </c>
      <c r="AN21" s="390" t="s">
        <v>633</v>
      </c>
      <c r="AO21" s="391">
        <f>'Rate TT RTP'!R31</f>
        <v>544664</v>
      </c>
    </row>
    <row r="22" spans="2:44" ht="31.8" thickBot="1" x14ac:dyDescent="0.35">
      <c r="F22" s="390" t="s">
        <v>729</v>
      </c>
      <c r="G22" s="406">
        <f>'Revenue Requirements'!I34-'Rate DS'!L27-'Rate DS RTP'!L31-'Rate DS'!R46</f>
        <v>140817785</v>
      </c>
      <c r="J22" s="364"/>
      <c r="N22" s="390" t="s">
        <v>1130</v>
      </c>
      <c r="O22" s="360">
        <f>ROUND(O20*(1+'Revenue Requirements'!J15),2)</f>
        <v>159.47</v>
      </c>
      <c r="V22" s="398" t="s">
        <v>604</v>
      </c>
      <c r="W22" s="412">
        <f>ROUND(W20/W21,6)</f>
        <v>0.104834</v>
      </c>
      <c r="Z22" s="398" t="s">
        <v>604</v>
      </c>
      <c r="AA22" s="412">
        <f>ROUND(AA20/AA21,6)</f>
        <v>0.16764499999999999</v>
      </c>
      <c r="AD22" s="364" t="s">
        <v>656</v>
      </c>
      <c r="AE22" s="374">
        <f>'Rate SP GSFL'!R48+'Rate SP GSFL'!R53-'Revenue Requirements'!I35</f>
        <v>64</v>
      </c>
      <c r="AI22" s="390" t="s">
        <v>736</v>
      </c>
      <c r="AJ22" s="389">
        <f>AJ21-AJ20-'Rate DP'!R42</f>
        <v>858385</v>
      </c>
      <c r="AN22" s="390" t="s">
        <v>737</v>
      </c>
      <c r="AO22" s="406">
        <f>AO20-AO21-AO19-'Rate TT'!R52</f>
        <v>15497493</v>
      </c>
    </row>
    <row r="23" spans="2:44" ht="31.8" thickBot="1" x14ac:dyDescent="0.35">
      <c r="F23" s="390" t="s">
        <v>679</v>
      </c>
      <c r="G23" s="389">
        <f>ROUND(G22*G21,0)</f>
        <v>32654978</v>
      </c>
      <c r="J23" s="364"/>
      <c r="N23" s="384" t="s">
        <v>660</v>
      </c>
      <c r="O23" s="402">
        <v>160</v>
      </c>
      <c r="P23" s="366">
        <f>(O23-O20)/O20</f>
        <v>0.15942028985507245</v>
      </c>
      <c r="AI23" s="390" t="s">
        <v>710</v>
      </c>
      <c r="AJ23" s="389">
        <f>ROUND($AJ$22*AK7,0)</f>
        <v>277664</v>
      </c>
      <c r="AN23" s="388"/>
      <c r="AO23" s="394"/>
    </row>
    <row r="24" spans="2:44" ht="31.8" thickBot="1" x14ac:dyDescent="0.35">
      <c r="F24" s="390" t="s">
        <v>570</v>
      </c>
      <c r="G24" s="391">
        <f>'Rate DS'!H31</f>
        <v>2641511</v>
      </c>
      <c r="J24" s="364"/>
      <c r="N24" s="384" t="s">
        <v>699</v>
      </c>
      <c r="O24" s="413">
        <f>'Rate DT-Pri'!L24+'Rate DT-Pri'!L42+'Rate DT-Sec'!L25+'Rate DT-Sec'!L42</f>
        <v>234326</v>
      </c>
      <c r="P24" s="414"/>
      <c r="Q24" s="414"/>
      <c r="R24" s="414"/>
      <c r="S24" s="396"/>
      <c r="V24" s="364" t="s">
        <v>656</v>
      </c>
      <c r="W24" s="374">
        <f>'Rate EH'!R34+'Rate EH'!R39-'Revenue Requirements'!I36</f>
        <v>148</v>
      </c>
      <c r="Z24" s="364" t="s">
        <v>656</v>
      </c>
      <c r="AA24" s="374">
        <f>'Rate SP GSFL'!R29+'Rate SP GSFL'!R34-'Revenue Requirements'!I37</f>
        <v>4</v>
      </c>
      <c r="AI24" s="390" t="s">
        <v>711</v>
      </c>
      <c r="AJ24" s="389">
        <f>AJ22-AJ23-AJ25-AJ26</f>
        <v>523194</v>
      </c>
      <c r="AN24" s="390"/>
      <c r="AO24" s="415"/>
    </row>
    <row r="25" spans="2:44" ht="31.8" thickBot="1" x14ac:dyDescent="0.35">
      <c r="F25" s="398" t="s">
        <v>571</v>
      </c>
      <c r="G25" s="399">
        <f>ROUND(G23/G24,2)</f>
        <v>12.36</v>
      </c>
      <c r="J25" s="364"/>
      <c r="N25" s="390" t="s">
        <v>700</v>
      </c>
      <c r="O25" s="96">
        <f>'Revenue Requirements'!I13+'Revenue Requirements'!I15</f>
        <v>116695012</v>
      </c>
      <c r="S25" s="394"/>
      <c r="AI25" s="390" t="s">
        <v>712</v>
      </c>
      <c r="AJ25" s="389">
        <f>ROUND($AJ$22*AK9,0)</f>
        <v>57527</v>
      </c>
      <c r="AN25" s="390"/>
      <c r="AO25" s="415"/>
    </row>
    <row r="26" spans="2:44" ht="16.2" thickBot="1" x14ac:dyDescent="0.35">
      <c r="F26" s="403" t="s">
        <v>659</v>
      </c>
      <c r="G26" s="416">
        <f>'Rate DS'!L32</f>
        <v>34260398</v>
      </c>
      <c r="J26" s="364"/>
      <c r="N26" s="390" t="s">
        <v>586</v>
      </c>
      <c r="O26" s="369">
        <f>'Rate DT RTP-S'!R31</f>
        <v>79390</v>
      </c>
      <c r="S26" s="394"/>
      <c r="AI26" s="390" t="s">
        <v>713</v>
      </c>
      <c r="AJ26" s="389">
        <f>ROUND($AJ$22*AK10,0)</f>
        <v>0</v>
      </c>
      <c r="AN26" s="390" t="s">
        <v>827</v>
      </c>
      <c r="AO26" s="391">
        <f>'Rate TT'!AA93</f>
        <v>16346458</v>
      </c>
    </row>
    <row r="27" spans="2:44" ht="16.2" thickBot="1" x14ac:dyDescent="0.35">
      <c r="F27" s="364"/>
      <c r="J27" s="364"/>
      <c r="N27" s="390" t="s">
        <v>732</v>
      </c>
      <c r="O27" s="374">
        <f>'Rate DT-Pri'!R61+'Rate DT-Sec'!R59</f>
        <v>3748801</v>
      </c>
      <c r="S27" s="394"/>
      <c r="AI27" s="390" t="s">
        <v>714</v>
      </c>
      <c r="AJ27" s="397">
        <f>'Rate DP'!H29</f>
        <v>27415</v>
      </c>
      <c r="AN27" s="390" t="s">
        <v>828</v>
      </c>
      <c r="AO27" s="391">
        <f>'Rate TT'!AA107</f>
        <v>32710232</v>
      </c>
    </row>
    <row r="28" spans="2:44" ht="31.2" x14ac:dyDescent="0.3">
      <c r="F28" s="384" t="s">
        <v>680</v>
      </c>
      <c r="G28" s="401">
        <f>'Proposed Rates - Not Used'!G22-'Proposed Rates - Not Used'!G26</f>
        <v>106557387</v>
      </c>
      <c r="J28" s="364"/>
      <c r="N28" s="390" t="s">
        <v>730</v>
      </c>
      <c r="O28" s="374">
        <f>O25-O26-O24-O27</f>
        <v>112632495</v>
      </c>
      <c r="Q28" s="417"/>
      <c r="S28" s="394"/>
      <c r="AI28" s="390" t="s">
        <v>715</v>
      </c>
      <c r="AJ28" s="397">
        <f>'Rate DP'!H33</f>
        <v>6857618</v>
      </c>
      <c r="AN28" s="390" t="s">
        <v>829</v>
      </c>
      <c r="AO28" s="391">
        <f>'Rate TT'!AA94+'Rate TT'!AA108</f>
        <v>136406367</v>
      </c>
      <c r="AP28" s="366"/>
    </row>
    <row r="29" spans="2:44" ht="31.8" thickBot="1" x14ac:dyDescent="0.35">
      <c r="F29" s="390" t="s">
        <v>681</v>
      </c>
      <c r="G29" s="400">
        <f>'Rate DS'!AT91</f>
        <v>0.42754931177034039</v>
      </c>
      <c r="J29" s="364"/>
      <c r="N29" s="390" t="s">
        <v>979</v>
      </c>
      <c r="O29" s="96">
        <f>P37</f>
        <v>17100179</v>
      </c>
      <c r="P29" s="364" t="s">
        <v>703</v>
      </c>
      <c r="Q29" s="418" t="s">
        <v>731</v>
      </c>
      <c r="R29" s="364" t="s">
        <v>701</v>
      </c>
      <c r="S29" s="419" t="s">
        <v>702</v>
      </c>
      <c r="AI29" s="390" t="s">
        <v>716</v>
      </c>
      <c r="AJ29" s="397">
        <f>'Rate DP'!H34</f>
        <v>869355</v>
      </c>
      <c r="AN29" s="420"/>
      <c r="AO29" s="421"/>
      <c r="AP29" s="366"/>
    </row>
    <row r="30" spans="2:44" ht="31.8" thickBot="1" x14ac:dyDescent="0.35">
      <c r="F30" s="390" t="s">
        <v>682</v>
      </c>
      <c r="G30" s="389">
        <f>ROUND(G28*G29,0)</f>
        <v>45558537</v>
      </c>
      <c r="J30" s="364"/>
      <c r="N30" s="384" t="s">
        <v>590</v>
      </c>
      <c r="O30" s="396">
        <f>S30-0.000001</f>
        <v>6.4380999999999994E-2</v>
      </c>
      <c r="P30" s="96">
        <f>ROUND(($O$28-$O$29)*R30,0)</f>
        <v>7183355</v>
      </c>
      <c r="Q30" s="369">
        <f>'Rate DT-Pri'!AO107+'Rate DT-Sec'!AO104</f>
        <v>6331521</v>
      </c>
      <c r="R30" s="422">
        <f t="shared" ref="R30:R36" si="0">Q30/(SUM($Q$30:$Q$39))</f>
        <v>7.5192931310727976E-2</v>
      </c>
      <c r="S30" s="394">
        <f>ROUND(P30/('Rate DT-Pri'!H35+'Rate DT-Sec'!H34),6)</f>
        <v>6.4381999999999995E-2</v>
      </c>
      <c r="AI30" s="390" t="s">
        <v>717</v>
      </c>
      <c r="AJ30" s="397">
        <f>'Rate DP'!H35</f>
        <v>0</v>
      </c>
      <c r="AN30" s="384" t="s">
        <v>724</v>
      </c>
      <c r="AO30" s="407">
        <f>ROUND($AO$22*AP7/'Rate TT'!H24,2)</f>
        <v>10.23</v>
      </c>
      <c r="AP30" s="366"/>
    </row>
    <row r="31" spans="2:44" ht="16.2" thickBot="1" x14ac:dyDescent="0.35">
      <c r="F31" s="390" t="s">
        <v>572</v>
      </c>
      <c r="G31" s="391">
        <f>'Rate DS'!H35</f>
        <v>348050244</v>
      </c>
      <c r="J31" s="364"/>
      <c r="N31" s="390" t="s">
        <v>591</v>
      </c>
      <c r="O31" s="423">
        <f>S31-0</f>
        <v>6.1990999999999997E-2</v>
      </c>
      <c r="P31" s="96">
        <f>ROUND(($O$28-$O$29)*R31,0)</f>
        <v>11966351</v>
      </c>
      <c r="Q31" s="369">
        <f>'Rate DT-Pri'!AO125+'Rate DT-Sec'!AO121</f>
        <v>10547328</v>
      </c>
      <c r="R31" s="422">
        <f t="shared" si="0"/>
        <v>0.12525971402696412</v>
      </c>
      <c r="S31" s="423">
        <f>ROUND(P31/('Rate DT-Pri'!H53+'Rate DT-Sec'!H51),6)</f>
        <v>6.1990999999999997E-2</v>
      </c>
      <c r="AI31" s="384" t="s">
        <v>623</v>
      </c>
      <c r="AJ31" s="402">
        <f>ROUND(AJ23/AJ27,2)</f>
        <v>10.130000000000001</v>
      </c>
      <c r="AK31" s="360">
        <f>+AJ31/INPUT!C119</f>
        <v>1.0663157894736843</v>
      </c>
      <c r="AN31" s="390" t="s">
        <v>725</v>
      </c>
      <c r="AO31" s="392">
        <f>ROUND($AO$22*AP8/'Rate TT'!H38,2)</f>
        <v>8.39</v>
      </c>
    </row>
    <row r="32" spans="2:44" ht="31.8" thickBot="1" x14ac:dyDescent="0.35">
      <c r="F32" s="398" t="s">
        <v>573</v>
      </c>
      <c r="G32" s="424">
        <f>ROUND(G30/G31,6)-0</f>
        <v>0.13089600000000001</v>
      </c>
      <c r="J32" s="364"/>
      <c r="N32" s="390" t="s">
        <v>592</v>
      </c>
      <c r="O32" s="394">
        <f>S32-0.000002</f>
        <v>5.4850999999999997E-2</v>
      </c>
      <c r="P32" s="96">
        <f>O28-O29-P30-P31-P33-P34-P35-P36-P38-P39</f>
        <v>42258805</v>
      </c>
      <c r="Q32" s="369">
        <f>'Rate DT-Pri'!AO108+'Rate DT-Pri'!AO126+'Rate DT-Sec'!AO105+'Rate DT-Sec'!AO122</f>
        <v>37247571</v>
      </c>
      <c r="R32" s="422">
        <f t="shared" si="0"/>
        <v>0.44235090552403811</v>
      </c>
      <c r="S32" s="394">
        <f>ROUND(P32/('Rate DT-Pri'!H54+'Rate DT-Pri'!H36+'Rate DT-Sec'!H52+'Rate DT-Sec'!H35),6)</f>
        <v>5.4852999999999999E-2</v>
      </c>
      <c r="AI32" s="390" t="s">
        <v>624</v>
      </c>
      <c r="AJ32" s="408">
        <f>ROUND(AJ24/AJ28,6)</f>
        <v>7.6294000000000001E-2</v>
      </c>
      <c r="AK32" s="360">
        <f>+AJ32/INPUT!C115</f>
        <v>1.0661244794723457</v>
      </c>
      <c r="AN32" s="403" t="s">
        <v>726</v>
      </c>
      <c r="AO32" s="425">
        <f>ROUND($AO$22*AP9/('Rate TT'!H25+'Rate TT'!H39),2)</f>
        <v>1.55</v>
      </c>
      <c r="AR32" s="374">
        <f>AO22-AO33</f>
        <v>12016320</v>
      </c>
    </row>
    <row r="33" spans="6:45" ht="16.2" thickBot="1" x14ac:dyDescent="0.35">
      <c r="F33" s="390"/>
      <c r="G33" s="400"/>
      <c r="J33" s="364"/>
      <c r="N33" s="390" t="s">
        <v>593</v>
      </c>
      <c r="O33" s="394">
        <f t="shared" ref="O33:O39" si="1">S33</f>
        <v>16.690000000000001</v>
      </c>
      <c r="P33" s="96">
        <f>ROUND(($O$28-$O$29)*R33,0)</f>
        <v>12813596</v>
      </c>
      <c r="Q33" s="369">
        <f>'Rate DT-Pri'!AO98+'Rate DT-Sec'!AO98</f>
        <v>11294103</v>
      </c>
      <c r="R33" s="422">
        <f t="shared" si="0"/>
        <v>0.13412838891244092</v>
      </c>
      <c r="S33" s="394">
        <f>ROUND(P33/('Rate DT-Pri'!H26+'Rate DT-Sec'!H28),2)</f>
        <v>16.690000000000001</v>
      </c>
      <c r="AI33" s="390" t="s">
        <v>625</v>
      </c>
      <c r="AJ33" s="408">
        <f>ROUND(AJ25/AJ29,6)-0.00006</f>
        <v>6.611199999999999E-2</v>
      </c>
      <c r="AK33" s="360">
        <f>+AJ33/INPUT!C116</f>
        <v>1.0651543468453952</v>
      </c>
      <c r="AN33" s="390" t="s">
        <v>727</v>
      </c>
      <c r="AO33" s="391">
        <f>'Rate TT'!L26+'Rate TT'!L40</f>
        <v>3481173</v>
      </c>
      <c r="AP33" s="366" t="s">
        <v>853</v>
      </c>
      <c r="AQ33" s="360" t="s">
        <v>742</v>
      </c>
      <c r="AR33" s="360" t="s">
        <v>854</v>
      </c>
      <c r="AS33" s="360" t="s">
        <v>640</v>
      </c>
    </row>
    <row r="34" spans="6:45" ht="16.2" thickBot="1" x14ac:dyDescent="0.35">
      <c r="F34" s="390" t="s">
        <v>683</v>
      </c>
      <c r="G34" s="389">
        <f>G28-G30-G38-G42-G46</f>
        <v>44223685</v>
      </c>
      <c r="J34" s="364"/>
      <c r="N34" s="390" t="s">
        <v>594</v>
      </c>
      <c r="O34" s="394">
        <f t="shared" si="1"/>
        <v>1.5</v>
      </c>
      <c r="P34" s="96">
        <f>ROUND(($O$28-$O$29)*R34,0)</f>
        <v>18637</v>
      </c>
      <c r="Q34" s="369">
        <f>'Rate DT-Pri'!AO99+'Rate DT-Sec'!AO99</f>
        <v>16427</v>
      </c>
      <c r="R34" s="422">
        <f t="shared" si="0"/>
        <v>1.9508650174915765E-4</v>
      </c>
      <c r="S34" s="394">
        <f>ROUND(P34/('Rate DT-Pri'!H27+'Rate DT-Sec'!H29),2)</f>
        <v>1.5</v>
      </c>
      <c r="AI34" s="403" t="s">
        <v>626</v>
      </c>
      <c r="AJ34" s="410">
        <f>ROUND(+INPUT!C117*AVERAGE('Proposed Rates - Not Used'!AK32:AK33),6)</f>
        <v>0.308166</v>
      </c>
      <c r="AN34" s="384" t="s">
        <v>634</v>
      </c>
      <c r="AO34" s="426">
        <f>AS34+0.000001</f>
        <v>7.3573E-2</v>
      </c>
      <c r="AP34" s="369">
        <f>'Rate TT'!AE93</f>
        <v>1105871</v>
      </c>
      <c r="AQ34" s="360">
        <f>AP34/SUM($AP$34:$AP$36)</f>
        <v>0.10008389565444041</v>
      </c>
      <c r="AR34" s="367">
        <f>ROUND(AQ34*$AR$32,0)</f>
        <v>1202640</v>
      </c>
      <c r="AS34" s="427">
        <f>ROUND(AR34/AO26,6)</f>
        <v>7.3571999999999999E-2</v>
      </c>
    </row>
    <row r="35" spans="6:45" ht="16.2" thickBot="1" x14ac:dyDescent="0.35">
      <c r="F35" s="390" t="s">
        <v>574</v>
      </c>
      <c r="G35" s="391">
        <f>'Rate DS'!H36</f>
        <v>519725648</v>
      </c>
      <c r="J35" s="364"/>
      <c r="N35" s="390" t="s">
        <v>595</v>
      </c>
      <c r="O35" s="394">
        <f t="shared" si="1"/>
        <v>15.79</v>
      </c>
      <c r="P35" s="96">
        <f>ROUND(($O$28-$O$29)*R35,0)</f>
        <v>21953745</v>
      </c>
      <c r="Q35" s="369">
        <f>'Rate DT-Pri'!AO116+'Rate DT-Sec'!AO115</f>
        <v>19350373</v>
      </c>
      <c r="R35" s="422">
        <f t="shared" si="0"/>
        <v>0.22980438157371116</v>
      </c>
      <c r="S35" s="394">
        <f>ROUND(P35/('Rate DT-Pri'!H44+'Rate DT-Sec'!H45),2)</f>
        <v>15.79</v>
      </c>
      <c r="AI35" s="364"/>
      <c r="AN35" s="390" t="s">
        <v>635</v>
      </c>
      <c r="AO35" s="428">
        <f>AS35</f>
        <v>7.0749999999999993E-2</v>
      </c>
      <c r="AP35" s="369">
        <f>'Rate TT'!AE107</f>
        <v>2128030</v>
      </c>
      <c r="AQ35" s="360">
        <f>AP35/SUM($AP$34:$AP$36)</f>
        <v>0.19259166075384815</v>
      </c>
      <c r="AR35" s="367">
        <f>ROUND(AQ35*$AR$32,0)</f>
        <v>2314243</v>
      </c>
      <c r="AS35" s="427">
        <f>ROUND(AR35/AO27,6)</f>
        <v>7.0749999999999993E-2</v>
      </c>
    </row>
    <row r="36" spans="6:45" ht="31.8" thickBot="1" x14ac:dyDescent="0.35">
      <c r="F36" s="398" t="s">
        <v>575</v>
      </c>
      <c r="G36" s="424">
        <f>ROUND(G34/G35,6)-0</f>
        <v>8.5089999999999999E-2</v>
      </c>
      <c r="J36" s="364"/>
      <c r="N36" s="390" t="s">
        <v>596</v>
      </c>
      <c r="O36" s="394">
        <f t="shared" si="1"/>
        <v>1.5</v>
      </c>
      <c r="P36" s="96">
        <f>ROUND(($O$28-$O$29)*R36,0)</f>
        <v>45163</v>
      </c>
      <c r="Q36" s="369">
        <f>'Rate DT-Pri'!AO117+'Rate DT-Sec'!AO116</f>
        <v>39807</v>
      </c>
      <c r="R36" s="422">
        <f t="shared" si="0"/>
        <v>4.7274659859552684E-4</v>
      </c>
      <c r="S36" s="394">
        <f>ROUND(P36/('Rate DT-Pri'!H45+'Rate DT-Sec'!H46),2)</f>
        <v>1.5</v>
      </c>
      <c r="AI36" s="364" t="s">
        <v>656</v>
      </c>
      <c r="AJ36" s="374">
        <f>'Rate DP'!R37+'Rate DP'!R42-'Revenue Requirements'!I20</f>
        <v>60</v>
      </c>
      <c r="AN36" s="403" t="s">
        <v>636</v>
      </c>
      <c r="AO36" s="429">
        <f>AS36</f>
        <v>6.2309999999999997E-2</v>
      </c>
      <c r="AP36" s="369">
        <f>'Rate TT'!AE94+'Rate TT'!AE108</f>
        <v>7815539</v>
      </c>
      <c r="AQ36" s="360">
        <f>AP36/SUM($AP$34:$AP$36)</f>
        <v>0.70732444359171143</v>
      </c>
      <c r="AR36" s="374">
        <f>AR32-AR34-AR35</f>
        <v>8499437</v>
      </c>
      <c r="AS36" s="427">
        <f>ROUND(AR36/AO28,6)</f>
        <v>6.2309999999999997E-2</v>
      </c>
    </row>
    <row r="37" spans="6:45" ht="31.2" x14ac:dyDescent="0.3">
      <c r="F37" s="390" t="s">
        <v>684</v>
      </c>
      <c r="G37" s="400">
        <f>'Rate DS'!AT93</f>
        <v>0.15424000069517446</v>
      </c>
      <c r="J37" s="364"/>
      <c r="N37" s="390" t="s">
        <v>978</v>
      </c>
      <c r="O37" s="394">
        <f>S37-0</f>
        <v>7.77</v>
      </c>
      <c r="P37" s="96">
        <f>'RTP Worksheet'!E10+'RTP Worksheet'!G10</f>
        <v>17100179</v>
      </c>
      <c r="Q37" s="369"/>
      <c r="R37" s="422"/>
      <c r="S37" s="394">
        <f>ROUND(P37/('Rate DT-Pri'!H47+'Rate DT-Sec'!H48+'Rate DT-Pri'!H28+'Rate DT-Sec'!H30),2)</f>
        <v>7.77</v>
      </c>
      <c r="AN37" s="364"/>
    </row>
    <row r="38" spans="6:45" ht="31.2" x14ac:dyDescent="0.3">
      <c r="F38" s="390" t="s">
        <v>685</v>
      </c>
      <c r="G38" s="389">
        <f>ROUND($G$28*G37,0)</f>
        <v>16435411</v>
      </c>
      <c r="J38" s="364"/>
      <c r="N38" s="390" t="s">
        <v>597</v>
      </c>
      <c r="O38" s="394">
        <f t="shared" si="1"/>
        <v>-0.85</v>
      </c>
      <c r="P38" s="96">
        <f>ROUND(($O$28-$O$29)*R38,0)</f>
        <v>-298702</v>
      </c>
      <c r="Q38" s="369">
        <f>'Rate DT-Pri'!AO103+'Rate DT-Pri'!AO121</f>
        <v>-263281</v>
      </c>
      <c r="R38" s="422">
        <f>Q38/(SUM($Q$30:$Q$39))</f>
        <v>-3.1267163369464892E-3</v>
      </c>
      <c r="S38" s="394">
        <f>IF('Rate DT-Pri'!H31+'Rate DT-Pri'!H49=0,0,ROUND(P38/('Rate DT-Pri'!H31+'Rate DT-Pri'!H49),2))</f>
        <v>-0.85</v>
      </c>
      <c r="AN38" s="364" t="s">
        <v>656</v>
      </c>
      <c r="AO38" s="369">
        <f>'Rate TT'!R47+'Rate TT'!R52+'Rate TT RTP'!R31-AO20</f>
        <v>-1247</v>
      </c>
    </row>
    <row r="39" spans="6:45" ht="31.8" thickBot="1" x14ac:dyDescent="0.35">
      <c r="F39" s="390" t="s">
        <v>576</v>
      </c>
      <c r="G39" s="391">
        <f>'Rate DS'!H37</f>
        <v>228571887</v>
      </c>
      <c r="J39" s="364"/>
      <c r="N39" s="403" t="s">
        <v>598</v>
      </c>
      <c r="O39" s="421">
        <f t="shared" si="1"/>
        <v>-0.66</v>
      </c>
      <c r="P39" s="430">
        <f>ROUND(($O$28-$O$29)*R39,0)</f>
        <v>-408634</v>
      </c>
      <c r="Q39" s="431">
        <f>'Rate DT-Pri'!AO104+'Rate DT-Pri'!AO122</f>
        <v>-360176</v>
      </c>
      <c r="R39" s="432">
        <f>Q39/(SUM($Q$30:$Q$39))</f>
        <v>-4.2774381112804898E-3</v>
      </c>
      <c r="S39" s="421">
        <f>IF('Rate DT-Pri'!H32+'Rate DT-Pri'!H50=0,0,ROUND(P39/('Rate DT-Pri'!H32+'Rate DT-Pri'!H50),2))</f>
        <v>-0.66</v>
      </c>
    </row>
    <row r="40" spans="6:45" ht="16.2" thickBot="1" x14ac:dyDescent="0.35">
      <c r="F40" s="398" t="s">
        <v>577</v>
      </c>
      <c r="G40" s="424">
        <f>ROUND(G38/G39,6)-0.000002</f>
        <v>7.1902999999999995E-2</v>
      </c>
      <c r="J40" s="364"/>
      <c r="N40" s="364"/>
    </row>
    <row r="41" spans="6:45" ht="31.2" x14ac:dyDescent="0.3">
      <c r="F41" s="390" t="s">
        <v>686</v>
      </c>
      <c r="G41" s="400">
        <f>'Rate DS'!AT94</f>
        <v>3.0546688674673995E-3</v>
      </c>
      <c r="J41" s="364"/>
      <c r="N41" s="364" t="s">
        <v>656</v>
      </c>
      <c r="O41" s="374">
        <f>'Rate DT-Pri'!R56+'Rate DT-Pri'!R61+'Rate DT-Sec'!R54+'Rate DT-Sec'!R59-(O25-O26)</f>
        <v>-5742234</v>
      </c>
    </row>
    <row r="42" spans="6:45" x14ac:dyDescent="0.3">
      <c r="F42" s="390" t="s">
        <v>687</v>
      </c>
      <c r="G42" s="389">
        <f>ROUND($G$28*G41,0)</f>
        <v>325498</v>
      </c>
      <c r="J42" s="364"/>
      <c r="N42" s="364"/>
    </row>
    <row r="43" spans="6:45" ht="16.2" thickBot="1" x14ac:dyDescent="0.35">
      <c r="F43" s="390" t="s">
        <v>578</v>
      </c>
      <c r="G43" s="391">
        <f>'Rate DS'!H38</f>
        <v>928876</v>
      </c>
      <c r="J43" s="364"/>
      <c r="N43" s="364"/>
    </row>
    <row r="44" spans="6:45" ht="31.8" thickBot="1" x14ac:dyDescent="0.35">
      <c r="F44" s="398" t="s">
        <v>579</v>
      </c>
      <c r="G44" s="424">
        <f>ROUND(G42/G43,6)</f>
        <v>0.35042099999999998</v>
      </c>
      <c r="J44" s="364"/>
      <c r="N44" s="364"/>
      <c r="O44" s="369"/>
    </row>
    <row r="45" spans="6:45" ht="31.2" x14ac:dyDescent="0.3">
      <c r="F45" s="390" t="s">
        <v>581</v>
      </c>
      <c r="G45" s="433">
        <f>'Rate DS'!AT95</f>
        <v>1.3379111683702562E-4</v>
      </c>
      <c r="J45" s="364"/>
      <c r="N45" s="364"/>
    </row>
    <row r="46" spans="6:45" x14ac:dyDescent="0.3">
      <c r="F46" s="390" t="s">
        <v>688</v>
      </c>
      <c r="G46" s="389">
        <f>ROUND($G$28*G45,0)</f>
        <v>14256</v>
      </c>
      <c r="J46" s="364"/>
      <c r="N46" s="364"/>
    </row>
    <row r="47" spans="6:45" ht="16.2" thickBot="1" x14ac:dyDescent="0.35">
      <c r="F47" s="390" t="s">
        <v>580</v>
      </c>
      <c r="G47" s="391">
        <f>'Rate DS'!H39</f>
        <v>66268</v>
      </c>
      <c r="J47" s="364"/>
      <c r="N47" s="364"/>
    </row>
    <row r="48" spans="6:45" ht="31.8" thickBot="1" x14ac:dyDescent="0.35">
      <c r="F48" s="398" t="s">
        <v>582</v>
      </c>
      <c r="G48" s="424">
        <f>ROUND(G46/G47,6)-0</f>
        <v>0.21512600000000001</v>
      </c>
      <c r="J48" s="364"/>
      <c r="N48" s="364"/>
    </row>
    <row r="49" spans="6:14" x14ac:dyDescent="0.3">
      <c r="J49" s="364"/>
      <c r="N49" s="364"/>
    </row>
    <row r="50" spans="6:14" x14ac:dyDescent="0.3">
      <c r="F50" s="364" t="s">
        <v>656</v>
      </c>
      <c r="G50" s="374">
        <f>'Rate DS'!L41+'Rate DS'!R46-('Revenue Requirements'!I34-'Rate DS RTP'!L31)</f>
        <v>-6437730</v>
      </c>
      <c r="J50" s="364"/>
    </row>
    <row r="51" spans="6:14" x14ac:dyDescent="0.3">
      <c r="J51" s="364"/>
    </row>
    <row r="52" spans="6:14" x14ac:dyDescent="0.3">
      <c r="J52" s="364"/>
    </row>
    <row r="53" spans="6:14" x14ac:dyDescent="0.3">
      <c r="J53" s="364"/>
    </row>
    <row r="54" spans="6:14" x14ac:dyDescent="0.3">
      <c r="J54" s="364"/>
    </row>
    <row r="70" spans="2:2" x14ac:dyDescent="0.3">
      <c r="B70" s="364"/>
    </row>
    <row r="71" spans="2:2" x14ac:dyDescent="0.3">
      <c r="B71" s="364"/>
    </row>
    <row r="72" spans="2:2" x14ac:dyDescent="0.3">
      <c r="B72" s="364"/>
    </row>
    <row r="73" spans="2:2" x14ac:dyDescent="0.3">
      <c r="B73" s="364"/>
    </row>
    <row r="74" spans="2:2" x14ac:dyDescent="0.3">
      <c r="B74" s="364"/>
    </row>
    <row r="75" spans="2:2" x14ac:dyDescent="0.3">
      <c r="B75" s="364"/>
    </row>
    <row r="76" spans="2:2" x14ac:dyDescent="0.3">
      <c r="B76" s="364"/>
    </row>
    <row r="77" spans="2:2" x14ac:dyDescent="0.3">
      <c r="B77" s="364"/>
    </row>
    <row r="78" spans="2:2" x14ac:dyDescent="0.3">
      <c r="B78" s="364"/>
    </row>
    <row r="79" spans="2:2" x14ac:dyDescent="0.3">
      <c r="B79" s="364"/>
    </row>
    <row r="80" spans="2:2" x14ac:dyDescent="0.3">
      <c r="B80" s="364"/>
    </row>
    <row r="81" spans="2:2" x14ac:dyDescent="0.3">
      <c r="B81" s="364"/>
    </row>
    <row r="82" spans="2:2" x14ac:dyDescent="0.3">
      <c r="B82" s="364"/>
    </row>
    <row r="83" spans="2:2" x14ac:dyDescent="0.3">
      <c r="B83" s="364"/>
    </row>
    <row r="84" spans="2:2" x14ac:dyDescent="0.3">
      <c r="B84" s="364"/>
    </row>
    <row r="85" spans="2:2" x14ac:dyDescent="0.3">
      <c r="B85" s="364"/>
    </row>
    <row r="86" spans="2:2" x14ac:dyDescent="0.3">
      <c r="B86" s="364"/>
    </row>
    <row r="87" spans="2:2" x14ac:dyDescent="0.3">
      <c r="B87" s="364"/>
    </row>
    <row r="88" spans="2:2" x14ac:dyDescent="0.3">
      <c r="B88" s="364"/>
    </row>
    <row r="89" spans="2:2" x14ac:dyDescent="0.3">
      <c r="B89" s="364"/>
    </row>
    <row r="90" spans="2:2" x14ac:dyDescent="0.3">
      <c r="B90" s="364"/>
    </row>
    <row r="91" spans="2:2" x14ac:dyDescent="0.3">
      <c r="B91" s="364"/>
    </row>
    <row r="92" spans="2:2" x14ac:dyDescent="0.3">
      <c r="B92" s="364"/>
    </row>
    <row r="93" spans="2:2" x14ac:dyDescent="0.3">
      <c r="B93" s="364"/>
    </row>
    <row r="94" spans="2:2" x14ac:dyDescent="0.3">
      <c r="B94" s="364"/>
    </row>
    <row r="95" spans="2:2" x14ac:dyDescent="0.3">
      <c r="B95" s="364"/>
    </row>
    <row r="96" spans="2:2" x14ac:dyDescent="0.3">
      <c r="B96" s="364"/>
    </row>
    <row r="97" spans="2:2" x14ac:dyDescent="0.3">
      <c r="B97" s="364"/>
    </row>
    <row r="98" spans="2:2" x14ac:dyDescent="0.3">
      <c r="B98" s="364"/>
    </row>
    <row r="99" spans="2:2" x14ac:dyDescent="0.3">
      <c r="B99" s="364"/>
    </row>
    <row r="100" spans="2:2" x14ac:dyDescent="0.3">
      <c r="B100" s="364"/>
    </row>
    <row r="101" spans="2:2" x14ac:dyDescent="0.3">
      <c r="B101" s="364"/>
    </row>
    <row r="102" spans="2:2" x14ac:dyDescent="0.3">
      <c r="B102" s="364"/>
    </row>
    <row r="103" spans="2:2" x14ac:dyDescent="0.3">
      <c r="B103" s="364"/>
    </row>
    <row r="104" spans="2:2" x14ac:dyDescent="0.3">
      <c r="B104" s="364"/>
    </row>
    <row r="105" spans="2:2" x14ac:dyDescent="0.3">
      <c r="B105" s="364"/>
    </row>
    <row r="106" spans="2:2" x14ac:dyDescent="0.3">
      <c r="B106" s="364"/>
    </row>
    <row r="107" spans="2:2" x14ac:dyDescent="0.3">
      <c r="B107" s="364"/>
    </row>
    <row r="108" spans="2:2" x14ac:dyDescent="0.3">
      <c r="B108" s="364"/>
    </row>
    <row r="109" spans="2:2" x14ac:dyDescent="0.3">
      <c r="B109" s="364"/>
    </row>
    <row r="110" spans="2:2" x14ac:dyDescent="0.3">
      <c r="B110" s="364"/>
    </row>
    <row r="111" spans="2:2" x14ac:dyDescent="0.3">
      <c r="B111" s="364"/>
    </row>
    <row r="112" spans="2:2" x14ac:dyDescent="0.3">
      <c r="B112" s="364"/>
    </row>
    <row r="113" spans="2:2" x14ac:dyDescent="0.3">
      <c r="B113" s="364"/>
    </row>
    <row r="114" spans="2:2" x14ac:dyDescent="0.3">
      <c r="B114" s="364"/>
    </row>
    <row r="115" spans="2:2" x14ac:dyDescent="0.3">
      <c r="B115" s="364"/>
    </row>
    <row r="116" spans="2:2" x14ac:dyDescent="0.3">
      <c r="B116" s="364"/>
    </row>
    <row r="117" spans="2:2" x14ac:dyDescent="0.3">
      <c r="B117" s="364"/>
    </row>
    <row r="118" spans="2:2" x14ac:dyDescent="0.3">
      <c r="B118" s="364"/>
    </row>
    <row r="119" spans="2:2" x14ac:dyDescent="0.3">
      <c r="B119" s="364"/>
    </row>
    <row r="120" spans="2:2" x14ac:dyDescent="0.3">
      <c r="B120" s="364"/>
    </row>
    <row r="121" spans="2:2" x14ac:dyDescent="0.3">
      <c r="B121" s="364"/>
    </row>
    <row r="122" spans="2:2" x14ac:dyDescent="0.3">
      <c r="B122" s="364"/>
    </row>
    <row r="123" spans="2:2" x14ac:dyDescent="0.3">
      <c r="B123" s="364"/>
    </row>
    <row r="124" spans="2:2" x14ac:dyDescent="0.3">
      <c r="B124" s="364"/>
    </row>
    <row r="125" spans="2:2" x14ac:dyDescent="0.3">
      <c r="B125" s="364"/>
    </row>
    <row r="126" spans="2:2" x14ac:dyDescent="0.3">
      <c r="B126" s="364"/>
    </row>
    <row r="127" spans="2:2" x14ac:dyDescent="0.3">
      <c r="B127" s="364"/>
    </row>
    <row r="128" spans="2:2" x14ac:dyDescent="0.3">
      <c r="B128" s="364"/>
    </row>
    <row r="129" spans="2:2" x14ac:dyDescent="0.3">
      <c r="B129" s="364"/>
    </row>
    <row r="130" spans="2:2" x14ac:dyDescent="0.3">
      <c r="B130" s="364"/>
    </row>
    <row r="131" spans="2:2" x14ac:dyDescent="0.3">
      <c r="B131" s="364"/>
    </row>
    <row r="132" spans="2:2" x14ac:dyDescent="0.3">
      <c r="B132" s="364"/>
    </row>
    <row r="133" spans="2:2" x14ac:dyDescent="0.3">
      <c r="B133" s="364"/>
    </row>
    <row r="134" spans="2:2" x14ac:dyDescent="0.3">
      <c r="B134" s="364"/>
    </row>
    <row r="135" spans="2:2" x14ac:dyDescent="0.3">
      <c r="B135" s="364"/>
    </row>
    <row r="136" spans="2:2" x14ac:dyDescent="0.3">
      <c r="B136" s="364"/>
    </row>
    <row r="137" spans="2:2" x14ac:dyDescent="0.3">
      <c r="B137" s="364"/>
    </row>
    <row r="138" spans="2:2" x14ac:dyDescent="0.3">
      <c r="B138" s="364"/>
    </row>
    <row r="139" spans="2:2" x14ac:dyDescent="0.3">
      <c r="B139" s="364"/>
    </row>
    <row r="140" spans="2:2" x14ac:dyDescent="0.3">
      <c r="B140" s="364"/>
    </row>
    <row r="141" spans="2:2" x14ac:dyDescent="0.3">
      <c r="B141" s="364"/>
    </row>
    <row r="142" spans="2:2" x14ac:dyDescent="0.3">
      <c r="B142" s="364"/>
    </row>
    <row r="143" spans="2:2" x14ac:dyDescent="0.3">
      <c r="B143" s="364"/>
    </row>
    <row r="144" spans="2:2" x14ac:dyDescent="0.3">
      <c r="B144" s="364"/>
    </row>
    <row r="145" spans="2:2" x14ac:dyDescent="0.3">
      <c r="B145" s="364"/>
    </row>
    <row r="146" spans="2:2" x14ac:dyDescent="0.3">
      <c r="B146" s="364"/>
    </row>
    <row r="147" spans="2:2" x14ac:dyDescent="0.3">
      <c r="B147" s="364"/>
    </row>
    <row r="148" spans="2:2" x14ac:dyDescent="0.3">
      <c r="B148" s="364"/>
    </row>
    <row r="149" spans="2:2" x14ac:dyDescent="0.3">
      <c r="B149" s="364"/>
    </row>
    <row r="150" spans="2:2" x14ac:dyDescent="0.3">
      <c r="B150" s="364"/>
    </row>
    <row r="151" spans="2:2" x14ac:dyDescent="0.3">
      <c r="B151" s="364"/>
    </row>
    <row r="152" spans="2:2" x14ac:dyDescent="0.3">
      <c r="B152" s="364"/>
    </row>
    <row r="153" spans="2:2" x14ac:dyDescent="0.3">
      <c r="B153" s="364"/>
    </row>
    <row r="154" spans="2:2" x14ac:dyDescent="0.3">
      <c r="B154" s="364"/>
    </row>
    <row r="155" spans="2:2" x14ac:dyDescent="0.3">
      <c r="B155" s="364"/>
    </row>
    <row r="156" spans="2:2" x14ac:dyDescent="0.3">
      <c r="B156" s="364"/>
    </row>
    <row r="157" spans="2:2" x14ac:dyDescent="0.3">
      <c r="B157" s="364"/>
    </row>
    <row r="158" spans="2:2" x14ac:dyDescent="0.3">
      <c r="B158" s="364"/>
    </row>
    <row r="159" spans="2:2" x14ac:dyDescent="0.3">
      <c r="B159" s="364"/>
    </row>
    <row r="160" spans="2:2" x14ac:dyDescent="0.3">
      <c r="B160" s="364"/>
    </row>
    <row r="161" spans="2:2" x14ac:dyDescent="0.3">
      <c r="B161" s="364"/>
    </row>
    <row r="162" spans="2:2" x14ac:dyDescent="0.3">
      <c r="B162" s="364"/>
    </row>
    <row r="163" spans="2:2" x14ac:dyDescent="0.3">
      <c r="B163" s="364"/>
    </row>
    <row r="164" spans="2:2" x14ac:dyDescent="0.3">
      <c r="B164" s="364"/>
    </row>
    <row r="165" spans="2:2" x14ac:dyDescent="0.3">
      <c r="B165" s="364"/>
    </row>
    <row r="166" spans="2:2" x14ac:dyDescent="0.3">
      <c r="B166" s="364"/>
    </row>
    <row r="167" spans="2:2" x14ac:dyDescent="0.3">
      <c r="B167" s="364"/>
    </row>
    <row r="168" spans="2:2" x14ac:dyDescent="0.3">
      <c r="B168" s="364"/>
    </row>
    <row r="169" spans="2:2" x14ac:dyDescent="0.3">
      <c r="B169" s="364"/>
    </row>
    <row r="170" spans="2:2" x14ac:dyDescent="0.3">
      <c r="B170" s="364"/>
    </row>
    <row r="171" spans="2:2" x14ac:dyDescent="0.3">
      <c r="B171" s="364"/>
    </row>
    <row r="172" spans="2:2" x14ac:dyDescent="0.3">
      <c r="B172" s="364"/>
    </row>
    <row r="173" spans="2:2" x14ac:dyDescent="0.3">
      <c r="B173" s="364"/>
    </row>
    <row r="174" spans="2:2" x14ac:dyDescent="0.3">
      <c r="B174" s="364"/>
    </row>
    <row r="175" spans="2:2" x14ac:dyDescent="0.3">
      <c r="B175" s="364"/>
    </row>
    <row r="176" spans="2:2" x14ac:dyDescent="0.3">
      <c r="B176" s="364"/>
    </row>
    <row r="177" spans="2:2" x14ac:dyDescent="0.3">
      <c r="B177" s="364"/>
    </row>
    <row r="178" spans="2:2" x14ac:dyDescent="0.3">
      <c r="B178" s="364"/>
    </row>
    <row r="179" spans="2:2" x14ac:dyDescent="0.3">
      <c r="B179" s="364"/>
    </row>
    <row r="180" spans="2:2" x14ac:dyDescent="0.3">
      <c r="B180" s="364"/>
    </row>
    <row r="181" spans="2:2" x14ac:dyDescent="0.3">
      <c r="B181" s="364"/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7"/>
  <dimension ref="A1:M24"/>
  <sheetViews>
    <sheetView workbookViewId="0"/>
  </sheetViews>
  <sheetFormatPr defaultColWidth="8.9140625" defaultRowHeight="15" x14ac:dyDescent="0.25"/>
  <cols>
    <col min="1" max="1" width="22.6640625" style="1" customWidth="1"/>
    <col min="2" max="3" width="11.4140625" style="1" customWidth="1"/>
    <col min="4" max="4" width="11.08203125" style="1" bestFit="1" customWidth="1"/>
    <col min="5" max="5" width="9" style="1" bestFit="1" customWidth="1"/>
    <col min="6" max="7" width="8.9140625" style="1"/>
    <col min="8" max="8" width="9" style="1" bestFit="1" customWidth="1"/>
    <col min="9" max="9" width="12.33203125" style="1" bestFit="1" customWidth="1"/>
    <col min="10" max="10" width="12.4140625" style="1" bestFit="1" customWidth="1"/>
    <col min="11" max="11" width="9" style="1" bestFit="1" customWidth="1"/>
    <col min="12" max="16384" width="8.9140625" style="1"/>
  </cols>
  <sheetData>
    <row r="1" spans="1:13" x14ac:dyDescent="0.25">
      <c r="A1" s="1" t="s">
        <v>738</v>
      </c>
    </row>
    <row r="3" spans="1:13" x14ac:dyDescent="0.25">
      <c r="B3" s="473" t="s">
        <v>740</v>
      </c>
      <c r="C3" s="473"/>
      <c r="H3" s="1" t="s">
        <v>961</v>
      </c>
      <c r="I3" s="1" t="s">
        <v>962</v>
      </c>
      <c r="J3" s="1" t="s">
        <v>963</v>
      </c>
    </row>
    <row r="4" spans="1:13" x14ac:dyDescent="0.25">
      <c r="A4" s="1" t="s">
        <v>739</v>
      </c>
      <c r="B4" s="2" t="s">
        <v>741</v>
      </c>
      <c r="C4" s="2" t="s">
        <v>742</v>
      </c>
    </row>
    <row r="5" spans="1:13" x14ac:dyDescent="0.25">
      <c r="A5" s="1" t="s">
        <v>760</v>
      </c>
      <c r="B5" s="5">
        <f>'SCH N'!H24</f>
        <v>12.52000000000001</v>
      </c>
      <c r="C5" s="434">
        <f>'SCH N'!R24</f>
        <v>9.4</v>
      </c>
      <c r="H5" s="58">
        <f>+'Rate RS'!F38</f>
        <v>1689991</v>
      </c>
      <c r="I5" s="58">
        <f>+'Rate RS'!H38</f>
        <v>1527729253</v>
      </c>
      <c r="J5" s="435">
        <f t="shared" ref="J5:J24" si="0">+I5/H5</f>
        <v>903.98662063880818</v>
      </c>
    </row>
    <row r="6" spans="1:13" x14ac:dyDescent="0.25">
      <c r="A6" s="1" t="s">
        <v>743</v>
      </c>
      <c r="B6" s="5">
        <f>'SCH N'!H57</f>
        <v>108.48000000000002</v>
      </c>
      <c r="C6" s="434">
        <f>'SCH N'!R57</f>
        <v>9.1</v>
      </c>
      <c r="H6" s="58">
        <f>+'Rate DS'!F50</f>
        <v>155005</v>
      </c>
      <c r="I6" s="58">
        <f>+'Rate DS'!H50</f>
        <v>1097342923</v>
      </c>
      <c r="J6" s="435">
        <f t="shared" si="0"/>
        <v>7079.4033934389217</v>
      </c>
    </row>
    <row r="7" spans="1:13" x14ac:dyDescent="0.25">
      <c r="A7" s="1" t="s">
        <v>744</v>
      </c>
      <c r="B7" s="5">
        <f>'SCH N'!H119</f>
        <v>3752.4599999999991</v>
      </c>
      <c r="C7" s="434">
        <f>'SCH N'!R119</f>
        <v>8.6</v>
      </c>
      <c r="H7" s="3">
        <f>+'Rate DT-Pri'!F65</f>
        <v>395</v>
      </c>
      <c r="I7" s="3">
        <f>+'Rate DT-Pri'!H65</f>
        <v>474967440</v>
      </c>
      <c r="J7" s="435">
        <f t="shared" si="0"/>
        <v>1202449.2151898735</v>
      </c>
    </row>
    <row r="8" spans="1:13" x14ac:dyDescent="0.25">
      <c r="A8" s="1" t="s">
        <v>745</v>
      </c>
      <c r="B8" s="5">
        <f>B7</f>
        <v>3752.4599999999991</v>
      </c>
      <c r="C8" s="434">
        <f>C7</f>
        <v>8.6</v>
      </c>
      <c r="H8" s="58">
        <f>+'Rate DT-Sec'!F63</f>
        <v>1363</v>
      </c>
      <c r="I8" s="58">
        <f>+'Rate DT-Sec'!H63</f>
        <v>600045849</v>
      </c>
      <c r="J8" s="435">
        <f t="shared" si="0"/>
        <v>440239.06749816582</v>
      </c>
      <c r="K8" s="58">
        <f>+(I7+I8)/(H7+H8)</f>
        <v>611497.88907849824</v>
      </c>
    </row>
    <row r="9" spans="1:13" x14ac:dyDescent="0.25">
      <c r="A9" s="1" t="s">
        <v>746</v>
      </c>
      <c r="B9" s="5">
        <f>'SCH N'!H76</f>
        <v>270.3599999999999</v>
      </c>
      <c r="C9" s="434">
        <f>'SCH N'!R76</f>
        <v>14.000000000000002</v>
      </c>
      <c r="H9" s="3">
        <f>+'Rate EH'!F43</f>
        <v>1006</v>
      </c>
      <c r="I9" s="3">
        <f>+'Rate EH'!H43</f>
        <v>19145457</v>
      </c>
      <c r="J9" s="435">
        <f t="shared" si="0"/>
        <v>19031.269383697814</v>
      </c>
    </row>
    <row r="10" spans="1:13" x14ac:dyDescent="0.25">
      <c r="A10" s="1" t="s">
        <v>747</v>
      </c>
      <c r="B10" s="1">
        <f>ROUND(('Rate SP GSFL'!J25+('Rate SP GSFL'!J28*TBI!D10)),2)-ROUND(('Rate SP GSFL'!AC88+('Rate SP GSFL'!AC91*TBI!D10)),2)</f>
        <v>35.679999999999978</v>
      </c>
      <c r="C10" s="436">
        <f>ROUND(B10/ROUND(('Rate SP GSFL'!AC88+('Rate SP GSFL'!AC91*TBI!D10)),2),3)*100</f>
        <v>15</v>
      </c>
      <c r="D10" s="1">
        <v>1542</v>
      </c>
      <c r="H10" s="3">
        <f>+'Rate SP GSFL'!F38</f>
        <v>166</v>
      </c>
      <c r="I10" s="3">
        <f>+'Rate SP GSFL'!H38</f>
        <v>327203</v>
      </c>
      <c r="J10" s="435">
        <f t="shared" si="0"/>
        <v>1971.1024096385543</v>
      </c>
    </row>
    <row r="11" spans="1:13" x14ac:dyDescent="0.25">
      <c r="A11" s="1" t="s">
        <v>748</v>
      </c>
      <c r="B11" s="1">
        <f>ROUND(D11*'Rate SP GSFL'!J47,2)-ROUND(D11*'Rate SP GSFL'!AC110,2)</f>
        <v>10.930000000000007</v>
      </c>
      <c r="C11" s="434">
        <f>ROUND(B11/ROUND(D11*'Rate SP GSFL'!AC110,2),3)*100</f>
        <v>15.299999999999999</v>
      </c>
      <c r="D11" s="3">
        <v>544</v>
      </c>
      <c r="H11" s="3">
        <f>919*12</f>
        <v>11028</v>
      </c>
      <c r="I11" s="3">
        <f>+'Rate SP GSFL'!H57</f>
        <v>5922743</v>
      </c>
      <c r="J11" s="435">
        <f t="shared" si="0"/>
        <v>537.06410953935438</v>
      </c>
    </row>
    <row r="12" spans="1:13" x14ac:dyDescent="0.25">
      <c r="A12" s="1" t="s">
        <v>749</v>
      </c>
      <c r="B12" s="5">
        <f>'SCH N'!H165</f>
        <v>1599.0959999999977</v>
      </c>
      <c r="C12" s="434">
        <f>'SCH N'!R165</f>
        <v>6</v>
      </c>
      <c r="H12" s="3">
        <f>+'Rate DP'!F46</f>
        <v>120</v>
      </c>
      <c r="I12" s="3">
        <f>+'Rate DP'!H46</f>
        <v>7726973</v>
      </c>
      <c r="J12" s="435">
        <f t="shared" si="0"/>
        <v>64391.441666666666</v>
      </c>
    </row>
    <row r="13" spans="1:13" x14ac:dyDescent="0.25">
      <c r="A13" s="1" t="s">
        <v>750</v>
      </c>
      <c r="B13" s="5">
        <f>'SCH N'!H225</f>
        <v>8449.0600000000122</v>
      </c>
      <c r="C13" s="434">
        <f>'SCH N'!R225</f>
        <v>8.1</v>
      </c>
      <c r="H13" s="3">
        <f>+'Rate TT'!F56</f>
        <v>156</v>
      </c>
      <c r="I13" s="3">
        <f>+'Rate TT'!H56</f>
        <v>185463057</v>
      </c>
      <c r="J13" s="435">
        <f t="shared" si="0"/>
        <v>1188865.75</v>
      </c>
    </row>
    <row r="14" spans="1:13" x14ac:dyDescent="0.25">
      <c r="A14" s="1" t="s">
        <v>751</v>
      </c>
      <c r="B14" s="1">
        <f>ROUND(D14*SUM('Rate DT RTP-S'!J28:J29),2)-ROUND(D14*SUM('Rate DT RTP-S'!AC72:AC73),2)</f>
        <v>672.26999999999953</v>
      </c>
      <c r="C14" s="434">
        <f>ROUND(B14/ROUND(D14*SUM('Rate DT RTP-S'!AC72:AC73),2),3)*100</f>
        <v>16.8</v>
      </c>
      <c r="D14" s="3">
        <v>67113</v>
      </c>
      <c r="E14" s="1">
        <f>D14/SUM($D$14:$D$16)</f>
        <v>9.6768751622112639E-2</v>
      </c>
      <c r="H14" s="3">
        <f>+'Rate DT RTP-S'!F39</f>
        <v>12</v>
      </c>
      <c r="I14" s="3">
        <f>+'Rate DT RTP-S'!H39</f>
        <v>1106948</v>
      </c>
      <c r="J14" s="435">
        <f t="shared" si="0"/>
        <v>92245.666666666672</v>
      </c>
    </row>
    <row r="15" spans="1:13" x14ac:dyDescent="0.25">
      <c r="A15" s="1" t="s">
        <v>752</v>
      </c>
      <c r="B15" s="1">
        <f>ROUND(D15*SUM('Rate DS RTP'!J28:J29),2)-ROUND(D15*SUM('Rate DS RTP'!AC72:AC73),2)</f>
        <v>224.94000000000005</v>
      </c>
      <c r="C15" s="434">
        <f>ROUND(B15/ROUND(D15*SUM('Rate DS RTP'!AC72:AC73),2),3)*100</f>
        <v>17.2</v>
      </c>
      <c r="D15" s="1">
        <v>22456</v>
      </c>
      <c r="E15" s="1">
        <f>D15/SUM($D$14:$D$16)</f>
        <v>3.2378810162355449E-2</v>
      </c>
      <c r="H15" s="3">
        <f>+'Rate DS RTP'!F39</f>
        <v>12</v>
      </c>
      <c r="I15" s="3">
        <f>+'Rate DS RTP'!H39</f>
        <v>-2961</v>
      </c>
      <c r="J15" s="435">
        <f t="shared" si="0"/>
        <v>-246.75</v>
      </c>
    </row>
    <row r="16" spans="1:13" x14ac:dyDescent="0.25">
      <c r="A16" s="1" t="s">
        <v>753</v>
      </c>
      <c r="B16" s="1">
        <f>ROUND(D16*SUM('Rate TT RTP'!J28:J29),2)-ROUND(D16*SUM('Rate TT RTP'!AC74:AC75),2)</f>
        <v>2088.5300000000025</v>
      </c>
      <c r="C16" s="434">
        <f>ROUND(B16/ROUND(D16*SUM('Rate TT RTP'!AC74:AC75),2),3)*100</f>
        <v>8.4</v>
      </c>
      <c r="D16" s="1">
        <v>603971</v>
      </c>
      <c r="E16" s="1">
        <f>D16/SUM($D$14:$D$16)</f>
        <v>0.87085243821553193</v>
      </c>
      <c r="H16" s="3">
        <f>+'Rate TT RTP'!F39</f>
        <v>24</v>
      </c>
      <c r="I16" s="3">
        <f>+'Rate TT RTP'!H39</f>
        <v>12132774</v>
      </c>
      <c r="J16" s="435">
        <f t="shared" si="0"/>
        <v>505532.25</v>
      </c>
      <c r="K16" s="58">
        <f>(I14+I15+I16)/(H14+H15+H16)</f>
        <v>275765.85416666669</v>
      </c>
      <c r="L16" s="1">
        <f>SUMPRODUCT(H14:H16,B14:B16)/SUM(H14:H16)</f>
        <v>1268.5675000000012</v>
      </c>
      <c r="M16" s="1">
        <f>SUMPRODUCT(H14:H16,C14:C16)/SUM(H14:H16)</f>
        <v>12.700000000000001</v>
      </c>
    </row>
    <row r="17" spans="1:10" x14ac:dyDescent="0.25">
      <c r="A17" s="1" t="s">
        <v>754</v>
      </c>
      <c r="B17" s="1">
        <f>ROUND(('Rate SL'!R139/'Rate SL'!F139),2)-ROUND(('Rate SL'!AO293/'Rate SL'!Y293),2)</f>
        <v>1.9299999999999997</v>
      </c>
      <c r="C17" s="434">
        <f>ROUND(B17/ROUND(('Rate SL'!AO293/'Rate SL'!Y293),2),3)*100</f>
        <v>13.8</v>
      </c>
      <c r="D17" s="1" t="s">
        <v>761</v>
      </c>
      <c r="H17" s="58">
        <f>+'Rate SL'!F139</f>
        <v>103310</v>
      </c>
      <c r="I17" s="58">
        <f>+'Rate SL'!H139</f>
        <v>6857780</v>
      </c>
      <c r="J17" s="435">
        <f t="shared" si="0"/>
        <v>66.38060207143549</v>
      </c>
    </row>
    <row r="18" spans="1:10" x14ac:dyDescent="0.25">
      <c r="A18" s="1" t="s">
        <v>755</v>
      </c>
      <c r="B18" s="1">
        <f>ROUND('Rate TL'!R34/'Rate TL'!F34,2)-ROUND('Rate TL'!AO72/'Rate TL'!Y72,2)</f>
        <v>8.86</v>
      </c>
      <c r="C18" s="434">
        <f>ROUND(B18/ROUND('Rate TL'!AO72/'Rate TL'!Y72,2),3)*100</f>
        <v>13.100000000000001</v>
      </c>
      <c r="D18" s="1" t="s">
        <v>761</v>
      </c>
      <c r="H18" s="58">
        <f>+'Rate TL'!F34</f>
        <v>1560</v>
      </c>
      <c r="I18" s="58">
        <f>+'Rate TL'!H34</f>
        <v>1436827.8010000002</v>
      </c>
      <c r="J18" s="435">
        <f t="shared" si="0"/>
        <v>921.04346217948728</v>
      </c>
    </row>
    <row r="19" spans="1:10" x14ac:dyDescent="0.25">
      <c r="A19" s="1" t="s">
        <v>756</v>
      </c>
      <c r="B19" s="1">
        <f>ROUND('Rate UOLS'!R28/'Rate UOLS'!F28,2)-ROUND('Rate UOLS'!AO63/'Rate UOLS'!Y63,2)</f>
        <v>2.6499999999999986</v>
      </c>
      <c r="C19" s="434">
        <f>ROUND(B19/ROUND('Rate UOLS'!AO63/'Rate UOLS'!Y63,2),3)*100</f>
        <v>13.100000000000001</v>
      </c>
      <c r="D19" s="1" t="s">
        <v>761</v>
      </c>
      <c r="H19" s="58">
        <f>+'Rate UOLS'!F28</f>
        <v>30661</v>
      </c>
      <c r="I19" s="58">
        <f>+'Rate UOLS'!H28</f>
        <v>8542179</v>
      </c>
      <c r="J19" s="435">
        <f t="shared" si="0"/>
        <v>278.60079579922376</v>
      </c>
    </row>
    <row r="20" spans="1:10" x14ac:dyDescent="0.25">
      <c r="A20" s="1" t="s">
        <v>757</v>
      </c>
      <c r="B20" s="1">
        <f>ROUND('Rate NSU'!R45/'Rate NSU'!F45,2)-ROUND('Rate NSU'!AO95/'Rate NSU'!Y95,2)</f>
        <v>1.6799999999999997</v>
      </c>
      <c r="C20" s="434">
        <f>ROUND(B20/ROUND('Rate NSU'!AO95/'Rate NSU'!Y95,2),3)*100</f>
        <v>13.900000000000002</v>
      </c>
      <c r="D20" s="1" t="s">
        <v>761</v>
      </c>
      <c r="H20" s="58">
        <f>+'Rate NSU'!F45</f>
        <v>8073</v>
      </c>
      <c r="I20" s="58">
        <f>+'Rate NSU'!H45</f>
        <v>392374</v>
      </c>
      <c r="J20" s="435">
        <f t="shared" si="0"/>
        <v>48.60324538585408</v>
      </c>
    </row>
    <row r="21" spans="1:10" x14ac:dyDescent="0.25">
      <c r="A21" s="1" t="s">
        <v>758</v>
      </c>
      <c r="B21" s="1">
        <f>ROUND('Rate SC'!R72/'Rate SC'!F72,2)-ROUND('Rate SC'!AO145/'Rate SC'!Y145,2)</f>
        <v>0.4099999999999997</v>
      </c>
      <c r="C21" s="434">
        <f>ROUND(B21/ROUND('Rate SC'!AO145/'Rate SC'!Y145,2),3)*100</f>
        <v>12.8</v>
      </c>
      <c r="D21" s="1" t="s">
        <v>761</v>
      </c>
      <c r="H21" s="58">
        <f>+'Rate SC'!F72</f>
        <v>2064</v>
      </c>
      <c r="I21" s="58">
        <f>+'Rate SC'!H72</f>
        <v>91284</v>
      </c>
      <c r="J21" s="435">
        <f t="shared" si="0"/>
        <v>44.22674418604651</v>
      </c>
    </row>
    <row r="22" spans="1:10" x14ac:dyDescent="0.25">
      <c r="A22" s="1" t="s">
        <v>759</v>
      </c>
      <c r="B22" s="1">
        <f>ROUND('Rate SE'!R52/'Rate SE'!F52,2)-ROUND('Rate SE'!AO108/'Rate SE'!Y108,2)</f>
        <v>1.75</v>
      </c>
      <c r="C22" s="434">
        <f>ROUND(B22/ROUND('Rate SE'!AO108/'Rate SE'!Y108,2),3)*100</f>
        <v>13.8</v>
      </c>
      <c r="D22" s="1" t="s">
        <v>761</v>
      </c>
      <c r="H22" s="58">
        <f>+'Rate SE'!F52</f>
        <v>20531</v>
      </c>
      <c r="I22" s="58">
        <f>+'Rate SE'!H52</f>
        <v>1209602</v>
      </c>
      <c r="J22" s="435">
        <f t="shared" si="0"/>
        <v>58.91588329842677</v>
      </c>
    </row>
    <row r="23" spans="1:10" x14ac:dyDescent="0.25">
      <c r="A23" s="1" t="s">
        <v>791</v>
      </c>
      <c r="B23" s="1">
        <f>ROUND(SUMPRODUCT(B14:B16,E14:E16),2)</f>
        <v>1891.14</v>
      </c>
      <c r="C23" s="434">
        <f>SUMPRODUCT(C14:C16,E14:E16)</f>
        <v>9.497791043054475</v>
      </c>
    </row>
    <row r="24" spans="1:10" x14ac:dyDescent="0.25">
      <c r="A24" s="1" t="s">
        <v>1129</v>
      </c>
      <c r="B24" s="1">
        <f>ROUND('Rate LED'!R340/'Rate LED'!F340,2)-ROUND('Rate LED'!AO692/'Rate LED'!Y692,2)</f>
        <v>1.2300000000000004</v>
      </c>
      <c r="C24" s="434">
        <f>ROUND(B24/ROUND('Rate LED'!AO692/'Rate LED'!Y692,2),3)*100</f>
        <v>14.000000000000002</v>
      </c>
      <c r="D24" s="1" t="s">
        <v>761</v>
      </c>
      <c r="H24" s="3">
        <f>'Rate LED'!F340</f>
        <v>2283</v>
      </c>
      <c r="I24" s="3">
        <f>'Rate LED'!AA692</f>
        <v>42161</v>
      </c>
      <c r="J24" s="435">
        <f t="shared" si="0"/>
        <v>18.467367498904949</v>
      </c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B8E3D-B930-40E1-A068-74197C19D209}">
  <sheetPr codeName="Sheet29"/>
  <dimension ref="A1:M24"/>
  <sheetViews>
    <sheetView workbookViewId="0"/>
  </sheetViews>
  <sheetFormatPr defaultColWidth="8.9140625" defaultRowHeight="15" x14ac:dyDescent="0.25"/>
  <cols>
    <col min="1" max="1" width="22.6640625" style="1" customWidth="1"/>
    <col min="2" max="3" width="11.4140625" style="1" customWidth="1"/>
    <col min="4" max="4" width="11.08203125" style="1" bestFit="1" customWidth="1"/>
    <col min="5" max="5" width="9" style="1" bestFit="1" customWidth="1"/>
    <col min="6" max="7" width="8.9140625" style="1"/>
    <col min="8" max="8" width="9" style="1" bestFit="1" customWidth="1"/>
    <col min="9" max="9" width="12.33203125" style="1" bestFit="1" customWidth="1"/>
    <col min="10" max="10" width="12.4140625" style="1" bestFit="1" customWidth="1"/>
    <col min="11" max="11" width="9" style="1" bestFit="1" customWidth="1"/>
    <col min="12" max="16384" width="8.9140625" style="1"/>
  </cols>
  <sheetData>
    <row r="1" spans="1:13" x14ac:dyDescent="0.25">
      <c r="A1" s="1" t="s">
        <v>738</v>
      </c>
    </row>
    <row r="3" spans="1:13" x14ac:dyDescent="0.25">
      <c r="B3" s="473" t="s">
        <v>740</v>
      </c>
      <c r="C3" s="473"/>
      <c r="H3" s="1" t="s">
        <v>961</v>
      </c>
      <c r="I3" s="1" t="s">
        <v>962</v>
      </c>
      <c r="J3" s="1" t="s">
        <v>963</v>
      </c>
    </row>
    <row r="4" spans="1:13" x14ac:dyDescent="0.25">
      <c r="A4" s="1" t="s">
        <v>739</v>
      </c>
      <c r="B4" s="2" t="s">
        <v>741</v>
      </c>
      <c r="C4" s="2" t="s">
        <v>742</v>
      </c>
    </row>
    <row r="5" spans="1:13" x14ac:dyDescent="0.25">
      <c r="A5" s="1" t="s">
        <v>760</v>
      </c>
      <c r="B5" s="5">
        <v>19.690000000000026</v>
      </c>
      <c r="C5" s="434">
        <v>16.2</v>
      </c>
      <c r="H5" s="58">
        <f>+'Rate RS'!F38</f>
        <v>1689991</v>
      </c>
      <c r="I5" s="58">
        <f>+'Rate RS'!H38</f>
        <v>1527729253</v>
      </c>
      <c r="J5" s="435">
        <f t="shared" ref="J5:J24" si="0">+I5/H5</f>
        <v>903.98662063880818</v>
      </c>
    </row>
    <row r="6" spans="1:13" x14ac:dyDescent="0.25">
      <c r="A6" s="1" t="s">
        <v>743</v>
      </c>
      <c r="B6" s="5">
        <v>146.40999999999985</v>
      </c>
      <c r="C6" s="434">
        <v>14.2</v>
      </c>
      <c r="H6" s="58">
        <f>+'Rate DS'!F50</f>
        <v>155005</v>
      </c>
      <c r="I6" s="58">
        <f>+'Rate DS'!H50</f>
        <v>1097342923</v>
      </c>
      <c r="J6" s="435">
        <f t="shared" si="0"/>
        <v>7079.4033934389217</v>
      </c>
    </row>
    <row r="7" spans="1:13" x14ac:dyDescent="0.25">
      <c r="A7" s="1" t="s">
        <v>744</v>
      </c>
      <c r="B7" s="5">
        <v>7074.320000000007</v>
      </c>
      <c r="C7" s="434">
        <v>13.5</v>
      </c>
      <c r="D7" s="1" t="s">
        <v>1137</v>
      </c>
      <c r="H7" s="3">
        <f>+'Rate DT-Pri'!F65</f>
        <v>395</v>
      </c>
      <c r="I7" s="3">
        <f>+'Rate DT-Pri'!H65</f>
        <v>474967440</v>
      </c>
      <c r="J7" s="435">
        <f t="shared" si="0"/>
        <v>1202449.2151898735</v>
      </c>
    </row>
    <row r="8" spans="1:13" x14ac:dyDescent="0.25">
      <c r="A8" s="1" t="s">
        <v>745</v>
      </c>
      <c r="B8" s="5">
        <v>7074.320000000007</v>
      </c>
      <c r="C8" s="434">
        <v>13.5</v>
      </c>
      <c r="D8" s="1" t="s">
        <v>1137</v>
      </c>
      <c r="H8" s="58">
        <f>+'Rate DT-Sec'!F63</f>
        <v>1363</v>
      </c>
      <c r="I8" s="58">
        <f>+'Rate DT-Sec'!H63</f>
        <v>600045849</v>
      </c>
      <c r="J8" s="435">
        <f t="shared" si="0"/>
        <v>440239.06749816582</v>
      </c>
      <c r="K8" s="58">
        <f>+(I7+I8)/(H7+H8)</f>
        <v>611497.88907849824</v>
      </c>
    </row>
    <row r="9" spans="1:13" x14ac:dyDescent="0.25">
      <c r="A9" s="1" t="s">
        <v>746</v>
      </c>
      <c r="B9" s="5">
        <v>270.41999999999962</v>
      </c>
      <c r="C9" s="434">
        <v>13.900000000000002</v>
      </c>
      <c r="H9" s="3">
        <f>+'Rate EH'!F43</f>
        <v>1006</v>
      </c>
      <c r="I9" s="3">
        <f>+'Rate EH'!H43</f>
        <v>19145457</v>
      </c>
      <c r="J9" s="435">
        <f t="shared" si="0"/>
        <v>19031.269383697814</v>
      </c>
    </row>
    <row r="10" spans="1:13" x14ac:dyDescent="0.25">
      <c r="A10" s="1" t="s">
        <v>747</v>
      </c>
      <c r="B10" s="1">
        <f>ROUND(('Rate SP GSFL'!J25+('Rate SP GSFL'!J28*'TBI Revised'!D10)),2)-ROUND(('Rate SP GSFL'!AC88+('Rate SP GSFL'!AC91*'TBI Revised'!D10)),2)</f>
        <v>45.610000000000014</v>
      </c>
      <c r="C10" s="436">
        <f>ROUND(B10/ROUND(('Rate SP GSFL'!AC88+('Rate SP GSFL'!AC91*'TBI Revised'!D10)),2),3)*100</f>
        <v>15.2</v>
      </c>
      <c r="D10" s="437">
        <f>J10</f>
        <v>1971.1024096385543</v>
      </c>
      <c r="H10" s="3">
        <f>+'Rate SP GSFL'!F38</f>
        <v>166</v>
      </c>
      <c r="I10" s="3">
        <f>+'Rate SP GSFL'!H38</f>
        <v>327203</v>
      </c>
      <c r="J10" s="435">
        <f t="shared" si="0"/>
        <v>1971.1024096385543</v>
      </c>
    </row>
    <row r="11" spans="1:13" x14ac:dyDescent="0.25">
      <c r="A11" s="1" t="s">
        <v>748</v>
      </c>
      <c r="B11" s="1">
        <f>ROUND(D11*'Rate SP GSFL'!J47,2)-ROUND(D11*'Rate SP GSFL'!AC110,2)</f>
        <v>10.780000000000001</v>
      </c>
      <c r="C11" s="434">
        <f>ROUND(B11/ROUND(D11*'Rate SP GSFL'!AC110,2),3)*100</f>
        <v>15.299999999999999</v>
      </c>
      <c r="D11" s="3">
        <f>J11</f>
        <v>537.06410953935438</v>
      </c>
      <c r="H11" s="3">
        <f>919*12</f>
        <v>11028</v>
      </c>
      <c r="I11" s="3">
        <f>+'Rate SP GSFL'!H57</f>
        <v>5922743</v>
      </c>
      <c r="J11" s="435">
        <f t="shared" si="0"/>
        <v>537.06410953935438</v>
      </c>
    </row>
    <row r="12" spans="1:13" x14ac:dyDescent="0.25">
      <c r="A12" s="1" t="s">
        <v>749</v>
      </c>
      <c r="B12" s="5">
        <v>805.2482119999986</v>
      </c>
      <c r="C12" s="434">
        <v>6.2</v>
      </c>
      <c r="H12" s="3">
        <f>+'Rate DP'!F46</f>
        <v>120</v>
      </c>
      <c r="I12" s="3">
        <f>+'Rate DP'!H46</f>
        <v>7726973</v>
      </c>
      <c r="J12" s="435">
        <f t="shared" si="0"/>
        <v>64391.441666666666</v>
      </c>
    </row>
    <row r="13" spans="1:13" x14ac:dyDescent="0.25">
      <c r="A13" s="1" t="s">
        <v>750</v>
      </c>
      <c r="B13" s="5">
        <v>9398.2300000000105</v>
      </c>
      <c r="C13" s="434">
        <v>8</v>
      </c>
      <c r="H13" s="3">
        <f>+'Rate TT'!F56</f>
        <v>156</v>
      </c>
      <c r="I13" s="3">
        <f>+'Rate TT'!H56</f>
        <v>185463057</v>
      </c>
      <c r="J13" s="435">
        <f t="shared" si="0"/>
        <v>1188865.75</v>
      </c>
    </row>
    <row r="14" spans="1:13" x14ac:dyDescent="0.25">
      <c r="A14" s="438" t="s">
        <v>751</v>
      </c>
      <c r="B14" s="439">
        <f>ROUND(D14*SUM('Rate DT RTP-S'!J28:J29),2)-ROUND(D14*SUM('Rate DT RTP-S'!AC72:AC73),2)</f>
        <v>924.02999999999975</v>
      </c>
      <c r="C14" s="440">
        <f>ROUND(B14/ROUND(D14*SUM('Rate DT RTP-S'!AC72:AC73),2),3)*100</f>
        <v>16.8</v>
      </c>
      <c r="D14" s="72">
        <v>92246</v>
      </c>
      <c r="E14" s="439">
        <f>D14/SUM($D$14:$D$16)</f>
        <v>0.15437860127759062</v>
      </c>
      <c r="F14" s="439"/>
      <c r="G14" s="439"/>
      <c r="H14" s="72">
        <f>+'Rate DT RTP-S'!F39</f>
        <v>12</v>
      </c>
      <c r="I14" s="72">
        <f>+'Rate DT RTP-S'!H39</f>
        <v>1106948</v>
      </c>
      <c r="J14" s="441">
        <f t="shared" si="0"/>
        <v>92245.666666666672</v>
      </c>
      <c r="K14" s="439"/>
      <c r="L14" s="439"/>
      <c r="M14" s="442"/>
    </row>
    <row r="15" spans="1:13" x14ac:dyDescent="0.25">
      <c r="A15" s="443" t="s">
        <v>752</v>
      </c>
      <c r="B15" s="1">
        <f>ROUND(D15*SUM('Rate DS RTP'!J28:J29),2)-ROUND(D15*SUM('Rate DS RTP'!AC72:AC73),2)</f>
        <v>-2.4800000000000004</v>
      </c>
      <c r="C15" s="434">
        <f>ROUND(B15/ROUND(D15*SUM('Rate DS RTP'!AC72:AC73),2),3)*100</f>
        <v>17.299999999999997</v>
      </c>
      <c r="D15" s="1">
        <v>-247</v>
      </c>
      <c r="E15" s="1">
        <f>D15/SUM($D$14:$D$16)</f>
        <v>-4.1336767464784252E-4</v>
      </c>
      <c r="H15" s="3">
        <f>+'Rate DS RTP'!F39</f>
        <v>12</v>
      </c>
      <c r="I15" s="3">
        <f>+'Rate DS RTP'!H39</f>
        <v>-2961</v>
      </c>
      <c r="J15" s="444">
        <f t="shared" si="0"/>
        <v>-246.75</v>
      </c>
      <c r="M15" s="445"/>
    </row>
    <row r="16" spans="1:13" x14ac:dyDescent="0.25">
      <c r="A16" s="446" t="s">
        <v>753</v>
      </c>
      <c r="B16" s="8">
        <f>ROUND(D16*SUM('Rate TT RTP'!J28:J29),2)-ROUND(D16*SUM('Rate TT RTP'!AC74:AC75),2)</f>
        <v>1748.130000000001</v>
      </c>
      <c r="C16" s="447">
        <f>ROUND(B16/ROUND(D16*SUM('Rate TT RTP'!AC74:AC75),2),3)*100</f>
        <v>8.4</v>
      </c>
      <c r="D16" s="8">
        <v>505532</v>
      </c>
      <c r="E16" s="8">
        <f>D16/SUM($D$14:$D$16)</f>
        <v>0.84603476639705721</v>
      </c>
      <c r="F16" s="8"/>
      <c r="G16" s="8"/>
      <c r="H16" s="49">
        <f>+'Rate TT RTP'!F39</f>
        <v>24</v>
      </c>
      <c r="I16" s="49">
        <f>+'Rate TT RTP'!H39</f>
        <v>12132774</v>
      </c>
      <c r="J16" s="448">
        <f t="shared" si="0"/>
        <v>505532.25</v>
      </c>
      <c r="K16" s="449">
        <f>(I14+I15+I16)/(H14+H15+H16)</f>
        <v>275765.85416666669</v>
      </c>
      <c r="L16" s="8">
        <f>SUMPRODUCT(H14:H16,B14:B16)/SUM(H14:H16)</f>
        <v>1104.4525000000006</v>
      </c>
      <c r="M16" s="450">
        <f>SUMPRODUCT(H14:H16,C14:C16)/SUM(H14:H16)</f>
        <v>12.725</v>
      </c>
    </row>
    <row r="17" spans="1:10" x14ac:dyDescent="0.25">
      <c r="A17" s="1" t="s">
        <v>754</v>
      </c>
      <c r="B17" s="1">
        <f>ROUND(('Rate SL'!R139/'Rate SL'!F139),2)-ROUND(('Rate SL'!AO293/'Rate SL'!Y293),2)</f>
        <v>1.9299999999999997</v>
      </c>
      <c r="C17" s="434">
        <f>ROUND(B17/ROUND(('Rate SL'!AO293/'Rate SL'!Y293),2),3)*100</f>
        <v>13.8</v>
      </c>
      <c r="D17" s="1" t="s">
        <v>761</v>
      </c>
      <c r="H17" s="58">
        <f>+'Rate SL'!F139</f>
        <v>103310</v>
      </c>
      <c r="I17" s="58">
        <f>+'Rate SL'!H139</f>
        <v>6857780</v>
      </c>
      <c r="J17" s="435">
        <f t="shared" si="0"/>
        <v>66.38060207143549</v>
      </c>
    </row>
    <row r="18" spans="1:10" x14ac:dyDescent="0.25">
      <c r="A18" s="1" t="s">
        <v>755</v>
      </c>
      <c r="B18" s="1">
        <f>ROUND('Rate TL'!R34/'Rate TL'!F34,2)-ROUND('Rate TL'!AO72/'Rate TL'!Y72,2)</f>
        <v>8.86</v>
      </c>
      <c r="C18" s="434">
        <f>ROUND(B18/ROUND('Rate TL'!AO72/'Rate TL'!Y72,2),3)*100</f>
        <v>13.100000000000001</v>
      </c>
      <c r="H18" s="58">
        <f>+'Rate TL'!F34</f>
        <v>1560</v>
      </c>
      <c r="I18" s="58">
        <f>+'Rate TL'!H34</f>
        <v>1436827.8010000002</v>
      </c>
      <c r="J18" s="435">
        <f t="shared" si="0"/>
        <v>921.04346217948728</v>
      </c>
    </row>
    <row r="19" spans="1:10" x14ac:dyDescent="0.25">
      <c r="A19" s="1" t="s">
        <v>756</v>
      </c>
      <c r="B19" s="1">
        <f>ROUND('Rate UOLS'!R28/'Rate UOLS'!F28,2)-ROUND('Rate UOLS'!AO63/'Rate UOLS'!Y63,2)</f>
        <v>2.6499999999999986</v>
      </c>
      <c r="C19" s="434">
        <f>ROUND(B19/ROUND('Rate UOLS'!AO63/'Rate UOLS'!Y63,2),3)*100</f>
        <v>13.100000000000001</v>
      </c>
      <c r="H19" s="58">
        <f>+'Rate UOLS'!F28</f>
        <v>30661</v>
      </c>
      <c r="I19" s="58">
        <f>+'Rate UOLS'!H28</f>
        <v>8542179</v>
      </c>
      <c r="J19" s="435">
        <f t="shared" si="0"/>
        <v>278.60079579922376</v>
      </c>
    </row>
    <row r="20" spans="1:10" x14ac:dyDescent="0.25">
      <c r="A20" s="1" t="s">
        <v>757</v>
      </c>
      <c r="B20" s="1">
        <f>ROUND('Rate NSU'!R45/'Rate NSU'!F45,2)-ROUND('Rate NSU'!AO95/'Rate NSU'!Y95,2)</f>
        <v>1.6799999999999997</v>
      </c>
      <c r="C20" s="434">
        <f>ROUND(B20/ROUND('Rate NSU'!AO95/'Rate NSU'!Y95,2),3)*100</f>
        <v>13.900000000000002</v>
      </c>
      <c r="D20" s="1" t="s">
        <v>761</v>
      </c>
      <c r="H20" s="58">
        <f>+'Rate NSU'!F45</f>
        <v>8073</v>
      </c>
      <c r="I20" s="58">
        <f>+'Rate NSU'!H45</f>
        <v>392374</v>
      </c>
      <c r="J20" s="435">
        <f t="shared" si="0"/>
        <v>48.60324538585408</v>
      </c>
    </row>
    <row r="21" spans="1:10" x14ac:dyDescent="0.25">
      <c r="A21" s="1" t="s">
        <v>758</v>
      </c>
      <c r="B21" s="1">
        <f>ROUND('Rate SC'!R72/'Rate SC'!F72,2)-ROUND('Rate SC'!AO145/'Rate SC'!Y145,2)</f>
        <v>0.4099999999999997</v>
      </c>
      <c r="C21" s="434">
        <f>ROUND(B21/ROUND('Rate SC'!AO145/'Rate SC'!Y145,2),3)*100</f>
        <v>12.8</v>
      </c>
      <c r="D21" s="1" t="s">
        <v>761</v>
      </c>
      <c r="H21" s="58">
        <f>+'Rate SC'!F72</f>
        <v>2064</v>
      </c>
      <c r="I21" s="58">
        <f>+'Rate SC'!H72</f>
        <v>91284</v>
      </c>
      <c r="J21" s="435">
        <f t="shared" si="0"/>
        <v>44.22674418604651</v>
      </c>
    </row>
    <row r="22" spans="1:10" x14ac:dyDescent="0.25">
      <c r="A22" s="1" t="s">
        <v>759</v>
      </c>
      <c r="B22" s="1">
        <f>ROUND('Rate SE'!R52/'Rate SE'!F52,2)-ROUND('Rate SE'!AO108/'Rate SE'!Y108,2)</f>
        <v>1.75</v>
      </c>
      <c r="C22" s="434">
        <f>ROUND(B22/ROUND('Rate SE'!AO108/'Rate SE'!Y108,2),3)*100</f>
        <v>13.8</v>
      </c>
      <c r="D22" s="1" t="s">
        <v>761</v>
      </c>
      <c r="H22" s="58">
        <f>+'Rate SE'!F52</f>
        <v>20531</v>
      </c>
      <c r="I22" s="58">
        <f>+'Rate SE'!H52</f>
        <v>1209602</v>
      </c>
      <c r="J22" s="435">
        <f t="shared" si="0"/>
        <v>58.91588329842677</v>
      </c>
    </row>
    <row r="23" spans="1:10" x14ac:dyDescent="0.25">
      <c r="A23" s="1" t="s">
        <v>791</v>
      </c>
      <c r="B23" s="451">
        <f>L16</f>
        <v>1104.4525000000006</v>
      </c>
      <c r="C23" s="434">
        <f>M16</f>
        <v>12.725</v>
      </c>
    </row>
    <row r="24" spans="1:10" x14ac:dyDescent="0.25">
      <c r="A24" s="1" t="s">
        <v>1129</v>
      </c>
      <c r="B24" s="1">
        <f>ROUND('Rate LED'!R340/'Rate LED'!F340,2)-ROUND('Rate LED'!AO692/'Rate LED'!Y692,2)</f>
        <v>1.2300000000000004</v>
      </c>
      <c r="C24" s="434">
        <f>ROUND(B24/ROUND('Rate LED'!AO692/'Rate LED'!Y692,2),3)*100</f>
        <v>14.000000000000002</v>
      </c>
      <c r="D24" s="1" t="s">
        <v>761</v>
      </c>
      <c r="H24" s="3">
        <f>'Rate LED'!F340</f>
        <v>2283</v>
      </c>
      <c r="I24" s="3">
        <f>'Rate LED'!AA692</f>
        <v>42161</v>
      </c>
      <c r="J24" s="435">
        <f t="shared" si="0"/>
        <v>18.467367498904949</v>
      </c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8">
    <pageSetUpPr fitToPage="1"/>
  </sheetPr>
  <dimension ref="A1:K33"/>
  <sheetViews>
    <sheetView tabSelected="1" workbookViewId="0"/>
  </sheetViews>
  <sheetFormatPr defaultColWidth="8.9140625" defaultRowHeight="15" x14ac:dyDescent="0.25"/>
  <cols>
    <col min="2" max="2" width="34.9140625" bestFit="1" customWidth="1"/>
    <col min="3" max="3" width="1.75" customWidth="1"/>
    <col min="4" max="4" width="11.58203125" customWidth="1"/>
    <col min="5" max="5" width="9.9140625" customWidth="1"/>
    <col min="6" max="6" width="11.75" bestFit="1" customWidth="1"/>
    <col min="7" max="7" width="9.75" customWidth="1"/>
    <col min="8" max="8" width="9.4140625" customWidth="1"/>
    <col min="9" max="9" width="9.9140625" bestFit="1" customWidth="1"/>
    <col min="10" max="10" width="10.9140625" bestFit="1" customWidth="1"/>
    <col min="11" max="11" width="11.58203125" customWidth="1"/>
  </cols>
  <sheetData>
    <row r="1" spans="1:11" x14ac:dyDescent="0.25">
      <c r="A1" s="452" t="s">
        <v>764</v>
      </c>
      <c r="B1" s="452"/>
      <c r="C1" s="452"/>
      <c r="D1" s="452"/>
      <c r="E1" s="452"/>
      <c r="F1" s="452"/>
      <c r="G1" s="452"/>
      <c r="H1" s="452"/>
      <c r="I1" s="452"/>
      <c r="J1" s="452"/>
    </row>
    <row r="2" spans="1:11" x14ac:dyDescent="0.25">
      <c r="A2" s="452" t="s">
        <v>765</v>
      </c>
      <c r="B2" s="452"/>
      <c r="C2" s="452"/>
      <c r="D2" s="452"/>
      <c r="E2" s="452"/>
      <c r="F2" s="452"/>
      <c r="G2" s="452"/>
      <c r="H2" s="452"/>
      <c r="I2" s="452"/>
      <c r="J2" s="452"/>
    </row>
    <row r="3" spans="1:11" x14ac:dyDescent="0.25">
      <c r="A3" s="452" t="str">
        <f>+CASE_NO</f>
        <v>CASE NO.   2024-00354</v>
      </c>
      <c r="B3" s="452"/>
      <c r="C3" s="452"/>
      <c r="D3" s="452"/>
      <c r="E3" s="452"/>
      <c r="F3" s="452"/>
      <c r="G3" s="452"/>
      <c r="H3" s="452"/>
      <c r="I3" s="452"/>
      <c r="J3" s="452"/>
    </row>
    <row r="4" spans="1:11" x14ac:dyDescent="0.25">
      <c r="A4" s="452" t="s">
        <v>766</v>
      </c>
      <c r="B4" s="452"/>
      <c r="C4" s="452"/>
      <c r="D4" s="452"/>
      <c r="E4" s="452"/>
      <c r="F4" s="452"/>
      <c r="G4" s="452"/>
      <c r="H4" s="452"/>
      <c r="I4" s="452"/>
      <c r="J4" s="452"/>
    </row>
    <row r="5" spans="1:11" x14ac:dyDescent="0.25">
      <c r="A5" s="452" t="s">
        <v>767</v>
      </c>
      <c r="B5" s="452"/>
      <c r="C5" s="452"/>
      <c r="D5" s="452"/>
      <c r="E5" s="452"/>
      <c r="F5" s="452"/>
      <c r="G5" s="452"/>
      <c r="H5" s="452"/>
      <c r="I5" s="452"/>
      <c r="J5" s="452"/>
    </row>
    <row r="6" spans="1:11" x14ac:dyDescent="0.25">
      <c r="A6" s="452"/>
      <c r="B6" s="452"/>
      <c r="C6" s="452"/>
      <c r="D6" s="452"/>
      <c r="E6" s="452"/>
      <c r="F6" s="452"/>
      <c r="G6" s="452"/>
      <c r="H6" s="452"/>
      <c r="I6" s="452"/>
      <c r="J6" s="452"/>
    </row>
    <row r="7" spans="1:11" x14ac:dyDescent="0.25">
      <c r="A7" s="452"/>
      <c r="B7" s="452"/>
      <c r="C7" s="452"/>
      <c r="D7" s="452"/>
      <c r="E7" s="452"/>
      <c r="F7" s="452"/>
      <c r="G7" s="452"/>
      <c r="H7" s="452"/>
      <c r="I7" s="452"/>
      <c r="J7" s="452"/>
    </row>
    <row r="8" spans="1:11" x14ac:dyDescent="0.25">
      <c r="A8" s="453" t="s">
        <v>768</v>
      </c>
      <c r="B8" s="453" t="s">
        <v>769</v>
      </c>
      <c r="C8" s="452"/>
      <c r="D8" s="454" t="s">
        <v>743</v>
      </c>
      <c r="E8" s="454" t="s">
        <v>782</v>
      </c>
      <c r="F8" s="454" t="s">
        <v>783</v>
      </c>
      <c r="G8" s="454" t="s">
        <v>784</v>
      </c>
      <c r="H8" s="454" t="s">
        <v>749</v>
      </c>
      <c r="I8" s="454" t="s">
        <v>785</v>
      </c>
      <c r="J8" s="454" t="s">
        <v>750</v>
      </c>
      <c r="K8" s="454" t="s">
        <v>786</v>
      </c>
    </row>
    <row r="9" spans="1:11" x14ac:dyDescent="0.25">
      <c r="A9" s="455">
        <v>1</v>
      </c>
      <c r="B9" s="452" t="s">
        <v>770</v>
      </c>
      <c r="C9" s="452"/>
      <c r="D9" s="456">
        <v>0</v>
      </c>
      <c r="E9" s="456">
        <v>0</v>
      </c>
      <c r="F9" s="456">
        <f>D9+E9</f>
        <v>0</v>
      </c>
      <c r="G9" s="456">
        <v>0</v>
      </c>
      <c r="H9" s="456">
        <v>0</v>
      </c>
      <c r="I9" s="456">
        <f>G9+H9</f>
        <v>0</v>
      </c>
      <c r="J9" s="456">
        <v>0</v>
      </c>
      <c r="K9" s="456">
        <f>E9+G9</f>
        <v>0</v>
      </c>
    </row>
    <row r="10" spans="1:11" x14ac:dyDescent="0.25">
      <c r="A10" s="455">
        <v>2</v>
      </c>
      <c r="B10" s="452" t="s">
        <v>771</v>
      </c>
      <c r="C10" s="452"/>
      <c r="D10" s="456">
        <v>23461128</v>
      </c>
      <c r="E10" s="456">
        <v>9462737</v>
      </c>
      <c r="F10" s="456">
        <f>D10+E10</f>
        <v>32923865</v>
      </c>
      <c r="G10" s="456">
        <v>7637442</v>
      </c>
      <c r="H10" s="456">
        <v>113170</v>
      </c>
      <c r="I10" s="456">
        <f>G10+H10</f>
        <v>7750612</v>
      </c>
      <c r="J10" s="456">
        <v>127700</v>
      </c>
      <c r="K10" s="456">
        <f>E10+G10</f>
        <v>17100179</v>
      </c>
    </row>
    <row r="11" spans="1:11" x14ac:dyDescent="0.25">
      <c r="A11" s="455">
        <v>3</v>
      </c>
      <c r="B11" s="452" t="s">
        <v>772</v>
      </c>
      <c r="C11" s="452"/>
      <c r="D11" s="456">
        <v>0</v>
      </c>
      <c r="E11" s="456">
        <v>0</v>
      </c>
      <c r="F11" s="456">
        <f>D11+E11</f>
        <v>0</v>
      </c>
      <c r="G11" s="456">
        <v>0</v>
      </c>
      <c r="H11" s="456">
        <v>0</v>
      </c>
      <c r="I11" s="456">
        <f>G11+H11</f>
        <v>0</v>
      </c>
      <c r="J11" s="456">
        <v>0</v>
      </c>
      <c r="K11" s="456">
        <f>E11+G11</f>
        <v>0</v>
      </c>
    </row>
    <row r="12" spans="1:11" x14ac:dyDescent="0.25">
      <c r="A12" s="455">
        <v>4</v>
      </c>
      <c r="B12" s="452" t="s">
        <v>773</v>
      </c>
      <c r="C12" s="452"/>
      <c r="D12" s="456">
        <v>16650301</v>
      </c>
      <c r="E12" s="456">
        <v>7356572</v>
      </c>
      <c r="F12" s="456">
        <f>D12+E12</f>
        <v>24006873</v>
      </c>
      <c r="G12" s="456">
        <v>5928190</v>
      </c>
      <c r="H12" s="456">
        <v>79892</v>
      </c>
      <c r="I12" s="456">
        <f>G12+H12</f>
        <v>6008082</v>
      </c>
      <c r="J12" s="456">
        <v>1960397</v>
      </c>
      <c r="K12" s="456">
        <f>E12+G12</f>
        <v>13284762</v>
      </c>
    </row>
    <row r="13" spans="1:11" x14ac:dyDescent="0.25">
      <c r="A13" s="455">
        <v>5</v>
      </c>
      <c r="B13" s="452" t="s">
        <v>774</v>
      </c>
      <c r="C13" s="452"/>
      <c r="D13" s="456">
        <f>SUM(D9:D12)</f>
        <v>40111429</v>
      </c>
      <c r="E13" s="456">
        <f t="shared" ref="E13:J13" si="0">SUM(E9:E12)</f>
        <v>16819309</v>
      </c>
      <c r="F13" s="456">
        <f>D13+E13</f>
        <v>56930738</v>
      </c>
      <c r="G13" s="456">
        <f t="shared" si="0"/>
        <v>13565632</v>
      </c>
      <c r="H13" s="456">
        <f t="shared" si="0"/>
        <v>193062</v>
      </c>
      <c r="I13" s="456">
        <f>G13+H13</f>
        <v>13758694</v>
      </c>
      <c r="J13" s="456">
        <f t="shared" si="0"/>
        <v>2088097</v>
      </c>
      <c r="K13" s="456">
        <f>E13+G13</f>
        <v>30384941</v>
      </c>
    </row>
    <row r="14" spans="1:11" x14ac:dyDescent="0.25">
      <c r="A14" s="455">
        <v>6</v>
      </c>
      <c r="B14" s="452"/>
      <c r="C14" s="452"/>
      <c r="D14" s="452"/>
      <c r="E14" s="452"/>
      <c r="F14" s="452"/>
      <c r="G14" s="452"/>
      <c r="H14" s="452"/>
      <c r="I14" s="452"/>
      <c r="J14" s="452"/>
      <c r="K14" s="452"/>
    </row>
    <row r="15" spans="1:11" x14ac:dyDescent="0.25">
      <c r="A15" s="455">
        <v>7</v>
      </c>
      <c r="B15" s="452" t="s">
        <v>775</v>
      </c>
      <c r="C15" s="452"/>
      <c r="D15" s="457">
        <f>'Rate DS'!H50+'Rate DS RTP'!H39</f>
        <v>1097339962</v>
      </c>
      <c r="E15" s="457">
        <f>'Rate DT-Sec'!H63+'Rate DT RTP-S'!H39</f>
        <v>601152797</v>
      </c>
      <c r="F15" s="457">
        <f>D15+E15</f>
        <v>1698492759</v>
      </c>
      <c r="G15" s="457">
        <f>'Rate DT-Pri'!H65</f>
        <v>474967440</v>
      </c>
      <c r="H15" s="457">
        <f>'Rate DP'!H46</f>
        <v>7726973</v>
      </c>
      <c r="I15" s="457">
        <f>G15+H15</f>
        <v>482694413</v>
      </c>
      <c r="J15" s="457">
        <f>'Rate TT'!H56+'Rate TT RTP'!H39</f>
        <v>197595831</v>
      </c>
      <c r="K15" s="457">
        <f>E15+G15</f>
        <v>1076120237</v>
      </c>
    </row>
    <row r="16" spans="1:11" x14ac:dyDescent="0.25">
      <c r="A16" s="455">
        <v>8</v>
      </c>
      <c r="B16" s="452" t="s">
        <v>778</v>
      </c>
      <c r="C16" s="452"/>
      <c r="D16" s="82">
        <f>ROUND(D13/D15,6)</f>
        <v>3.6553000000000002E-2</v>
      </c>
      <c r="E16" s="82">
        <f t="shared" ref="E16:J16" si="1">ROUND(E13/E15,6)</f>
        <v>2.7977999999999999E-2</v>
      </c>
      <c r="F16" s="82">
        <f t="shared" si="1"/>
        <v>3.3517999999999999E-2</v>
      </c>
      <c r="G16" s="82">
        <f t="shared" si="1"/>
        <v>2.8561E-2</v>
      </c>
      <c r="H16" s="82">
        <f t="shared" si="1"/>
        <v>2.4985E-2</v>
      </c>
      <c r="I16" s="82">
        <f t="shared" si="1"/>
        <v>2.8504000000000002E-2</v>
      </c>
      <c r="J16" s="82">
        <f t="shared" si="1"/>
        <v>1.0567999999999999E-2</v>
      </c>
      <c r="K16" s="82"/>
    </row>
    <row r="17" spans="1:11" x14ac:dyDescent="0.25">
      <c r="A17" s="455">
        <v>9</v>
      </c>
      <c r="B17" s="452"/>
      <c r="C17" s="452"/>
      <c r="D17" s="452"/>
      <c r="E17" s="452"/>
      <c r="F17" s="452"/>
      <c r="G17" s="452"/>
      <c r="H17" s="452"/>
      <c r="I17" s="452"/>
      <c r="J17" s="452"/>
      <c r="K17" s="452"/>
    </row>
    <row r="18" spans="1:11" x14ac:dyDescent="0.25">
      <c r="A18" s="455">
        <v>10</v>
      </c>
      <c r="B18" s="452" t="s">
        <v>776</v>
      </c>
      <c r="C18" s="452"/>
      <c r="D18" s="457">
        <f>'Rate DS'!H32</f>
        <v>3996687</v>
      </c>
      <c r="E18" s="457">
        <f>'Rate DT-Sec'!H31+'Rate DT-Sec'!H48</f>
        <v>1228464</v>
      </c>
      <c r="F18" s="457">
        <f>D18+E18</f>
        <v>5225151</v>
      </c>
      <c r="G18" s="457">
        <f>'Rate DT-Pri'!H51+'Rate DT-Pri'!H33</f>
        <v>972035</v>
      </c>
      <c r="H18" s="457">
        <f>'Rate DP'!H30</f>
        <v>27415</v>
      </c>
      <c r="I18" s="457">
        <f>G18+H18</f>
        <v>999450</v>
      </c>
      <c r="J18" s="457">
        <f>'Rate TT'!H40+'Rate TT'!H26</f>
        <v>398243</v>
      </c>
      <c r="K18" s="457">
        <f>E18+G18</f>
        <v>2200499</v>
      </c>
    </row>
    <row r="19" spans="1:11" x14ac:dyDescent="0.25">
      <c r="A19" s="455">
        <v>11</v>
      </c>
      <c r="B19" s="452" t="s">
        <v>777</v>
      </c>
      <c r="C19" s="452"/>
      <c r="D19" s="82">
        <f t="shared" ref="D19:K19" si="2">ROUND(D13/D18,6)</f>
        <v>10.03617</v>
      </c>
      <c r="E19" s="82">
        <f t="shared" si="2"/>
        <v>13.691331999999999</v>
      </c>
      <c r="F19" s="82">
        <f t="shared" si="2"/>
        <v>10.895519999999999</v>
      </c>
      <c r="G19" s="82">
        <f t="shared" si="2"/>
        <v>13.955909</v>
      </c>
      <c r="H19" s="82">
        <f t="shared" si="2"/>
        <v>7.0422029999999998</v>
      </c>
      <c r="I19" s="82">
        <f t="shared" si="2"/>
        <v>13.766265000000001</v>
      </c>
      <c r="J19" s="82">
        <f t="shared" si="2"/>
        <v>5.2432740000000004</v>
      </c>
      <c r="K19" s="82">
        <f t="shared" si="2"/>
        <v>13.808204999999999</v>
      </c>
    </row>
    <row r="20" spans="1:11" x14ac:dyDescent="0.25">
      <c r="A20" s="455"/>
      <c r="B20" s="452"/>
      <c r="C20" s="452"/>
      <c r="D20" s="452"/>
      <c r="E20" s="452"/>
      <c r="F20" s="452"/>
      <c r="G20" s="452"/>
      <c r="H20" s="452"/>
      <c r="I20" s="452"/>
      <c r="J20" s="452"/>
      <c r="K20" s="452"/>
    </row>
    <row r="21" spans="1:11" x14ac:dyDescent="0.25">
      <c r="A21" s="455"/>
      <c r="B21" s="452" t="s">
        <v>779</v>
      </c>
      <c r="C21" s="452"/>
      <c r="D21" s="82">
        <f>INPUT!C156</f>
        <v>2.0034E-2</v>
      </c>
      <c r="E21" s="82">
        <f>D21</f>
        <v>2.0034E-2</v>
      </c>
      <c r="F21" s="82">
        <f>D21</f>
        <v>2.0034E-2</v>
      </c>
      <c r="G21" s="82">
        <f>INPUT!C157</f>
        <v>1.6479000000000001E-2</v>
      </c>
      <c r="H21" s="82">
        <f>G21</f>
        <v>1.6479000000000001E-2</v>
      </c>
      <c r="I21" s="82">
        <f>G21</f>
        <v>1.6479000000000001E-2</v>
      </c>
      <c r="J21" s="82">
        <f>INPUT!C158</f>
        <v>6.9150000000000001E-3</v>
      </c>
      <c r="K21" s="82"/>
    </row>
    <row r="22" spans="1:11" x14ac:dyDescent="0.25">
      <c r="A22" s="455"/>
      <c r="B22" s="452" t="s">
        <v>780</v>
      </c>
      <c r="C22" s="452"/>
      <c r="D22" s="458">
        <f t="shared" ref="D22:J22" si="3">(D16/D21)-1</f>
        <v>0.82454826794449443</v>
      </c>
      <c r="E22" s="458">
        <f t="shared" si="3"/>
        <v>0.39652590595986825</v>
      </c>
      <c r="F22" s="458">
        <f t="shared" si="3"/>
        <v>0.67305580513127672</v>
      </c>
      <c r="G22" s="458">
        <f t="shared" si="3"/>
        <v>0.7331755567692213</v>
      </c>
      <c r="H22" s="458">
        <f t="shared" si="3"/>
        <v>0.51617209782146967</v>
      </c>
      <c r="I22" s="458">
        <f t="shared" si="3"/>
        <v>0.72971660901753754</v>
      </c>
      <c r="J22" s="458">
        <f t="shared" si="3"/>
        <v>0.5282718727404192</v>
      </c>
      <c r="K22" s="458"/>
    </row>
    <row r="23" spans="1:11" x14ac:dyDescent="0.25">
      <c r="A23" s="455"/>
      <c r="B23" s="452"/>
      <c r="C23" s="452"/>
      <c r="D23" s="452"/>
      <c r="E23" s="452"/>
      <c r="F23" s="452"/>
      <c r="G23" s="452"/>
      <c r="H23" s="452"/>
      <c r="I23" s="452"/>
      <c r="J23" s="452"/>
      <c r="K23" s="452"/>
    </row>
    <row r="24" spans="1:11" x14ac:dyDescent="0.25">
      <c r="A24" s="455"/>
      <c r="B24" s="452" t="s">
        <v>781</v>
      </c>
      <c r="C24" s="452"/>
      <c r="D24" s="452">
        <v>6.2092219999999996</v>
      </c>
      <c r="E24" s="452">
        <v>7.8550880000000003</v>
      </c>
      <c r="F24" s="452"/>
      <c r="G24" s="452">
        <f>E24</f>
        <v>7.8550880000000003</v>
      </c>
      <c r="H24" s="452">
        <v>8.173019</v>
      </c>
      <c r="I24" s="452"/>
      <c r="J24" s="452">
        <v>3.2675519999999998</v>
      </c>
      <c r="K24" s="452">
        <f>E24</f>
        <v>7.8550880000000003</v>
      </c>
    </row>
    <row r="25" spans="1:11" x14ac:dyDescent="0.25">
      <c r="A25" s="455"/>
      <c r="B25" s="452" t="s">
        <v>780</v>
      </c>
      <c r="C25" s="452"/>
      <c r="D25" s="458">
        <f>(D19/D24)-1</f>
        <v>0.61633293188744109</v>
      </c>
      <c r="E25" s="458">
        <f>(E19/E24)-1</f>
        <v>0.74298900279665858</v>
      </c>
      <c r="F25" s="458"/>
      <c r="G25" s="458">
        <f>(G19/G24)-1</f>
        <v>0.77667124798601872</v>
      </c>
      <c r="H25" s="458">
        <f>(H19/H24)-1</f>
        <v>-0.13835964409234824</v>
      </c>
      <c r="I25" s="458"/>
      <c r="J25" s="458">
        <f>(J19/J24)-1</f>
        <v>0.60464898492816666</v>
      </c>
      <c r="K25" s="458">
        <f>(K19/K24)-1</f>
        <v>0.75786763942046198</v>
      </c>
    </row>
    <row r="26" spans="1:11" x14ac:dyDescent="0.25">
      <c r="A26" s="455"/>
      <c r="B26" s="452"/>
      <c r="C26" s="452"/>
      <c r="D26" s="452"/>
      <c r="E26" s="452"/>
      <c r="F26" s="452"/>
      <c r="G26" s="452"/>
      <c r="H26" s="452"/>
      <c r="I26" s="452"/>
      <c r="J26" s="452"/>
    </row>
    <row r="27" spans="1:11" x14ac:dyDescent="0.25">
      <c r="A27" s="455"/>
      <c r="B27" s="452"/>
      <c r="C27" s="452"/>
      <c r="D27" s="452"/>
      <c r="E27" s="452"/>
      <c r="F27" s="452"/>
      <c r="G27" s="452"/>
      <c r="H27" s="452"/>
      <c r="I27" s="452"/>
      <c r="J27" s="452"/>
    </row>
    <row r="28" spans="1:11" x14ac:dyDescent="0.25">
      <c r="A28" s="455"/>
      <c r="B28" s="452"/>
      <c r="C28" s="452"/>
      <c r="D28" s="452"/>
      <c r="E28" s="452"/>
      <c r="F28" s="452"/>
      <c r="G28" s="452"/>
      <c r="H28" s="452"/>
      <c r="I28" s="452"/>
      <c r="J28" s="452"/>
    </row>
    <row r="29" spans="1:11" x14ac:dyDescent="0.25">
      <c r="A29" s="455"/>
      <c r="B29" s="452"/>
      <c r="C29" s="452"/>
      <c r="D29" s="452"/>
      <c r="E29" s="452"/>
      <c r="F29" s="452"/>
      <c r="G29" s="452"/>
      <c r="H29" s="452"/>
      <c r="I29" s="452"/>
      <c r="J29" s="452"/>
    </row>
    <row r="30" spans="1:11" x14ac:dyDescent="0.25">
      <c r="A30" s="455"/>
      <c r="B30" s="452"/>
      <c r="C30" s="452"/>
      <c r="D30" s="452"/>
      <c r="E30" s="452"/>
      <c r="F30" s="452"/>
      <c r="G30" s="452"/>
      <c r="H30" s="452"/>
      <c r="I30" s="452"/>
      <c r="J30" s="452"/>
    </row>
    <row r="31" spans="1:11" x14ac:dyDescent="0.25">
      <c r="A31" s="455"/>
      <c r="B31" s="452"/>
      <c r="C31" s="452"/>
      <c r="D31" s="452"/>
      <c r="E31" s="452"/>
      <c r="F31" s="452"/>
      <c r="G31" s="452"/>
      <c r="H31" s="452"/>
      <c r="I31" s="452"/>
      <c r="J31" s="452"/>
    </row>
    <row r="32" spans="1:11" x14ac:dyDescent="0.25">
      <c r="A32" s="455"/>
      <c r="B32" s="452"/>
      <c r="C32" s="452"/>
      <c r="D32" s="452"/>
      <c r="E32" s="452"/>
      <c r="F32" s="452"/>
      <c r="G32" s="452"/>
      <c r="H32" s="452"/>
      <c r="I32" s="452"/>
      <c r="J32" s="452"/>
    </row>
    <row r="33" spans="1:10" x14ac:dyDescent="0.25">
      <c r="A33" s="455"/>
      <c r="B33" s="452"/>
      <c r="C33" s="452"/>
      <c r="D33" s="452"/>
      <c r="E33" s="452"/>
      <c r="F33" s="452"/>
      <c r="G33" s="452"/>
      <c r="H33" s="452"/>
      <c r="I33" s="452"/>
      <c r="J33" s="452"/>
    </row>
  </sheetData>
  <pageMargins left="0.7" right="0.7" top="0.75" bottom="0.75" header="0.3" footer="0.3"/>
  <pageSetup scale="7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syncVertical="1" syncRef="A1" transitionEvaluation="1" codeName="Sheet3">
    <pageSetUpPr fitToPage="1"/>
  </sheetPr>
  <dimension ref="A1:T886"/>
  <sheetViews>
    <sheetView zoomScale="80" zoomScaleNormal="80" workbookViewId="0"/>
  </sheetViews>
  <sheetFormatPr defaultColWidth="9.75" defaultRowHeight="15.6" x14ac:dyDescent="0.3"/>
  <cols>
    <col min="1" max="1" width="5.08203125" style="41" customWidth="1"/>
    <col min="2" max="2" width="0.33203125" style="41" customWidth="1"/>
    <col min="3" max="3" width="63.08203125" style="41" bestFit="1" customWidth="1"/>
    <col min="4" max="4" width="1.33203125" style="41" customWidth="1"/>
    <col min="5" max="5" width="14.75" style="41" customWidth="1"/>
    <col min="6" max="6" width="0.58203125" style="41" customWidth="1"/>
    <col min="7" max="7" width="14.75" style="41" customWidth="1"/>
    <col min="8" max="8" width="0.75" style="41" customWidth="1"/>
    <col min="9" max="9" width="12.4140625" style="41" customWidth="1"/>
    <col min="10" max="10" width="0.75" style="41" customWidth="1"/>
    <col min="11" max="11" width="9.25" style="41" customWidth="1"/>
    <col min="12" max="12" width="3.08203125" style="41" customWidth="1"/>
    <col min="13" max="13" width="13" style="41" customWidth="1"/>
    <col min="14" max="14" width="11" style="41" bestFit="1" customWidth="1"/>
    <col min="15" max="15" width="14.33203125" style="41" bestFit="1" customWidth="1"/>
    <col min="16" max="16" width="13.08203125" style="41" customWidth="1"/>
    <col min="17" max="17" width="12" style="41" customWidth="1"/>
    <col min="18" max="19" width="15.58203125" style="41" bestFit="1" customWidth="1"/>
    <col min="20" max="16384" width="9.75" style="41"/>
  </cols>
  <sheetData>
    <row r="1" spans="1:15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</row>
    <row r="2" spans="1:15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</row>
    <row r="3" spans="1:15" x14ac:dyDescent="0.3">
      <c r="A3" s="40" t="s">
        <v>1144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</row>
    <row r="4" spans="1:15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</row>
    <row r="5" spans="1:15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</row>
    <row r="6" spans="1:15" x14ac:dyDescent="0.3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</row>
    <row r="7" spans="1:15" x14ac:dyDescent="0.3">
      <c r="A7" s="41" t="str">
        <f>DATA_PERIOD</f>
        <v>DATA: ____ BASE PERIOD   __X__FORECASTED PERIOD</v>
      </c>
      <c r="I7" s="42" t="s">
        <v>165</v>
      </c>
    </row>
    <row r="8" spans="1:15" x14ac:dyDescent="0.3">
      <c r="A8" s="41" t="str">
        <f>TYPE</f>
        <v>TYPE OF FILING: _X_ ORIGINAL   ___UPDATED  ___ REVISED</v>
      </c>
      <c r="I8" s="42" t="s">
        <v>159</v>
      </c>
    </row>
    <row r="9" spans="1:15" x14ac:dyDescent="0.3">
      <c r="A9" s="42" t="s">
        <v>171</v>
      </c>
      <c r="I9" s="42" t="s">
        <v>3</v>
      </c>
    </row>
    <row r="10" spans="1:15" x14ac:dyDescent="0.3">
      <c r="A10" s="132" t="str">
        <f>TIME</f>
        <v>12 Months Projected with Riders</v>
      </c>
      <c r="I10" s="41" t="str">
        <f>WIT</f>
        <v>B. L. Sailers</v>
      </c>
    </row>
    <row r="11" spans="1:15" x14ac:dyDescent="0.3">
      <c r="A11" s="133" t="str">
        <f>INPUT!B5</f>
        <v xml:space="preserve"> </v>
      </c>
      <c r="B11" s="40"/>
      <c r="C11" s="40"/>
      <c r="D11" s="40"/>
      <c r="J11" s="40"/>
      <c r="K11" s="40"/>
      <c r="L11" s="40"/>
    </row>
    <row r="12" spans="1:15" x14ac:dyDescent="0.3">
      <c r="A12" s="134"/>
      <c r="B12" s="134"/>
      <c r="C12" s="134"/>
      <c r="D12" s="134"/>
      <c r="E12" s="134"/>
      <c r="F12" s="40"/>
      <c r="G12" s="40"/>
      <c r="H12" s="40"/>
      <c r="I12" s="40"/>
      <c r="J12" s="40"/>
      <c r="K12" s="40"/>
      <c r="L12" s="40"/>
    </row>
    <row r="13" spans="1:15" x14ac:dyDescent="0.3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135"/>
    </row>
    <row r="14" spans="1:15" x14ac:dyDescent="0.3">
      <c r="K14" s="44"/>
      <c r="L14" s="44"/>
    </row>
    <row r="15" spans="1:15" x14ac:dyDescent="0.3">
      <c r="E15" s="44" t="s">
        <v>161</v>
      </c>
      <c r="G15" s="44" t="s">
        <v>161</v>
      </c>
      <c r="I15" s="44" t="s">
        <v>9</v>
      </c>
      <c r="K15" s="44" t="s">
        <v>186</v>
      </c>
      <c r="L15" s="44"/>
    </row>
    <row r="16" spans="1:15" x14ac:dyDescent="0.3">
      <c r="A16" s="44" t="s">
        <v>17</v>
      </c>
      <c r="C16" s="44" t="s">
        <v>18</v>
      </c>
      <c r="D16" s="44"/>
      <c r="E16" s="44" t="s">
        <v>185</v>
      </c>
      <c r="G16" s="44" t="s">
        <v>6</v>
      </c>
      <c r="I16" s="44" t="s">
        <v>162</v>
      </c>
      <c r="J16" s="44"/>
      <c r="K16" s="44" t="s">
        <v>9</v>
      </c>
      <c r="L16" s="44"/>
      <c r="M16" s="44"/>
      <c r="N16" s="44"/>
      <c r="O16" s="44"/>
    </row>
    <row r="17" spans="1:20" x14ac:dyDescent="0.3">
      <c r="A17" s="44" t="s">
        <v>22</v>
      </c>
      <c r="C17" s="44" t="s">
        <v>160</v>
      </c>
      <c r="D17" s="44"/>
      <c r="E17" s="44" t="s">
        <v>27</v>
      </c>
      <c r="G17" s="44" t="s">
        <v>27</v>
      </c>
      <c r="H17" s="44"/>
      <c r="I17" s="46" t="s">
        <v>164</v>
      </c>
      <c r="J17" s="44"/>
      <c r="K17" s="44" t="s">
        <v>162</v>
      </c>
      <c r="L17" s="44"/>
      <c r="M17" s="44"/>
      <c r="N17" s="44"/>
      <c r="O17" s="46"/>
    </row>
    <row r="18" spans="1:20" x14ac:dyDescent="0.3">
      <c r="A18" s="47"/>
      <c r="B18" s="47"/>
      <c r="C18" s="136" t="s">
        <v>33</v>
      </c>
      <c r="D18" s="137"/>
      <c r="E18" s="136" t="s">
        <v>34</v>
      </c>
      <c r="F18" s="138"/>
      <c r="G18" s="137" t="s">
        <v>35</v>
      </c>
      <c r="H18" s="137"/>
      <c r="I18" s="136" t="s">
        <v>163</v>
      </c>
      <c r="J18" s="137"/>
      <c r="K18" s="136" t="s">
        <v>166</v>
      </c>
      <c r="L18" s="46"/>
      <c r="M18" s="44"/>
      <c r="N18" s="44"/>
    </row>
    <row r="19" spans="1:20" x14ac:dyDescent="0.3">
      <c r="E19" s="139" t="s">
        <v>50</v>
      </c>
      <c r="F19" s="140"/>
      <c r="G19" s="139" t="s">
        <v>50</v>
      </c>
      <c r="H19" s="139"/>
      <c r="I19" s="139" t="s">
        <v>50</v>
      </c>
      <c r="J19" s="139"/>
      <c r="K19" s="139" t="s">
        <v>51</v>
      </c>
      <c r="L19" s="44"/>
      <c r="M19" s="44"/>
      <c r="N19" s="44"/>
    </row>
    <row r="20" spans="1:20" x14ac:dyDescent="0.3">
      <c r="C20" s="141" t="s">
        <v>412</v>
      </c>
      <c r="G20" s="44"/>
      <c r="H20" s="44"/>
      <c r="I20" s="44"/>
      <c r="J20" s="44"/>
      <c r="K20" s="44"/>
      <c r="L20" s="44"/>
      <c r="M20" s="44"/>
      <c r="N20" s="44"/>
    </row>
    <row r="21" spans="1:20" x14ac:dyDescent="0.3">
      <c r="A21" s="44">
        <v>1</v>
      </c>
      <c r="C21" s="42" t="s">
        <v>314</v>
      </c>
      <c r="D21" s="42"/>
      <c r="E21" s="3">
        <f>'Rate RS'!AN79</f>
        <v>205065246</v>
      </c>
      <c r="F21" s="1"/>
      <c r="G21" s="3">
        <f>'Rate RS'!R38</f>
        <v>224457397</v>
      </c>
      <c r="H21" s="3"/>
      <c r="I21" s="3">
        <f>G21-E21</f>
        <v>19392151</v>
      </c>
      <c r="J21" s="3"/>
      <c r="K21" s="142">
        <f>IF(E21=0,"-",ROUND(I21/E21,4))</f>
        <v>9.4600000000000004E-2</v>
      </c>
      <c r="L21" s="142"/>
      <c r="M21" s="44"/>
      <c r="N21" s="121"/>
      <c r="O21" s="122"/>
      <c r="P21" s="123"/>
      <c r="R21" s="124"/>
    </row>
    <row r="22" spans="1:20" x14ac:dyDescent="0.3">
      <c r="A22" s="44">
        <v>2</v>
      </c>
      <c r="C22" s="42"/>
      <c r="D22" s="42"/>
      <c r="E22" s="3"/>
      <c r="F22" s="1"/>
      <c r="G22" s="3"/>
      <c r="H22" s="3"/>
      <c r="I22" s="3"/>
      <c r="J22" s="3"/>
      <c r="K22" s="143"/>
      <c r="L22" s="142"/>
      <c r="M22" s="44"/>
      <c r="N22" s="121"/>
      <c r="O22" s="122"/>
      <c r="P22" s="123"/>
    </row>
    <row r="23" spans="1:20" ht="20.100000000000001" customHeight="1" x14ac:dyDescent="0.3">
      <c r="A23" s="44">
        <v>3</v>
      </c>
      <c r="C23" s="144" t="s">
        <v>196</v>
      </c>
      <c r="E23" s="145">
        <f>E21+E22</f>
        <v>205065246</v>
      </c>
      <c r="F23" s="1"/>
      <c r="G23" s="145">
        <f>G21+G22</f>
        <v>224457397</v>
      </c>
      <c r="H23" s="3"/>
      <c r="I23" s="145">
        <f>G23-E23</f>
        <v>19392151</v>
      </c>
      <c r="J23" s="3"/>
      <c r="K23" s="146">
        <f>IF(E23=0,"-",ROUND(I23/E23,4))</f>
        <v>9.4600000000000004E-2</v>
      </c>
      <c r="L23" s="142"/>
      <c r="M23" s="44"/>
      <c r="N23" s="121"/>
      <c r="O23" s="122"/>
      <c r="P23" s="3"/>
      <c r="Q23" s="1"/>
    </row>
    <row r="24" spans="1:20" x14ac:dyDescent="0.3">
      <c r="A24" s="44"/>
      <c r="E24" s="3"/>
      <c r="F24" s="1"/>
      <c r="G24" s="3"/>
      <c r="H24" s="3"/>
      <c r="I24" s="3"/>
      <c r="J24" s="3"/>
      <c r="K24" s="147"/>
      <c r="L24" s="142"/>
      <c r="M24" s="44"/>
      <c r="N24" s="121"/>
      <c r="O24" s="122"/>
      <c r="P24" s="3"/>
      <c r="Q24" s="1"/>
    </row>
    <row r="25" spans="1:20" x14ac:dyDescent="0.3">
      <c r="A25" s="44"/>
      <c r="C25" s="141" t="s">
        <v>254</v>
      </c>
      <c r="E25" s="3"/>
      <c r="F25" s="1"/>
      <c r="G25" s="3"/>
      <c r="H25" s="3"/>
      <c r="I25" s="3"/>
      <c r="J25" s="3"/>
      <c r="K25" s="147"/>
      <c r="L25" s="142"/>
      <c r="M25" s="44"/>
      <c r="N25" s="121"/>
      <c r="O25" s="122"/>
      <c r="P25" s="3"/>
      <c r="Q25" s="1"/>
    </row>
    <row r="26" spans="1:20" x14ac:dyDescent="0.3">
      <c r="A26" s="44">
        <v>4</v>
      </c>
      <c r="C26" s="42" t="s">
        <v>315</v>
      </c>
      <c r="D26" s="42"/>
      <c r="E26" s="3">
        <f>'Rate DS'!AO106</f>
        <v>136119148</v>
      </c>
      <c r="F26" s="1"/>
      <c r="G26" s="3">
        <f>'Rate DS'!R50</f>
        <v>148851779</v>
      </c>
      <c r="H26" s="3"/>
      <c r="I26" s="3">
        <f t="shared" ref="I26:I32" si="0">G26-E26</f>
        <v>12732631</v>
      </c>
      <c r="J26" s="3"/>
      <c r="K26" s="142">
        <f t="shared" ref="K26:K33" si="1">IF(E26=0,"-",ROUND(I26/E26,4))</f>
        <v>9.35E-2</v>
      </c>
      <c r="L26" s="142"/>
      <c r="M26" s="44"/>
      <c r="N26" s="121"/>
      <c r="O26" s="122"/>
      <c r="P26" s="1"/>
      <c r="Q26" s="1"/>
      <c r="R26" s="124"/>
      <c r="T26" s="125"/>
    </row>
    <row r="27" spans="1:20" x14ac:dyDescent="0.3">
      <c r="A27" s="44">
        <v>5</v>
      </c>
      <c r="C27" s="42" t="s">
        <v>382</v>
      </c>
      <c r="D27" s="42"/>
      <c r="E27" s="3">
        <f>'Rate DT-Pri'!AO137</f>
        <v>47429831</v>
      </c>
      <c r="F27" s="1"/>
      <c r="G27" s="3">
        <f>'Rate DT-Pri'!R65</f>
        <v>51531880</v>
      </c>
      <c r="H27" s="3"/>
      <c r="I27" s="3">
        <f t="shared" si="0"/>
        <v>4102049</v>
      </c>
      <c r="J27" s="3"/>
      <c r="K27" s="142">
        <f t="shared" si="1"/>
        <v>8.6499999999999994E-2</v>
      </c>
      <c r="L27" s="142"/>
      <c r="M27" s="44"/>
      <c r="N27" s="121"/>
      <c r="O27" s="122"/>
      <c r="P27" s="1"/>
      <c r="Q27" s="1"/>
      <c r="R27" s="124"/>
    </row>
    <row r="28" spans="1:20" x14ac:dyDescent="0.3">
      <c r="A28" s="44">
        <v>6</v>
      </c>
      <c r="C28" s="42" t="s">
        <v>383</v>
      </c>
      <c r="D28" s="42"/>
      <c r="E28" s="3">
        <f>'Rate DT-Sec'!AO133</f>
        <v>60974671</v>
      </c>
      <c r="F28" s="1"/>
      <c r="G28" s="3">
        <f>'Rate DT-Sec'!R63</f>
        <v>66215879</v>
      </c>
      <c r="H28" s="3"/>
      <c r="I28" s="3">
        <f>G28-E28</f>
        <v>5241208</v>
      </c>
      <c r="J28" s="3"/>
      <c r="K28" s="142">
        <f>IF(E28=0,"-",ROUND(I28/E28,4))</f>
        <v>8.5999999999999993E-2</v>
      </c>
      <c r="L28" s="142"/>
      <c r="M28" s="44"/>
      <c r="N28" s="121"/>
      <c r="O28" s="122"/>
      <c r="P28" s="126"/>
      <c r="Q28" s="58"/>
      <c r="R28" s="124"/>
    </row>
    <row r="29" spans="1:20" x14ac:dyDescent="0.3">
      <c r="A29" s="44">
        <v>7</v>
      </c>
      <c r="C29" s="42" t="s">
        <v>417</v>
      </c>
      <c r="D29" s="42"/>
      <c r="E29" s="3">
        <f>'Rate EH'!AO91</f>
        <v>1951593</v>
      </c>
      <c r="F29" s="1"/>
      <c r="G29" s="3">
        <f>'Rate EH'!R43</f>
        <v>2224295</v>
      </c>
      <c r="H29" s="3"/>
      <c r="I29" s="3">
        <f>G29-E29</f>
        <v>272702</v>
      </c>
      <c r="J29" s="3"/>
      <c r="K29" s="142">
        <f t="shared" si="1"/>
        <v>0.13969999999999999</v>
      </c>
      <c r="L29" s="142"/>
      <c r="M29" s="44"/>
      <c r="N29" s="121"/>
      <c r="O29" s="122"/>
      <c r="P29" s="1"/>
      <c r="Q29" s="1"/>
      <c r="R29" s="124"/>
    </row>
    <row r="30" spans="1:20" x14ac:dyDescent="0.3">
      <c r="A30" s="44">
        <v>8</v>
      </c>
      <c r="C30" s="45" t="s">
        <v>316</v>
      </c>
      <c r="D30" s="42"/>
      <c r="E30" s="3">
        <f>'Rate SP GSFL'!AO101</f>
        <v>53138</v>
      </c>
      <c r="F30" s="1"/>
      <c r="G30" s="3">
        <f>'Rate SP GSFL'!R38</f>
        <v>60725</v>
      </c>
      <c r="H30" s="3"/>
      <c r="I30" s="3">
        <f>G30-E30</f>
        <v>7587</v>
      </c>
      <c r="J30" s="3"/>
      <c r="K30" s="142">
        <f t="shared" si="1"/>
        <v>0.14280000000000001</v>
      </c>
      <c r="L30" s="142"/>
      <c r="M30" s="44"/>
      <c r="N30" s="121"/>
      <c r="O30" s="122"/>
      <c r="P30" s="1"/>
      <c r="Q30" s="1"/>
      <c r="R30" s="124"/>
    </row>
    <row r="31" spans="1:20" x14ac:dyDescent="0.3">
      <c r="A31" s="44">
        <v>9</v>
      </c>
      <c r="C31" s="42" t="s">
        <v>317</v>
      </c>
      <c r="D31" s="42"/>
      <c r="E31" s="3">
        <f>'Rate SP GSFL'!AO120</f>
        <v>840145</v>
      </c>
      <c r="F31" s="1"/>
      <c r="G31" s="3">
        <f>'Rate SP GSFL'!R57</f>
        <v>959471</v>
      </c>
      <c r="H31" s="3"/>
      <c r="I31" s="3">
        <f>G31-E31</f>
        <v>119326</v>
      </c>
      <c r="J31" s="3"/>
      <c r="K31" s="142">
        <f t="shared" si="1"/>
        <v>0.14199999999999999</v>
      </c>
      <c r="L31" s="142"/>
      <c r="M31" s="44"/>
      <c r="N31" s="121"/>
      <c r="O31" s="122"/>
      <c r="P31" s="1"/>
      <c r="Q31" s="1"/>
      <c r="R31" s="124"/>
    </row>
    <row r="32" spans="1:20" x14ac:dyDescent="0.3">
      <c r="A32" s="44">
        <v>10</v>
      </c>
      <c r="C32" s="42" t="s">
        <v>318</v>
      </c>
      <c r="D32" s="42"/>
      <c r="E32" s="3">
        <f>'Rate DP'!AO98</f>
        <v>896371</v>
      </c>
      <c r="F32" s="1"/>
      <c r="G32" s="3">
        <f>'Rate DP'!R46</f>
        <v>949920</v>
      </c>
      <c r="H32" s="3"/>
      <c r="I32" s="3">
        <f t="shared" si="0"/>
        <v>53549</v>
      </c>
      <c r="J32" s="3"/>
      <c r="K32" s="143">
        <f t="shared" si="1"/>
        <v>5.9700000000000003E-2</v>
      </c>
      <c r="L32" s="142"/>
      <c r="M32" s="44"/>
      <c r="N32" s="121"/>
      <c r="O32" s="122"/>
      <c r="P32" s="1"/>
      <c r="Q32" s="1"/>
      <c r="R32" s="124"/>
    </row>
    <row r="33" spans="1:18" ht="20.100000000000001" customHeight="1" x14ac:dyDescent="0.3">
      <c r="A33" s="44">
        <v>11</v>
      </c>
      <c r="C33" s="144" t="s">
        <v>167</v>
      </c>
      <c r="E33" s="145">
        <f>SUM(E26:E32)</f>
        <v>248264897</v>
      </c>
      <c r="F33" s="1"/>
      <c r="G33" s="145">
        <f>SUM(G26:G32)</f>
        <v>270793949</v>
      </c>
      <c r="H33" s="3"/>
      <c r="I33" s="145">
        <f>SUM(I26:I32)</f>
        <v>22529052</v>
      </c>
      <c r="J33" s="3"/>
      <c r="K33" s="143">
        <f t="shared" si="1"/>
        <v>9.0700000000000003E-2</v>
      </c>
      <c r="L33" s="142"/>
      <c r="M33" s="44"/>
      <c r="N33" s="121"/>
      <c r="O33" s="122"/>
      <c r="P33" s="1"/>
      <c r="Q33" s="1"/>
    </row>
    <row r="34" spans="1:18" x14ac:dyDescent="0.3">
      <c r="A34" s="44"/>
      <c r="E34" s="3"/>
      <c r="F34" s="1"/>
      <c r="G34" s="3"/>
      <c r="H34" s="3"/>
      <c r="I34" s="3"/>
      <c r="J34" s="3"/>
      <c r="K34" s="147"/>
      <c r="L34" s="142"/>
      <c r="M34" s="44"/>
      <c r="N34" s="121"/>
      <c r="O34" s="122"/>
      <c r="P34" s="1"/>
      <c r="Q34" s="1"/>
    </row>
    <row r="35" spans="1:18" x14ac:dyDescent="0.3">
      <c r="A35" s="44"/>
      <c r="C35" s="141" t="s">
        <v>255</v>
      </c>
      <c r="E35" s="3"/>
      <c r="F35" s="1"/>
      <c r="G35" s="3"/>
      <c r="H35" s="3"/>
      <c r="I35" s="3"/>
      <c r="J35" s="3"/>
      <c r="K35" s="147"/>
      <c r="L35" s="142"/>
      <c r="M35" s="44"/>
      <c r="N35" s="121"/>
      <c r="O35" s="122"/>
      <c r="P35" s="1"/>
      <c r="Q35" s="1"/>
      <c r="R35" s="124"/>
    </row>
    <row r="36" spans="1:18" x14ac:dyDescent="0.3">
      <c r="A36" s="44">
        <v>12</v>
      </c>
      <c r="C36" s="42" t="s">
        <v>319</v>
      </c>
      <c r="D36" s="42"/>
      <c r="E36" s="49">
        <f>'Rate TT'!AO120</f>
        <v>15587354</v>
      </c>
      <c r="F36" s="1"/>
      <c r="G36" s="49">
        <f>'Rate TT'!R56</f>
        <v>16832549</v>
      </c>
      <c r="H36" s="3"/>
      <c r="I36" s="49">
        <f>G36-E36</f>
        <v>1245195</v>
      </c>
      <c r="J36" s="3"/>
      <c r="K36" s="143">
        <f>IF(E36=0,"-",ROUND(I36/E36,4))</f>
        <v>7.9899999999999999E-2</v>
      </c>
      <c r="L36" s="142"/>
      <c r="M36" s="44"/>
      <c r="N36" s="121"/>
      <c r="O36" s="122"/>
      <c r="P36" s="58"/>
      <c r="Q36" s="58"/>
      <c r="R36" s="124"/>
    </row>
    <row r="37" spans="1:18" ht="20.100000000000001" customHeight="1" x14ac:dyDescent="0.3">
      <c r="A37" s="44">
        <v>13</v>
      </c>
      <c r="C37" s="144" t="s">
        <v>168</v>
      </c>
      <c r="E37" s="145">
        <f>SUM(E36)</f>
        <v>15587354</v>
      </c>
      <c r="F37" s="1"/>
      <c r="G37" s="145">
        <f>SUM(G36)</f>
        <v>16832549</v>
      </c>
      <c r="H37" s="3"/>
      <c r="I37" s="145">
        <f>SUM(I36)</f>
        <v>1245195</v>
      </c>
      <c r="J37" s="3"/>
      <c r="K37" s="146">
        <f>IF(E37=0,"-",ROUND(I37/E37,4))</f>
        <v>7.9899999999999999E-2</v>
      </c>
      <c r="L37" s="142"/>
      <c r="M37" s="44"/>
      <c r="N37" s="121"/>
      <c r="O37" s="122"/>
      <c r="P37" s="1"/>
      <c r="Q37" s="58"/>
    </row>
    <row r="38" spans="1:18" x14ac:dyDescent="0.3">
      <c r="A38" s="44"/>
      <c r="E38" s="3"/>
      <c r="F38" s="1"/>
      <c r="G38" s="3"/>
      <c r="H38" s="3"/>
      <c r="I38" s="3"/>
      <c r="J38" s="3"/>
      <c r="K38" s="147"/>
      <c r="L38" s="142"/>
      <c r="M38" s="44"/>
      <c r="N38" s="121"/>
      <c r="O38" s="122"/>
      <c r="P38" s="1"/>
      <c r="Q38" s="58"/>
    </row>
    <row r="39" spans="1:18" x14ac:dyDescent="0.3">
      <c r="A39" s="44"/>
      <c r="C39" s="141" t="s">
        <v>258</v>
      </c>
      <c r="E39" s="3"/>
      <c r="F39" s="1"/>
      <c r="G39" s="3"/>
      <c r="H39" s="3"/>
      <c r="I39" s="3"/>
      <c r="J39" s="3"/>
      <c r="K39" s="147"/>
      <c r="L39" s="142"/>
      <c r="M39" s="44"/>
      <c r="N39" s="121"/>
      <c r="O39" s="122"/>
      <c r="P39" s="1"/>
      <c r="Q39" s="58"/>
    </row>
    <row r="40" spans="1:18" x14ac:dyDescent="0.3">
      <c r="A40" s="44">
        <v>14</v>
      </c>
      <c r="C40" s="45" t="s">
        <v>370</v>
      </c>
      <c r="E40" s="3">
        <f>'Rate DT RTP-P'!AO82</f>
        <v>0</v>
      </c>
      <c r="F40" s="1"/>
      <c r="G40" s="3">
        <f>'Rate DT RTP-P'!R38</f>
        <v>0</v>
      </c>
      <c r="H40" s="3"/>
      <c r="I40" s="3">
        <f>G40-E40</f>
        <v>0</v>
      </c>
      <c r="J40" s="3"/>
      <c r="K40" s="148" t="str">
        <f>IF(E40=0,"-",ROUND(I40/E40,4))</f>
        <v>-</v>
      </c>
      <c r="L40" s="142"/>
      <c r="M40" s="44"/>
      <c r="N40" s="121"/>
      <c r="O40" s="122"/>
      <c r="P40" s="1"/>
      <c r="Q40" s="58"/>
    </row>
    <row r="41" spans="1:18" x14ac:dyDescent="0.3">
      <c r="A41" s="44">
        <v>15</v>
      </c>
      <c r="C41" s="45" t="s">
        <v>385</v>
      </c>
      <c r="E41" s="3">
        <f>'Rate DT RTP-S'!AO83</f>
        <v>74934</v>
      </c>
      <c r="F41" s="1"/>
      <c r="G41" s="3">
        <f>'Rate DT RTP-S'!R39</f>
        <v>86290</v>
      </c>
      <c r="H41" s="3"/>
      <c r="I41" s="3">
        <f>G41-E41</f>
        <v>11356</v>
      </c>
      <c r="J41" s="3"/>
      <c r="K41" s="142">
        <f>IF(E41=0,"-",ROUND(I41/E41,4))</f>
        <v>0.1515</v>
      </c>
      <c r="L41" s="142"/>
      <c r="M41" s="44"/>
      <c r="N41" s="121"/>
      <c r="O41" s="122"/>
      <c r="P41" s="1"/>
      <c r="Q41" s="58"/>
    </row>
    <row r="42" spans="1:18" x14ac:dyDescent="0.3">
      <c r="A42" s="44">
        <v>16</v>
      </c>
      <c r="C42" s="45" t="s">
        <v>320</v>
      </c>
      <c r="E42" s="3">
        <f>'Rate DS RTP'!AO83</f>
        <v>2021</v>
      </c>
      <c r="F42" s="1"/>
      <c r="G42" s="3">
        <f>'Rate DS RTP'!R39</f>
        <v>1989</v>
      </c>
      <c r="H42" s="3"/>
      <c r="I42" s="3">
        <f>G42-E42</f>
        <v>-32</v>
      </c>
      <c r="J42" s="3"/>
      <c r="K42" s="142">
        <f>IF(E42=0,"-",ROUND(I42/E42,4))</f>
        <v>-1.5800000000000002E-2</v>
      </c>
      <c r="L42" s="142"/>
      <c r="M42" s="44"/>
      <c r="N42" s="121"/>
      <c r="O42" s="122"/>
      <c r="P42" s="1"/>
      <c r="Q42" s="1"/>
    </row>
    <row r="43" spans="1:18" x14ac:dyDescent="0.3">
      <c r="A43" s="44">
        <v>17</v>
      </c>
      <c r="C43" s="45" t="s">
        <v>321</v>
      </c>
      <c r="E43" s="49">
        <f>'Rate TT RTP'!AO85</f>
        <v>539003</v>
      </c>
      <c r="F43" s="1"/>
      <c r="G43" s="49">
        <f>'Rate TT RTP'!R39</f>
        <v>581921</v>
      </c>
      <c r="H43" s="3"/>
      <c r="I43" s="49">
        <f>G43-E43</f>
        <v>42918</v>
      </c>
      <c r="J43" s="3"/>
      <c r="K43" s="143">
        <f>IF(E43=0,"-",ROUND(I43/E43,4))</f>
        <v>7.9600000000000004E-2</v>
      </c>
      <c r="L43" s="142"/>
      <c r="M43" s="44"/>
      <c r="N43" s="121"/>
      <c r="O43" s="122"/>
    </row>
    <row r="44" spans="1:18" ht="20.100000000000001" customHeight="1" x14ac:dyDescent="0.3">
      <c r="A44" s="44">
        <v>18</v>
      </c>
      <c r="C44" s="149" t="s">
        <v>264</v>
      </c>
      <c r="E44" s="49">
        <f>SUM(E40:E43)</f>
        <v>615958</v>
      </c>
      <c r="F44" s="1"/>
      <c r="G44" s="49">
        <f>SUM(G40:G43)</f>
        <v>670200</v>
      </c>
      <c r="H44" s="3"/>
      <c r="I44" s="49">
        <f>SUM(I40:I43)</f>
        <v>54242</v>
      </c>
      <c r="J44" s="3"/>
      <c r="K44" s="143">
        <f>IF(E44=0,"-",ROUND(I44/E44,4))</f>
        <v>8.8099999999999998E-2</v>
      </c>
      <c r="L44" s="142"/>
      <c r="M44" s="44"/>
      <c r="N44" s="121"/>
      <c r="O44" s="122"/>
    </row>
    <row r="45" spans="1:18" x14ac:dyDescent="0.3">
      <c r="A45" s="44"/>
      <c r="C45" s="45"/>
      <c r="E45" s="3"/>
      <c r="F45" s="1"/>
      <c r="G45" s="3"/>
      <c r="H45" s="3"/>
      <c r="I45" s="3"/>
      <c r="J45" s="3"/>
      <c r="K45" s="147"/>
      <c r="L45" s="142"/>
      <c r="M45" s="44"/>
      <c r="N45" s="121"/>
      <c r="O45" s="122"/>
      <c r="Q45" s="122"/>
    </row>
    <row r="46" spans="1:18" x14ac:dyDescent="0.3">
      <c r="A46" s="44"/>
      <c r="C46" s="141" t="s">
        <v>413</v>
      </c>
      <c r="E46" s="3"/>
      <c r="F46" s="1"/>
      <c r="G46" s="3"/>
      <c r="H46" s="3"/>
      <c r="I46" s="3"/>
      <c r="J46" s="3"/>
      <c r="K46" s="147"/>
      <c r="L46" s="142"/>
      <c r="M46" s="44"/>
      <c r="N46" s="121"/>
      <c r="O46" s="122"/>
      <c r="Q46" s="122"/>
    </row>
    <row r="47" spans="1:18" x14ac:dyDescent="0.3">
      <c r="A47" s="44">
        <v>19</v>
      </c>
      <c r="C47" s="42" t="s">
        <v>322</v>
      </c>
      <c r="D47" s="42"/>
      <c r="E47" s="3">
        <f>'Rate SL'!AO293</f>
        <v>1443150</v>
      </c>
      <c r="F47" s="1"/>
      <c r="G47" s="3">
        <f>'Rate SL'!R139</f>
        <v>1642118</v>
      </c>
      <c r="H47" s="3"/>
      <c r="I47" s="3">
        <f t="shared" ref="I47:I53" si="2">G47-E47</f>
        <v>198968</v>
      </c>
      <c r="J47" s="3"/>
      <c r="K47" s="142">
        <f t="shared" ref="K47:K54" si="3">IF(E47=0,"-",ROUND(I47/E47,4))</f>
        <v>0.13789999999999999</v>
      </c>
      <c r="L47" s="142"/>
      <c r="M47" s="44"/>
      <c r="N47" s="121"/>
      <c r="O47" s="122"/>
    </row>
    <row r="48" spans="1:18" x14ac:dyDescent="0.3">
      <c r="A48" s="44">
        <v>20</v>
      </c>
      <c r="C48" s="42" t="s">
        <v>323</v>
      </c>
      <c r="D48" s="42"/>
      <c r="E48" s="3">
        <f>'Rate TL'!AO72</f>
        <v>105521</v>
      </c>
      <c r="F48" s="1"/>
      <c r="G48" s="3">
        <f>'Rate TL'!R34</f>
        <v>119336</v>
      </c>
      <c r="H48" s="3"/>
      <c r="I48" s="3">
        <f t="shared" si="2"/>
        <v>13815</v>
      </c>
      <c r="J48" s="3"/>
      <c r="K48" s="142">
        <f t="shared" si="3"/>
        <v>0.13089999999999999</v>
      </c>
      <c r="L48" s="142"/>
      <c r="M48" s="44"/>
      <c r="N48" s="121"/>
      <c r="O48" s="122"/>
      <c r="P48" s="123"/>
    </row>
    <row r="49" spans="1:19" x14ac:dyDescent="0.3">
      <c r="A49" s="44">
        <v>21</v>
      </c>
      <c r="C49" s="42" t="s">
        <v>418</v>
      </c>
      <c r="D49" s="42"/>
      <c r="E49" s="3">
        <f>'Rate UOLS'!AO63</f>
        <v>620847</v>
      </c>
      <c r="F49" s="1"/>
      <c r="G49" s="3">
        <f>'Rate UOLS'!R28</f>
        <v>702058</v>
      </c>
      <c r="H49" s="3"/>
      <c r="I49" s="3">
        <f t="shared" si="2"/>
        <v>81211</v>
      </c>
      <c r="J49" s="3"/>
      <c r="K49" s="142">
        <f t="shared" si="3"/>
        <v>0.1308</v>
      </c>
      <c r="L49" s="142"/>
      <c r="M49" s="44"/>
      <c r="N49" s="121"/>
      <c r="O49" s="122"/>
    </row>
    <row r="50" spans="1:19" x14ac:dyDescent="0.3">
      <c r="A50" s="44">
        <v>22</v>
      </c>
      <c r="C50" s="45" t="s">
        <v>419</v>
      </c>
      <c r="D50" s="42"/>
      <c r="E50" s="3">
        <f>'Rate NSU'!AO95</f>
        <v>97311</v>
      </c>
      <c r="F50" s="1"/>
      <c r="G50" s="3">
        <f>'Rate NSU'!R45</f>
        <v>110803</v>
      </c>
      <c r="H50" s="3"/>
      <c r="I50" s="3">
        <f t="shared" si="2"/>
        <v>13492</v>
      </c>
      <c r="J50" s="3"/>
      <c r="K50" s="142">
        <f t="shared" si="3"/>
        <v>0.1386</v>
      </c>
      <c r="L50" s="142"/>
      <c r="M50" s="44"/>
      <c r="N50" s="121"/>
      <c r="O50" s="122"/>
    </row>
    <row r="51" spans="1:19" x14ac:dyDescent="0.3">
      <c r="A51" s="44">
        <v>23</v>
      </c>
      <c r="C51" s="42" t="s">
        <v>420</v>
      </c>
      <c r="D51" s="42"/>
      <c r="E51" s="3">
        <f>'Rate SC'!AO145</f>
        <v>6595</v>
      </c>
      <c r="F51" s="3"/>
      <c r="G51" s="3">
        <f>'Rate SC'!R72</f>
        <v>7457</v>
      </c>
      <c r="H51" s="3"/>
      <c r="I51" s="3">
        <f t="shared" si="2"/>
        <v>862</v>
      </c>
      <c r="J51" s="3"/>
      <c r="K51" s="142">
        <f t="shared" si="3"/>
        <v>0.13070000000000001</v>
      </c>
      <c r="L51" s="142"/>
      <c r="M51" s="44"/>
      <c r="N51" s="121"/>
      <c r="O51" s="122"/>
    </row>
    <row r="52" spans="1:19" x14ac:dyDescent="0.3">
      <c r="A52" s="44">
        <v>24</v>
      </c>
      <c r="C52" s="42" t="s">
        <v>421</v>
      </c>
      <c r="D52" s="42"/>
      <c r="E52" s="3">
        <f>'Rate SE'!AO108</f>
        <v>261093</v>
      </c>
      <c r="F52" s="3"/>
      <c r="G52" s="3">
        <f>'Rate SE'!R52</f>
        <v>297161</v>
      </c>
      <c r="H52" s="3"/>
      <c r="I52" s="3">
        <f t="shared" si="2"/>
        <v>36068</v>
      </c>
      <c r="J52" s="3"/>
      <c r="K52" s="142">
        <f t="shared" si="3"/>
        <v>0.1381</v>
      </c>
      <c r="L52" s="142"/>
      <c r="M52" s="44"/>
      <c r="N52" s="121"/>
      <c r="O52" s="122"/>
    </row>
    <row r="53" spans="1:19" x14ac:dyDescent="0.3">
      <c r="A53" s="44">
        <v>25</v>
      </c>
      <c r="C53" s="42" t="s">
        <v>825</v>
      </c>
      <c r="D53" s="42"/>
      <c r="E53" s="49">
        <f>'Rate LED'!AO692</f>
        <v>20067</v>
      </c>
      <c r="F53" s="3"/>
      <c r="G53" s="49">
        <f>+'Rate LED'!R340</f>
        <v>22881.429167999999</v>
      </c>
      <c r="H53" s="3"/>
      <c r="I53" s="3">
        <f t="shared" si="2"/>
        <v>2814.4291679999988</v>
      </c>
      <c r="J53" s="3"/>
      <c r="K53" s="143">
        <f t="shared" si="3"/>
        <v>0.14030000000000001</v>
      </c>
      <c r="L53" s="142"/>
      <c r="M53" s="44"/>
      <c r="N53" s="121"/>
      <c r="O53" s="122"/>
    </row>
    <row r="54" spans="1:19" ht="20.100000000000001" customHeight="1" x14ac:dyDescent="0.3">
      <c r="A54" s="44">
        <v>26</v>
      </c>
      <c r="C54" s="144" t="s">
        <v>169</v>
      </c>
      <c r="E54" s="145">
        <f>SUM(E47:E53)</f>
        <v>2554584</v>
      </c>
      <c r="F54" s="1"/>
      <c r="G54" s="145">
        <f>SUM(G47:G53)</f>
        <v>2901814.4291679999</v>
      </c>
      <c r="H54" s="3"/>
      <c r="I54" s="145">
        <f>SUM(I47:I53)</f>
        <v>347230.429168</v>
      </c>
      <c r="J54" s="3"/>
      <c r="K54" s="146">
        <f t="shared" si="3"/>
        <v>0.13589999999999999</v>
      </c>
      <c r="L54" s="142"/>
      <c r="M54" s="44"/>
      <c r="N54" s="121"/>
      <c r="O54" s="122"/>
      <c r="R54" s="124"/>
    </row>
    <row r="55" spans="1:19" ht="9" customHeight="1" x14ac:dyDescent="0.3">
      <c r="A55" s="44"/>
      <c r="E55" s="3"/>
      <c r="F55" s="1"/>
      <c r="G55" s="3"/>
      <c r="H55" s="3"/>
      <c r="I55" s="3"/>
      <c r="J55" s="3"/>
      <c r="K55" s="150"/>
      <c r="L55" s="142"/>
      <c r="M55" s="44"/>
      <c r="N55" s="121"/>
      <c r="O55" s="122"/>
    </row>
    <row r="56" spans="1:19" ht="15.75" customHeight="1" x14ac:dyDescent="0.3">
      <c r="A56" s="44">
        <v>27</v>
      </c>
      <c r="C56" s="41" t="s">
        <v>327</v>
      </c>
      <c r="D56" s="42"/>
      <c r="E56" s="3">
        <f>'SCH M-2.2'!V57</f>
        <v>33541</v>
      </c>
      <c r="F56" s="1"/>
      <c r="G56" s="3">
        <f>'SCH M-2.3'!R57</f>
        <v>36850</v>
      </c>
      <c r="H56" s="1"/>
      <c r="I56" s="3">
        <f>G56-E56</f>
        <v>3309</v>
      </c>
      <c r="J56" s="1"/>
      <c r="K56" s="142">
        <f>IF(E56=0,"-",ROUND(I56/E56,4))</f>
        <v>9.8699999999999996E-2</v>
      </c>
      <c r="L56" s="142"/>
      <c r="M56" s="44"/>
      <c r="N56" s="121"/>
      <c r="O56" s="122"/>
    </row>
    <row r="57" spans="1:19" ht="15.75" customHeight="1" x14ac:dyDescent="0.3">
      <c r="A57" s="44">
        <v>28</v>
      </c>
      <c r="C57" s="42" t="s">
        <v>328</v>
      </c>
      <c r="D57" s="42"/>
      <c r="E57" s="49">
        <f>+'SCH M-2.2'!V63</f>
        <v>991136.03835699998</v>
      </c>
      <c r="F57" s="1"/>
      <c r="G57" s="49">
        <f>'SCH M-2.3'!R63</f>
        <v>1074887</v>
      </c>
      <c r="H57" s="1"/>
      <c r="I57" s="49">
        <f>G57-E57</f>
        <v>83750.961643000017</v>
      </c>
      <c r="J57" s="1"/>
      <c r="K57" s="143">
        <f>IF(E57=0,"-",ROUND(I57/E57,4))</f>
        <v>8.4500000000000006E-2</v>
      </c>
      <c r="L57" s="142"/>
      <c r="M57" s="44"/>
      <c r="N57" s="121"/>
      <c r="O57" s="122"/>
    </row>
    <row r="58" spans="1:19" ht="9" customHeight="1" x14ac:dyDescent="0.3">
      <c r="M58" s="44"/>
      <c r="N58" s="121"/>
      <c r="O58" s="122"/>
    </row>
    <row r="59" spans="1:19" ht="16.2" thickBot="1" x14ac:dyDescent="0.35">
      <c r="A59" s="44">
        <v>29</v>
      </c>
      <c r="C59" s="132" t="s">
        <v>369</v>
      </c>
      <c r="E59" s="151">
        <f>E54+E44+E37+E33+E23+E56+E57</f>
        <v>473112716.03835702</v>
      </c>
      <c r="F59" s="1"/>
      <c r="G59" s="151">
        <f>G54+G44+G37+G33+G23+G56+G57</f>
        <v>516767646.42916799</v>
      </c>
      <c r="H59" s="3"/>
      <c r="I59" s="151">
        <f>G59-E59</f>
        <v>43654930.390810966</v>
      </c>
      <c r="J59" s="3"/>
      <c r="K59" s="152">
        <f>IF(E59=0,"-",ROUND(I59/E59,4))</f>
        <v>9.2299999999999993E-2</v>
      </c>
      <c r="M59" s="44"/>
      <c r="N59" s="121"/>
      <c r="O59" s="122"/>
    </row>
    <row r="60" spans="1:19" ht="16.2" thickTop="1" x14ac:dyDescent="0.3">
      <c r="M60" s="44"/>
      <c r="N60" s="121"/>
      <c r="O60" s="122"/>
    </row>
    <row r="61" spans="1:19" x14ac:dyDescent="0.3">
      <c r="C61" s="141" t="s">
        <v>425</v>
      </c>
      <c r="M61" s="44"/>
      <c r="N61" s="121"/>
      <c r="O61" s="122"/>
    </row>
    <row r="62" spans="1:19" x14ac:dyDescent="0.3">
      <c r="A62" s="44">
        <v>30</v>
      </c>
      <c r="C62" s="42" t="s">
        <v>522</v>
      </c>
      <c r="D62" s="42"/>
      <c r="E62" s="3">
        <f>'SCH M-2.2'!V58</f>
        <v>169500</v>
      </c>
      <c r="F62" s="1"/>
      <c r="G62" s="3">
        <f>'SCH M-2.3'!R58</f>
        <v>169500</v>
      </c>
      <c r="H62" s="1"/>
      <c r="I62" s="3">
        <f t="shared" ref="I62:I67" si="4">G62-E62</f>
        <v>0</v>
      </c>
      <c r="J62" s="1"/>
      <c r="K62" s="142">
        <f t="shared" ref="K62:K68" si="5">IF(E62=0,"-",ROUND(I62/E62,4))</f>
        <v>0</v>
      </c>
      <c r="L62" s="142"/>
      <c r="M62" s="44"/>
      <c r="N62" s="121"/>
      <c r="O62" s="122"/>
    </row>
    <row r="63" spans="1:19" x14ac:dyDescent="0.3">
      <c r="A63" s="44">
        <v>31</v>
      </c>
      <c r="C63" s="45" t="s">
        <v>249</v>
      </c>
      <c r="E63" s="3">
        <f>'SCH M-2.2'!V59</f>
        <v>55176</v>
      </c>
      <c r="F63" s="1"/>
      <c r="G63" s="3">
        <f>+'SCH M-2.3'!R59</f>
        <v>55176</v>
      </c>
      <c r="H63" s="1"/>
      <c r="I63" s="3">
        <f t="shared" si="4"/>
        <v>0</v>
      </c>
      <c r="J63" s="1"/>
      <c r="K63" s="142">
        <f t="shared" si="5"/>
        <v>0</v>
      </c>
      <c r="L63" s="142"/>
      <c r="M63" s="44"/>
      <c r="N63" s="121"/>
      <c r="O63" s="122"/>
    </row>
    <row r="64" spans="1:19" x14ac:dyDescent="0.3">
      <c r="A64" s="44">
        <v>32</v>
      </c>
      <c r="C64" s="42" t="s">
        <v>422</v>
      </c>
      <c r="D64" s="42"/>
      <c r="E64" s="3">
        <f>'SCH M-2.2'!V60</f>
        <v>55068</v>
      </c>
      <c r="F64" s="1"/>
      <c r="G64" s="3">
        <f>+'SCH M-2.3'!R60</f>
        <v>63391</v>
      </c>
      <c r="H64" s="1"/>
      <c r="I64" s="3">
        <f t="shared" si="4"/>
        <v>8323</v>
      </c>
      <c r="J64" s="1"/>
      <c r="K64" s="142">
        <f t="shared" si="5"/>
        <v>0.15110000000000001</v>
      </c>
      <c r="L64" s="142"/>
      <c r="M64" s="44"/>
      <c r="N64" s="121"/>
      <c r="O64" s="122"/>
      <c r="S64" s="127"/>
    </row>
    <row r="65" spans="1:19" x14ac:dyDescent="0.3">
      <c r="A65" s="44">
        <v>33</v>
      </c>
      <c r="C65" s="42" t="s">
        <v>480</v>
      </c>
      <c r="D65" s="42"/>
      <c r="E65" s="3">
        <f>'SCH M-2.2'!V61</f>
        <v>699996</v>
      </c>
      <c r="F65" s="1"/>
      <c r="G65" s="3">
        <f>+'SCH M-2.3'!R61</f>
        <v>707590</v>
      </c>
      <c r="H65" s="1"/>
      <c r="I65" s="3">
        <f t="shared" si="4"/>
        <v>7594</v>
      </c>
      <c r="J65" s="1"/>
      <c r="K65" s="142">
        <f>IF(E65=0,"-",ROUND(I65/E65,4))</f>
        <v>1.0800000000000001E-2</v>
      </c>
      <c r="L65" s="142"/>
      <c r="M65" s="44"/>
      <c r="N65" s="121"/>
      <c r="O65" s="122"/>
    </row>
    <row r="66" spans="1:19" x14ac:dyDescent="0.3">
      <c r="A66" s="44">
        <v>34</v>
      </c>
      <c r="C66" s="42" t="s">
        <v>251</v>
      </c>
      <c r="D66" s="42"/>
      <c r="E66" s="3">
        <f>'SCH M-2.2'!V62</f>
        <v>1299996</v>
      </c>
      <c r="F66" s="1"/>
      <c r="G66" s="3">
        <f>+'SCH M-2.3'!R62</f>
        <v>1299996</v>
      </c>
      <c r="H66" s="1"/>
      <c r="I66" s="3">
        <f t="shared" si="4"/>
        <v>0</v>
      </c>
      <c r="J66" s="1"/>
      <c r="K66" s="142">
        <f t="shared" si="5"/>
        <v>0</v>
      </c>
      <c r="L66" s="142"/>
      <c r="M66" s="44"/>
      <c r="N66" s="121"/>
      <c r="O66" s="122"/>
    </row>
    <row r="67" spans="1:19" x14ac:dyDescent="0.3">
      <c r="A67" s="44">
        <v>35</v>
      </c>
      <c r="C67" s="42" t="s">
        <v>423</v>
      </c>
      <c r="D67" s="42"/>
      <c r="E67" s="3">
        <f>'SCH M-2.2'!V64</f>
        <v>1294812</v>
      </c>
      <c r="F67" s="1"/>
      <c r="G67" s="3">
        <f>+'SCH M-2.3'!R64</f>
        <v>1294812</v>
      </c>
      <c r="H67" s="1"/>
      <c r="I67" s="3">
        <f t="shared" si="4"/>
        <v>0</v>
      </c>
      <c r="J67" s="1"/>
      <c r="K67" s="150">
        <f t="shared" si="5"/>
        <v>0</v>
      </c>
      <c r="L67" s="142"/>
      <c r="M67" s="44"/>
      <c r="N67" s="121"/>
      <c r="O67" s="122"/>
    </row>
    <row r="68" spans="1:19" ht="20.100000000000001" customHeight="1" x14ac:dyDescent="0.3">
      <c r="A68" s="44">
        <v>36</v>
      </c>
      <c r="C68" s="144" t="s">
        <v>424</v>
      </c>
      <c r="E68" s="145">
        <f>SUM(E62:E67)</f>
        <v>3574548</v>
      </c>
      <c r="F68" s="1"/>
      <c r="G68" s="145">
        <f>SUM(G62:G67)</f>
        <v>3590465</v>
      </c>
      <c r="H68" s="3"/>
      <c r="I68" s="145">
        <f>SUM(I62:I67)</f>
        <v>15917</v>
      </c>
      <c r="J68" s="3"/>
      <c r="K68" s="150">
        <f t="shared" si="5"/>
        <v>4.4999999999999997E-3</v>
      </c>
      <c r="L68" s="142"/>
      <c r="M68" s="44"/>
      <c r="N68" s="121"/>
      <c r="O68" s="122"/>
      <c r="R68" s="124"/>
    </row>
    <row r="69" spans="1:19" x14ac:dyDescent="0.3">
      <c r="A69" s="44"/>
      <c r="E69" s="3"/>
      <c r="F69" s="1"/>
      <c r="G69" s="3"/>
      <c r="H69" s="3"/>
      <c r="I69" s="3"/>
      <c r="J69" s="3"/>
      <c r="K69" s="147"/>
      <c r="L69" s="142"/>
      <c r="M69" s="44"/>
      <c r="N69" s="121"/>
      <c r="O69" s="122"/>
    </row>
    <row r="70" spans="1:19" ht="16.2" thickBot="1" x14ac:dyDescent="0.35">
      <c r="A70" s="44">
        <v>37</v>
      </c>
      <c r="C70" s="153" t="s">
        <v>170</v>
      </c>
      <c r="E70" s="151">
        <f>E68+E59</f>
        <v>476687264.03835702</v>
      </c>
      <c r="F70" s="1"/>
      <c r="G70" s="151">
        <f>G68+G59</f>
        <v>520358111.42916799</v>
      </c>
      <c r="H70" s="3"/>
      <c r="I70" s="151">
        <f>I68+I59</f>
        <v>43670847.390810966</v>
      </c>
      <c r="J70" s="3"/>
      <c r="K70" s="152">
        <f>IF(E70=0,"-",ROUND(I70/E70,4))</f>
        <v>9.1600000000000001E-2</v>
      </c>
      <c r="L70" s="142"/>
      <c r="M70" s="44"/>
      <c r="N70" s="128"/>
      <c r="O70" s="122"/>
      <c r="R70" s="129"/>
      <c r="S70" s="129"/>
    </row>
    <row r="71" spans="1:19" ht="16.2" thickTop="1" x14ac:dyDescent="0.3">
      <c r="M71" s="44"/>
      <c r="N71" s="44"/>
    </row>
    <row r="72" spans="1:19" x14ac:dyDescent="0.3">
      <c r="A72" s="44"/>
      <c r="G72" s="154"/>
      <c r="I72" s="123"/>
      <c r="M72" s="44"/>
      <c r="N72" s="44"/>
    </row>
    <row r="73" spans="1:19" x14ac:dyDescent="0.3">
      <c r="E73" s="123"/>
      <c r="G73" s="123"/>
      <c r="M73" s="44"/>
      <c r="N73" s="121"/>
      <c r="R73" s="130"/>
    </row>
    <row r="74" spans="1:19" x14ac:dyDescent="0.3">
      <c r="A74" s="44"/>
      <c r="G74" s="123"/>
      <c r="I74" s="123"/>
      <c r="M74" s="44"/>
      <c r="N74" s="131"/>
    </row>
    <row r="75" spans="1:19" x14ac:dyDescent="0.3">
      <c r="C75" s="155" t="s">
        <v>174</v>
      </c>
      <c r="E75" s="1"/>
      <c r="F75" s="1"/>
      <c r="G75" s="1"/>
      <c r="H75" s="1"/>
      <c r="I75" s="1"/>
      <c r="J75" s="1"/>
      <c r="K75" s="2"/>
      <c r="L75" s="2"/>
      <c r="M75" s="44"/>
      <c r="N75" s="44"/>
    </row>
    <row r="76" spans="1:19" x14ac:dyDescent="0.3">
      <c r="E76" s="123"/>
      <c r="I76" s="58"/>
      <c r="J76" s="123"/>
      <c r="K76" s="44"/>
      <c r="L76" s="44"/>
      <c r="N76" s="125"/>
    </row>
    <row r="77" spans="1:19" x14ac:dyDescent="0.3">
      <c r="K77" s="44"/>
      <c r="L77" s="44"/>
      <c r="N77" s="125"/>
    </row>
    <row r="78" spans="1:19" x14ac:dyDescent="0.3">
      <c r="K78" s="44"/>
      <c r="L78" s="44"/>
    </row>
    <row r="79" spans="1:19" x14ac:dyDescent="0.3">
      <c r="K79" s="44"/>
      <c r="L79" s="44"/>
      <c r="N79" s="125"/>
    </row>
    <row r="80" spans="1:19" x14ac:dyDescent="0.3">
      <c r="K80" s="44"/>
      <c r="L80" s="44"/>
    </row>
    <row r="81" spans="11:12" x14ac:dyDescent="0.3">
      <c r="K81" s="44"/>
      <c r="L81" s="44"/>
    </row>
    <row r="82" spans="11:12" x14ac:dyDescent="0.3">
      <c r="K82" s="44"/>
      <c r="L82" s="44"/>
    </row>
    <row r="83" spans="11:12" x14ac:dyDescent="0.3">
      <c r="K83" s="44"/>
      <c r="L83" s="44"/>
    </row>
    <row r="84" spans="11:12" x14ac:dyDescent="0.3">
      <c r="K84" s="44"/>
      <c r="L84" s="44"/>
    </row>
    <row r="85" spans="11:12" x14ac:dyDescent="0.3">
      <c r="K85" s="44"/>
      <c r="L85" s="44"/>
    </row>
    <row r="86" spans="11:12" x14ac:dyDescent="0.3">
      <c r="K86" s="44"/>
      <c r="L86" s="44"/>
    </row>
    <row r="87" spans="11:12" x14ac:dyDescent="0.3">
      <c r="K87" s="44"/>
      <c r="L87" s="44"/>
    </row>
    <row r="88" spans="11:12" x14ac:dyDescent="0.3">
      <c r="K88" s="44"/>
      <c r="L88" s="44"/>
    </row>
    <row r="89" spans="11:12" x14ac:dyDescent="0.3">
      <c r="K89" s="44"/>
      <c r="L89" s="44"/>
    </row>
    <row r="90" spans="11:12" x14ac:dyDescent="0.3">
      <c r="K90" s="44"/>
      <c r="L90" s="44"/>
    </row>
    <row r="91" spans="11:12" x14ac:dyDescent="0.3">
      <c r="K91" s="44"/>
      <c r="L91" s="44"/>
    </row>
    <row r="92" spans="11:12" x14ac:dyDescent="0.3">
      <c r="K92" s="44"/>
      <c r="L92" s="44"/>
    </row>
    <row r="93" spans="11:12" x14ac:dyDescent="0.3">
      <c r="K93" s="44"/>
      <c r="L93" s="44"/>
    </row>
    <row r="94" spans="11:12" x14ac:dyDescent="0.3">
      <c r="K94" s="44"/>
      <c r="L94" s="44"/>
    </row>
    <row r="95" spans="11:12" x14ac:dyDescent="0.3">
      <c r="K95" s="44"/>
      <c r="L95" s="44"/>
    </row>
    <row r="96" spans="11:12" x14ac:dyDescent="0.3">
      <c r="K96" s="44"/>
      <c r="L96" s="44"/>
    </row>
    <row r="97" spans="11:12" x14ac:dyDescent="0.3">
      <c r="K97" s="44"/>
      <c r="L97" s="44"/>
    </row>
    <row r="98" spans="11:12" x14ac:dyDescent="0.3">
      <c r="K98" s="44"/>
      <c r="L98" s="44"/>
    </row>
    <row r="99" spans="11:12" x14ac:dyDescent="0.3">
      <c r="K99" s="44"/>
      <c r="L99" s="44"/>
    </row>
    <row r="100" spans="11:12" x14ac:dyDescent="0.3">
      <c r="K100" s="44"/>
      <c r="L100" s="44"/>
    </row>
    <row r="101" spans="11:12" x14ac:dyDescent="0.3">
      <c r="K101" s="44"/>
      <c r="L101" s="44"/>
    </row>
    <row r="102" spans="11:12" x14ac:dyDescent="0.3">
      <c r="K102" s="44"/>
      <c r="L102" s="44"/>
    </row>
    <row r="103" spans="11:12" x14ac:dyDescent="0.3">
      <c r="K103" s="44"/>
      <c r="L103" s="44"/>
    </row>
    <row r="104" spans="11:12" x14ac:dyDescent="0.3">
      <c r="K104" s="44"/>
      <c r="L104" s="44"/>
    </row>
    <row r="105" spans="11:12" x14ac:dyDescent="0.3">
      <c r="K105" s="44"/>
      <c r="L105" s="44"/>
    </row>
    <row r="106" spans="11:12" x14ac:dyDescent="0.3">
      <c r="K106" s="44"/>
      <c r="L106" s="44"/>
    </row>
    <row r="107" spans="11:12" x14ac:dyDescent="0.3">
      <c r="K107" s="44"/>
      <c r="L107" s="44"/>
    </row>
    <row r="108" spans="11:12" x14ac:dyDescent="0.3">
      <c r="K108" s="44"/>
      <c r="L108" s="44"/>
    </row>
    <row r="109" spans="11:12" x14ac:dyDescent="0.3">
      <c r="K109" s="44"/>
      <c r="L109" s="44"/>
    </row>
    <row r="110" spans="11:12" x14ac:dyDescent="0.3">
      <c r="K110" s="44"/>
      <c r="L110" s="44"/>
    </row>
    <row r="111" spans="11:12" x14ac:dyDescent="0.3">
      <c r="K111" s="44"/>
      <c r="L111" s="44"/>
    </row>
    <row r="112" spans="11:12" x14ac:dyDescent="0.3">
      <c r="K112" s="44"/>
      <c r="L112" s="44"/>
    </row>
    <row r="113" spans="11:12" x14ac:dyDescent="0.3">
      <c r="K113" s="44"/>
      <c r="L113" s="44"/>
    </row>
    <row r="114" spans="11:12" x14ac:dyDescent="0.3">
      <c r="K114" s="44"/>
      <c r="L114" s="44"/>
    </row>
    <row r="115" spans="11:12" x14ac:dyDescent="0.3">
      <c r="K115" s="44"/>
      <c r="L115" s="44"/>
    </row>
    <row r="116" spans="11:12" x14ac:dyDescent="0.3">
      <c r="K116" s="44"/>
      <c r="L116" s="44"/>
    </row>
    <row r="117" spans="11:12" x14ac:dyDescent="0.3">
      <c r="K117" s="44"/>
      <c r="L117" s="44"/>
    </row>
    <row r="118" spans="11:12" x14ac:dyDescent="0.3">
      <c r="K118" s="44"/>
      <c r="L118" s="44"/>
    </row>
    <row r="119" spans="11:12" x14ac:dyDescent="0.3">
      <c r="K119" s="44"/>
      <c r="L119" s="44"/>
    </row>
    <row r="120" spans="11:12" x14ac:dyDescent="0.3">
      <c r="K120" s="44"/>
      <c r="L120" s="44"/>
    </row>
    <row r="121" spans="11:12" x14ac:dyDescent="0.3">
      <c r="K121" s="44"/>
      <c r="L121" s="44"/>
    </row>
    <row r="122" spans="11:12" x14ac:dyDescent="0.3">
      <c r="K122" s="44"/>
      <c r="L122" s="44"/>
    </row>
    <row r="123" spans="11:12" x14ac:dyDescent="0.3">
      <c r="K123" s="44"/>
      <c r="L123" s="44"/>
    </row>
    <row r="124" spans="11:12" x14ac:dyDescent="0.3">
      <c r="K124" s="44"/>
      <c r="L124" s="44"/>
    </row>
    <row r="125" spans="11:12" x14ac:dyDescent="0.3">
      <c r="K125" s="44"/>
      <c r="L125" s="44"/>
    </row>
    <row r="126" spans="11:12" x14ac:dyDescent="0.3">
      <c r="K126" s="44"/>
      <c r="L126" s="44"/>
    </row>
    <row r="127" spans="11:12" x14ac:dyDescent="0.3">
      <c r="K127" s="44"/>
      <c r="L127" s="44"/>
    </row>
    <row r="128" spans="11:12" x14ac:dyDescent="0.3">
      <c r="K128" s="44"/>
      <c r="L128" s="44"/>
    </row>
    <row r="129" spans="11:12" x14ac:dyDescent="0.3">
      <c r="K129" s="44"/>
      <c r="L129" s="44"/>
    </row>
    <row r="130" spans="11:12" x14ac:dyDescent="0.3">
      <c r="K130" s="44"/>
      <c r="L130" s="44"/>
    </row>
    <row r="131" spans="11:12" x14ac:dyDescent="0.3">
      <c r="K131" s="44"/>
      <c r="L131" s="44"/>
    </row>
    <row r="132" spans="11:12" x14ac:dyDescent="0.3">
      <c r="K132" s="44"/>
      <c r="L132" s="44"/>
    </row>
    <row r="133" spans="11:12" x14ac:dyDescent="0.3">
      <c r="K133" s="44"/>
      <c r="L133" s="44"/>
    </row>
    <row r="134" spans="11:12" x14ac:dyDescent="0.3">
      <c r="K134" s="44"/>
      <c r="L134" s="44"/>
    </row>
    <row r="135" spans="11:12" x14ac:dyDescent="0.3">
      <c r="K135" s="44"/>
      <c r="L135" s="44"/>
    </row>
    <row r="136" spans="11:12" x14ac:dyDescent="0.3">
      <c r="K136" s="44"/>
      <c r="L136" s="44"/>
    </row>
    <row r="137" spans="11:12" x14ac:dyDescent="0.3">
      <c r="K137" s="44"/>
      <c r="L137" s="44"/>
    </row>
    <row r="138" spans="11:12" x14ac:dyDescent="0.3">
      <c r="K138" s="44"/>
      <c r="L138" s="44"/>
    </row>
    <row r="139" spans="11:12" x14ac:dyDescent="0.3">
      <c r="K139" s="44"/>
      <c r="L139" s="44"/>
    </row>
    <row r="140" spans="11:12" x14ac:dyDescent="0.3">
      <c r="K140" s="44"/>
      <c r="L140" s="44"/>
    </row>
    <row r="141" spans="11:12" x14ac:dyDescent="0.3">
      <c r="K141" s="44"/>
      <c r="L141" s="44"/>
    </row>
    <row r="142" spans="11:12" x14ac:dyDescent="0.3">
      <c r="K142" s="44"/>
      <c r="L142" s="44"/>
    </row>
    <row r="143" spans="11:12" x14ac:dyDescent="0.3">
      <c r="K143" s="44"/>
      <c r="L143" s="44"/>
    </row>
    <row r="144" spans="11:12" x14ac:dyDescent="0.3">
      <c r="K144" s="44"/>
      <c r="L144" s="44"/>
    </row>
    <row r="145" spans="11:12" x14ac:dyDescent="0.3">
      <c r="K145" s="44"/>
      <c r="L145" s="44"/>
    </row>
    <row r="146" spans="11:12" x14ac:dyDescent="0.3">
      <c r="K146" s="44"/>
      <c r="L146" s="44"/>
    </row>
    <row r="147" spans="11:12" x14ac:dyDescent="0.3">
      <c r="K147" s="44"/>
      <c r="L147" s="44"/>
    </row>
    <row r="148" spans="11:12" x14ac:dyDescent="0.3">
      <c r="K148" s="44"/>
      <c r="L148" s="44"/>
    </row>
    <row r="149" spans="11:12" x14ac:dyDescent="0.3">
      <c r="K149" s="44"/>
      <c r="L149" s="44"/>
    </row>
    <row r="150" spans="11:12" x14ac:dyDescent="0.3">
      <c r="K150" s="44"/>
      <c r="L150" s="44"/>
    </row>
    <row r="151" spans="11:12" x14ac:dyDescent="0.3">
      <c r="K151" s="44"/>
      <c r="L151" s="44"/>
    </row>
    <row r="152" spans="11:12" x14ac:dyDescent="0.3">
      <c r="K152" s="44"/>
      <c r="L152" s="44"/>
    </row>
    <row r="153" spans="11:12" x14ac:dyDescent="0.3">
      <c r="K153" s="44"/>
      <c r="L153" s="44"/>
    </row>
    <row r="154" spans="11:12" x14ac:dyDescent="0.3">
      <c r="K154" s="44"/>
      <c r="L154" s="44"/>
    </row>
    <row r="155" spans="11:12" x14ac:dyDescent="0.3">
      <c r="K155" s="44"/>
      <c r="L155" s="44"/>
    </row>
    <row r="156" spans="11:12" x14ac:dyDescent="0.3">
      <c r="K156" s="44"/>
      <c r="L156" s="44"/>
    </row>
    <row r="157" spans="11:12" x14ac:dyDescent="0.3">
      <c r="K157" s="44"/>
      <c r="L157" s="44"/>
    </row>
    <row r="158" spans="11:12" x14ac:dyDescent="0.3">
      <c r="K158" s="44"/>
      <c r="L158" s="44"/>
    </row>
    <row r="159" spans="11:12" x14ac:dyDescent="0.3">
      <c r="K159" s="44"/>
      <c r="L159" s="44"/>
    </row>
    <row r="160" spans="11:12" x14ac:dyDescent="0.3">
      <c r="K160" s="44"/>
      <c r="L160" s="44"/>
    </row>
    <row r="161" spans="11:12" x14ac:dyDescent="0.3">
      <c r="K161" s="44"/>
      <c r="L161" s="44"/>
    </row>
    <row r="162" spans="11:12" x14ac:dyDescent="0.3">
      <c r="K162" s="44"/>
      <c r="L162" s="44"/>
    </row>
    <row r="163" spans="11:12" x14ac:dyDescent="0.3">
      <c r="K163" s="44"/>
      <c r="L163" s="44"/>
    </row>
    <row r="164" spans="11:12" x14ac:dyDescent="0.3">
      <c r="K164" s="44"/>
      <c r="L164" s="44"/>
    </row>
    <row r="165" spans="11:12" x14ac:dyDescent="0.3">
      <c r="K165" s="44"/>
      <c r="L165" s="44"/>
    </row>
    <row r="166" spans="11:12" x14ac:dyDescent="0.3">
      <c r="K166" s="44"/>
      <c r="L166" s="44"/>
    </row>
    <row r="167" spans="11:12" x14ac:dyDescent="0.3">
      <c r="K167" s="44"/>
      <c r="L167" s="44"/>
    </row>
    <row r="168" spans="11:12" x14ac:dyDescent="0.3">
      <c r="K168" s="44"/>
      <c r="L168" s="44"/>
    </row>
    <row r="169" spans="11:12" x14ac:dyDescent="0.3">
      <c r="K169" s="44"/>
      <c r="L169" s="44"/>
    </row>
    <row r="170" spans="11:12" x14ac:dyDescent="0.3">
      <c r="K170" s="44"/>
      <c r="L170" s="44"/>
    </row>
    <row r="171" spans="11:12" x14ac:dyDescent="0.3">
      <c r="K171" s="44"/>
      <c r="L171" s="44"/>
    </row>
    <row r="172" spans="11:12" x14ac:dyDescent="0.3">
      <c r="K172" s="44"/>
      <c r="L172" s="44"/>
    </row>
    <row r="173" spans="11:12" x14ac:dyDescent="0.3">
      <c r="K173" s="44"/>
      <c r="L173" s="44"/>
    </row>
    <row r="174" spans="11:12" x14ac:dyDescent="0.3">
      <c r="K174" s="44"/>
      <c r="L174" s="44"/>
    </row>
    <row r="175" spans="11:12" x14ac:dyDescent="0.3">
      <c r="K175" s="44"/>
      <c r="L175" s="44"/>
    </row>
    <row r="176" spans="11:12" x14ac:dyDescent="0.3">
      <c r="K176" s="44"/>
      <c r="L176" s="44"/>
    </row>
    <row r="177" spans="11:12" x14ac:dyDescent="0.3">
      <c r="K177" s="44"/>
      <c r="L177" s="44"/>
    </row>
    <row r="178" spans="11:12" x14ac:dyDescent="0.3">
      <c r="K178" s="44"/>
      <c r="L178" s="44"/>
    </row>
    <row r="179" spans="11:12" x14ac:dyDescent="0.3">
      <c r="K179" s="44"/>
      <c r="L179" s="44"/>
    </row>
    <row r="180" spans="11:12" x14ac:dyDescent="0.3">
      <c r="K180" s="44"/>
      <c r="L180" s="44"/>
    </row>
    <row r="181" spans="11:12" x14ac:dyDescent="0.3">
      <c r="K181" s="44"/>
      <c r="L181" s="44"/>
    </row>
    <row r="182" spans="11:12" x14ac:dyDescent="0.3">
      <c r="K182" s="44"/>
      <c r="L182" s="44"/>
    </row>
    <row r="183" spans="11:12" x14ac:dyDescent="0.3">
      <c r="K183" s="44"/>
      <c r="L183" s="44"/>
    </row>
    <row r="184" spans="11:12" x14ac:dyDescent="0.3">
      <c r="K184" s="44"/>
      <c r="L184" s="44"/>
    </row>
    <row r="185" spans="11:12" x14ac:dyDescent="0.3">
      <c r="K185" s="44"/>
      <c r="L185" s="44"/>
    </row>
    <row r="186" spans="11:12" x14ac:dyDescent="0.3">
      <c r="K186" s="44"/>
      <c r="L186" s="44"/>
    </row>
    <row r="187" spans="11:12" x14ac:dyDescent="0.3">
      <c r="K187" s="44"/>
      <c r="L187" s="44"/>
    </row>
    <row r="188" spans="11:12" x14ac:dyDescent="0.3">
      <c r="K188" s="44"/>
      <c r="L188" s="44"/>
    </row>
    <row r="189" spans="11:12" x14ac:dyDescent="0.3">
      <c r="K189" s="44"/>
      <c r="L189" s="44"/>
    </row>
    <row r="190" spans="11:12" x14ac:dyDescent="0.3">
      <c r="K190" s="44"/>
      <c r="L190" s="44"/>
    </row>
    <row r="191" spans="11:12" x14ac:dyDescent="0.3">
      <c r="K191" s="44"/>
      <c r="L191" s="44"/>
    </row>
    <row r="192" spans="11:12" x14ac:dyDescent="0.3">
      <c r="K192" s="44"/>
      <c r="L192" s="44"/>
    </row>
    <row r="193" spans="11:12" x14ac:dyDescent="0.3">
      <c r="K193" s="44"/>
      <c r="L193" s="44"/>
    </row>
    <row r="194" spans="11:12" x14ac:dyDescent="0.3">
      <c r="K194" s="44"/>
      <c r="L194" s="44"/>
    </row>
    <row r="195" spans="11:12" x14ac:dyDescent="0.3">
      <c r="K195" s="44"/>
      <c r="L195" s="44"/>
    </row>
    <row r="196" spans="11:12" x14ac:dyDescent="0.3">
      <c r="K196" s="44"/>
      <c r="L196" s="44"/>
    </row>
    <row r="197" spans="11:12" x14ac:dyDescent="0.3">
      <c r="K197" s="44"/>
      <c r="L197" s="44"/>
    </row>
    <row r="198" spans="11:12" x14ac:dyDescent="0.3">
      <c r="K198" s="44"/>
      <c r="L198" s="44"/>
    </row>
    <row r="199" spans="11:12" x14ac:dyDescent="0.3">
      <c r="K199" s="44"/>
      <c r="L199" s="44"/>
    </row>
    <row r="200" spans="11:12" x14ac:dyDescent="0.3">
      <c r="K200" s="44"/>
      <c r="L200" s="44"/>
    </row>
    <row r="201" spans="11:12" x14ac:dyDescent="0.3">
      <c r="K201" s="44"/>
      <c r="L201" s="44"/>
    </row>
    <row r="202" spans="11:12" x14ac:dyDescent="0.3">
      <c r="K202" s="44"/>
      <c r="L202" s="44"/>
    </row>
    <row r="203" spans="11:12" x14ac:dyDescent="0.3">
      <c r="K203" s="44"/>
      <c r="L203" s="44"/>
    </row>
    <row r="204" spans="11:12" x14ac:dyDescent="0.3">
      <c r="K204" s="44"/>
      <c r="L204" s="44"/>
    </row>
    <row r="205" spans="11:12" x14ac:dyDescent="0.3">
      <c r="K205" s="44"/>
      <c r="L205" s="44"/>
    </row>
    <row r="206" spans="11:12" x14ac:dyDescent="0.3">
      <c r="K206" s="44"/>
      <c r="L206" s="44"/>
    </row>
    <row r="207" spans="11:12" x14ac:dyDescent="0.3">
      <c r="K207" s="44"/>
      <c r="L207" s="44"/>
    </row>
    <row r="208" spans="11:12" x14ac:dyDescent="0.3">
      <c r="K208" s="44"/>
      <c r="L208" s="44"/>
    </row>
    <row r="209" spans="11:12" x14ac:dyDescent="0.3">
      <c r="K209" s="44"/>
      <c r="L209" s="44"/>
    </row>
    <row r="210" spans="11:12" x14ac:dyDescent="0.3">
      <c r="K210" s="44"/>
      <c r="L210" s="44"/>
    </row>
    <row r="211" spans="11:12" x14ac:dyDescent="0.3">
      <c r="K211" s="44"/>
      <c r="L211" s="44"/>
    </row>
    <row r="212" spans="11:12" x14ac:dyDescent="0.3">
      <c r="K212" s="44"/>
      <c r="L212" s="44"/>
    </row>
    <row r="213" spans="11:12" x14ac:dyDescent="0.3">
      <c r="K213" s="44"/>
      <c r="L213" s="44"/>
    </row>
    <row r="214" spans="11:12" x14ac:dyDescent="0.3">
      <c r="K214" s="44"/>
      <c r="L214" s="44"/>
    </row>
    <row r="215" spans="11:12" x14ac:dyDescent="0.3">
      <c r="K215" s="44"/>
      <c r="L215" s="44"/>
    </row>
    <row r="216" spans="11:12" x14ac:dyDescent="0.3">
      <c r="K216" s="44"/>
      <c r="L216" s="44"/>
    </row>
    <row r="217" spans="11:12" x14ac:dyDescent="0.3">
      <c r="K217" s="44"/>
      <c r="L217" s="44"/>
    </row>
    <row r="218" spans="11:12" x14ac:dyDescent="0.3">
      <c r="K218" s="44"/>
      <c r="L218" s="44"/>
    </row>
    <row r="219" spans="11:12" x14ac:dyDescent="0.3">
      <c r="K219" s="44"/>
      <c r="L219" s="44"/>
    </row>
    <row r="220" spans="11:12" x14ac:dyDescent="0.3">
      <c r="K220" s="44"/>
      <c r="L220" s="44"/>
    </row>
    <row r="221" spans="11:12" x14ac:dyDescent="0.3">
      <c r="K221" s="44"/>
      <c r="L221" s="44"/>
    </row>
    <row r="222" spans="11:12" x14ac:dyDescent="0.3">
      <c r="K222" s="44"/>
      <c r="L222" s="44"/>
    </row>
    <row r="223" spans="11:12" x14ac:dyDescent="0.3">
      <c r="K223" s="44"/>
      <c r="L223" s="44"/>
    </row>
    <row r="224" spans="11:12" x14ac:dyDescent="0.3">
      <c r="K224" s="44"/>
      <c r="L224" s="44"/>
    </row>
    <row r="225" spans="11:12" x14ac:dyDescent="0.3">
      <c r="K225" s="44"/>
      <c r="L225" s="44"/>
    </row>
    <row r="226" spans="11:12" x14ac:dyDescent="0.3">
      <c r="K226" s="44"/>
      <c r="L226" s="44"/>
    </row>
    <row r="227" spans="11:12" x14ac:dyDescent="0.3">
      <c r="K227" s="44"/>
      <c r="L227" s="44"/>
    </row>
    <row r="228" spans="11:12" x14ac:dyDescent="0.3">
      <c r="K228" s="44"/>
      <c r="L228" s="44"/>
    </row>
    <row r="229" spans="11:12" x14ac:dyDescent="0.3">
      <c r="K229" s="44"/>
      <c r="L229" s="44"/>
    </row>
    <row r="230" spans="11:12" x14ac:dyDescent="0.3">
      <c r="K230" s="44"/>
      <c r="L230" s="44"/>
    </row>
    <row r="231" spans="11:12" x14ac:dyDescent="0.3">
      <c r="K231" s="44"/>
      <c r="L231" s="44"/>
    </row>
    <row r="232" spans="11:12" x14ac:dyDescent="0.3">
      <c r="K232" s="44"/>
      <c r="L232" s="44"/>
    </row>
    <row r="233" spans="11:12" x14ac:dyDescent="0.3">
      <c r="K233" s="44"/>
      <c r="L233" s="44"/>
    </row>
    <row r="234" spans="11:12" x14ac:dyDescent="0.3">
      <c r="K234" s="44"/>
      <c r="L234" s="44"/>
    </row>
    <row r="235" spans="11:12" x14ac:dyDescent="0.3">
      <c r="K235" s="44"/>
      <c r="L235" s="44"/>
    </row>
    <row r="236" spans="11:12" x14ac:dyDescent="0.3">
      <c r="K236" s="44"/>
      <c r="L236" s="44"/>
    </row>
    <row r="237" spans="11:12" x14ac:dyDescent="0.3">
      <c r="K237" s="44"/>
      <c r="L237" s="44"/>
    </row>
    <row r="238" spans="11:12" x14ac:dyDescent="0.3">
      <c r="K238" s="44"/>
      <c r="L238" s="44"/>
    </row>
    <row r="239" spans="11:12" x14ac:dyDescent="0.3">
      <c r="K239" s="44"/>
      <c r="L239" s="44"/>
    </row>
    <row r="240" spans="11:12" x14ac:dyDescent="0.3">
      <c r="K240" s="44"/>
      <c r="L240" s="44"/>
    </row>
    <row r="241" spans="11:12" x14ac:dyDescent="0.3">
      <c r="K241" s="44"/>
      <c r="L241" s="44"/>
    </row>
    <row r="242" spans="11:12" x14ac:dyDescent="0.3">
      <c r="K242" s="44"/>
      <c r="L242" s="44"/>
    </row>
    <row r="243" spans="11:12" x14ac:dyDescent="0.3">
      <c r="K243" s="44"/>
      <c r="L243" s="44"/>
    </row>
    <row r="244" spans="11:12" x14ac:dyDescent="0.3">
      <c r="K244" s="44"/>
      <c r="L244" s="44"/>
    </row>
    <row r="245" spans="11:12" x14ac:dyDescent="0.3">
      <c r="K245" s="44"/>
      <c r="L245" s="44"/>
    </row>
    <row r="246" spans="11:12" x14ac:dyDescent="0.3">
      <c r="K246" s="44"/>
      <c r="L246" s="44"/>
    </row>
    <row r="247" spans="11:12" x14ac:dyDescent="0.3">
      <c r="K247" s="44"/>
      <c r="L247" s="44"/>
    </row>
    <row r="248" spans="11:12" x14ac:dyDescent="0.3">
      <c r="K248" s="44"/>
      <c r="L248" s="44"/>
    </row>
    <row r="249" spans="11:12" x14ac:dyDescent="0.3">
      <c r="K249" s="44"/>
      <c r="L249" s="44"/>
    </row>
    <row r="250" spans="11:12" x14ac:dyDescent="0.3">
      <c r="K250" s="44"/>
      <c r="L250" s="44"/>
    </row>
    <row r="251" spans="11:12" x14ac:dyDescent="0.3">
      <c r="K251" s="44"/>
      <c r="L251" s="44"/>
    </row>
    <row r="252" spans="11:12" x14ac:dyDescent="0.3">
      <c r="K252" s="44"/>
      <c r="L252" s="44"/>
    </row>
    <row r="253" spans="11:12" x14ac:dyDescent="0.3">
      <c r="K253" s="44"/>
      <c r="L253" s="44"/>
    </row>
    <row r="254" spans="11:12" x14ac:dyDescent="0.3">
      <c r="K254" s="44"/>
      <c r="L254" s="44"/>
    </row>
    <row r="255" spans="11:12" x14ac:dyDescent="0.3">
      <c r="K255" s="44"/>
      <c r="L255" s="44"/>
    </row>
    <row r="256" spans="11:12" x14ac:dyDescent="0.3">
      <c r="K256" s="44"/>
      <c r="L256" s="44"/>
    </row>
    <row r="257" spans="11:12" x14ac:dyDescent="0.3">
      <c r="K257" s="44"/>
      <c r="L257" s="44"/>
    </row>
    <row r="258" spans="11:12" x14ac:dyDescent="0.3">
      <c r="K258" s="44"/>
      <c r="L258" s="44"/>
    </row>
    <row r="259" spans="11:12" x14ac:dyDescent="0.3">
      <c r="K259" s="44"/>
      <c r="L259" s="44"/>
    </row>
    <row r="260" spans="11:12" x14ac:dyDescent="0.3">
      <c r="K260" s="44"/>
      <c r="L260" s="44"/>
    </row>
    <row r="261" spans="11:12" x14ac:dyDescent="0.3">
      <c r="K261" s="44"/>
      <c r="L261" s="44"/>
    </row>
    <row r="262" spans="11:12" x14ac:dyDescent="0.3">
      <c r="K262" s="44"/>
      <c r="L262" s="44"/>
    </row>
    <row r="263" spans="11:12" x14ac:dyDescent="0.3">
      <c r="K263" s="44"/>
      <c r="L263" s="44"/>
    </row>
    <row r="264" spans="11:12" x14ac:dyDescent="0.3">
      <c r="K264" s="44"/>
      <c r="L264" s="44"/>
    </row>
    <row r="265" spans="11:12" x14ac:dyDescent="0.3">
      <c r="K265" s="44"/>
      <c r="L265" s="44"/>
    </row>
    <row r="266" spans="11:12" x14ac:dyDescent="0.3">
      <c r="K266" s="44"/>
      <c r="L266" s="44"/>
    </row>
    <row r="267" spans="11:12" x14ac:dyDescent="0.3">
      <c r="K267" s="44"/>
      <c r="L267" s="44"/>
    </row>
    <row r="268" spans="11:12" x14ac:dyDescent="0.3">
      <c r="K268" s="44"/>
      <c r="L268" s="44"/>
    </row>
    <row r="269" spans="11:12" x14ac:dyDescent="0.3">
      <c r="K269" s="44"/>
      <c r="L269" s="44"/>
    </row>
    <row r="270" spans="11:12" x14ac:dyDescent="0.3">
      <c r="K270" s="44"/>
      <c r="L270" s="44"/>
    </row>
    <row r="271" spans="11:12" x14ac:dyDescent="0.3">
      <c r="K271" s="44"/>
      <c r="L271" s="44"/>
    </row>
    <row r="272" spans="11:12" x14ac:dyDescent="0.3">
      <c r="K272" s="44"/>
      <c r="L272" s="44"/>
    </row>
    <row r="273" spans="11:12" x14ac:dyDescent="0.3">
      <c r="K273" s="44"/>
      <c r="L273" s="44"/>
    </row>
    <row r="274" spans="11:12" x14ac:dyDescent="0.3">
      <c r="K274" s="44"/>
      <c r="L274" s="44"/>
    </row>
    <row r="275" spans="11:12" x14ac:dyDescent="0.3">
      <c r="K275" s="44"/>
      <c r="L275" s="44"/>
    </row>
    <row r="276" spans="11:12" x14ac:dyDescent="0.3">
      <c r="K276" s="44"/>
      <c r="L276" s="44"/>
    </row>
    <row r="277" spans="11:12" x14ac:dyDescent="0.3">
      <c r="K277" s="44"/>
      <c r="L277" s="44"/>
    </row>
    <row r="278" spans="11:12" x14ac:dyDescent="0.3">
      <c r="K278" s="44"/>
      <c r="L278" s="44"/>
    </row>
    <row r="279" spans="11:12" x14ac:dyDescent="0.3">
      <c r="K279" s="44"/>
      <c r="L279" s="44"/>
    </row>
    <row r="280" spans="11:12" x14ac:dyDescent="0.3">
      <c r="K280" s="44"/>
      <c r="L280" s="44"/>
    </row>
    <row r="281" spans="11:12" x14ac:dyDescent="0.3">
      <c r="K281" s="44"/>
      <c r="L281" s="44"/>
    </row>
    <row r="282" spans="11:12" x14ac:dyDescent="0.3">
      <c r="K282" s="44"/>
      <c r="L282" s="44"/>
    </row>
    <row r="283" spans="11:12" x14ac:dyDescent="0.3">
      <c r="K283" s="44"/>
      <c r="L283" s="44"/>
    </row>
    <row r="284" spans="11:12" x14ac:dyDescent="0.3">
      <c r="K284" s="44"/>
      <c r="L284" s="44"/>
    </row>
    <row r="285" spans="11:12" x14ac:dyDescent="0.3">
      <c r="K285" s="44"/>
      <c r="L285" s="44"/>
    </row>
    <row r="286" spans="11:12" x14ac:dyDescent="0.3">
      <c r="K286" s="44"/>
      <c r="L286" s="44"/>
    </row>
    <row r="287" spans="11:12" x14ac:dyDescent="0.3">
      <c r="K287" s="44"/>
      <c r="L287" s="44"/>
    </row>
    <row r="288" spans="11:12" x14ac:dyDescent="0.3">
      <c r="K288" s="44"/>
      <c r="L288" s="44"/>
    </row>
    <row r="289" spans="11:12" x14ac:dyDescent="0.3">
      <c r="K289" s="44"/>
      <c r="L289" s="44"/>
    </row>
    <row r="290" spans="11:12" x14ac:dyDescent="0.3">
      <c r="K290" s="44"/>
      <c r="L290" s="44"/>
    </row>
    <row r="291" spans="11:12" x14ac:dyDescent="0.3">
      <c r="K291" s="44"/>
      <c r="L291" s="44"/>
    </row>
    <row r="292" spans="11:12" x14ac:dyDescent="0.3">
      <c r="K292" s="44"/>
      <c r="L292" s="44"/>
    </row>
    <row r="293" spans="11:12" x14ac:dyDescent="0.3">
      <c r="K293" s="44"/>
      <c r="L293" s="44"/>
    </row>
    <row r="294" spans="11:12" x14ac:dyDescent="0.3">
      <c r="K294" s="44"/>
      <c r="L294" s="44"/>
    </row>
    <row r="295" spans="11:12" x14ac:dyDescent="0.3">
      <c r="K295" s="44"/>
      <c r="L295" s="44"/>
    </row>
    <row r="296" spans="11:12" x14ac:dyDescent="0.3">
      <c r="K296" s="44"/>
      <c r="L296" s="44"/>
    </row>
    <row r="297" spans="11:12" x14ac:dyDescent="0.3">
      <c r="K297" s="44"/>
      <c r="L297" s="44"/>
    </row>
    <row r="298" spans="11:12" x14ac:dyDescent="0.3">
      <c r="K298" s="44"/>
      <c r="L298" s="44"/>
    </row>
    <row r="299" spans="11:12" x14ac:dyDescent="0.3">
      <c r="K299" s="44"/>
      <c r="L299" s="44"/>
    </row>
    <row r="300" spans="11:12" x14ac:dyDescent="0.3">
      <c r="K300" s="44"/>
      <c r="L300" s="44"/>
    </row>
    <row r="301" spans="11:12" x14ac:dyDescent="0.3">
      <c r="K301" s="44"/>
      <c r="L301" s="44"/>
    </row>
    <row r="302" spans="11:12" x14ac:dyDescent="0.3">
      <c r="K302" s="44"/>
      <c r="L302" s="44"/>
    </row>
    <row r="303" spans="11:12" x14ac:dyDescent="0.3">
      <c r="K303" s="44"/>
      <c r="L303" s="44"/>
    </row>
    <row r="304" spans="11:12" x14ac:dyDescent="0.3">
      <c r="K304" s="44"/>
      <c r="L304" s="44"/>
    </row>
    <row r="305" spans="11:12" x14ac:dyDescent="0.3">
      <c r="K305" s="44"/>
      <c r="L305" s="44"/>
    </row>
    <row r="306" spans="11:12" x14ac:dyDescent="0.3">
      <c r="K306" s="44"/>
      <c r="L306" s="44"/>
    </row>
    <row r="307" spans="11:12" x14ac:dyDescent="0.3">
      <c r="K307" s="44"/>
      <c r="L307" s="44"/>
    </row>
    <row r="308" spans="11:12" x14ac:dyDescent="0.3">
      <c r="K308" s="44"/>
      <c r="L308" s="44"/>
    </row>
    <row r="309" spans="11:12" x14ac:dyDescent="0.3">
      <c r="K309" s="44"/>
      <c r="L309" s="44"/>
    </row>
    <row r="310" spans="11:12" x14ac:dyDescent="0.3">
      <c r="K310" s="44"/>
      <c r="L310" s="44"/>
    </row>
    <row r="311" spans="11:12" x14ac:dyDescent="0.3">
      <c r="K311" s="44"/>
      <c r="L311" s="44"/>
    </row>
    <row r="312" spans="11:12" x14ac:dyDescent="0.3">
      <c r="K312" s="44"/>
      <c r="L312" s="44"/>
    </row>
    <row r="313" spans="11:12" x14ac:dyDescent="0.3">
      <c r="K313" s="44"/>
      <c r="L313" s="44"/>
    </row>
    <row r="314" spans="11:12" x14ac:dyDescent="0.3">
      <c r="K314" s="44"/>
      <c r="L314" s="44"/>
    </row>
    <row r="315" spans="11:12" x14ac:dyDescent="0.3">
      <c r="K315" s="44"/>
      <c r="L315" s="44"/>
    </row>
    <row r="316" spans="11:12" x14ac:dyDescent="0.3">
      <c r="K316" s="44"/>
      <c r="L316" s="44"/>
    </row>
    <row r="317" spans="11:12" x14ac:dyDescent="0.3">
      <c r="K317" s="44"/>
      <c r="L317" s="44"/>
    </row>
    <row r="318" spans="11:12" x14ac:dyDescent="0.3">
      <c r="K318" s="44"/>
      <c r="L318" s="44"/>
    </row>
    <row r="319" spans="11:12" x14ac:dyDescent="0.3">
      <c r="K319" s="44"/>
      <c r="L319" s="44"/>
    </row>
    <row r="320" spans="11:12" x14ac:dyDescent="0.3">
      <c r="K320" s="44"/>
      <c r="L320" s="44"/>
    </row>
    <row r="321" spans="11:12" x14ac:dyDescent="0.3">
      <c r="K321" s="44"/>
      <c r="L321" s="44"/>
    </row>
    <row r="322" spans="11:12" x14ac:dyDescent="0.3">
      <c r="K322" s="44"/>
      <c r="L322" s="44"/>
    </row>
    <row r="323" spans="11:12" x14ac:dyDescent="0.3">
      <c r="K323" s="44"/>
      <c r="L323" s="44"/>
    </row>
    <row r="324" spans="11:12" x14ac:dyDescent="0.3">
      <c r="K324" s="44"/>
      <c r="L324" s="44"/>
    </row>
    <row r="325" spans="11:12" x14ac:dyDescent="0.3">
      <c r="K325" s="44"/>
      <c r="L325" s="44"/>
    </row>
    <row r="326" spans="11:12" x14ac:dyDescent="0.3">
      <c r="K326" s="44"/>
      <c r="L326" s="44"/>
    </row>
    <row r="327" spans="11:12" x14ac:dyDescent="0.3">
      <c r="K327" s="44"/>
      <c r="L327" s="44"/>
    </row>
    <row r="328" spans="11:12" x14ac:dyDescent="0.3">
      <c r="K328" s="44"/>
      <c r="L328" s="44"/>
    </row>
    <row r="329" spans="11:12" x14ac:dyDescent="0.3">
      <c r="K329" s="44"/>
      <c r="L329" s="44"/>
    </row>
    <row r="330" spans="11:12" x14ac:dyDescent="0.3">
      <c r="K330" s="44"/>
      <c r="L330" s="44"/>
    </row>
    <row r="331" spans="11:12" x14ac:dyDescent="0.3">
      <c r="K331" s="44"/>
      <c r="L331" s="44"/>
    </row>
    <row r="332" spans="11:12" x14ac:dyDescent="0.3">
      <c r="K332" s="44"/>
      <c r="L332" s="44"/>
    </row>
    <row r="333" spans="11:12" x14ac:dyDescent="0.3">
      <c r="K333" s="44"/>
      <c r="L333" s="44"/>
    </row>
    <row r="334" spans="11:12" x14ac:dyDescent="0.3">
      <c r="K334" s="44"/>
      <c r="L334" s="44"/>
    </row>
    <row r="335" spans="11:12" x14ac:dyDescent="0.3">
      <c r="K335" s="44"/>
      <c r="L335" s="44"/>
    </row>
    <row r="336" spans="11:12" x14ac:dyDescent="0.3">
      <c r="K336" s="44"/>
      <c r="L336" s="44"/>
    </row>
    <row r="337" spans="11:12" x14ac:dyDescent="0.3">
      <c r="K337" s="44"/>
      <c r="L337" s="44"/>
    </row>
    <row r="338" spans="11:12" x14ac:dyDescent="0.3">
      <c r="K338" s="44"/>
      <c r="L338" s="44"/>
    </row>
    <row r="339" spans="11:12" x14ac:dyDescent="0.3">
      <c r="K339" s="44"/>
      <c r="L339" s="44"/>
    </row>
    <row r="340" spans="11:12" x14ac:dyDescent="0.3">
      <c r="K340" s="44"/>
      <c r="L340" s="44"/>
    </row>
    <row r="341" spans="11:12" x14ac:dyDescent="0.3">
      <c r="K341" s="44"/>
      <c r="L341" s="44"/>
    </row>
    <row r="342" spans="11:12" x14ac:dyDescent="0.3">
      <c r="K342" s="44"/>
      <c r="L342" s="44"/>
    </row>
    <row r="343" spans="11:12" x14ac:dyDescent="0.3">
      <c r="K343" s="44"/>
      <c r="L343" s="44"/>
    </row>
    <row r="344" spans="11:12" x14ac:dyDescent="0.3">
      <c r="K344" s="44"/>
      <c r="L344" s="44"/>
    </row>
    <row r="345" spans="11:12" x14ac:dyDescent="0.3">
      <c r="K345" s="44"/>
      <c r="L345" s="44"/>
    </row>
    <row r="346" spans="11:12" x14ac:dyDescent="0.3">
      <c r="K346" s="44"/>
      <c r="L346" s="44"/>
    </row>
    <row r="347" spans="11:12" x14ac:dyDescent="0.3">
      <c r="K347" s="44"/>
      <c r="L347" s="44"/>
    </row>
    <row r="348" spans="11:12" x14ac:dyDescent="0.3">
      <c r="K348" s="44"/>
      <c r="L348" s="44"/>
    </row>
    <row r="349" spans="11:12" x14ac:dyDescent="0.3">
      <c r="K349" s="44"/>
      <c r="L349" s="44"/>
    </row>
    <row r="350" spans="11:12" x14ac:dyDescent="0.3">
      <c r="K350" s="44"/>
      <c r="L350" s="44"/>
    </row>
    <row r="351" spans="11:12" x14ac:dyDescent="0.3">
      <c r="K351" s="44"/>
      <c r="L351" s="44"/>
    </row>
    <row r="352" spans="11:12" x14ac:dyDescent="0.3">
      <c r="K352" s="44"/>
      <c r="L352" s="44"/>
    </row>
    <row r="353" spans="11:12" x14ac:dyDescent="0.3">
      <c r="K353" s="44"/>
      <c r="L353" s="44"/>
    </row>
    <row r="354" spans="11:12" x14ac:dyDescent="0.3">
      <c r="K354" s="44"/>
      <c r="L354" s="44"/>
    </row>
    <row r="355" spans="11:12" x14ac:dyDescent="0.3">
      <c r="K355" s="44"/>
      <c r="L355" s="44"/>
    </row>
    <row r="356" spans="11:12" x14ac:dyDescent="0.3">
      <c r="K356" s="44"/>
      <c r="L356" s="44"/>
    </row>
    <row r="357" spans="11:12" x14ac:dyDescent="0.3">
      <c r="K357" s="44"/>
      <c r="L357" s="44"/>
    </row>
    <row r="358" spans="11:12" x14ac:dyDescent="0.3">
      <c r="K358" s="44"/>
      <c r="L358" s="44"/>
    </row>
    <row r="359" spans="11:12" x14ac:dyDescent="0.3">
      <c r="K359" s="44"/>
      <c r="L359" s="44"/>
    </row>
    <row r="360" spans="11:12" x14ac:dyDescent="0.3">
      <c r="K360" s="44"/>
      <c r="L360" s="44"/>
    </row>
    <row r="361" spans="11:12" x14ac:dyDescent="0.3">
      <c r="K361" s="44"/>
      <c r="L361" s="44"/>
    </row>
    <row r="362" spans="11:12" x14ac:dyDescent="0.3">
      <c r="K362" s="44"/>
      <c r="L362" s="44"/>
    </row>
    <row r="363" spans="11:12" x14ac:dyDescent="0.3">
      <c r="K363" s="44"/>
      <c r="L363" s="44"/>
    </row>
    <row r="364" spans="11:12" x14ac:dyDescent="0.3">
      <c r="K364" s="44"/>
      <c r="L364" s="44"/>
    </row>
    <row r="365" spans="11:12" x14ac:dyDescent="0.3">
      <c r="K365" s="44"/>
      <c r="L365" s="44"/>
    </row>
    <row r="366" spans="11:12" x14ac:dyDescent="0.3">
      <c r="K366" s="44"/>
      <c r="L366" s="44"/>
    </row>
    <row r="367" spans="11:12" x14ac:dyDescent="0.3">
      <c r="K367" s="44"/>
      <c r="L367" s="44"/>
    </row>
    <row r="368" spans="11:12" x14ac:dyDescent="0.3">
      <c r="K368" s="44"/>
      <c r="L368" s="44"/>
    </row>
    <row r="369" spans="11:12" x14ac:dyDescent="0.3">
      <c r="K369" s="44"/>
      <c r="L369" s="44"/>
    </row>
    <row r="370" spans="11:12" x14ac:dyDescent="0.3">
      <c r="K370" s="44"/>
      <c r="L370" s="44"/>
    </row>
    <row r="371" spans="11:12" x14ac:dyDescent="0.3">
      <c r="K371" s="44"/>
      <c r="L371" s="44"/>
    </row>
    <row r="372" spans="11:12" x14ac:dyDescent="0.3">
      <c r="K372" s="44"/>
      <c r="L372" s="44"/>
    </row>
    <row r="373" spans="11:12" x14ac:dyDescent="0.3">
      <c r="K373" s="44"/>
      <c r="L373" s="44"/>
    </row>
    <row r="374" spans="11:12" x14ac:dyDescent="0.3">
      <c r="K374" s="44"/>
      <c r="L374" s="44"/>
    </row>
    <row r="375" spans="11:12" x14ac:dyDescent="0.3">
      <c r="K375" s="44"/>
      <c r="L375" s="44"/>
    </row>
    <row r="376" spans="11:12" x14ac:dyDescent="0.3">
      <c r="K376" s="44"/>
      <c r="L376" s="44"/>
    </row>
    <row r="377" spans="11:12" x14ac:dyDescent="0.3">
      <c r="K377" s="44"/>
      <c r="L377" s="44"/>
    </row>
    <row r="378" spans="11:12" x14ac:dyDescent="0.3">
      <c r="K378" s="44"/>
      <c r="L378" s="44"/>
    </row>
    <row r="379" spans="11:12" x14ac:dyDescent="0.3">
      <c r="K379" s="44"/>
      <c r="L379" s="44"/>
    </row>
    <row r="380" spans="11:12" x14ac:dyDescent="0.3">
      <c r="K380" s="44"/>
      <c r="L380" s="44"/>
    </row>
    <row r="381" spans="11:12" x14ac:dyDescent="0.3">
      <c r="K381" s="44"/>
      <c r="L381" s="44"/>
    </row>
    <row r="382" spans="11:12" x14ac:dyDescent="0.3">
      <c r="K382" s="44"/>
      <c r="L382" s="44"/>
    </row>
    <row r="383" spans="11:12" x14ac:dyDescent="0.3">
      <c r="K383" s="44"/>
      <c r="L383" s="44"/>
    </row>
    <row r="384" spans="11:12" x14ac:dyDescent="0.3">
      <c r="K384" s="44"/>
      <c r="L384" s="44"/>
    </row>
    <row r="385" spans="11:12" x14ac:dyDescent="0.3">
      <c r="K385" s="44"/>
      <c r="L385" s="44"/>
    </row>
    <row r="386" spans="11:12" x14ac:dyDescent="0.3">
      <c r="K386" s="44"/>
      <c r="L386" s="44"/>
    </row>
    <row r="387" spans="11:12" x14ac:dyDescent="0.3">
      <c r="K387" s="44"/>
      <c r="L387" s="44"/>
    </row>
    <row r="388" spans="11:12" x14ac:dyDescent="0.3">
      <c r="K388" s="44"/>
      <c r="L388" s="44"/>
    </row>
    <row r="389" spans="11:12" x14ac:dyDescent="0.3">
      <c r="K389" s="44"/>
      <c r="L389" s="44"/>
    </row>
    <row r="390" spans="11:12" x14ac:dyDescent="0.3">
      <c r="K390" s="44"/>
      <c r="L390" s="44"/>
    </row>
    <row r="391" spans="11:12" x14ac:dyDescent="0.3">
      <c r="K391" s="44"/>
      <c r="L391" s="44"/>
    </row>
    <row r="392" spans="11:12" x14ac:dyDescent="0.3">
      <c r="K392" s="44"/>
      <c r="L392" s="44"/>
    </row>
    <row r="393" spans="11:12" x14ac:dyDescent="0.3">
      <c r="K393" s="44"/>
      <c r="L393" s="44"/>
    </row>
    <row r="394" spans="11:12" x14ac:dyDescent="0.3">
      <c r="K394" s="44"/>
      <c r="L394" s="44"/>
    </row>
    <row r="395" spans="11:12" x14ac:dyDescent="0.3">
      <c r="K395" s="44"/>
      <c r="L395" s="44"/>
    </row>
    <row r="396" spans="11:12" x14ac:dyDescent="0.3">
      <c r="K396" s="44"/>
      <c r="L396" s="44"/>
    </row>
    <row r="397" spans="11:12" x14ac:dyDescent="0.3">
      <c r="K397" s="44"/>
      <c r="L397" s="44"/>
    </row>
    <row r="398" spans="11:12" x14ac:dyDescent="0.3">
      <c r="K398" s="44"/>
      <c r="L398" s="44"/>
    </row>
    <row r="399" spans="11:12" x14ac:dyDescent="0.3">
      <c r="K399" s="44"/>
      <c r="L399" s="44"/>
    </row>
    <row r="400" spans="11:12" x14ac:dyDescent="0.3">
      <c r="K400" s="44"/>
      <c r="L400" s="44"/>
    </row>
    <row r="401" spans="11:12" x14ac:dyDescent="0.3">
      <c r="K401" s="44"/>
      <c r="L401" s="44"/>
    </row>
    <row r="402" spans="11:12" x14ac:dyDescent="0.3">
      <c r="K402" s="44"/>
      <c r="L402" s="44"/>
    </row>
    <row r="403" spans="11:12" x14ac:dyDescent="0.3">
      <c r="K403" s="44"/>
      <c r="L403" s="44"/>
    </row>
    <row r="404" spans="11:12" x14ac:dyDescent="0.3">
      <c r="K404" s="44"/>
      <c r="L404" s="44"/>
    </row>
    <row r="405" spans="11:12" x14ac:dyDescent="0.3">
      <c r="K405" s="44"/>
      <c r="L405" s="44"/>
    </row>
    <row r="406" spans="11:12" x14ac:dyDescent="0.3">
      <c r="K406" s="44"/>
      <c r="L406" s="44"/>
    </row>
    <row r="407" spans="11:12" x14ac:dyDescent="0.3">
      <c r="K407" s="44"/>
      <c r="L407" s="44"/>
    </row>
    <row r="408" spans="11:12" x14ac:dyDescent="0.3">
      <c r="K408" s="44"/>
      <c r="L408" s="44"/>
    </row>
    <row r="409" spans="11:12" x14ac:dyDescent="0.3">
      <c r="K409" s="44"/>
      <c r="L409" s="44"/>
    </row>
    <row r="410" spans="11:12" x14ac:dyDescent="0.3">
      <c r="K410" s="44"/>
      <c r="L410" s="44"/>
    </row>
    <row r="411" spans="11:12" x14ac:dyDescent="0.3">
      <c r="K411" s="44"/>
      <c r="L411" s="44"/>
    </row>
    <row r="412" spans="11:12" x14ac:dyDescent="0.3">
      <c r="K412" s="44"/>
      <c r="L412" s="44"/>
    </row>
    <row r="413" spans="11:12" x14ac:dyDescent="0.3">
      <c r="K413" s="44"/>
      <c r="L413" s="44"/>
    </row>
    <row r="414" spans="11:12" x14ac:dyDescent="0.3">
      <c r="K414" s="44"/>
      <c r="L414" s="44"/>
    </row>
    <row r="415" spans="11:12" x14ac:dyDescent="0.3">
      <c r="K415" s="44"/>
      <c r="L415" s="44"/>
    </row>
    <row r="416" spans="11:12" x14ac:dyDescent="0.3">
      <c r="K416" s="44"/>
      <c r="L416" s="44"/>
    </row>
    <row r="417" spans="11:12" x14ac:dyDescent="0.3">
      <c r="K417" s="44"/>
      <c r="L417" s="44"/>
    </row>
    <row r="418" spans="11:12" x14ac:dyDescent="0.3">
      <c r="K418" s="44"/>
      <c r="L418" s="44"/>
    </row>
    <row r="419" spans="11:12" x14ac:dyDescent="0.3">
      <c r="K419" s="44"/>
      <c r="L419" s="44"/>
    </row>
    <row r="420" spans="11:12" x14ac:dyDescent="0.3">
      <c r="K420" s="44"/>
      <c r="L420" s="44"/>
    </row>
    <row r="421" spans="11:12" x14ac:dyDescent="0.3">
      <c r="K421" s="44"/>
      <c r="L421" s="44"/>
    </row>
    <row r="422" spans="11:12" x14ac:dyDescent="0.3">
      <c r="K422" s="44"/>
      <c r="L422" s="44"/>
    </row>
    <row r="423" spans="11:12" x14ac:dyDescent="0.3">
      <c r="K423" s="44"/>
      <c r="L423" s="44"/>
    </row>
    <row r="424" spans="11:12" x14ac:dyDescent="0.3">
      <c r="K424" s="44"/>
      <c r="L424" s="44"/>
    </row>
    <row r="425" spans="11:12" x14ac:dyDescent="0.3">
      <c r="K425" s="44"/>
      <c r="L425" s="44"/>
    </row>
    <row r="426" spans="11:12" x14ac:dyDescent="0.3">
      <c r="K426" s="44"/>
      <c r="L426" s="44"/>
    </row>
    <row r="427" spans="11:12" x14ac:dyDescent="0.3">
      <c r="K427" s="44"/>
      <c r="L427" s="44"/>
    </row>
    <row r="428" spans="11:12" x14ac:dyDescent="0.3">
      <c r="K428" s="44"/>
      <c r="L428" s="44"/>
    </row>
    <row r="429" spans="11:12" x14ac:dyDescent="0.3">
      <c r="K429" s="44"/>
      <c r="L429" s="44"/>
    </row>
    <row r="430" spans="11:12" x14ac:dyDescent="0.3">
      <c r="K430" s="44"/>
      <c r="L430" s="44"/>
    </row>
    <row r="431" spans="11:12" x14ac:dyDescent="0.3">
      <c r="K431" s="44"/>
      <c r="L431" s="44"/>
    </row>
    <row r="432" spans="11:12" x14ac:dyDescent="0.3">
      <c r="K432" s="44"/>
      <c r="L432" s="44"/>
    </row>
    <row r="433" spans="11:12" x14ac:dyDescent="0.3">
      <c r="K433" s="44"/>
      <c r="L433" s="44"/>
    </row>
    <row r="434" spans="11:12" x14ac:dyDescent="0.3">
      <c r="K434" s="44"/>
      <c r="L434" s="44"/>
    </row>
    <row r="435" spans="11:12" x14ac:dyDescent="0.3">
      <c r="K435" s="44"/>
      <c r="L435" s="44"/>
    </row>
    <row r="436" spans="11:12" x14ac:dyDescent="0.3">
      <c r="K436" s="44"/>
      <c r="L436" s="44"/>
    </row>
    <row r="437" spans="11:12" x14ac:dyDescent="0.3">
      <c r="K437" s="44"/>
      <c r="L437" s="44"/>
    </row>
    <row r="438" spans="11:12" x14ac:dyDescent="0.3">
      <c r="K438" s="44"/>
      <c r="L438" s="44"/>
    </row>
    <row r="439" spans="11:12" x14ac:dyDescent="0.3">
      <c r="K439" s="44"/>
      <c r="L439" s="44"/>
    </row>
    <row r="440" spans="11:12" x14ac:dyDescent="0.3">
      <c r="K440" s="44"/>
      <c r="L440" s="44"/>
    </row>
    <row r="441" spans="11:12" x14ac:dyDescent="0.3">
      <c r="K441" s="44"/>
      <c r="L441" s="44"/>
    </row>
    <row r="442" spans="11:12" x14ac:dyDescent="0.3">
      <c r="K442" s="44"/>
      <c r="L442" s="44"/>
    </row>
    <row r="443" spans="11:12" x14ac:dyDescent="0.3">
      <c r="K443" s="44"/>
      <c r="L443" s="44"/>
    </row>
    <row r="444" spans="11:12" x14ac:dyDescent="0.3">
      <c r="K444" s="44"/>
      <c r="L444" s="44"/>
    </row>
    <row r="445" spans="11:12" x14ac:dyDescent="0.3">
      <c r="K445" s="44"/>
      <c r="L445" s="44"/>
    </row>
    <row r="446" spans="11:12" x14ac:dyDescent="0.3">
      <c r="K446" s="44"/>
      <c r="L446" s="44"/>
    </row>
    <row r="447" spans="11:12" x14ac:dyDescent="0.3">
      <c r="K447" s="44"/>
      <c r="L447" s="44"/>
    </row>
    <row r="448" spans="11:12" x14ac:dyDescent="0.3">
      <c r="K448" s="44"/>
      <c r="L448" s="44"/>
    </row>
    <row r="449" spans="11:12" x14ac:dyDescent="0.3">
      <c r="K449" s="44"/>
      <c r="L449" s="44"/>
    </row>
    <row r="450" spans="11:12" x14ac:dyDescent="0.3">
      <c r="K450" s="44"/>
      <c r="L450" s="44"/>
    </row>
    <row r="451" spans="11:12" x14ac:dyDescent="0.3">
      <c r="K451" s="44"/>
      <c r="L451" s="44"/>
    </row>
    <row r="452" spans="11:12" x14ac:dyDescent="0.3">
      <c r="K452" s="44"/>
      <c r="L452" s="44"/>
    </row>
    <row r="453" spans="11:12" x14ac:dyDescent="0.3">
      <c r="K453" s="44"/>
      <c r="L453" s="44"/>
    </row>
    <row r="454" spans="11:12" x14ac:dyDescent="0.3">
      <c r="K454" s="44"/>
      <c r="L454" s="44"/>
    </row>
    <row r="455" spans="11:12" x14ac:dyDescent="0.3">
      <c r="K455" s="44"/>
      <c r="L455" s="44"/>
    </row>
    <row r="456" spans="11:12" x14ac:dyDescent="0.3">
      <c r="K456" s="44"/>
      <c r="L456" s="44"/>
    </row>
    <row r="457" spans="11:12" x14ac:dyDescent="0.3">
      <c r="K457" s="44"/>
      <c r="L457" s="44"/>
    </row>
    <row r="458" spans="11:12" x14ac:dyDescent="0.3">
      <c r="K458" s="44"/>
      <c r="L458" s="44"/>
    </row>
    <row r="459" spans="11:12" x14ac:dyDescent="0.3">
      <c r="K459" s="44"/>
      <c r="L459" s="44"/>
    </row>
    <row r="460" spans="11:12" x14ac:dyDescent="0.3">
      <c r="K460" s="44"/>
      <c r="L460" s="44"/>
    </row>
    <row r="461" spans="11:12" x14ac:dyDescent="0.3">
      <c r="K461" s="44"/>
      <c r="L461" s="44"/>
    </row>
    <row r="462" spans="11:12" x14ac:dyDescent="0.3">
      <c r="K462" s="44"/>
      <c r="L462" s="44"/>
    </row>
    <row r="463" spans="11:12" x14ac:dyDescent="0.3">
      <c r="K463" s="44"/>
      <c r="L463" s="44"/>
    </row>
    <row r="464" spans="11:12" x14ac:dyDescent="0.3">
      <c r="K464" s="44"/>
      <c r="L464" s="44"/>
    </row>
    <row r="465" spans="11:12" x14ac:dyDescent="0.3">
      <c r="K465" s="44"/>
      <c r="L465" s="44"/>
    </row>
    <row r="466" spans="11:12" x14ac:dyDescent="0.3">
      <c r="K466" s="44"/>
      <c r="L466" s="44"/>
    </row>
    <row r="467" spans="11:12" x14ac:dyDescent="0.3">
      <c r="K467" s="44"/>
      <c r="L467" s="44"/>
    </row>
    <row r="468" spans="11:12" x14ac:dyDescent="0.3">
      <c r="K468" s="44"/>
      <c r="L468" s="44"/>
    </row>
    <row r="469" spans="11:12" x14ac:dyDescent="0.3">
      <c r="K469" s="44"/>
      <c r="L469" s="44"/>
    </row>
    <row r="470" spans="11:12" x14ac:dyDescent="0.3">
      <c r="K470" s="44"/>
      <c r="L470" s="44"/>
    </row>
    <row r="471" spans="11:12" x14ac:dyDescent="0.3">
      <c r="K471" s="44"/>
      <c r="L471" s="44"/>
    </row>
    <row r="472" spans="11:12" x14ac:dyDescent="0.3">
      <c r="K472" s="44"/>
      <c r="L472" s="44"/>
    </row>
    <row r="473" spans="11:12" x14ac:dyDescent="0.3">
      <c r="K473" s="44"/>
      <c r="L473" s="44"/>
    </row>
    <row r="474" spans="11:12" x14ac:dyDescent="0.3">
      <c r="K474" s="44"/>
      <c r="L474" s="44"/>
    </row>
    <row r="475" spans="11:12" x14ac:dyDescent="0.3">
      <c r="K475" s="44"/>
      <c r="L475" s="44"/>
    </row>
    <row r="476" spans="11:12" x14ac:dyDescent="0.3">
      <c r="K476" s="44"/>
      <c r="L476" s="44"/>
    </row>
    <row r="477" spans="11:12" x14ac:dyDescent="0.3">
      <c r="K477" s="44"/>
      <c r="L477" s="44"/>
    </row>
    <row r="478" spans="11:12" x14ac:dyDescent="0.3">
      <c r="K478" s="44"/>
      <c r="L478" s="44"/>
    </row>
    <row r="479" spans="11:12" x14ac:dyDescent="0.3">
      <c r="K479" s="44"/>
      <c r="L479" s="44"/>
    </row>
    <row r="480" spans="11:12" x14ac:dyDescent="0.3">
      <c r="K480" s="44"/>
      <c r="L480" s="44"/>
    </row>
    <row r="481" spans="11:12" x14ac:dyDescent="0.3">
      <c r="K481" s="44"/>
      <c r="L481" s="44"/>
    </row>
    <row r="482" spans="11:12" x14ac:dyDescent="0.3">
      <c r="K482" s="44"/>
      <c r="L482" s="44"/>
    </row>
    <row r="483" spans="11:12" x14ac:dyDescent="0.3">
      <c r="K483" s="44"/>
      <c r="L483" s="44"/>
    </row>
    <row r="484" spans="11:12" x14ac:dyDescent="0.3">
      <c r="K484" s="44"/>
      <c r="L484" s="44"/>
    </row>
    <row r="485" spans="11:12" x14ac:dyDescent="0.3">
      <c r="K485" s="44"/>
      <c r="L485" s="44"/>
    </row>
    <row r="486" spans="11:12" x14ac:dyDescent="0.3">
      <c r="K486" s="44"/>
      <c r="L486" s="44"/>
    </row>
    <row r="487" spans="11:12" x14ac:dyDescent="0.3">
      <c r="K487" s="44"/>
      <c r="L487" s="44"/>
    </row>
    <row r="488" spans="11:12" x14ac:dyDescent="0.3">
      <c r="K488" s="44"/>
      <c r="L488" s="44"/>
    </row>
    <row r="489" spans="11:12" x14ac:dyDescent="0.3">
      <c r="K489" s="44"/>
      <c r="L489" s="44"/>
    </row>
    <row r="490" spans="11:12" x14ac:dyDescent="0.3">
      <c r="K490" s="44"/>
      <c r="L490" s="44"/>
    </row>
    <row r="491" spans="11:12" x14ac:dyDescent="0.3">
      <c r="K491" s="44"/>
      <c r="L491" s="44"/>
    </row>
    <row r="492" spans="11:12" x14ac:dyDescent="0.3">
      <c r="K492" s="44"/>
      <c r="L492" s="44"/>
    </row>
    <row r="493" spans="11:12" x14ac:dyDescent="0.3">
      <c r="K493" s="44"/>
      <c r="L493" s="44"/>
    </row>
    <row r="494" spans="11:12" x14ac:dyDescent="0.3">
      <c r="K494" s="44"/>
      <c r="L494" s="44"/>
    </row>
    <row r="495" spans="11:12" x14ac:dyDescent="0.3">
      <c r="K495" s="44"/>
      <c r="L495" s="44"/>
    </row>
    <row r="496" spans="11:12" x14ac:dyDescent="0.3">
      <c r="K496" s="44"/>
      <c r="L496" s="44"/>
    </row>
    <row r="497" spans="11:12" x14ac:dyDescent="0.3">
      <c r="K497" s="44"/>
      <c r="L497" s="44"/>
    </row>
    <row r="498" spans="11:12" x14ac:dyDescent="0.3">
      <c r="K498" s="44"/>
      <c r="L498" s="44"/>
    </row>
    <row r="499" spans="11:12" x14ac:dyDescent="0.3">
      <c r="K499" s="44"/>
      <c r="L499" s="44"/>
    </row>
    <row r="500" spans="11:12" x14ac:dyDescent="0.3">
      <c r="K500" s="44"/>
      <c r="L500" s="44"/>
    </row>
    <row r="501" spans="11:12" x14ac:dyDescent="0.3">
      <c r="K501" s="44"/>
      <c r="L501" s="44"/>
    </row>
    <row r="502" spans="11:12" x14ac:dyDescent="0.3">
      <c r="K502" s="44"/>
      <c r="L502" s="44"/>
    </row>
    <row r="503" spans="11:12" x14ac:dyDescent="0.3">
      <c r="K503" s="44"/>
      <c r="L503" s="44"/>
    </row>
    <row r="504" spans="11:12" x14ac:dyDescent="0.3">
      <c r="K504" s="44"/>
      <c r="L504" s="44"/>
    </row>
    <row r="505" spans="11:12" x14ac:dyDescent="0.3">
      <c r="K505" s="44"/>
      <c r="L505" s="44"/>
    </row>
    <row r="506" spans="11:12" x14ac:dyDescent="0.3">
      <c r="K506" s="44"/>
      <c r="L506" s="44"/>
    </row>
    <row r="507" spans="11:12" x14ac:dyDescent="0.3">
      <c r="K507" s="44"/>
      <c r="L507" s="44"/>
    </row>
    <row r="508" spans="11:12" x14ac:dyDescent="0.3">
      <c r="K508" s="44"/>
      <c r="L508" s="44"/>
    </row>
    <row r="509" spans="11:12" x14ac:dyDescent="0.3">
      <c r="K509" s="44"/>
      <c r="L509" s="44"/>
    </row>
    <row r="510" spans="11:12" x14ac:dyDescent="0.3">
      <c r="K510" s="44"/>
      <c r="L510" s="44"/>
    </row>
    <row r="511" spans="11:12" x14ac:dyDescent="0.3">
      <c r="K511" s="44"/>
      <c r="L511" s="44"/>
    </row>
    <row r="512" spans="11:12" x14ac:dyDescent="0.3">
      <c r="K512" s="44"/>
      <c r="L512" s="44"/>
    </row>
    <row r="513" spans="11:12" x14ac:dyDescent="0.3">
      <c r="K513" s="44"/>
      <c r="L513" s="44"/>
    </row>
    <row r="514" spans="11:12" x14ac:dyDescent="0.3">
      <c r="K514" s="44"/>
      <c r="L514" s="44"/>
    </row>
    <row r="515" spans="11:12" x14ac:dyDescent="0.3">
      <c r="K515" s="44"/>
      <c r="L515" s="44"/>
    </row>
    <row r="516" spans="11:12" x14ac:dyDescent="0.3">
      <c r="K516" s="44"/>
      <c r="L516" s="44"/>
    </row>
    <row r="517" spans="11:12" x14ac:dyDescent="0.3">
      <c r="K517" s="44"/>
      <c r="L517" s="44"/>
    </row>
    <row r="518" spans="11:12" x14ac:dyDescent="0.3">
      <c r="K518" s="44"/>
      <c r="L518" s="44"/>
    </row>
    <row r="519" spans="11:12" x14ac:dyDescent="0.3">
      <c r="K519" s="44"/>
      <c r="L519" s="44"/>
    </row>
    <row r="520" spans="11:12" x14ac:dyDescent="0.3">
      <c r="K520" s="44"/>
      <c r="L520" s="44"/>
    </row>
    <row r="521" spans="11:12" x14ac:dyDescent="0.3">
      <c r="K521" s="44"/>
      <c r="L521" s="44"/>
    </row>
    <row r="522" spans="11:12" x14ac:dyDescent="0.3">
      <c r="K522" s="44"/>
      <c r="L522" s="44"/>
    </row>
    <row r="523" spans="11:12" x14ac:dyDescent="0.3">
      <c r="K523" s="44"/>
      <c r="L523" s="44"/>
    </row>
    <row r="524" spans="11:12" x14ac:dyDescent="0.3">
      <c r="K524" s="44"/>
      <c r="L524" s="44"/>
    </row>
    <row r="525" spans="11:12" x14ac:dyDescent="0.3">
      <c r="K525" s="44"/>
      <c r="L525" s="44"/>
    </row>
    <row r="526" spans="11:12" x14ac:dyDescent="0.3">
      <c r="K526" s="44"/>
      <c r="L526" s="44"/>
    </row>
    <row r="527" spans="11:12" x14ac:dyDescent="0.3">
      <c r="K527" s="44"/>
      <c r="L527" s="44"/>
    </row>
    <row r="528" spans="11:12" x14ac:dyDescent="0.3">
      <c r="K528" s="44"/>
      <c r="L528" s="44"/>
    </row>
    <row r="529" spans="11:12" x14ac:dyDescent="0.3">
      <c r="K529" s="44"/>
      <c r="L529" s="44"/>
    </row>
    <row r="530" spans="11:12" x14ac:dyDescent="0.3">
      <c r="K530" s="44"/>
      <c r="L530" s="44"/>
    </row>
    <row r="531" spans="11:12" x14ac:dyDescent="0.3">
      <c r="K531" s="44"/>
      <c r="L531" s="44"/>
    </row>
    <row r="532" spans="11:12" x14ac:dyDescent="0.3">
      <c r="K532" s="44"/>
      <c r="L532" s="44"/>
    </row>
    <row r="533" spans="11:12" x14ac:dyDescent="0.3">
      <c r="K533" s="44"/>
      <c r="L533" s="44"/>
    </row>
    <row r="534" spans="11:12" x14ac:dyDescent="0.3">
      <c r="K534" s="44"/>
      <c r="L534" s="44"/>
    </row>
    <row r="535" spans="11:12" x14ac:dyDescent="0.3">
      <c r="K535" s="44"/>
      <c r="L535" s="44"/>
    </row>
    <row r="536" spans="11:12" x14ac:dyDescent="0.3">
      <c r="K536" s="44"/>
      <c r="L536" s="44"/>
    </row>
    <row r="537" spans="11:12" x14ac:dyDescent="0.3">
      <c r="K537" s="44"/>
      <c r="L537" s="44"/>
    </row>
    <row r="538" spans="11:12" x14ac:dyDescent="0.3">
      <c r="K538" s="44"/>
      <c r="L538" s="44"/>
    </row>
    <row r="539" spans="11:12" x14ac:dyDescent="0.3">
      <c r="K539" s="44"/>
      <c r="L539" s="44"/>
    </row>
    <row r="540" spans="11:12" x14ac:dyDescent="0.3">
      <c r="K540" s="44"/>
      <c r="L540" s="44"/>
    </row>
    <row r="541" spans="11:12" x14ac:dyDescent="0.3">
      <c r="K541" s="44"/>
      <c r="L541" s="44"/>
    </row>
    <row r="542" spans="11:12" x14ac:dyDescent="0.3">
      <c r="K542" s="44"/>
      <c r="L542" s="44"/>
    </row>
    <row r="543" spans="11:12" x14ac:dyDescent="0.3">
      <c r="K543" s="44"/>
      <c r="L543" s="44"/>
    </row>
    <row r="544" spans="11:12" x14ac:dyDescent="0.3">
      <c r="K544" s="44"/>
      <c r="L544" s="44"/>
    </row>
    <row r="545" spans="11:12" x14ac:dyDescent="0.3">
      <c r="K545" s="44"/>
      <c r="L545" s="44"/>
    </row>
    <row r="546" spans="11:12" x14ac:dyDescent="0.3">
      <c r="K546" s="44"/>
      <c r="L546" s="44"/>
    </row>
    <row r="547" spans="11:12" x14ac:dyDescent="0.3">
      <c r="K547" s="44"/>
      <c r="L547" s="44"/>
    </row>
    <row r="548" spans="11:12" x14ac:dyDescent="0.3">
      <c r="K548" s="44"/>
      <c r="L548" s="44"/>
    </row>
    <row r="549" spans="11:12" x14ac:dyDescent="0.3">
      <c r="K549" s="44"/>
      <c r="L549" s="44"/>
    </row>
    <row r="550" spans="11:12" x14ac:dyDescent="0.3">
      <c r="K550" s="44"/>
      <c r="L550" s="44"/>
    </row>
    <row r="551" spans="11:12" x14ac:dyDescent="0.3">
      <c r="K551" s="44"/>
      <c r="L551" s="44"/>
    </row>
    <row r="552" spans="11:12" x14ac:dyDescent="0.3">
      <c r="K552" s="44"/>
      <c r="L552" s="44"/>
    </row>
    <row r="553" spans="11:12" x14ac:dyDescent="0.3">
      <c r="K553" s="44"/>
      <c r="L553" s="44"/>
    </row>
    <row r="554" spans="11:12" x14ac:dyDescent="0.3">
      <c r="K554" s="44"/>
      <c r="L554" s="44"/>
    </row>
    <row r="555" spans="11:12" x14ac:dyDescent="0.3">
      <c r="K555" s="44"/>
      <c r="L555" s="44"/>
    </row>
    <row r="556" spans="11:12" x14ac:dyDescent="0.3">
      <c r="K556" s="44"/>
      <c r="L556" s="44"/>
    </row>
    <row r="557" spans="11:12" x14ac:dyDescent="0.3">
      <c r="K557" s="44"/>
      <c r="L557" s="44"/>
    </row>
    <row r="558" spans="11:12" x14ac:dyDescent="0.3">
      <c r="K558" s="44"/>
      <c r="L558" s="44"/>
    </row>
    <row r="559" spans="11:12" x14ac:dyDescent="0.3">
      <c r="K559" s="44"/>
      <c r="L559" s="44"/>
    </row>
    <row r="560" spans="11:12" x14ac:dyDescent="0.3">
      <c r="K560" s="44"/>
      <c r="L560" s="44"/>
    </row>
    <row r="561" spans="11:12" x14ac:dyDescent="0.3">
      <c r="K561" s="44"/>
      <c r="L561" s="44"/>
    </row>
    <row r="562" spans="11:12" x14ac:dyDescent="0.3">
      <c r="K562" s="44"/>
      <c r="L562" s="44"/>
    </row>
    <row r="563" spans="11:12" x14ac:dyDescent="0.3">
      <c r="K563" s="44"/>
      <c r="L563" s="44"/>
    </row>
    <row r="564" spans="11:12" x14ac:dyDescent="0.3">
      <c r="K564" s="44"/>
      <c r="L564" s="44"/>
    </row>
    <row r="565" spans="11:12" x14ac:dyDescent="0.3">
      <c r="K565" s="44"/>
      <c r="L565" s="44"/>
    </row>
    <row r="566" spans="11:12" x14ac:dyDescent="0.3">
      <c r="K566" s="44"/>
      <c r="L566" s="44"/>
    </row>
    <row r="567" spans="11:12" x14ac:dyDescent="0.3">
      <c r="K567" s="44"/>
      <c r="L567" s="44"/>
    </row>
    <row r="568" spans="11:12" x14ac:dyDescent="0.3">
      <c r="K568" s="44"/>
      <c r="L568" s="44"/>
    </row>
    <row r="569" spans="11:12" x14ac:dyDescent="0.3">
      <c r="K569" s="44"/>
      <c r="L569" s="44"/>
    </row>
    <row r="570" spans="11:12" x14ac:dyDescent="0.3">
      <c r="K570" s="44"/>
      <c r="L570" s="44"/>
    </row>
    <row r="571" spans="11:12" x14ac:dyDescent="0.3">
      <c r="K571" s="44"/>
      <c r="L571" s="44"/>
    </row>
    <row r="572" spans="11:12" x14ac:dyDescent="0.3">
      <c r="K572" s="44"/>
      <c r="L572" s="44"/>
    </row>
    <row r="573" spans="11:12" x14ac:dyDescent="0.3">
      <c r="K573" s="44"/>
      <c r="L573" s="44"/>
    </row>
    <row r="574" spans="11:12" x14ac:dyDescent="0.3">
      <c r="K574" s="44"/>
      <c r="L574" s="44"/>
    </row>
    <row r="575" spans="11:12" x14ac:dyDescent="0.3">
      <c r="K575" s="44"/>
      <c r="L575" s="44"/>
    </row>
    <row r="576" spans="11:12" x14ac:dyDescent="0.3">
      <c r="K576" s="44"/>
      <c r="L576" s="44"/>
    </row>
    <row r="577" spans="11:12" x14ac:dyDescent="0.3">
      <c r="K577" s="44"/>
      <c r="L577" s="44"/>
    </row>
    <row r="578" spans="11:12" x14ac:dyDescent="0.3">
      <c r="K578" s="44"/>
      <c r="L578" s="44"/>
    </row>
    <row r="579" spans="11:12" x14ac:dyDescent="0.3">
      <c r="K579" s="44"/>
      <c r="L579" s="44"/>
    </row>
    <row r="580" spans="11:12" x14ac:dyDescent="0.3">
      <c r="K580" s="44"/>
      <c r="L580" s="44"/>
    </row>
    <row r="581" spans="11:12" x14ac:dyDescent="0.3">
      <c r="K581" s="44"/>
      <c r="L581" s="44"/>
    </row>
    <row r="582" spans="11:12" x14ac:dyDescent="0.3">
      <c r="K582" s="44"/>
      <c r="L582" s="44"/>
    </row>
    <row r="583" spans="11:12" x14ac:dyDescent="0.3">
      <c r="K583" s="44"/>
      <c r="L583" s="44"/>
    </row>
    <row r="584" spans="11:12" x14ac:dyDescent="0.3">
      <c r="K584" s="44"/>
      <c r="L584" s="44"/>
    </row>
    <row r="585" spans="11:12" x14ac:dyDescent="0.3">
      <c r="K585" s="44"/>
      <c r="L585" s="44"/>
    </row>
    <row r="586" spans="11:12" x14ac:dyDescent="0.3">
      <c r="K586" s="44"/>
      <c r="L586" s="44"/>
    </row>
    <row r="587" spans="11:12" x14ac:dyDescent="0.3">
      <c r="K587" s="44"/>
      <c r="L587" s="44"/>
    </row>
    <row r="588" spans="11:12" x14ac:dyDescent="0.3">
      <c r="K588" s="44"/>
      <c r="L588" s="44"/>
    </row>
    <row r="589" spans="11:12" x14ac:dyDescent="0.3">
      <c r="K589" s="44"/>
      <c r="L589" s="44"/>
    </row>
    <row r="590" spans="11:12" x14ac:dyDescent="0.3">
      <c r="K590" s="44"/>
      <c r="L590" s="44"/>
    </row>
    <row r="591" spans="11:12" x14ac:dyDescent="0.3">
      <c r="K591" s="44"/>
      <c r="L591" s="44"/>
    </row>
    <row r="592" spans="11:12" x14ac:dyDescent="0.3">
      <c r="K592" s="44"/>
      <c r="L592" s="44"/>
    </row>
    <row r="593" spans="11:12" x14ac:dyDescent="0.3">
      <c r="K593" s="44"/>
      <c r="L593" s="44"/>
    </row>
    <row r="594" spans="11:12" x14ac:dyDescent="0.3">
      <c r="K594" s="44"/>
      <c r="L594" s="44"/>
    </row>
    <row r="595" spans="11:12" x14ac:dyDescent="0.3">
      <c r="K595" s="44"/>
      <c r="L595" s="44"/>
    </row>
    <row r="596" spans="11:12" x14ac:dyDescent="0.3">
      <c r="K596" s="44"/>
      <c r="L596" s="44"/>
    </row>
    <row r="597" spans="11:12" x14ac:dyDescent="0.3">
      <c r="K597" s="44"/>
      <c r="L597" s="44"/>
    </row>
    <row r="598" spans="11:12" x14ac:dyDescent="0.3">
      <c r="K598" s="44"/>
      <c r="L598" s="44"/>
    </row>
    <row r="599" spans="11:12" x14ac:dyDescent="0.3">
      <c r="K599" s="44"/>
      <c r="L599" s="44"/>
    </row>
    <row r="600" spans="11:12" x14ac:dyDescent="0.3">
      <c r="K600" s="44"/>
      <c r="L600" s="44"/>
    </row>
    <row r="601" spans="11:12" x14ac:dyDescent="0.3">
      <c r="K601" s="44"/>
      <c r="L601" s="44"/>
    </row>
    <row r="602" spans="11:12" x14ac:dyDescent="0.3">
      <c r="K602" s="44"/>
      <c r="L602" s="44"/>
    </row>
    <row r="603" spans="11:12" x14ac:dyDescent="0.3">
      <c r="K603" s="44"/>
      <c r="L603" s="44"/>
    </row>
    <row r="604" spans="11:12" x14ac:dyDescent="0.3">
      <c r="K604" s="44"/>
      <c r="L604" s="44"/>
    </row>
    <row r="605" spans="11:12" x14ac:dyDescent="0.3">
      <c r="K605" s="44"/>
      <c r="L605" s="44"/>
    </row>
    <row r="606" spans="11:12" x14ac:dyDescent="0.3">
      <c r="K606" s="44"/>
      <c r="L606" s="44"/>
    </row>
    <row r="607" spans="11:12" x14ac:dyDescent="0.3">
      <c r="K607" s="44"/>
      <c r="L607" s="44"/>
    </row>
    <row r="608" spans="11:12" x14ac:dyDescent="0.3">
      <c r="K608" s="44"/>
      <c r="L608" s="44"/>
    </row>
    <row r="609" spans="11:12" x14ac:dyDescent="0.3">
      <c r="K609" s="44"/>
      <c r="L609" s="44"/>
    </row>
    <row r="610" spans="11:12" x14ac:dyDescent="0.3">
      <c r="K610" s="44"/>
      <c r="L610" s="44"/>
    </row>
    <row r="611" spans="11:12" x14ac:dyDescent="0.3">
      <c r="K611" s="44"/>
      <c r="L611" s="44"/>
    </row>
    <row r="612" spans="11:12" x14ac:dyDescent="0.3">
      <c r="K612" s="44"/>
      <c r="L612" s="44"/>
    </row>
    <row r="613" spans="11:12" x14ac:dyDescent="0.3">
      <c r="K613" s="44"/>
      <c r="L613" s="44"/>
    </row>
    <row r="614" spans="11:12" x14ac:dyDescent="0.3">
      <c r="K614" s="44"/>
      <c r="L614" s="44"/>
    </row>
    <row r="615" spans="11:12" x14ac:dyDescent="0.3">
      <c r="K615" s="44"/>
      <c r="L615" s="44"/>
    </row>
    <row r="616" spans="11:12" x14ac:dyDescent="0.3">
      <c r="K616" s="44"/>
      <c r="L616" s="44"/>
    </row>
    <row r="617" spans="11:12" x14ac:dyDescent="0.3">
      <c r="K617" s="44"/>
      <c r="L617" s="44"/>
    </row>
    <row r="618" spans="11:12" x14ac:dyDescent="0.3">
      <c r="K618" s="44"/>
      <c r="L618" s="44"/>
    </row>
    <row r="619" spans="11:12" x14ac:dyDescent="0.3">
      <c r="K619" s="44"/>
      <c r="L619" s="44"/>
    </row>
    <row r="620" spans="11:12" x14ac:dyDescent="0.3">
      <c r="K620" s="44"/>
      <c r="L620" s="44"/>
    </row>
    <row r="621" spans="11:12" x14ac:dyDescent="0.3">
      <c r="K621" s="44"/>
      <c r="L621" s="44"/>
    </row>
    <row r="622" spans="11:12" x14ac:dyDescent="0.3">
      <c r="K622" s="44"/>
      <c r="L622" s="44"/>
    </row>
    <row r="623" spans="11:12" x14ac:dyDescent="0.3">
      <c r="K623" s="44"/>
      <c r="L623" s="44"/>
    </row>
    <row r="624" spans="11:12" x14ac:dyDescent="0.3">
      <c r="K624" s="44"/>
      <c r="L624" s="44"/>
    </row>
    <row r="625" spans="11:12" x14ac:dyDescent="0.3">
      <c r="K625" s="44"/>
      <c r="L625" s="44"/>
    </row>
    <row r="626" spans="11:12" x14ac:dyDescent="0.3">
      <c r="K626" s="44"/>
      <c r="L626" s="44"/>
    </row>
    <row r="627" spans="11:12" x14ac:dyDescent="0.3">
      <c r="K627" s="44"/>
      <c r="L627" s="44"/>
    </row>
    <row r="628" spans="11:12" x14ac:dyDescent="0.3">
      <c r="K628" s="44"/>
      <c r="L628" s="44"/>
    </row>
    <row r="629" spans="11:12" x14ac:dyDescent="0.3">
      <c r="K629" s="44"/>
      <c r="L629" s="44"/>
    </row>
    <row r="630" spans="11:12" x14ac:dyDescent="0.3">
      <c r="K630" s="44"/>
      <c r="L630" s="44"/>
    </row>
    <row r="631" spans="11:12" x14ac:dyDescent="0.3">
      <c r="K631" s="44"/>
      <c r="L631" s="44"/>
    </row>
    <row r="632" spans="11:12" x14ac:dyDescent="0.3">
      <c r="K632" s="44"/>
      <c r="L632" s="44"/>
    </row>
    <row r="633" spans="11:12" x14ac:dyDescent="0.3">
      <c r="K633" s="44"/>
      <c r="L633" s="44"/>
    </row>
    <row r="634" spans="11:12" x14ac:dyDescent="0.3">
      <c r="K634" s="44"/>
      <c r="L634" s="44"/>
    </row>
    <row r="635" spans="11:12" x14ac:dyDescent="0.3">
      <c r="K635" s="44"/>
      <c r="L635" s="44"/>
    </row>
    <row r="636" spans="11:12" x14ac:dyDescent="0.3">
      <c r="K636" s="44"/>
      <c r="L636" s="44"/>
    </row>
    <row r="637" spans="11:12" x14ac:dyDescent="0.3">
      <c r="K637" s="44"/>
      <c r="L637" s="44"/>
    </row>
    <row r="638" spans="11:12" x14ac:dyDescent="0.3">
      <c r="K638" s="44"/>
      <c r="L638" s="44"/>
    </row>
    <row r="639" spans="11:12" x14ac:dyDescent="0.3">
      <c r="K639" s="44"/>
      <c r="L639" s="44"/>
    </row>
    <row r="640" spans="11:12" x14ac:dyDescent="0.3">
      <c r="K640" s="44"/>
      <c r="L640" s="44"/>
    </row>
    <row r="641" spans="11:12" x14ac:dyDescent="0.3">
      <c r="K641" s="44"/>
      <c r="L641" s="44"/>
    </row>
    <row r="642" spans="11:12" x14ac:dyDescent="0.3">
      <c r="K642" s="44"/>
      <c r="L642" s="44"/>
    </row>
    <row r="643" spans="11:12" x14ac:dyDescent="0.3">
      <c r="K643" s="44"/>
      <c r="L643" s="44"/>
    </row>
    <row r="644" spans="11:12" x14ac:dyDescent="0.3">
      <c r="K644" s="44"/>
      <c r="L644" s="44"/>
    </row>
    <row r="645" spans="11:12" x14ac:dyDescent="0.3">
      <c r="K645" s="44"/>
      <c r="L645" s="44"/>
    </row>
    <row r="646" spans="11:12" x14ac:dyDescent="0.3">
      <c r="K646" s="44"/>
      <c r="L646" s="44"/>
    </row>
    <row r="647" spans="11:12" x14ac:dyDescent="0.3">
      <c r="K647" s="44"/>
      <c r="L647" s="44"/>
    </row>
    <row r="648" spans="11:12" x14ac:dyDescent="0.3">
      <c r="K648" s="44"/>
      <c r="L648" s="44"/>
    </row>
    <row r="649" spans="11:12" x14ac:dyDescent="0.3">
      <c r="K649" s="44"/>
      <c r="L649" s="44"/>
    </row>
    <row r="650" spans="11:12" x14ac:dyDescent="0.3">
      <c r="K650" s="44"/>
      <c r="L650" s="44"/>
    </row>
    <row r="651" spans="11:12" x14ac:dyDescent="0.3">
      <c r="K651" s="44"/>
      <c r="L651" s="44"/>
    </row>
    <row r="652" spans="11:12" x14ac:dyDescent="0.3">
      <c r="K652" s="44"/>
      <c r="L652" s="44"/>
    </row>
    <row r="653" spans="11:12" x14ac:dyDescent="0.3">
      <c r="K653" s="44"/>
      <c r="L653" s="44"/>
    </row>
    <row r="654" spans="11:12" x14ac:dyDescent="0.3">
      <c r="K654" s="44"/>
      <c r="L654" s="44"/>
    </row>
    <row r="655" spans="11:12" x14ac:dyDescent="0.3">
      <c r="K655" s="44"/>
      <c r="L655" s="44"/>
    </row>
    <row r="656" spans="11:12" x14ac:dyDescent="0.3">
      <c r="K656" s="44"/>
      <c r="L656" s="44"/>
    </row>
    <row r="657" spans="11:12" x14ac:dyDescent="0.3">
      <c r="K657" s="44"/>
      <c r="L657" s="44"/>
    </row>
    <row r="658" spans="11:12" x14ac:dyDescent="0.3">
      <c r="K658" s="44"/>
      <c r="L658" s="44"/>
    </row>
    <row r="659" spans="11:12" x14ac:dyDescent="0.3">
      <c r="K659" s="44"/>
      <c r="L659" s="44"/>
    </row>
    <row r="660" spans="11:12" x14ac:dyDescent="0.3">
      <c r="K660" s="44"/>
      <c r="L660" s="44"/>
    </row>
    <row r="661" spans="11:12" x14ac:dyDescent="0.3">
      <c r="K661" s="44"/>
      <c r="L661" s="44"/>
    </row>
    <row r="662" spans="11:12" x14ac:dyDescent="0.3">
      <c r="K662" s="44"/>
      <c r="L662" s="44"/>
    </row>
    <row r="663" spans="11:12" x14ac:dyDescent="0.3">
      <c r="K663" s="44"/>
      <c r="L663" s="44"/>
    </row>
    <row r="664" spans="11:12" x14ac:dyDescent="0.3">
      <c r="K664" s="44"/>
      <c r="L664" s="44"/>
    </row>
    <row r="665" spans="11:12" x14ac:dyDescent="0.3">
      <c r="K665" s="44"/>
      <c r="L665" s="44"/>
    </row>
    <row r="666" spans="11:12" x14ac:dyDescent="0.3">
      <c r="K666" s="44"/>
      <c r="L666" s="44"/>
    </row>
    <row r="667" spans="11:12" x14ac:dyDescent="0.3">
      <c r="K667" s="44"/>
      <c r="L667" s="44"/>
    </row>
    <row r="668" spans="11:12" x14ac:dyDescent="0.3">
      <c r="K668" s="44"/>
      <c r="L668" s="44"/>
    </row>
    <row r="669" spans="11:12" x14ac:dyDescent="0.3">
      <c r="K669" s="44"/>
      <c r="L669" s="44"/>
    </row>
    <row r="670" spans="11:12" x14ac:dyDescent="0.3">
      <c r="K670" s="44"/>
      <c r="L670" s="44"/>
    </row>
    <row r="671" spans="11:12" x14ac:dyDescent="0.3">
      <c r="K671" s="44"/>
      <c r="L671" s="44"/>
    </row>
    <row r="672" spans="11:12" x14ac:dyDescent="0.3">
      <c r="K672" s="44"/>
      <c r="L672" s="44"/>
    </row>
    <row r="673" spans="11:12" x14ac:dyDescent="0.3">
      <c r="K673" s="44"/>
      <c r="L673" s="44"/>
    </row>
    <row r="674" spans="11:12" x14ac:dyDescent="0.3">
      <c r="K674" s="44"/>
      <c r="L674" s="44"/>
    </row>
    <row r="675" spans="11:12" x14ac:dyDescent="0.3">
      <c r="K675" s="44"/>
      <c r="L675" s="44"/>
    </row>
    <row r="676" spans="11:12" x14ac:dyDescent="0.3">
      <c r="K676" s="44"/>
      <c r="L676" s="44"/>
    </row>
    <row r="677" spans="11:12" x14ac:dyDescent="0.3">
      <c r="K677" s="44"/>
      <c r="L677" s="44"/>
    </row>
    <row r="678" spans="11:12" x14ac:dyDescent="0.3">
      <c r="K678" s="44"/>
      <c r="L678" s="44"/>
    </row>
    <row r="679" spans="11:12" x14ac:dyDescent="0.3">
      <c r="K679" s="44"/>
      <c r="L679" s="44"/>
    </row>
    <row r="680" spans="11:12" x14ac:dyDescent="0.3">
      <c r="K680" s="44"/>
      <c r="L680" s="44"/>
    </row>
    <row r="681" spans="11:12" x14ac:dyDescent="0.3">
      <c r="K681" s="44"/>
      <c r="L681" s="44"/>
    </row>
    <row r="682" spans="11:12" x14ac:dyDescent="0.3">
      <c r="K682" s="44"/>
      <c r="L682" s="44"/>
    </row>
    <row r="683" spans="11:12" x14ac:dyDescent="0.3">
      <c r="K683" s="44"/>
      <c r="L683" s="44"/>
    </row>
    <row r="684" spans="11:12" x14ac:dyDescent="0.3">
      <c r="K684" s="44"/>
      <c r="L684" s="44"/>
    </row>
    <row r="685" spans="11:12" x14ac:dyDescent="0.3">
      <c r="K685" s="44"/>
      <c r="L685" s="44"/>
    </row>
    <row r="686" spans="11:12" x14ac:dyDescent="0.3">
      <c r="K686" s="44"/>
      <c r="L686" s="44"/>
    </row>
    <row r="687" spans="11:12" x14ac:dyDescent="0.3">
      <c r="K687" s="44"/>
      <c r="L687" s="44"/>
    </row>
    <row r="688" spans="11:12" x14ac:dyDescent="0.3">
      <c r="K688" s="44"/>
      <c r="L688" s="44"/>
    </row>
    <row r="689" spans="11:12" x14ac:dyDescent="0.3">
      <c r="K689" s="44"/>
      <c r="L689" s="44"/>
    </row>
    <row r="690" spans="11:12" x14ac:dyDescent="0.3">
      <c r="K690" s="44"/>
      <c r="L690" s="44"/>
    </row>
    <row r="691" spans="11:12" x14ac:dyDescent="0.3">
      <c r="K691" s="44"/>
      <c r="L691" s="44"/>
    </row>
    <row r="692" spans="11:12" x14ac:dyDescent="0.3">
      <c r="K692" s="44"/>
      <c r="L692" s="44"/>
    </row>
    <row r="693" spans="11:12" x14ac:dyDescent="0.3">
      <c r="K693" s="44"/>
      <c r="L693" s="44"/>
    </row>
    <row r="694" spans="11:12" x14ac:dyDescent="0.3">
      <c r="K694" s="44"/>
      <c r="L694" s="44"/>
    </row>
    <row r="695" spans="11:12" x14ac:dyDescent="0.3">
      <c r="K695" s="44"/>
      <c r="L695" s="44"/>
    </row>
    <row r="696" spans="11:12" x14ac:dyDescent="0.3">
      <c r="K696" s="44"/>
      <c r="L696" s="44"/>
    </row>
    <row r="697" spans="11:12" x14ac:dyDescent="0.3">
      <c r="K697" s="44"/>
      <c r="L697" s="44"/>
    </row>
    <row r="698" spans="11:12" x14ac:dyDescent="0.3">
      <c r="K698" s="44"/>
      <c r="L698" s="44"/>
    </row>
    <row r="699" spans="11:12" x14ac:dyDescent="0.3">
      <c r="K699" s="44"/>
      <c r="L699" s="44"/>
    </row>
    <row r="700" spans="11:12" x14ac:dyDescent="0.3">
      <c r="K700" s="44"/>
      <c r="L700" s="44"/>
    </row>
    <row r="701" spans="11:12" x14ac:dyDescent="0.3">
      <c r="K701" s="44"/>
      <c r="L701" s="44"/>
    </row>
    <row r="702" spans="11:12" x14ac:dyDescent="0.3">
      <c r="K702" s="44"/>
      <c r="L702" s="44"/>
    </row>
    <row r="703" spans="11:12" x14ac:dyDescent="0.3">
      <c r="K703" s="44"/>
      <c r="L703" s="44"/>
    </row>
    <row r="704" spans="11:12" x14ac:dyDescent="0.3">
      <c r="K704" s="44"/>
      <c r="L704" s="44"/>
    </row>
    <row r="705" spans="11:12" x14ac:dyDescent="0.3">
      <c r="K705" s="44"/>
      <c r="L705" s="44"/>
    </row>
    <row r="706" spans="11:12" x14ac:dyDescent="0.3">
      <c r="K706" s="44"/>
      <c r="L706" s="44"/>
    </row>
    <row r="707" spans="11:12" x14ac:dyDescent="0.3">
      <c r="K707" s="44"/>
      <c r="L707" s="44"/>
    </row>
    <row r="708" spans="11:12" x14ac:dyDescent="0.3">
      <c r="K708" s="44"/>
      <c r="L708" s="44"/>
    </row>
    <row r="709" spans="11:12" x14ac:dyDescent="0.3">
      <c r="K709" s="44"/>
      <c r="L709" s="44"/>
    </row>
    <row r="710" spans="11:12" x14ac:dyDescent="0.3">
      <c r="K710" s="44"/>
      <c r="L710" s="44"/>
    </row>
    <row r="711" spans="11:12" x14ac:dyDescent="0.3">
      <c r="K711" s="44"/>
      <c r="L711" s="44"/>
    </row>
    <row r="712" spans="11:12" x14ac:dyDescent="0.3">
      <c r="K712" s="44"/>
      <c r="L712" s="44"/>
    </row>
    <row r="713" spans="11:12" x14ac:dyDescent="0.3">
      <c r="K713" s="44"/>
      <c r="L713" s="44"/>
    </row>
    <row r="714" spans="11:12" x14ac:dyDescent="0.3">
      <c r="K714" s="44"/>
      <c r="L714" s="44"/>
    </row>
    <row r="715" spans="11:12" x14ac:dyDescent="0.3">
      <c r="K715" s="44"/>
      <c r="L715" s="44"/>
    </row>
    <row r="716" spans="11:12" x14ac:dyDescent="0.3">
      <c r="K716" s="44"/>
      <c r="L716" s="44"/>
    </row>
    <row r="717" spans="11:12" x14ac:dyDescent="0.3">
      <c r="K717" s="44"/>
      <c r="L717" s="44"/>
    </row>
    <row r="718" spans="11:12" x14ac:dyDescent="0.3">
      <c r="K718" s="44"/>
      <c r="L718" s="44"/>
    </row>
    <row r="719" spans="11:12" x14ac:dyDescent="0.3">
      <c r="K719" s="44"/>
      <c r="L719" s="44"/>
    </row>
    <row r="720" spans="11:12" x14ac:dyDescent="0.3">
      <c r="K720" s="44"/>
      <c r="L720" s="44"/>
    </row>
    <row r="721" spans="11:12" x14ac:dyDescent="0.3">
      <c r="K721" s="44"/>
      <c r="L721" s="44"/>
    </row>
    <row r="722" spans="11:12" x14ac:dyDescent="0.3">
      <c r="K722" s="44"/>
      <c r="L722" s="44"/>
    </row>
    <row r="723" spans="11:12" x14ac:dyDescent="0.3">
      <c r="K723" s="44"/>
      <c r="L723" s="44"/>
    </row>
    <row r="724" spans="11:12" x14ac:dyDescent="0.3">
      <c r="K724" s="44"/>
      <c r="L724" s="44"/>
    </row>
    <row r="725" spans="11:12" x14ac:dyDescent="0.3">
      <c r="K725" s="44"/>
      <c r="L725" s="44"/>
    </row>
    <row r="726" spans="11:12" x14ac:dyDescent="0.3">
      <c r="K726" s="44"/>
      <c r="L726" s="44"/>
    </row>
    <row r="727" spans="11:12" x14ac:dyDescent="0.3">
      <c r="K727" s="44"/>
      <c r="L727" s="44"/>
    </row>
    <row r="728" spans="11:12" x14ac:dyDescent="0.3">
      <c r="K728" s="44"/>
      <c r="L728" s="44"/>
    </row>
    <row r="729" spans="11:12" x14ac:dyDescent="0.3">
      <c r="K729" s="44"/>
      <c r="L729" s="44"/>
    </row>
    <row r="730" spans="11:12" x14ac:dyDescent="0.3">
      <c r="K730" s="44"/>
      <c r="L730" s="44"/>
    </row>
    <row r="731" spans="11:12" x14ac:dyDescent="0.3">
      <c r="K731" s="44"/>
      <c r="L731" s="44"/>
    </row>
    <row r="732" spans="11:12" x14ac:dyDescent="0.3">
      <c r="K732" s="44"/>
      <c r="L732" s="44"/>
    </row>
    <row r="733" spans="11:12" x14ac:dyDescent="0.3">
      <c r="K733" s="44"/>
      <c r="L733" s="44"/>
    </row>
    <row r="734" spans="11:12" x14ac:dyDescent="0.3">
      <c r="K734" s="44"/>
      <c r="L734" s="44"/>
    </row>
    <row r="735" spans="11:12" x14ac:dyDescent="0.3">
      <c r="K735" s="44"/>
      <c r="L735" s="44"/>
    </row>
    <row r="736" spans="11:12" x14ac:dyDescent="0.3">
      <c r="K736" s="44"/>
      <c r="L736" s="44"/>
    </row>
    <row r="737" spans="11:12" x14ac:dyDescent="0.3">
      <c r="K737" s="44"/>
      <c r="L737" s="44"/>
    </row>
    <row r="738" spans="11:12" x14ac:dyDescent="0.3">
      <c r="K738" s="44"/>
      <c r="L738" s="44"/>
    </row>
    <row r="739" spans="11:12" x14ac:dyDescent="0.3">
      <c r="K739" s="44"/>
      <c r="L739" s="44"/>
    </row>
    <row r="740" spans="11:12" x14ac:dyDescent="0.3">
      <c r="K740" s="44"/>
      <c r="L740" s="44"/>
    </row>
    <row r="741" spans="11:12" x14ac:dyDescent="0.3">
      <c r="K741" s="44"/>
      <c r="L741" s="44"/>
    </row>
    <row r="742" spans="11:12" x14ac:dyDescent="0.3">
      <c r="K742" s="44"/>
      <c r="L742" s="44"/>
    </row>
    <row r="743" spans="11:12" x14ac:dyDescent="0.3">
      <c r="K743" s="44"/>
      <c r="L743" s="44"/>
    </row>
    <row r="744" spans="11:12" x14ac:dyDescent="0.3">
      <c r="K744" s="44"/>
      <c r="L744" s="44"/>
    </row>
    <row r="745" spans="11:12" x14ac:dyDescent="0.3">
      <c r="K745" s="44"/>
      <c r="L745" s="44"/>
    </row>
    <row r="746" spans="11:12" x14ac:dyDescent="0.3">
      <c r="K746" s="44"/>
      <c r="L746" s="44"/>
    </row>
    <row r="747" spans="11:12" x14ac:dyDescent="0.3">
      <c r="K747" s="44"/>
      <c r="L747" s="44"/>
    </row>
    <row r="748" spans="11:12" x14ac:dyDescent="0.3">
      <c r="K748" s="44"/>
      <c r="L748" s="44"/>
    </row>
    <row r="749" spans="11:12" x14ac:dyDescent="0.3">
      <c r="K749" s="44"/>
      <c r="L749" s="44"/>
    </row>
    <row r="750" spans="11:12" x14ac:dyDescent="0.3">
      <c r="K750" s="44"/>
      <c r="L750" s="44"/>
    </row>
    <row r="751" spans="11:12" x14ac:dyDescent="0.3">
      <c r="K751" s="44"/>
      <c r="L751" s="44"/>
    </row>
    <row r="752" spans="11:12" x14ac:dyDescent="0.3">
      <c r="K752" s="44"/>
      <c r="L752" s="44"/>
    </row>
    <row r="753" spans="11:12" x14ac:dyDescent="0.3">
      <c r="K753" s="44"/>
      <c r="L753" s="44"/>
    </row>
    <row r="754" spans="11:12" x14ac:dyDescent="0.3">
      <c r="K754" s="44"/>
      <c r="L754" s="44"/>
    </row>
    <row r="755" spans="11:12" x14ac:dyDescent="0.3">
      <c r="K755" s="44"/>
      <c r="L755" s="44"/>
    </row>
    <row r="756" spans="11:12" x14ac:dyDescent="0.3">
      <c r="K756" s="44"/>
      <c r="L756" s="44"/>
    </row>
    <row r="757" spans="11:12" x14ac:dyDescent="0.3">
      <c r="K757" s="44"/>
      <c r="L757" s="44"/>
    </row>
    <row r="758" spans="11:12" x14ac:dyDescent="0.3">
      <c r="K758" s="44"/>
      <c r="L758" s="44"/>
    </row>
    <row r="759" spans="11:12" x14ac:dyDescent="0.3">
      <c r="K759" s="44"/>
      <c r="L759" s="44"/>
    </row>
    <row r="760" spans="11:12" x14ac:dyDescent="0.3">
      <c r="K760" s="44"/>
      <c r="L760" s="44"/>
    </row>
    <row r="761" spans="11:12" x14ac:dyDescent="0.3">
      <c r="K761" s="44"/>
      <c r="L761" s="44"/>
    </row>
    <row r="762" spans="11:12" x14ac:dyDescent="0.3">
      <c r="K762" s="44"/>
      <c r="L762" s="44"/>
    </row>
    <row r="763" spans="11:12" x14ac:dyDescent="0.3">
      <c r="K763" s="44"/>
      <c r="L763" s="44"/>
    </row>
    <row r="764" spans="11:12" x14ac:dyDescent="0.3">
      <c r="K764" s="44"/>
      <c r="L764" s="44"/>
    </row>
    <row r="765" spans="11:12" x14ac:dyDescent="0.3">
      <c r="K765" s="44"/>
      <c r="L765" s="44"/>
    </row>
    <row r="766" spans="11:12" x14ac:dyDescent="0.3">
      <c r="K766" s="44"/>
      <c r="L766" s="44"/>
    </row>
    <row r="767" spans="11:12" x14ac:dyDescent="0.3">
      <c r="K767" s="44"/>
      <c r="L767" s="44"/>
    </row>
    <row r="768" spans="11:12" x14ac:dyDescent="0.3">
      <c r="K768" s="44"/>
      <c r="L768" s="44"/>
    </row>
    <row r="769" spans="11:12" x14ac:dyDescent="0.3">
      <c r="K769" s="44"/>
      <c r="L769" s="44"/>
    </row>
    <row r="770" spans="11:12" x14ac:dyDescent="0.3">
      <c r="K770" s="44"/>
      <c r="L770" s="44"/>
    </row>
    <row r="771" spans="11:12" x14ac:dyDescent="0.3">
      <c r="K771" s="44"/>
      <c r="L771" s="44"/>
    </row>
    <row r="772" spans="11:12" x14ac:dyDescent="0.3">
      <c r="K772" s="44"/>
      <c r="L772" s="44"/>
    </row>
    <row r="773" spans="11:12" x14ac:dyDescent="0.3">
      <c r="K773" s="44"/>
      <c r="L773" s="44"/>
    </row>
    <row r="774" spans="11:12" x14ac:dyDescent="0.3">
      <c r="K774" s="44"/>
      <c r="L774" s="44"/>
    </row>
    <row r="775" spans="11:12" x14ac:dyDescent="0.3">
      <c r="K775" s="44"/>
      <c r="L775" s="44"/>
    </row>
    <row r="776" spans="11:12" x14ac:dyDescent="0.3">
      <c r="K776" s="44"/>
      <c r="L776" s="44"/>
    </row>
    <row r="777" spans="11:12" x14ac:dyDescent="0.3">
      <c r="K777" s="44"/>
      <c r="L777" s="44"/>
    </row>
    <row r="778" spans="11:12" x14ac:dyDescent="0.3">
      <c r="K778" s="44"/>
      <c r="L778" s="44"/>
    </row>
    <row r="779" spans="11:12" x14ac:dyDescent="0.3">
      <c r="K779" s="44"/>
      <c r="L779" s="44"/>
    </row>
    <row r="780" spans="11:12" x14ac:dyDescent="0.3">
      <c r="K780" s="44"/>
      <c r="L780" s="44"/>
    </row>
    <row r="781" spans="11:12" x14ac:dyDescent="0.3">
      <c r="K781" s="44"/>
      <c r="L781" s="44"/>
    </row>
    <row r="782" spans="11:12" x14ac:dyDescent="0.3">
      <c r="K782" s="44"/>
      <c r="L782" s="44"/>
    </row>
    <row r="783" spans="11:12" x14ac:dyDescent="0.3">
      <c r="K783" s="44"/>
      <c r="L783" s="44"/>
    </row>
    <row r="784" spans="11:12" x14ac:dyDescent="0.3">
      <c r="K784" s="44"/>
      <c r="L784" s="44"/>
    </row>
    <row r="785" spans="11:12" x14ac:dyDescent="0.3">
      <c r="K785" s="44"/>
      <c r="L785" s="44"/>
    </row>
    <row r="786" spans="11:12" x14ac:dyDescent="0.3">
      <c r="K786" s="44"/>
      <c r="L786" s="44"/>
    </row>
    <row r="787" spans="11:12" x14ac:dyDescent="0.3">
      <c r="K787" s="44"/>
      <c r="L787" s="44"/>
    </row>
    <row r="788" spans="11:12" x14ac:dyDescent="0.3">
      <c r="K788" s="44"/>
      <c r="L788" s="44"/>
    </row>
    <row r="789" spans="11:12" x14ac:dyDescent="0.3">
      <c r="K789" s="44"/>
      <c r="L789" s="44"/>
    </row>
    <row r="790" spans="11:12" x14ac:dyDescent="0.3">
      <c r="K790" s="44"/>
      <c r="L790" s="44"/>
    </row>
    <row r="791" spans="11:12" x14ac:dyDescent="0.3">
      <c r="K791" s="44"/>
      <c r="L791" s="44"/>
    </row>
    <row r="792" spans="11:12" x14ac:dyDescent="0.3">
      <c r="K792" s="44"/>
      <c r="L792" s="44"/>
    </row>
    <row r="793" spans="11:12" x14ac:dyDescent="0.3">
      <c r="K793" s="44"/>
      <c r="L793" s="44"/>
    </row>
    <row r="794" spans="11:12" x14ac:dyDescent="0.3">
      <c r="K794" s="44"/>
      <c r="L794" s="44"/>
    </row>
    <row r="795" spans="11:12" x14ac:dyDescent="0.3">
      <c r="K795" s="44"/>
      <c r="L795" s="44"/>
    </row>
    <row r="796" spans="11:12" x14ac:dyDescent="0.3">
      <c r="K796" s="44"/>
      <c r="L796" s="44"/>
    </row>
    <row r="797" spans="11:12" x14ac:dyDescent="0.3">
      <c r="K797" s="44"/>
      <c r="L797" s="44"/>
    </row>
    <row r="798" spans="11:12" x14ac:dyDescent="0.3">
      <c r="K798" s="44"/>
      <c r="L798" s="44"/>
    </row>
    <row r="799" spans="11:12" x14ac:dyDescent="0.3">
      <c r="K799" s="44"/>
      <c r="L799" s="44"/>
    </row>
    <row r="800" spans="11:12" x14ac:dyDescent="0.3">
      <c r="K800" s="44"/>
      <c r="L800" s="44"/>
    </row>
    <row r="801" spans="11:12" x14ac:dyDescent="0.3">
      <c r="K801" s="44"/>
      <c r="L801" s="44"/>
    </row>
    <row r="802" spans="11:12" x14ac:dyDescent="0.3">
      <c r="K802" s="44"/>
      <c r="L802" s="44"/>
    </row>
    <row r="803" spans="11:12" x14ac:dyDescent="0.3">
      <c r="K803" s="44"/>
      <c r="L803" s="44"/>
    </row>
    <row r="804" spans="11:12" x14ac:dyDescent="0.3">
      <c r="K804" s="44"/>
      <c r="L804" s="44"/>
    </row>
    <row r="805" spans="11:12" x14ac:dyDescent="0.3">
      <c r="K805" s="44"/>
      <c r="L805" s="44"/>
    </row>
    <row r="806" spans="11:12" x14ac:dyDescent="0.3">
      <c r="K806" s="44"/>
      <c r="L806" s="44"/>
    </row>
    <row r="807" spans="11:12" x14ac:dyDescent="0.3">
      <c r="K807" s="44"/>
      <c r="L807" s="44"/>
    </row>
    <row r="808" spans="11:12" x14ac:dyDescent="0.3">
      <c r="K808" s="44"/>
      <c r="L808" s="44"/>
    </row>
    <row r="809" spans="11:12" x14ac:dyDescent="0.3">
      <c r="K809" s="44"/>
      <c r="L809" s="44"/>
    </row>
    <row r="810" spans="11:12" x14ac:dyDescent="0.3">
      <c r="K810" s="44"/>
      <c r="L810" s="44"/>
    </row>
    <row r="811" spans="11:12" x14ac:dyDescent="0.3">
      <c r="K811" s="44"/>
      <c r="L811" s="44"/>
    </row>
    <row r="812" spans="11:12" x14ac:dyDescent="0.3">
      <c r="K812" s="44"/>
      <c r="L812" s="44"/>
    </row>
    <row r="813" spans="11:12" x14ac:dyDescent="0.3">
      <c r="K813" s="44"/>
      <c r="L813" s="44"/>
    </row>
    <row r="814" spans="11:12" x14ac:dyDescent="0.3">
      <c r="K814" s="44"/>
      <c r="L814" s="44"/>
    </row>
    <row r="815" spans="11:12" x14ac:dyDescent="0.3">
      <c r="K815" s="44"/>
      <c r="L815" s="44"/>
    </row>
    <row r="816" spans="11:12" x14ac:dyDescent="0.3">
      <c r="K816" s="44"/>
      <c r="L816" s="44"/>
    </row>
    <row r="817" spans="11:12" x14ac:dyDescent="0.3">
      <c r="K817" s="44"/>
      <c r="L817" s="44"/>
    </row>
    <row r="818" spans="11:12" x14ac:dyDescent="0.3">
      <c r="K818" s="44"/>
      <c r="L818" s="44"/>
    </row>
    <row r="819" spans="11:12" x14ac:dyDescent="0.3">
      <c r="K819" s="44"/>
      <c r="L819" s="44"/>
    </row>
    <row r="820" spans="11:12" x14ac:dyDescent="0.3">
      <c r="K820" s="44"/>
      <c r="L820" s="44"/>
    </row>
    <row r="821" spans="11:12" x14ac:dyDescent="0.3">
      <c r="K821" s="44"/>
      <c r="L821" s="44"/>
    </row>
    <row r="822" spans="11:12" x14ac:dyDescent="0.3">
      <c r="K822" s="44"/>
      <c r="L822" s="44"/>
    </row>
    <row r="823" spans="11:12" x14ac:dyDescent="0.3">
      <c r="K823" s="44"/>
      <c r="L823" s="44"/>
    </row>
    <row r="824" spans="11:12" x14ac:dyDescent="0.3">
      <c r="K824" s="44"/>
      <c r="L824" s="44"/>
    </row>
    <row r="825" spans="11:12" x14ac:dyDescent="0.3">
      <c r="K825" s="44"/>
      <c r="L825" s="44"/>
    </row>
    <row r="826" spans="11:12" x14ac:dyDescent="0.3">
      <c r="K826" s="44"/>
      <c r="L826" s="44"/>
    </row>
    <row r="827" spans="11:12" x14ac:dyDescent="0.3">
      <c r="K827" s="44"/>
      <c r="L827" s="44"/>
    </row>
    <row r="828" spans="11:12" x14ac:dyDescent="0.3">
      <c r="K828" s="44"/>
      <c r="L828" s="44"/>
    </row>
    <row r="829" spans="11:12" x14ac:dyDescent="0.3">
      <c r="K829" s="44"/>
      <c r="L829" s="44"/>
    </row>
    <row r="830" spans="11:12" x14ac:dyDescent="0.3">
      <c r="K830" s="44"/>
      <c r="L830" s="44"/>
    </row>
    <row r="831" spans="11:12" x14ac:dyDescent="0.3">
      <c r="K831" s="44"/>
      <c r="L831" s="44"/>
    </row>
    <row r="832" spans="11:12" x14ac:dyDescent="0.3">
      <c r="K832" s="44"/>
      <c r="L832" s="44"/>
    </row>
    <row r="833" spans="11:12" x14ac:dyDescent="0.3">
      <c r="K833" s="44"/>
      <c r="L833" s="44"/>
    </row>
    <row r="834" spans="11:12" x14ac:dyDescent="0.3">
      <c r="K834" s="44"/>
      <c r="L834" s="44"/>
    </row>
    <row r="835" spans="11:12" x14ac:dyDescent="0.3">
      <c r="K835" s="44"/>
      <c r="L835" s="44"/>
    </row>
    <row r="836" spans="11:12" x14ac:dyDescent="0.3">
      <c r="K836" s="44"/>
      <c r="L836" s="44"/>
    </row>
    <row r="837" spans="11:12" x14ac:dyDescent="0.3">
      <c r="K837" s="44"/>
      <c r="L837" s="44"/>
    </row>
    <row r="838" spans="11:12" x14ac:dyDescent="0.3">
      <c r="K838" s="44"/>
      <c r="L838" s="44"/>
    </row>
    <row r="839" spans="11:12" x14ac:dyDescent="0.3">
      <c r="K839" s="44"/>
      <c r="L839" s="44"/>
    </row>
    <row r="840" spans="11:12" x14ac:dyDescent="0.3">
      <c r="K840" s="44"/>
      <c r="L840" s="44"/>
    </row>
    <row r="841" spans="11:12" x14ac:dyDescent="0.3">
      <c r="K841" s="44"/>
      <c r="L841" s="44"/>
    </row>
    <row r="842" spans="11:12" x14ac:dyDescent="0.3">
      <c r="K842" s="44"/>
      <c r="L842" s="44"/>
    </row>
    <row r="843" spans="11:12" x14ac:dyDescent="0.3">
      <c r="K843" s="44"/>
      <c r="L843" s="44"/>
    </row>
    <row r="844" spans="11:12" x14ac:dyDescent="0.3">
      <c r="K844" s="44"/>
      <c r="L844" s="44"/>
    </row>
    <row r="845" spans="11:12" x14ac:dyDescent="0.3">
      <c r="K845" s="44"/>
      <c r="L845" s="44"/>
    </row>
    <row r="846" spans="11:12" x14ac:dyDescent="0.3">
      <c r="K846" s="44"/>
      <c r="L846" s="44"/>
    </row>
    <row r="847" spans="11:12" x14ac:dyDescent="0.3">
      <c r="K847" s="44"/>
      <c r="L847" s="44"/>
    </row>
    <row r="848" spans="11:12" x14ac:dyDescent="0.3">
      <c r="K848" s="44"/>
      <c r="L848" s="44"/>
    </row>
    <row r="849" spans="11:12" x14ac:dyDescent="0.3">
      <c r="K849" s="44"/>
      <c r="L849" s="44"/>
    </row>
    <row r="850" spans="11:12" x14ac:dyDescent="0.3">
      <c r="K850" s="44"/>
      <c r="L850" s="44"/>
    </row>
    <row r="851" spans="11:12" x14ac:dyDescent="0.3">
      <c r="K851" s="44"/>
      <c r="L851" s="44"/>
    </row>
    <row r="852" spans="11:12" x14ac:dyDescent="0.3">
      <c r="K852" s="44"/>
      <c r="L852" s="44"/>
    </row>
    <row r="853" spans="11:12" x14ac:dyDescent="0.3">
      <c r="K853" s="44"/>
      <c r="L853" s="44"/>
    </row>
    <row r="854" spans="11:12" x14ac:dyDescent="0.3">
      <c r="K854" s="44"/>
      <c r="L854" s="44"/>
    </row>
    <row r="855" spans="11:12" x14ac:dyDescent="0.3">
      <c r="K855" s="44"/>
      <c r="L855" s="44"/>
    </row>
    <row r="856" spans="11:12" x14ac:dyDescent="0.3">
      <c r="K856" s="44"/>
      <c r="L856" s="44"/>
    </row>
    <row r="857" spans="11:12" x14ac:dyDescent="0.3">
      <c r="K857" s="44"/>
      <c r="L857" s="44"/>
    </row>
    <row r="858" spans="11:12" x14ac:dyDescent="0.3">
      <c r="K858" s="44"/>
      <c r="L858" s="44"/>
    </row>
    <row r="859" spans="11:12" x14ac:dyDescent="0.3">
      <c r="K859" s="44"/>
      <c r="L859" s="44"/>
    </row>
    <row r="860" spans="11:12" x14ac:dyDescent="0.3">
      <c r="K860" s="44"/>
      <c r="L860" s="44"/>
    </row>
    <row r="861" spans="11:12" x14ac:dyDescent="0.3">
      <c r="K861" s="44"/>
      <c r="L861" s="44"/>
    </row>
    <row r="862" spans="11:12" x14ac:dyDescent="0.3">
      <c r="K862" s="44"/>
      <c r="L862" s="44"/>
    </row>
    <row r="863" spans="11:12" x14ac:dyDescent="0.3">
      <c r="K863" s="44"/>
      <c r="L863" s="44"/>
    </row>
    <row r="864" spans="11:12" x14ac:dyDescent="0.3">
      <c r="K864" s="44"/>
      <c r="L864" s="44"/>
    </row>
    <row r="865" spans="11:12" x14ac:dyDescent="0.3">
      <c r="K865" s="44"/>
      <c r="L865" s="44"/>
    </row>
    <row r="866" spans="11:12" x14ac:dyDescent="0.3">
      <c r="K866" s="44"/>
      <c r="L866" s="44"/>
    </row>
    <row r="867" spans="11:12" x14ac:dyDescent="0.3">
      <c r="K867" s="44"/>
      <c r="L867" s="44"/>
    </row>
    <row r="868" spans="11:12" x14ac:dyDescent="0.3">
      <c r="K868" s="44"/>
      <c r="L868" s="44"/>
    </row>
    <row r="869" spans="11:12" x14ac:dyDescent="0.3">
      <c r="K869" s="44"/>
      <c r="L869" s="44"/>
    </row>
    <row r="870" spans="11:12" x14ac:dyDescent="0.3">
      <c r="K870" s="44"/>
      <c r="L870" s="44"/>
    </row>
    <row r="871" spans="11:12" x14ac:dyDescent="0.3">
      <c r="K871" s="44"/>
      <c r="L871" s="44"/>
    </row>
    <row r="872" spans="11:12" x14ac:dyDescent="0.3">
      <c r="K872" s="44"/>
      <c r="L872" s="44"/>
    </row>
    <row r="873" spans="11:12" x14ac:dyDescent="0.3">
      <c r="K873" s="44"/>
      <c r="L873" s="44"/>
    </row>
    <row r="874" spans="11:12" x14ac:dyDescent="0.3">
      <c r="K874" s="44"/>
      <c r="L874" s="44"/>
    </row>
    <row r="875" spans="11:12" x14ac:dyDescent="0.3">
      <c r="K875" s="44"/>
      <c r="L875" s="44"/>
    </row>
    <row r="876" spans="11:12" x14ac:dyDescent="0.3">
      <c r="K876" s="44"/>
      <c r="L876" s="44"/>
    </row>
    <row r="877" spans="11:12" x14ac:dyDescent="0.3">
      <c r="K877" s="44"/>
      <c r="L877" s="44"/>
    </row>
    <row r="878" spans="11:12" x14ac:dyDescent="0.3">
      <c r="K878" s="44"/>
      <c r="L878" s="44"/>
    </row>
    <row r="879" spans="11:12" x14ac:dyDescent="0.3">
      <c r="K879" s="44"/>
      <c r="L879" s="44"/>
    </row>
    <row r="880" spans="11:12" x14ac:dyDescent="0.3">
      <c r="K880" s="44"/>
      <c r="L880" s="44"/>
    </row>
    <row r="881" spans="11:12" x14ac:dyDescent="0.3">
      <c r="K881" s="44"/>
      <c r="L881" s="44"/>
    </row>
    <row r="882" spans="11:12" x14ac:dyDescent="0.3">
      <c r="K882" s="44"/>
      <c r="L882" s="44"/>
    </row>
    <row r="883" spans="11:12" x14ac:dyDescent="0.3">
      <c r="K883" s="44"/>
      <c r="L883" s="44"/>
    </row>
    <row r="884" spans="11:12" x14ac:dyDescent="0.3">
      <c r="K884" s="44"/>
      <c r="L884" s="44"/>
    </row>
    <row r="885" spans="11:12" x14ac:dyDescent="0.3">
      <c r="K885" s="44"/>
      <c r="L885" s="44"/>
    </row>
    <row r="886" spans="11:12" x14ac:dyDescent="0.3">
      <c r="K886" s="44"/>
      <c r="L886" s="44"/>
    </row>
  </sheetData>
  <customSheetViews>
    <customSheetView guid="{195DF303-1BBD-4236-94B5-47432850B006}" scale="75" fitToPage="1" showRuler="0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1"/>
      <headerFooter alignWithMargins="0"/>
    </customSheetView>
    <customSheetView guid="{0C49E549-011E-46F4-A82E-2CC8951A9C1E}" scale="75" fitToPage="1" showRuler="0">
      <selection activeCell="C36" sqref="C36"/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2"/>
      <headerFooter alignWithMargins="0"/>
    </customSheetView>
    <customSheetView guid="{4BC93440-BA85-4935-A8C9-66DC6AE5DE5E}" scale="75" fitToPage="1" showRuler="0" topLeftCell="A38">
      <selection activeCell="E58" activeCellId="2" sqref="E50 E52 E58"/>
      <rowBreaks count="1" manualBreakCount="1">
        <brk id="62" max="10" man="1"/>
      </rowBreaks>
      <pageMargins left="0.5" right="0.75" top="1" bottom="1" header="0.5" footer="0.5"/>
      <printOptions horizontalCentered="1"/>
      <pageSetup scale="68" orientation="portrait" horizontalDpi="300" verticalDpi="300" r:id="rId3"/>
      <headerFooter alignWithMargins="0"/>
    </customSheetView>
    <customSheetView guid="{2431C9E5-7CC2-4B8D-99C3-962247B1DBF5}" scale="75" fitToPage="1" showRuler="0">
      <selection activeCell="A18" sqref="A18"/>
      <rowBreaks count="1" manualBreakCount="1">
        <brk id="62" max="10" man="1"/>
      </rowBreaks>
      <pageMargins left="0.5" right="0.75" top="1" bottom="1" header="0.5" footer="0.5"/>
      <printOptions horizontalCentered="1"/>
      <pageSetup scale="68" orientation="portrait" horizontalDpi="300" verticalDpi="300" r:id="rId4"/>
      <headerFooter alignWithMargins="0"/>
    </customSheetView>
    <customSheetView guid="{2EA35095-1ADC-4CC7-8C3C-B487D65FA247}" scale="75" fitToPage="1" showRuler="0" topLeftCell="A25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5"/>
      <headerFooter alignWithMargins="0"/>
    </customSheetView>
    <customSheetView guid="{8FC77C99-DBF7-40B8-99B8-01B75826CDCB}" scale="75" showPageBreaks="1" fitToPage="1" printArea="1" showRuler="0">
      <selection sqref="A1:K62"/>
      <rowBreaks count="1" manualBreakCount="1">
        <brk id="61" max="10" man="1"/>
      </rowBreaks>
      <pageMargins left="0.5" right="0.75" top="1" bottom="1" header="0.5" footer="0.5"/>
      <printOptions horizontalCentered="1"/>
      <pageSetup scale="67" orientation="portrait" horizontalDpi="300" verticalDpi="300" r:id="rId6"/>
      <headerFooter alignWithMargins="0"/>
    </customSheetView>
    <customSheetView guid="{8FB94551-8874-4095-B8FB-5316E0D2FD2C}" scale="75" fitToPage="1" showRuler="0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7"/>
      <headerFooter alignWithMargins="0"/>
    </customSheetView>
    <customSheetView guid="{6B3D5C27-2FDE-4561-9575-1E98BFB869D0}" scale="75" fitToPage="1" showRuler="0" topLeftCell="D15">
      <selection activeCell="P24" sqref="P24"/>
      <rowBreaks count="1" manualBreakCount="1">
        <brk id="61" max="14" man="1"/>
      </rowBreaks>
      <pageMargins left="0.5" right="0.75" top="1" bottom="1" header="0.5" footer="0.5"/>
      <printOptions horizontalCentered="1"/>
      <pageSetup scale="52" orientation="portrait" horizontalDpi="300" verticalDpi="300" r:id="rId8"/>
      <headerFooter alignWithMargins="0"/>
    </customSheetView>
    <customSheetView guid="{0BC1F393-8A13-47D5-BC6C-0C99615B5AB9}" scale="75" fitToPage="1" showRuler="0">
      <rowBreaks count="1" manualBreakCount="1">
        <brk id="61" max="14" man="1"/>
      </rowBreaks>
      <pageMargins left="0.5" right="0.75" top="1" bottom="1" header="0.5" footer="0.5"/>
      <printOptions horizontalCentered="1"/>
      <pageSetup scale="48" orientation="portrait" horizontalDpi="300" verticalDpi="300" r:id="rId9"/>
      <headerFooter alignWithMargins="0"/>
    </customSheetView>
    <customSheetView guid="{18BDED73-BFA0-442E-87EC-CED86EE4CF94}" scale="70" fitToPage="1" showRuler="0" topLeftCell="A9">
      <selection activeCell="G64" sqref="G64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10"/>
      <headerFooter alignWithMargins="0"/>
    </customSheetView>
    <customSheetView guid="{35F19056-2E6F-4935-B863-78836FE990BF}" scale="70" fitToPage="1" showRuler="0" topLeftCell="A28">
      <selection activeCell="O44" sqref="O44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11"/>
      <headerFooter alignWithMargins="0"/>
    </customSheetView>
    <customSheetView guid="{F562D92E-120C-4AE9-9663-89E64D41DC53}" scale="70" fitToPage="1">
      <selection activeCell="A10" sqref="A10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12"/>
      <headerFooter alignWithMargins="0"/>
    </customSheetView>
  </customSheetViews>
  <phoneticPr fontId="11" type="noConversion"/>
  <printOptions horizontalCentered="1"/>
  <pageMargins left="0.5" right="0.75" top="1" bottom="1" header="0.5" footer="0.5"/>
  <pageSetup scale="52" orientation="portrait" horizontalDpi="300" verticalDpi="300" r:id="rId13"/>
  <headerFooter alignWithMargins="0"/>
  <rowBreaks count="1" manualBreakCount="1">
    <brk id="68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syncVertical="1" syncRef="A1" transitionEvaluation="1" transitionEntry="1" codeName="Sheet41">
    <pageSetUpPr fitToPage="1"/>
  </sheetPr>
  <dimension ref="A1:Y52"/>
  <sheetViews>
    <sheetView zoomScale="75" workbookViewId="0"/>
  </sheetViews>
  <sheetFormatPr defaultColWidth="9.75" defaultRowHeight="15.6" x14ac:dyDescent="0.3"/>
  <cols>
    <col min="1" max="1" width="4.25" style="41" customWidth="1"/>
    <col min="2" max="2" width="0.4140625" style="41" customWidth="1"/>
    <col min="3" max="3" width="11.9140625" style="41" customWidth="1"/>
    <col min="4" max="4" width="29.6640625" style="41" customWidth="1"/>
    <col min="5" max="5" width="0.33203125" style="41" customWidth="1"/>
    <col min="6" max="6" width="12.4140625" style="41" customWidth="1"/>
    <col min="7" max="7" width="0.4140625" style="41" customWidth="1"/>
    <col min="8" max="8" width="14.75" style="41" customWidth="1"/>
    <col min="9" max="9" width="0.33203125" style="41" customWidth="1"/>
    <col min="10" max="10" width="15.6640625" style="41" customWidth="1"/>
    <col min="11" max="11" width="0.33203125" style="41" customWidth="1"/>
    <col min="12" max="12" width="10.08203125" style="41" customWidth="1"/>
    <col min="13" max="13" width="0.4140625" style="41" customWidth="1"/>
    <col min="14" max="14" width="12.58203125" style="41" customWidth="1"/>
    <col min="15" max="15" width="0.33203125" style="41" customWidth="1"/>
    <col min="16" max="16" width="14.75" style="41" customWidth="1"/>
    <col min="17" max="17" width="0.4140625" style="41" customWidth="1"/>
    <col min="18" max="18" width="15.75" style="41" customWidth="1"/>
    <col min="19" max="19" width="0.4140625" style="41" customWidth="1"/>
    <col min="20" max="20" width="9.75" style="41" customWidth="1"/>
    <col min="21" max="22" width="9.75" style="41"/>
    <col min="23" max="23" width="14.9140625" style="41" bestFit="1" customWidth="1"/>
    <col min="24" max="24" width="9.75" style="41"/>
    <col min="25" max="25" width="13.33203125" style="41" bestFit="1" customWidth="1"/>
    <col min="26" max="72" width="9.75" style="41"/>
    <col min="73" max="73" width="20.75" style="41" customWidth="1"/>
    <col min="74" max="16384" width="9.75" style="41"/>
  </cols>
  <sheetData>
    <row r="1" spans="1:2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</row>
    <row r="2" spans="1:2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</row>
    <row r="3" spans="1:20" x14ac:dyDescent="0.3">
      <c r="A3" s="40" t="s">
        <v>637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</row>
    <row r="4" spans="1:2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</row>
    <row r="5" spans="1:2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</row>
    <row r="6" spans="1:20" x14ac:dyDescent="0.3">
      <c r="A6" s="41" t="str">
        <f>DATA_PERIOD</f>
        <v>DATA: ____ BASE PERIOD   __X__FORECASTED PERIOD</v>
      </c>
      <c r="R6" s="42" t="s">
        <v>188</v>
      </c>
      <c r="S6" s="42"/>
    </row>
    <row r="7" spans="1:20" x14ac:dyDescent="0.3">
      <c r="A7" s="41" t="str">
        <f>TYPE</f>
        <v>TYPE OF FILING: _X_ ORIGINAL   ___UPDATED  ___ REVISED</v>
      </c>
      <c r="R7" s="42" t="s">
        <v>159</v>
      </c>
      <c r="S7" s="42"/>
    </row>
    <row r="8" spans="1:20" x14ac:dyDescent="0.3">
      <c r="A8" s="42" t="s">
        <v>171</v>
      </c>
      <c r="R8" s="42" t="s">
        <v>3</v>
      </c>
      <c r="S8" s="42"/>
    </row>
    <row r="9" spans="1:20" x14ac:dyDescent="0.3">
      <c r="A9" s="132" t="str">
        <f>TIME</f>
        <v>12 Months Projected with Riders</v>
      </c>
      <c r="R9" s="41" t="str">
        <f>WIT</f>
        <v>B. L. Sailers</v>
      </c>
      <c r="S9" s="42"/>
    </row>
    <row r="10" spans="1:20" s="153" customFormat="1" x14ac:dyDescent="0.3">
      <c r="A10" s="132" t="str">
        <f>INPUT!B5</f>
        <v xml:space="preserve"> </v>
      </c>
      <c r="S10" s="132"/>
    </row>
    <row r="11" spans="1:20" x14ac:dyDescent="0.3">
      <c r="A11" s="40" t="s">
        <v>637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</row>
    <row r="12" spans="1:20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</row>
    <row r="13" spans="1:20" ht="18" customHeight="1" x14ac:dyDescent="0.3">
      <c r="J13" s="44" t="s">
        <v>646</v>
      </c>
      <c r="K13" s="44"/>
      <c r="L13" s="44"/>
      <c r="M13" s="44"/>
      <c r="N13" s="44" t="s">
        <v>191</v>
      </c>
      <c r="O13" s="44"/>
      <c r="R13" s="44"/>
      <c r="S13" s="44"/>
      <c r="T13" s="44"/>
    </row>
    <row r="14" spans="1:20" x14ac:dyDescent="0.3">
      <c r="J14" s="44" t="s">
        <v>12</v>
      </c>
      <c r="K14" s="44"/>
      <c r="L14" s="44"/>
      <c r="M14" s="44"/>
      <c r="N14" s="44" t="s">
        <v>192</v>
      </c>
      <c r="O14" s="44"/>
      <c r="R14" s="44" t="s">
        <v>646</v>
      </c>
      <c r="S14" s="44"/>
      <c r="T14" s="44"/>
    </row>
    <row r="15" spans="1:2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842</v>
      </c>
      <c r="K15" s="44"/>
      <c r="L15" s="44" t="s">
        <v>189</v>
      </c>
      <c r="M15" s="44"/>
      <c r="N15" s="44" t="s">
        <v>193</v>
      </c>
      <c r="O15" s="44"/>
      <c r="P15" s="44" t="s">
        <v>842</v>
      </c>
      <c r="Q15" s="44"/>
      <c r="R15" s="44" t="s">
        <v>9</v>
      </c>
      <c r="S15" s="44"/>
      <c r="T15" s="44" t="s">
        <v>191</v>
      </c>
    </row>
    <row r="16" spans="1:20" x14ac:dyDescent="0.3">
      <c r="A16" s="44" t="s">
        <v>22</v>
      </c>
      <c r="C16" s="44" t="s">
        <v>23</v>
      </c>
      <c r="D16" s="44" t="s">
        <v>24</v>
      </c>
      <c r="E16" s="44"/>
      <c r="F16" s="44" t="s">
        <v>55</v>
      </c>
      <c r="H16" s="44" t="s">
        <v>26</v>
      </c>
      <c r="I16" s="44"/>
      <c r="J16" s="44" t="s">
        <v>9</v>
      </c>
      <c r="K16" s="44"/>
      <c r="L16" s="44" t="s">
        <v>18</v>
      </c>
      <c r="M16" s="44"/>
      <c r="N16" s="44" t="s">
        <v>842</v>
      </c>
      <c r="O16" s="44"/>
      <c r="P16" s="44" t="s">
        <v>9</v>
      </c>
      <c r="Q16" s="44"/>
      <c r="R16" s="44" t="s">
        <v>11</v>
      </c>
      <c r="S16" s="44"/>
      <c r="T16" s="44" t="s">
        <v>192</v>
      </c>
    </row>
    <row r="17" spans="1:25" x14ac:dyDescent="0.3">
      <c r="C17" s="141" t="s">
        <v>33</v>
      </c>
      <c r="D17" s="141" t="s">
        <v>34</v>
      </c>
      <c r="E17" s="141"/>
      <c r="F17" s="141" t="s">
        <v>35</v>
      </c>
      <c r="G17" s="153"/>
      <c r="H17" s="141" t="s">
        <v>36</v>
      </c>
      <c r="I17" s="141"/>
      <c r="J17" s="156" t="s">
        <v>37</v>
      </c>
      <c r="K17" s="141"/>
      <c r="L17" s="156" t="s">
        <v>190</v>
      </c>
      <c r="M17" s="141"/>
      <c r="N17" s="156" t="s">
        <v>39</v>
      </c>
      <c r="O17" s="141"/>
      <c r="P17" s="141" t="s">
        <v>40</v>
      </c>
      <c r="Q17" s="141"/>
      <c r="R17" s="156" t="s">
        <v>41</v>
      </c>
      <c r="S17" s="141"/>
      <c r="T17" s="156" t="s">
        <v>42</v>
      </c>
    </row>
    <row r="18" spans="1:25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</row>
    <row r="19" spans="1:25" s="153" customFormat="1" ht="17.100000000000001" customHeight="1" x14ac:dyDescent="0.3">
      <c r="H19" s="141" t="s">
        <v>49</v>
      </c>
      <c r="I19" s="141"/>
      <c r="J19" s="141" t="s">
        <v>50</v>
      </c>
      <c r="K19" s="141"/>
      <c r="L19" s="156" t="s">
        <v>198</v>
      </c>
      <c r="M19" s="141"/>
      <c r="N19" s="141" t="s">
        <v>51</v>
      </c>
      <c r="O19" s="141"/>
      <c r="P19" s="141" t="s">
        <v>50</v>
      </c>
      <c r="Q19" s="141"/>
      <c r="R19" s="141" t="s">
        <v>50</v>
      </c>
      <c r="S19" s="141"/>
      <c r="T19" s="141" t="s">
        <v>51</v>
      </c>
    </row>
    <row r="20" spans="1:25" x14ac:dyDescent="0.3">
      <c r="A20" s="44">
        <v>1</v>
      </c>
      <c r="C20" s="42" t="s">
        <v>52</v>
      </c>
      <c r="D20" s="45" t="s">
        <v>243</v>
      </c>
      <c r="E20" s="42"/>
      <c r="F20" s="3">
        <f>'Rate RS'!X79</f>
        <v>1689991</v>
      </c>
      <c r="G20" s="1"/>
      <c r="H20" s="3">
        <f>'Rate RS'!Z79</f>
        <v>1527729253</v>
      </c>
      <c r="I20" s="3"/>
      <c r="J20" s="3">
        <f>'Rate RS'!AD79</f>
        <v>199737729</v>
      </c>
      <c r="K20" s="3"/>
      <c r="L20" s="157">
        <f t="shared" ref="L20:L49" si="0">IF(H20=0,"-",ROUND(J20/H20*100,6))</f>
        <v>13.074158000000001</v>
      </c>
      <c r="M20" s="7"/>
      <c r="N20" s="158">
        <f>IF(ABS(J20/$J$49*100)&lt;0.005,"-   ",ROUND(J20/$J$49*100,2))</f>
        <v>43.15</v>
      </c>
      <c r="O20" s="6"/>
      <c r="P20" s="3">
        <f>'Rate RS'!AL79</f>
        <v>5327517</v>
      </c>
      <c r="Q20" s="3"/>
      <c r="R20" s="3">
        <f>'Rate RS'!AN79</f>
        <v>205065246</v>
      </c>
      <c r="S20" s="3"/>
      <c r="T20" s="158">
        <f t="shared" ref="T20:T44" si="1">IF(ABS(R20/$R$49*100)&lt;0.005,"-    ",ROUND(R20/$R$49*100,2))</f>
        <v>43.02</v>
      </c>
    </row>
    <row r="21" spans="1:25" x14ac:dyDescent="0.3">
      <c r="A21" s="44">
        <v>2</v>
      </c>
      <c r="C21" s="42"/>
      <c r="D21" s="45"/>
      <c r="E21" s="42"/>
      <c r="F21" s="3"/>
      <c r="G21" s="1"/>
      <c r="H21" s="3"/>
      <c r="I21" s="3"/>
      <c r="J21" s="3"/>
      <c r="K21" s="3"/>
      <c r="L21" s="157"/>
      <c r="M21" s="7"/>
      <c r="N21" s="158"/>
      <c r="O21" s="6"/>
      <c r="P21" s="3"/>
      <c r="Q21" s="3"/>
      <c r="R21" s="3"/>
      <c r="S21" s="3"/>
      <c r="T21" s="158"/>
    </row>
    <row r="22" spans="1:25" x14ac:dyDescent="0.3">
      <c r="A22" s="44">
        <v>3</v>
      </c>
      <c r="C22" s="42" t="s">
        <v>91</v>
      </c>
      <c r="D22" s="45" t="s">
        <v>244</v>
      </c>
      <c r="E22" s="42"/>
      <c r="F22" s="3">
        <f>'Rate DS'!Y106</f>
        <v>155005</v>
      </c>
      <c r="G22" s="1"/>
      <c r="H22" s="3">
        <f>'Rate DS'!AA106</f>
        <v>1097342923</v>
      </c>
      <c r="I22" s="3"/>
      <c r="J22" s="3">
        <f>'Rate DS'!AE106</f>
        <v>132292480</v>
      </c>
      <c r="K22" s="3"/>
      <c r="L22" s="157">
        <f t="shared" si="0"/>
        <v>12.055709999999999</v>
      </c>
      <c r="M22" s="7"/>
      <c r="N22" s="158">
        <f t="shared" ref="N22:N42" si="2">IF(ABS(J22/$J$49*100)&lt;0.005,"-   ",ROUND(J22/$J$49*100,2))</f>
        <v>28.58</v>
      </c>
      <c r="O22" s="6"/>
      <c r="P22" s="3">
        <f>'Rate DS'!AM106</f>
        <v>3826668</v>
      </c>
      <c r="Q22" s="3"/>
      <c r="R22" s="3">
        <f>'Rate DS'!AO106</f>
        <v>136119148</v>
      </c>
      <c r="S22" s="3"/>
      <c r="T22" s="158">
        <f t="shared" si="1"/>
        <v>28.56</v>
      </c>
    </row>
    <row r="23" spans="1:25" x14ac:dyDescent="0.3">
      <c r="A23" s="44">
        <v>4</v>
      </c>
      <c r="C23" s="42" t="s">
        <v>381</v>
      </c>
      <c r="D23" s="42" t="s">
        <v>61</v>
      </c>
      <c r="E23" s="42"/>
      <c r="F23" s="3">
        <f>'Rate DT-Pri'!Y137</f>
        <v>395</v>
      </c>
      <c r="G23" s="1"/>
      <c r="H23" s="3">
        <f>'Rate DT-Pri'!AA137</f>
        <v>474967440</v>
      </c>
      <c r="I23" s="3"/>
      <c r="J23" s="3">
        <f>'Rate DT-Pri'!AE137</f>
        <v>45773518</v>
      </c>
      <c r="K23" s="3"/>
      <c r="L23" s="157">
        <f t="shared" si="0"/>
        <v>9.6371909999999996</v>
      </c>
      <c r="M23" s="7"/>
      <c r="N23" s="158">
        <f t="shared" si="2"/>
        <v>9.89</v>
      </c>
      <c r="O23" s="6"/>
      <c r="P23" s="3">
        <f>'Rate DT-Pri'!AM137</f>
        <v>1656313</v>
      </c>
      <c r="Q23" s="3"/>
      <c r="R23" s="3">
        <f>'Rate DT-Pri'!AO137</f>
        <v>47429831</v>
      </c>
      <c r="S23" s="3"/>
      <c r="T23" s="158">
        <f t="shared" si="1"/>
        <v>9.9499999999999993</v>
      </c>
    </row>
    <row r="24" spans="1:25" x14ac:dyDescent="0.3">
      <c r="A24" s="44">
        <v>5</v>
      </c>
      <c r="C24" s="42" t="s">
        <v>379</v>
      </c>
      <c r="D24" s="42" t="s">
        <v>61</v>
      </c>
      <c r="E24" s="42"/>
      <c r="F24" s="3">
        <f>'Rate DT-Sec'!Y133</f>
        <v>1363</v>
      </c>
      <c r="G24" s="1"/>
      <c r="H24" s="3">
        <f>'Rate DT-Sec'!AA133</f>
        <v>600045849</v>
      </c>
      <c r="I24" s="3"/>
      <c r="J24" s="3">
        <f>'Rate DT-Sec'!AE133</f>
        <v>58882183</v>
      </c>
      <c r="K24" s="3"/>
      <c r="L24" s="157">
        <f t="shared" si="0"/>
        <v>9.8129469999999994</v>
      </c>
      <c r="M24" s="7"/>
      <c r="N24" s="158">
        <f t="shared" si="2"/>
        <v>12.72</v>
      </c>
      <c r="O24" s="6"/>
      <c r="P24" s="3">
        <f>'Rate DT-Sec'!AM133</f>
        <v>2092488</v>
      </c>
      <c r="Q24" s="3"/>
      <c r="R24" s="3">
        <f>J24+P24</f>
        <v>60974671</v>
      </c>
      <c r="S24" s="3"/>
      <c r="T24" s="158">
        <f t="shared" si="1"/>
        <v>12.79</v>
      </c>
    </row>
    <row r="25" spans="1:25" x14ac:dyDescent="0.3">
      <c r="A25" s="44">
        <v>6</v>
      </c>
      <c r="C25" s="42" t="s">
        <v>94</v>
      </c>
      <c r="D25" s="42" t="s">
        <v>246</v>
      </c>
      <c r="E25" s="42"/>
      <c r="F25" s="3">
        <f>'Rate EH'!Y91</f>
        <v>1006</v>
      </c>
      <c r="G25" s="1"/>
      <c r="H25" s="3">
        <f>'Rate EH'!AA91</f>
        <v>19145457</v>
      </c>
      <c r="I25" s="3"/>
      <c r="J25" s="3">
        <f>'Rate EH'!AE91</f>
        <v>1884829</v>
      </c>
      <c r="K25" s="3"/>
      <c r="L25" s="157">
        <f t="shared" si="0"/>
        <v>9.8447849999999999</v>
      </c>
      <c r="M25" s="7"/>
      <c r="N25" s="158">
        <f t="shared" si="2"/>
        <v>0.41</v>
      </c>
      <c r="O25" s="6"/>
      <c r="P25" s="3">
        <f>'Rate EH'!AM91</f>
        <v>66764</v>
      </c>
      <c r="Q25" s="3"/>
      <c r="R25" s="3">
        <f>'Rate EH'!AO91</f>
        <v>1951593</v>
      </c>
      <c r="S25" s="3"/>
      <c r="T25" s="158">
        <f t="shared" si="1"/>
        <v>0.41</v>
      </c>
    </row>
    <row r="26" spans="1:25" x14ac:dyDescent="0.3">
      <c r="A26" s="44">
        <v>7</v>
      </c>
      <c r="C26" s="42" t="s">
        <v>95</v>
      </c>
      <c r="D26" s="45" t="s">
        <v>245</v>
      </c>
      <c r="E26" s="42"/>
      <c r="F26" s="3">
        <f>'Rate SP GSFL'!Y101</f>
        <v>166</v>
      </c>
      <c r="G26" s="1"/>
      <c r="H26" s="3">
        <f>'Rate SP GSFL'!AA101</f>
        <v>327203</v>
      </c>
      <c r="I26" s="3"/>
      <c r="J26" s="3">
        <f>'Rate SP GSFL'!AE101</f>
        <v>51997</v>
      </c>
      <c r="K26" s="3"/>
      <c r="L26" s="157">
        <f t="shared" si="0"/>
        <v>15.891358</v>
      </c>
      <c r="M26" s="7"/>
      <c r="N26" s="158">
        <f t="shared" si="2"/>
        <v>0.01</v>
      </c>
      <c r="O26" s="6"/>
      <c r="P26" s="3">
        <f>'Rate SP GSFL'!AM101</f>
        <v>1141</v>
      </c>
      <c r="Q26" s="3"/>
      <c r="R26" s="3">
        <f>'Rate SP GSFL'!AO101</f>
        <v>53138</v>
      </c>
      <c r="S26" s="3"/>
      <c r="T26" s="158">
        <f t="shared" si="1"/>
        <v>0.01</v>
      </c>
      <c r="Y26" s="123"/>
    </row>
    <row r="27" spans="1:25" x14ac:dyDescent="0.3">
      <c r="A27" s="44">
        <v>8</v>
      </c>
      <c r="C27" s="42" t="s">
        <v>93</v>
      </c>
      <c r="D27" s="42" t="s">
        <v>153</v>
      </c>
      <c r="E27" s="42"/>
      <c r="F27" s="3">
        <f>'Rate SP GSFL'!Y120</f>
        <v>275</v>
      </c>
      <c r="G27" s="1"/>
      <c r="H27" s="3">
        <f>'Rate SP GSFL'!AA120</f>
        <v>5922743</v>
      </c>
      <c r="I27" s="3"/>
      <c r="J27" s="3">
        <f>'Rate SP GSFL'!AE120</f>
        <v>819491</v>
      </c>
      <c r="K27" s="3"/>
      <c r="L27" s="157">
        <f t="shared" si="0"/>
        <v>13.836342</v>
      </c>
      <c r="M27" s="7"/>
      <c r="N27" s="158">
        <f t="shared" si="2"/>
        <v>0.18</v>
      </c>
      <c r="O27" s="6"/>
      <c r="P27" s="3">
        <f>'Rate SP GSFL'!AM120</f>
        <v>20654</v>
      </c>
      <c r="Q27" s="3"/>
      <c r="R27" s="3">
        <f>J27+P27</f>
        <v>840145</v>
      </c>
      <c r="S27" s="3"/>
      <c r="T27" s="158">
        <f t="shared" si="1"/>
        <v>0.18</v>
      </c>
    </row>
    <row r="28" spans="1:25" x14ac:dyDescent="0.3">
      <c r="A28" s="44">
        <v>9</v>
      </c>
      <c r="C28" s="42" t="s">
        <v>92</v>
      </c>
      <c r="D28" s="45" t="s">
        <v>182</v>
      </c>
      <c r="E28" s="42"/>
      <c r="F28" s="3">
        <f>'Rate DP'!Y98</f>
        <v>120</v>
      </c>
      <c r="G28" s="1"/>
      <c r="H28" s="3">
        <f>'Rate DP'!AA98</f>
        <v>7726973</v>
      </c>
      <c r="I28" s="3"/>
      <c r="J28" s="3">
        <f>'Rate DP'!AE98</f>
        <v>869425</v>
      </c>
      <c r="K28" s="3"/>
      <c r="L28" s="157">
        <f t="shared" si="0"/>
        <v>11.251818999999999</v>
      </c>
      <c r="M28" s="7"/>
      <c r="N28" s="158">
        <f t="shared" si="2"/>
        <v>0.19</v>
      </c>
      <c r="O28" s="6"/>
      <c r="P28" s="3">
        <f>'Rate DP'!AM98</f>
        <v>26946</v>
      </c>
      <c r="Q28" s="3"/>
      <c r="R28" s="3">
        <f>'Rate DP'!AO98</f>
        <v>896371</v>
      </c>
      <c r="S28" s="3"/>
      <c r="T28" s="158">
        <f t="shared" si="1"/>
        <v>0.19</v>
      </c>
      <c r="Y28" s="123"/>
    </row>
    <row r="29" spans="1:25" x14ac:dyDescent="0.3">
      <c r="A29" s="44">
        <v>10</v>
      </c>
      <c r="C29" s="42" t="s">
        <v>60</v>
      </c>
      <c r="D29" s="42" t="s">
        <v>61</v>
      </c>
      <c r="E29" s="42"/>
      <c r="F29" s="3">
        <f>'Rate TT'!Y120</f>
        <v>156</v>
      </c>
      <c r="G29" s="1"/>
      <c r="H29" s="3">
        <f>'Rate TT'!AA120</f>
        <v>185463057</v>
      </c>
      <c r="I29" s="3"/>
      <c r="J29" s="3">
        <f>'Rate TT'!AE120</f>
        <v>14940605</v>
      </c>
      <c r="K29" s="3"/>
      <c r="L29" s="157">
        <f t="shared" si="0"/>
        <v>8.0558390000000006</v>
      </c>
      <c r="M29" s="7"/>
      <c r="N29" s="158">
        <f t="shared" si="2"/>
        <v>3.23</v>
      </c>
      <c r="O29" s="6"/>
      <c r="P29" s="3">
        <f>'Rate TT'!AM120</f>
        <v>646749</v>
      </c>
      <c r="Q29" s="3"/>
      <c r="R29" s="3">
        <f>'Rate TT'!AO120</f>
        <v>15587354</v>
      </c>
      <c r="S29" s="3"/>
      <c r="T29" s="158">
        <f t="shared" si="1"/>
        <v>3.27</v>
      </c>
    </row>
    <row r="30" spans="1:25" x14ac:dyDescent="0.3">
      <c r="A30" s="44">
        <v>11</v>
      </c>
      <c r="C30" s="41" t="s">
        <v>371</v>
      </c>
      <c r="D30" s="41" t="s">
        <v>258</v>
      </c>
      <c r="E30" s="42"/>
      <c r="F30" s="3">
        <f>'Rate DT RTP-P'!Y82</f>
        <v>0</v>
      </c>
      <c r="G30" s="1"/>
      <c r="H30" s="3">
        <f>'Rate DT RTP-P'!AA82</f>
        <v>0</v>
      </c>
      <c r="I30" s="3"/>
      <c r="J30" s="3">
        <f>'Rate DT RTP-P'!AE82</f>
        <v>0</v>
      </c>
      <c r="K30" s="3"/>
      <c r="L30" s="157" t="str">
        <f>IF(H30=0,"-",ROUND(J30/H30*100,6))</f>
        <v>-</v>
      </c>
      <c r="M30" s="7"/>
      <c r="N30" s="158" t="str">
        <f t="shared" si="2"/>
        <v xml:space="preserve">-   </v>
      </c>
      <c r="O30" s="6"/>
      <c r="P30" s="3">
        <f>'Rate DT RTP-P'!AM82</f>
        <v>0</v>
      </c>
      <c r="Q30" s="3"/>
      <c r="R30" s="3">
        <f>'Rate DT RTP-P'!AO82</f>
        <v>0</v>
      </c>
      <c r="S30" s="3"/>
      <c r="T30" s="158" t="str">
        <f t="shared" si="1"/>
        <v xml:space="preserve">-    </v>
      </c>
      <c r="W30" s="154"/>
    </row>
    <row r="31" spans="1:25" x14ac:dyDescent="0.3">
      <c r="A31" s="44">
        <v>12</v>
      </c>
      <c r="C31" s="41" t="s">
        <v>372</v>
      </c>
      <c r="D31" s="41" t="s">
        <v>258</v>
      </c>
      <c r="E31" s="42"/>
      <c r="F31" s="3">
        <f>'Rate DT RTP-S'!Y83</f>
        <v>12</v>
      </c>
      <c r="G31" s="1"/>
      <c r="H31" s="3">
        <f>'Rate DT RTP-S'!AA83</f>
        <v>1106948</v>
      </c>
      <c r="I31" s="3"/>
      <c r="J31" s="3">
        <f>'Rate DT RTP-S'!AE83</f>
        <v>74934</v>
      </c>
      <c r="K31" s="3"/>
      <c r="L31" s="157">
        <f t="shared" si="0"/>
        <v>6.7694239999999999</v>
      </c>
      <c r="M31" s="7"/>
      <c r="N31" s="158">
        <f t="shared" si="2"/>
        <v>0.02</v>
      </c>
      <c r="O31" s="6"/>
      <c r="P31" s="3">
        <f>'Rate DT RTP-S'!AM83</f>
        <v>0</v>
      </c>
      <c r="Q31" s="3"/>
      <c r="R31" s="3">
        <f>'Rate DT RTP-S'!AO83</f>
        <v>74934</v>
      </c>
      <c r="S31" s="3"/>
      <c r="T31" s="158">
        <f t="shared" si="1"/>
        <v>0.02</v>
      </c>
    </row>
    <row r="32" spans="1:25" x14ac:dyDescent="0.3">
      <c r="A32" s="44">
        <v>13</v>
      </c>
      <c r="C32" s="41" t="s">
        <v>261</v>
      </c>
      <c r="D32" s="41" t="s">
        <v>258</v>
      </c>
      <c r="E32" s="42"/>
      <c r="F32" s="3">
        <f>'Rate DS RTP'!Y83</f>
        <v>12</v>
      </c>
      <c r="G32" s="1"/>
      <c r="H32" s="3">
        <f>'Rate DS RTP'!AA83</f>
        <v>-2961</v>
      </c>
      <c r="I32" s="3"/>
      <c r="J32" s="3">
        <f>'Rate DS RTP'!AE83</f>
        <v>2021</v>
      </c>
      <c r="K32" s="3"/>
      <c r="L32" s="157">
        <f t="shared" si="0"/>
        <v>-68.253968</v>
      </c>
      <c r="M32" s="7"/>
      <c r="N32" s="158" t="str">
        <f t="shared" si="2"/>
        <v xml:space="preserve">-   </v>
      </c>
      <c r="O32" s="6"/>
      <c r="P32" s="3">
        <f>'Rate DS RTP'!AM83</f>
        <v>0</v>
      </c>
      <c r="Q32" s="3"/>
      <c r="R32" s="3">
        <f>'Rate DS RTP'!AO83</f>
        <v>2021</v>
      </c>
      <c r="S32" s="3"/>
      <c r="T32" s="158" t="str">
        <f t="shared" si="1"/>
        <v xml:space="preserve">-    </v>
      </c>
      <c r="W32" s="125"/>
    </row>
    <row r="33" spans="1:24" x14ac:dyDescent="0.3">
      <c r="A33" s="44">
        <v>14</v>
      </c>
      <c r="C33" s="41" t="s">
        <v>262</v>
      </c>
      <c r="D33" s="41" t="s">
        <v>258</v>
      </c>
      <c r="E33" s="42"/>
      <c r="F33" s="3">
        <f>'Rate TT RTP'!Y85</f>
        <v>24</v>
      </c>
      <c r="G33" s="1"/>
      <c r="H33" s="3">
        <f>'Rate TT RTP'!AA85</f>
        <v>12132774</v>
      </c>
      <c r="I33" s="3"/>
      <c r="J33" s="3">
        <f>'Rate TT RTP'!AE85</f>
        <v>539003</v>
      </c>
      <c r="K33" s="3"/>
      <c r="L33" s="157">
        <f t="shared" si="0"/>
        <v>4.4425369999999997</v>
      </c>
      <c r="M33" s="7"/>
      <c r="N33" s="158">
        <f t="shared" si="2"/>
        <v>0.12</v>
      </c>
      <c r="O33" s="6"/>
      <c r="P33" s="3">
        <f>'Rate TT RTP'!AM85</f>
        <v>0</v>
      </c>
      <c r="Q33" s="3"/>
      <c r="R33" s="3">
        <f>'Rate TT RTP'!AO85</f>
        <v>539003</v>
      </c>
      <c r="S33" s="3"/>
      <c r="T33" s="158">
        <f t="shared" si="1"/>
        <v>0.11</v>
      </c>
      <c r="W33" s="127"/>
    </row>
    <row r="34" spans="1:24" x14ac:dyDescent="0.3">
      <c r="A34" s="44">
        <v>15</v>
      </c>
      <c r="C34" s="42" t="s">
        <v>77</v>
      </c>
      <c r="D34" s="45" t="s">
        <v>78</v>
      </c>
      <c r="E34" s="42"/>
      <c r="F34" s="3">
        <f>'Rate SL'!Y293</f>
        <v>103310</v>
      </c>
      <c r="G34" s="1"/>
      <c r="H34" s="3">
        <f>'Rate SL'!AA293</f>
        <v>6857780</v>
      </c>
      <c r="I34" s="3"/>
      <c r="J34" s="3">
        <f>'Rate SL'!AE293</f>
        <v>1419233</v>
      </c>
      <c r="K34" s="3"/>
      <c r="L34" s="157">
        <f t="shared" si="0"/>
        <v>20.695225000000001</v>
      </c>
      <c r="M34" s="7"/>
      <c r="N34" s="158">
        <f t="shared" si="2"/>
        <v>0.31</v>
      </c>
      <c r="O34" s="6"/>
      <c r="P34" s="3">
        <f>'Rate SL'!AM293</f>
        <v>23917</v>
      </c>
      <c r="Q34" s="3"/>
      <c r="R34" s="3">
        <f>'Rate SL'!AO293</f>
        <v>1443150</v>
      </c>
      <c r="S34" s="3"/>
      <c r="T34" s="158">
        <f t="shared" si="1"/>
        <v>0.3</v>
      </c>
      <c r="W34" s="123"/>
    </row>
    <row r="35" spans="1:24" x14ac:dyDescent="0.3">
      <c r="A35" s="44">
        <v>16</v>
      </c>
      <c r="C35" s="42" t="s">
        <v>81</v>
      </c>
      <c r="D35" s="45" t="s">
        <v>82</v>
      </c>
      <c r="E35" s="42"/>
      <c r="F35" s="3">
        <f>'Rate TL'!Y72</f>
        <v>1560</v>
      </c>
      <c r="G35" s="1"/>
      <c r="H35" s="3">
        <f>'Rate TL'!AA72</f>
        <v>1436827.8010000002</v>
      </c>
      <c r="I35" s="3"/>
      <c r="J35" s="3">
        <f>'Rate TL'!AE72</f>
        <v>100510</v>
      </c>
      <c r="K35" s="3"/>
      <c r="L35" s="157">
        <f t="shared" si="0"/>
        <v>6.9952709999999998</v>
      </c>
      <c r="M35" s="7"/>
      <c r="N35" s="158">
        <f t="shared" si="2"/>
        <v>0.02</v>
      </c>
      <c r="O35" s="6"/>
      <c r="P35" s="3">
        <f>'Rate TL'!AM72</f>
        <v>5011</v>
      </c>
      <c r="Q35" s="3"/>
      <c r="R35" s="3">
        <f>'Rate TL'!AO72</f>
        <v>105521</v>
      </c>
      <c r="S35" s="3"/>
      <c r="T35" s="158">
        <f t="shared" si="1"/>
        <v>0.02</v>
      </c>
    </row>
    <row r="36" spans="1:24" x14ac:dyDescent="0.3">
      <c r="A36" s="44">
        <v>17</v>
      </c>
      <c r="C36" s="42" t="s">
        <v>240</v>
      </c>
      <c r="D36" s="42" t="s">
        <v>247</v>
      </c>
      <c r="E36" s="42"/>
      <c r="F36" s="3">
        <f>'Rate UOLS'!Y63</f>
        <v>30661</v>
      </c>
      <c r="G36" s="1"/>
      <c r="H36" s="3">
        <f>'Rate UOLS'!AA63</f>
        <v>8542179</v>
      </c>
      <c r="I36" s="3"/>
      <c r="J36" s="3">
        <f>'Rate UOLS'!AE63</f>
        <v>591059</v>
      </c>
      <c r="K36" s="3"/>
      <c r="L36" s="157">
        <f t="shared" si="0"/>
        <v>6.9192999999999998</v>
      </c>
      <c r="M36" s="7"/>
      <c r="N36" s="158">
        <f t="shared" si="2"/>
        <v>0.13</v>
      </c>
      <c r="O36" s="6"/>
      <c r="P36" s="3">
        <f>'Rate UOLS'!AM63</f>
        <v>29788</v>
      </c>
      <c r="Q36" s="3"/>
      <c r="R36" s="3">
        <f>'Rate UOLS'!AO63</f>
        <v>620847</v>
      </c>
      <c r="S36" s="3"/>
      <c r="T36" s="158">
        <f t="shared" si="1"/>
        <v>0.13</v>
      </c>
    </row>
    <row r="37" spans="1:24" x14ac:dyDescent="0.3">
      <c r="A37" s="44">
        <v>18</v>
      </c>
      <c r="C37" s="42" t="s">
        <v>86</v>
      </c>
      <c r="D37" s="45" t="s">
        <v>248</v>
      </c>
      <c r="E37" s="42"/>
      <c r="F37" s="3">
        <f>'Rate NSU'!Y95</f>
        <v>8073</v>
      </c>
      <c r="G37" s="1"/>
      <c r="H37" s="3">
        <f>'Rate NSU'!AA95</f>
        <v>392374</v>
      </c>
      <c r="I37" s="3"/>
      <c r="J37" s="3">
        <f>'Rate NSU'!AE95</f>
        <v>95943</v>
      </c>
      <c r="K37" s="3"/>
      <c r="L37" s="157">
        <f t="shared" si="0"/>
        <v>24.451926</v>
      </c>
      <c r="M37" s="7"/>
      <c r="N37" s="158">
        <f t="shared" si="2"/>
        <v>0.02</v>
      </c>
      <c r="O37" s="6"/>
      <c r="P37" s="3">
        <f>'Rate NSU'!AM95</f>
        <v>1368</v>
      </c>
      <c r="Q37" s="3"/>
      <c r="R37" s="3">
        <f>'Rate NSU'!AO95</f>
        <v>97311</v>
      </c>
      <c r="S37" s="3"/>
      <c r="T37" s="158">
        <f t="shared" si="1"/>
        <v>0.02</v>
      </c>
    </row>
    <row r="38" spans="1:24" x14ac:dyDescent="0.3">
      <c r="A38" s="44">
        <v>19</v>
      </c>
      <c r="C38" s="42" t="s">
        <v>73</v>
      </c>
      <c r="D38" s="42" t="s">
        <v>426</v>
      </c>
      <c r="E38" s="42"/>
      <c r="F38" s="3">
        <f>'Rate SC'!Y145</f>
        <v>2064</v>
      </c>
      <c r="G38" s="3"/>
      <c r="H38" s="3">
        <f>'Rate SC'!AA145</f>
        <v>91284</v>
      </c>
      <c r="I38" s="3"/>
      <c r="J38" s="3">
        <f>'Rate SC'!AE145</f>
        <v>6277</v>
      </c>
      <c r="K38" s="3"/>
      <c r="L38" s="157">
        <f t="shared" si="0"/>
        <v>6.8763420000000002</v>
      </c>
      <c r="M38" s="7"/>
      <c r="N38" s="158" t="str">
        <f t="shared" si="2"/>
        <v xml:space="preserve">-   </v>
      </c>
      <c r="O38" s="6"/>
      <c r="P38" s="3">
        <f>'Rate SC'!AM145</f>
        <v>318</v>
      </c>
      <c r="Q38" s="3"/>
      <c r="R38" s="3">
        <f>'Rate SC'!AO145</f>
        <v>6595</v>
      </c>
      <c r="S38" s="3"/>
      <c r="T38" s="158" t="str">
        <f t="shared" si="1"/>
        <v xml:space="preserve">-    </v>
      </c>
    </row>
    <row r="39" spans="1:24" x14ac:dyDescent="0.3">
      <c r="A39" s="44">
        <v>20</v>
      </c>
      <c r="C39" s="42" t="s">
        <v>70</v>
      </c>
      <c r="D39" s="42" t="s">
        <v>427</v>
      </c>
      <c r="E39" s="42"/>
      <c r="F39" s="3">
        <f>'Rate SE'!Y108</f>
        <v>20531</v>
      </c>
      <c r="G39" s="3"/>
      <c r="H39" s="3">
        <f>'Rate SE'!AA108</f>
        <v>1209602</v>
      </c>
      <c r="I39" s="3"/>
      <c r="J39" s="3">
        <f>'Rate SE'!AE108</f>
        <v>256875</v>
      </c>
      <c r="K39" s="3"/>
      <c r="L39" s="157">
        <f t="shared" si="0"/>
        <v>21.236324</v>
      </c>
      <c r="M39" s="7"/>
      <c r="N39" s="158">
        <f t="shared" si="2"/>
        <v>0.06</v>
      </c>
      <c r="O39" s="6"/>
      <c r="P39" s="3">
        <f>'Rate SE'!AM108</f>
        <v>4218</v>
      </c>
      <c r="Q39" s="3"/>
      <c r="R39" s="3">
        <f>'Rate SE'!AO108</f>
        <v>261093</v>
      </c>
      <c r="S39" s="3"/>
      <c r="T39" s="158">
        <f t="shared" si="1"/>
        <v>0.05</v>
      </c>
    </row>
    <row r="40" spans="1:24" x14ac:dyDescent="0.3">
      <c r="A40" s="44">
        <v>21</v>
      </c>
      <c r="C40" s="42" t="s">
        <v>796</v>
      </c>
      <c r="D40" s="42" t="s">
        <v>824</v>
      </c>
      <c r="E40" s="42"/>
      <c r="F40" s="3">
        <f>'Rate LED'!Y692</f>
        <v>2283</v>
      </c>
      <c r="G40" s="3"/>
      <c r="H40" s="3">
        <f>'Rate LED'!AA692</f>
        <v>42161</v>
      </c>
      <c r="I40" s="3"/>
      <c r="J40" s="3">
        <f>'Rate LED'!AE692</f>
        <v>19920</v>
      </c>
      <c r="K40" s="3"/>
      <c r="L40" s="157">
        <f t="shared" si="0"/>
        <v>47.247456</v>
      </c>
      <c r="M40" s="7"/>
      <c r="N40" s="158" t="str">
        <f t="shared" si="2"/>
        <v xml:space="preserve">-   </v>
      </c>
      <c r="O40" s="6"/>
      <c r="P40" s="3">
        <f>'Rate LED'!AM692</f>
        <v>147</v>
      </c>
      <c r="Q40" s="3"/>
      <c r="R40" s="3">
        <f>'Rate LED'!AO692</f>
        <v>20067</v>
      </c>
      <c r="S40" s="3"/>
      <c r="T40" s="158" t="str">
        <f t="shared" si="1"/>
        <v xml:space="preserve">-    </v>
      </c>
    </row>
    <row r="41" spans="1:24" x14ac:dyDescent="0.3">
      <c r="A41" s="44">
        <v>22</v>
      </c>
      <c r="C41" s="41" t="s">
        <v>355</v>
      </c>
      <c r="D41" s="41" t="s">
        <v>327</v>
      </c>
      <c r="E41" s="42"/>
      <c r="F41" s="3">
        <f>'SCH M-2.2'!F57</f>
        <v>12</v>
      </c>
      <c r="G41" s="3"/>
      <c r="H41" s="3">
        <f>'SCH M-2.2'!H57</f>
        <v>328933</v>
      </c>
      <c r="I41" s="3"/>
      <c r="J41" s="3">
        <f>'SCH M-2.2'!L57</f>
        <v>32393.940632057602</v>
      </c>
      <c r="K41" s="3"/>
      <c r="L41" s="157">
        <f t="shared" si="0"/>
        <v>9.8481880000000004</v>
      </c>
      <c r="M41" s="7"/>
      <c r="N41" s="158">
        <f t="shared" si="2"/>
        <v>0.01</v>
      </c>
      <c r="O41" s="6"/>
      <c r="P41" s="3">
        <f>'SCH M-2.2'!T57</f>
        <v>1147.0593679423998</v>
      </c>
      <c r="Q41" s="3"/>
      <c r="R41" s="3">
        <f>'SCH M-2.2'!V57</f>
        <v>33541</v>
      </c>
      <c r="S41" s="3"/>
      <c r="T41" s="158">
        <f t="shared" si="1"/>
        <v>0.01</v>
      </c>
    </row>
    <row r="42" spans="1:24" x14ac:dyDescent="0.3">
      <c r="A42" s="44">
        <v>23</v>
      </c>
      <c r="C42" s="42" t="s">
        <v>96</v>
      </c>
      <c r="D42" s="42" t="s">
        <v>521</v>
      </c>
      <c r="E42" s="42"/>
      <c r="F42" s="3">
        <f>'SCH M-2.2'!F58</f>
        <v>0</v>
      </c>
      <c r="G42" s="3"/>
      <c r="H42" s="3">
        <f>'SCH M-2.2'!H58</f>
        <v>0</v>
      </c>
      <c r="I42" s="3"/>
      <c r="J42" s="3">
        <f>'SCH M-2.2'!L58</f>
        <v>169500</v>
      </c>
      <c r="K42" s="3"/>
      <c r="L42" s="157" t="str">
        <f t="shared" ref="L42:L48" si="3">IF(H42=0,"-",ROUND(J42/H42*100,6))</f>
        <v>-</v>
      </c>
      <c r="M42" s="7"/>
      <c r="N42" s="158">
        <f t="shared" si="2"/>
        <v>0.04</v>
      </c>
      <c r="O42" s="6"/>
      <c r="P42" s="3">
        <f>'SCH M-2.2'!T58</f>
        <v>0</v>
      </c>
      <c r="Q42" s="3"/>
      <c r="R42" s="3">
        <f>'SCH M-2.2'!V58</f>
        <v>169500</v>
      </c>
      <c r="S42" s="3"/>
      <c r="T42" s="158">
        <f t="shared" si="1"/>
        <v>0.04</v>
      </c>
      <c r="W42" s="154"/>
    </row>
    <row r="43" spans="1:24" x14ac:dyDescent="0.3">
      <c r="A43" s="44">
        <v>24</v>
      </c>
      <c r="D43" s="45" t="s">
        <v>249</v>
      </c>
      <c r="E43" s="42"/>
      <c r="F43" s="3">
        <f>'SCH M-2.2'!F59</f>
        <v>0</v>
      </c>
      <c r="G43" s="3"/>
      <c r="H43" s="3">
        <f>'SCH M-2.2'!H59</f>
        <v>0</v>
      </c>
      <c r="I43" s="3"/>
      <c r="J43" s="3">
        <f>'SCH M-2.2'!L59</f>
        <v>55176</v>
      </c>
      <c r="K43" s="3"/>
      <c r="L43" s="157" t="str">
        <f t="shared" si="3"/>
        <v>-</v>
      </c>
      <c r="M43" s="7"/>
      <c r="N43" s="158">
        <f t="shared" ref="N43:N48" si="4">IF(ABS(J43/$J$49*100)&lt;0.005,"-   ",ROUND(J43/$J$49*100,2))</f>
        <v>0.01</v>
      </c>
      <c r="O43" s="6"/>
      <c r="P43" s="3">
        <f>'SCH M-2.2'!T59</f>
        <v>0</v>
      </c>
      <c r="Q43" s="3"/>
      <c r="R43" s="3">
        <f>'SCH M-2.2'!V59</f>
        <v>55176</v>
      </c>
      <c r="S43" s="3"/>
      <c r="T43" s="158">
        <f t="shared" si="1"/>
        <v>0.01</v>
      </c>
      <c r="W43" s="125"/>
    </row>
    <row r="44" spans="1:24" x14ac:dyDescent="0.3">
      <c r="A44" s="44">
        <v>25</v>
      </c>
      <c r="D44" s="42" t="s">
        <v>252</v>
      </c>
      <c r="E44" s="42"/>
      <c r="F44" s="3">
        <f>'SCH M-2.2'!F60</f>
        <v>0</v>
      </c>
      <c r="G44" s="3"/>
      <c r="H44" s="3">
        <f>'SCH M-2.2'!H60</f>
        <v>0</v>
      </c>
      <c r="I44" s="3"/>
      <c r="J44" s="3">
        <f>'SCH M-2.2'!L60</f>
        <v>55068</v>
      </c>
      <c r="K44" s="3"/>
      <c r="L44" s="157" t="str">
        <f t="shared" si="3"/>
        <v>-</v>
      </c>
      <c r="M44" s="7"/>
      <c r="N44" s="158">
        <f t="shared" si="4"/>
        <v>0.01</v>
      </c>
      <c r="O44" s="6"/>
      <c r="P44" s="3">
        <f>'SCH M-2.2'!T60</f>
        <v>0</v>
      </c>
      <c r="Q44" s="3"/>
      <c r="R44" s="3">
        <f>'SCH M-2.2'!V60</f>
        <v>55068</v>
      </c>
      <c r="S44" s="3"/>
      <c r="T44" s="158">
        <f t="shared" si="1"/>
        <v>0.01</v>
      </c>
      <c r="W44" s="127"/>
    </row>
    <row r="45" spans="1:24" x14ac:dyDescent="0.3">
      <c r="A45" s="44">
        <v>26</v>
      </c>
      <c r="D45" s="42" t="s">
        <v>480</v>
      </c>
      <c r="E45" s="42"/>
      <c r="F45" s="3">
        <f>'SCH M-2.2'!F61</f>
        <v>0</v>
      </c>
      <c r="G45" s="3"/>
      <c r="H45" s="3">
        <f>'SCH M-2.2'!H61</f>
        <v>0</v>
      </c>
      <c r="I45" s="3"/>
      <c r="J45" s="3">
        <f>'SCH M-2.2'!L61</f>
        <v>699996</v>
      </c>
      <c r="K45" s="3"/>
      <c r="L45" s="157" t="str">
        <f>IF(H45=0,"-",ROUND(J45/H45*100,6))</f>
        <v>-</v>
      </c>
      <c r="M45" s="7"/>
      <c r="N45" s="158">
        <f t="shared" si="4"/>
        <v>0.15</v>
      </c>
      <c r="O45" s="6"/>
      <c r="P45" s="3">
        <f>'SCH M-2.2'!T61</f>
        <v>0</v>
      </c>
      <c r="Q45" s="3"/>
      <c r="R45" s="3">
        <f>'SCH M-2.2'!V61</f>
        <v>699996</v>
      </c>
      <c r="S45" s="3"/>
      <c r="T45" s="158">
        <f>IF(ABS(R45/$R$49*100)&lt;0.005,"-    ",ROUND(R45/$R$49*100,2))</f>
        <v>0.15</v>
      </c>
    </row>
    <row r="46" spans="1:24" x14ac:dyDescent="0.3">
      <c r="A46" s="44">
        <v>27</v>
      </c>
      <c r="D46" s="42" t="s">
        <v>251</v>
      </c>
      <c r="E46" s="42"/>
      <c r="F46" s="3">
        <f>'SCH M-2.2'!F62</f>
        <v>0</v>
      </c>
      <c r="G46" s="3"/>
      <c r="H46" s="3">
        <f>'SCH M-2.2'!H62</f>
        <v>0</v>
      </c>
      <c r="I46" s="3"/>
      <c r="J46" s="3">
        <f>'SCH M-2.2'!L62</f>
        <v>1299996</v>
      </c>
      <c r="K46" s="3"/>
      <c r="L46" s="157" t="str">
        <f t="shared" si="3"/>
        <v>-</v>
      </c>
      <c r="M46" s="159"/>
      <c r="N46" s="158">
        <f t="shared" si="4"/>
        <v>0.28000000000000003</v>
      </c>
      <c r="O46" s="7"/>
      <c r="P46" s="3">
        <f>'SCH M-2.2'!T62</f>
        <v>0</v>
      </c>
      <c r="Q46" s="3"/>
      <c r="R46" s="3">
        <f>'SCH M-2.2'!V62</f>
        <v>1299996</v>
      </c>
      <c r="S46" s="6"/>
      <c r="T46" s="158">
        <f>IF(ABS(R46/$R$49*100)&lt;0.005,"-    ",ROUND(R46/$R$49*100,2))</f>
        <v>0.27</v>
      </c>
      <c r="U46" s="123"/>
      <c r="V46" s="123"/>
      <c r="W46" s="123"/>
      <c r="X46" s="160"/>
    </row>
    <row r="47" spans="1:24" x14ac:dyDescent="0.3">
      <c r="A47" s="44">
        <v>28</v>
      </c>
      <c r="C47" s="41" t="s">
        <v>330</v>
      </c>
      <c r="D47" s="42" t="s">
        <v>328</v>
      </c>
      <c r="E47" s="42"/>
      <c r="F47" s="3">
        <f>'SCH M-2.2'!F63</f>
        <v>12</v>
      </c>
      <c r="G47" s="3"/>
      <c r="H47" s="3">
        <f>'SCH M-2.2'!H63</f>
        <v>13976789</v>
      </c>
      <c r="I47" s="3"/>
      <c r="J47" s="3">
        <f>'SCH M-2.2'!L63</f>
        <v>942396.00085330079</v>
      </c>
      <c r="K47" s="3"/>
      <c r="L47" s="157">
        <f t="shared" si="3"/>
        <v>6.7425790000000001</v>
      </c>
      <c r="M47" s="159"/>
      <c r="N47" s="158">
        <f t="shared" si="4"/>
        <v>0.2</v>
      </c>
      <c r="O47" s="7"/>
      <c r="P47" s="3">
        <f>'SCH M-2.2'!T63</f>
        <v>48740.037503699197</v>
      </c>
      <c r="Q47" s="3"/>
      <c r="R47" s="3">
        <f>'SCH M-2.2'!V63</f>
        <v>991136.03835699998</v>
      </c>
      <c r="S47" s="6"/>
      <c r="T47" s="158">
        <f>IF(ABS(R47/$R$49*100)&lt;0.005,"-    ",ROUND(R47/$R$49*100,2))</f>
        <v>0.21</v>
      </c>
      <c r="U47" s="123"/>
      <c r="V47" s="123"/>
      <c r="W47" s="123"/>
      <c r="X47" s="160"/>
    </row>
    <row r="48" spans="1:24" x14ac:dyDescent="0.3">
      <c r="A48" s="44">
        <v>29</v>
      </c>
      <c r="D48" s="42" t="s">
        <v>97</v>
      </c>
      <c r="E48" s="42"/>
      <c r="F48" s="3">
        <f>'SCH M-2.2'!F64</f>
        <v>0</v>
      </c>
      <c r="G48" s="3"/>
      <c r="H48" s="3">
        <f>'SCH M-2.2'!H64</f>
        <v>0</v>
      </c>
      <c r="I48" s="3"/>
      <c r="J48" s="3">
        <f>'SCH M-2.2'!L64</f>
        <v>1294812</v>
      </c>
      <c r="K48" s="3"/>
      <c r="L48" s="161" t="str">
        <f t="shared" si="3"/>
        <v>-</v>
      </c>
      <c r="M48" s="159"/>
      <c r="N48" s="158">
        <f t="shared" si="4"/>
        <v>0.28000000000000003</v>
      </c>
      <c r="O48" s="7"/>
      <c r="P48" s="3">
        <f>'SCH M-2.2'!T64</f>
        <v>0</v>
      </c>
      <c r="Q48" s="3"/>
      <c r="R48" s="3">
        <f>'SCH M-2.2'!V64</f>
        <v>1294812</v>
      </c>
      <c r="S48" s="6"/>
      <c r="T48" s="158">
        <f>IF(ABS(R48/$R$49*100)&lt;0.005,"-    ",ROUND(R48/$R$49*100,2))</f>
        <v>0.27</v>
      </c>
      <c r="U48" s="123"/>
      <c r="V48" s="123"/>
      <c r="W48" s="123"/>
      <c r="X48" s="160"/>
    </row>
    <row r="49" spans="1:20" ht="20.100000000000001" customHeight="1" thickBot="1" x14ac:dyDescent="0.35">
      <c r="A49" s="44">
        <v>30</v>
      </c>
      <c r="C49" s="42" t="s">
        <v>98</v>
      </c>
      <c r="F49" s="162">
        <f>SUM(F20:F48)</f>
        <v>2017031</v>
      </c>
      <c r="G49" s="1"/>
      <c r="H49" s="162">
        <f>SUM(H20:H48)</f>
        <v>3964785588.8010001</v>
      </c>
      <c r="I49" s="3"/>
      <c r="J49" s="162">
        <f>SUM(J20:J48)</f>
        <v>462907369.94148535</v>
      </c>
      <c r="K49" s="3"/>
      <c r="L49" s="163">
        <f t="shared" si="0"/>
        <v>11.675470000000001</v>
      </c>
      <c r="M49" s="7"/>
      <c r="N49" s="164">
        <v>100</v>
      </c>
      <c r="O49" s="6"/>
      <c r="P49" s="162">
        <f>SUM(P20:P48)</f>
        <v>13779894.096871641</v>
      </c>
      <c r="Q49" s="3"/>
      <c r="R49" s="162">
        <f>SUM(R20:R48)</f>
        <v>476687264.03835702</v>
      </c>
      <c r="S49" s="3"/>
      <c r="T49" s="164">
        <v>100</v>
      </c>
    </row>
    <row r="50" spans="1:20" ht="16.2" thickTop="1" x14ac:dyDescent="0.3"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x14ac:dyDescent="0.3">
      <c r="C51" s="45" t="s">
        <v>194</v>
      </c>
    </row>
    <row r="52" spans="1:20" x14ac:dyDescent="0.3">
      <c r="A52" s="42"/>
    </row>
  </sheetData>
  <customSheetViews>
    <customSheetView guid="{195DF303-1BBD-4236-94B5-47432850B006}" scale="75" fitToPage="1" showRuler="0">
      <pageMargins left="0.5" right="0.5" top="1" bottom="0" header="0.5" footer="0.5"/>
      <printOptions horizontalCentered="1"/>
      <pageSetup scale="63" orientation="landscape" horizontalDpi="300" verticalDpi="300" r:id="rId1"/>
      <headerFooter alignWithMargins="0"/>
    </customSheetView>
    <customSheetView guid="{0C49E549-011E-46F4-A82E-2CC8951A9C1E}" scale="75" fitToPage="1" showRuler="0">
      <selection activeCell="L9" sqref="L9"/>
      <pageMargins left="0.5" right="0.5" top="1" bottom="0" header="0.5" footer="0.5"/>
      <printOptions horizontalCentered="1"/>
      <pageSetup scale="63" orientation="landscape" horizontalDpi="300" verticalDpi="300" r:id="rId2"/>
      <headerFooter alignWithMargins="0"/>
    </customSheetView>
    <customSheetView guid="{4BC93440-BA85-4935-A8C9-66DC6AE5DE5E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3"/>
      <headerFooter alignWithMargins="0"/>
    </customSheetView>
    <customSheetView guid="{2431C9E5-7CC2-4B8D-99C3-962247B1DBF5}" scale="75" fitToPage="1" showRuler="0">
      <selection activeCell="R40" sqref="R40"/>
      <pageMargins left="0.5" right="0.5" top="1" bottom="0" header="0.5" footer="0.5"/>
      <printOptions horizontalCentered="1"/>
      <pageSetup scale="63" orientation="landscape" horizontalDpi="300" verticalDpi="300" r:id="rId4"/>
      <headerFooter alignWithMargins="0"/>
    </customSheetView>
    <customSheetView guid="{2EA35095-1ADC-4CC7-8C3C-B487D65FA247}" scale="75" fitToPage="1" showRuler="0">
      <selection sqref="A1:T54"/>
      <pageMargins left="0.5" right="0.5" top="1" bottom="0" header="0.5" footer="0.5"/>
      <printOptions horizontalCentered="1"/>
      <pageSetup scale="63" orientation="landscape" horizontalDpi="300" verticalDpi="300" r:id="rId5"/>
      <headerFooter alignWithMargins="0"/>
    </customSheetView>
    <customSheetView guid="{8FC77C99-DBF7-40B8-99B8-01B75826CDCB}" scale="75" showPageBreaks="1" fitToPage="1" printArea="1" showRuler="0">
      <selection sqref="A1:T54"/>
      <pageMargins left="0.5" right="0.5" top="1" bottom="0" header="0.5" footer="0.5"/>
      <printOptions horizontalCentered="1"/>
      <pageSetup scale="63" orientation="landscape" horizontalDpi="300" verticalDpi="300" r:id="rId6"/>
      <headerFooter alignWithMargins="0"/>
    </customSheetView>
    <customSheetView guid="{8FB94551-8874-4095-B8FB-5316E0D2FD2C}" scale="75" fitToPage="1" showRuler="0">
      <pageMargins left="0.5" right="0.5" top="1" bottom="0" header="0.5" footer="0.5"/>
      <printOptions horizontalCentered="1"/>
      <pageSetup scale="63" orientation="landscape" horizontalDpi="300" verticalDpi="300" r:id="rId7"/>
      <headerFooter alignWithMargins="0"/>
    </customSheetView>
    <customSheetView guid="{6B3D5C27-2FDE-4561-9575-1E98BFB869D0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8"/>
      <headerFooter alignWithMargins="0"/>
    </customSheetView>
    <customSheetView guid="{0BC1F393-8A13-47D5-BC6C-0C99615B5AB9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9"/>
      <headerFooter alignWithMargins="0"/>
    </customSheetView>
    <customSheetView guid="{18BDED73-BFA0-442E-87EC-CED86EE4CF94}" scale="75" fitToPage="1" showRuler="0" topLeftCell="A10">
      <selection activeCell="H28" sqref="H28:H31"/>
      <pageMargins left="0.5" right="0.5" top="1" bottom="0" header="0.5" footer="0.5"/>
      <printOptions horizontalCentered="1"/>
      <pageSetup scale="63" orientation="landscape" horizontalDpi="300" verticalDpi="300" r:id="rId10"/>
      <headerFooter alignWithMargins="0"/>
    </customSheetView>
    <customSheetView guid="{35F19056-2E6F-4935-B863-78836FE990BF}" scale="75" fitToPage="1" showRuler="0" topLeftCell="A10">
      <selection activeCell="H28" sqref="H28:H31"/>
      <pageMargins left="0.5" right="0.5" top="1" bottom="0" header="0.5" footer="0.5"/>
      <printOptions horizontalCentered="1"/>
      <pageSetup scale="64" orientation="landscape" horizontalDpi="300" verticalDpi="300" r:id="rId11"/>
      <headerFooter alignWithMargins="0"/>
    </customSheetView>
    <customSheetView guid="{F562D92E-120C-4AE9-9663-89E64D41DC53}" scale="75" fitToPage="1" topLeftCell="A10">
      <selection activeCell="H28" sqref="H28:H31"/>
      <pageMargins left="0.5" right="0.5" top="1" bottom="0" header="0.5" footer="0.5"/>
      <printOptions horizontalCentered="1"/>
      <pageSetup scale="64" orientation="landscape" horizontalDpi="300" verticalDpi="300" r:id="rId12"/>
      <headerFooter alignWithMargins="0"/>
    </customSheetView>
  </customSheetViews>
  <phoneticPr fontId="11" type="noConversion"/>
  <printOptions horizontalCentered="1"/>
  <pageMargins left="0.5" right="0.5" top="1" bottom="0" header="0.5" footer="0.5"/>
  <pageSetup scale="56" orientation="landscape" horizontalDpi="300" verticalDpi="300" r:id="rId1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syncVertical="1" syncRef="A1" transitionEvaluation="1" transitionEntry="1" codeName="Sheet4">
    <pageSetUpPr fitToPage="1"/>
  </sheetPr>
  <dimension ref="A1:AC97"/>
  <sheetViews>
    <sheetView zoomScale="75" workbookViewId="0">
      <selection sqref="A1:X1"/>
    </sheetView>
  </sheetViews>
  <sheetFormatPr defaultColWidth="9.75" defaultRowHeight="15.6" x14ac:dyDescent="0.3"/>
  <cols>
    <col min="1" max="1" width="4.25" style="41" customWidth="1"/>
    <col min="2" max="2" width="0.4140625" style="41" customWidth="1"/>
    <col min="3" max="3" width="11.25" style="41" customWidth="1"/>
    <col min="4" max="4" width="28.25" style="41" customWidth="1"/>
    <col min="5" max="5" width="0.33203125" style="41" customWidth="1"/>
    <col min="6" max="6" width="13.75" style="41" customWidth="1"/>
    <col min="7" max="7" width="0.4140625" style="41" customWidth="1"/>
    <col min="8" max="8" width="15.6640625" style="41" customWidth="1"/>
    <col min="9" max="9" width="0.33203125" style="41" customWidth="1"/>
    <col min="10" max="10" width="10" style="41" bestFit="1" customWidth="1"/>
    <col min="11" max="11" width="0.33203125" style="41" customWidth="1"/>
    <col min="12" max="12" width="15.6640625" style="41" customWidth="1"/>
    <col min="13" max="13" width="0.33203125" style="41" customWidth="1"/>
    <col min="14" max="14" width="11.75" style="41" customWidth="1"/>
    <col min="15" max="15" width="0.4140625" style="41" customWidth="1"/>
    <col min="16" max="16" width="15.75" style="41" customWidth="1"/>
    <col min="17" max="17" width="0.33203125" style="41" customWidth="1"/>
    <col min="18" max="18" width="13.9140625" style="165" customWidth="1"/>
    <col min="19" max="19" width="0.33203125" style="41" customWidth="1"/>
    <col min="20" max="20" width="14.4140625" style="41" customWidth="1"/>
    <col min="21" max="21" width="0.4140625" style="41" customWidth="1"/>
    <col min="22" max="22" width="14.4140625" style="41" customWidth="1"/>
    <col min="23" max="23" width="0.4140625" style="41" customWidth="1"/>
    <col min="24" max="24" width="11.75" style="165" customWidth="1"/>
    <col min="25" max="25" width="13.25" style="41" customWidth="1"/>
    <col min="26" max="26" width="9.75" style="41" customWidth="1"/>
    <col min="27" max="27" width="11.75" style="123" bestFit="1" customWidth="1"/>
    <col min="28" max="28" width="9.75" style="41"/>
    <col min="29" max="29" width="11.75" style="123" bestFit="1" customWidth="1"/>
    <col min="30" max="76" width="9.75" style="41"/>
    <col min="77" max="77" width="20.75" style="41" customWidth="1"/>
    <col min="78" max="16384" width="9.75" style="41"/>
  </cols>
  <sheetData>
    <row r="1" spans="1:26" x14ac:dyDescent="0.3">
      <c r="A1" s="469" t="str">
        <f>NAME</f>
        <v>DUKE ENERGY KENTUCKY, INC.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469"/>
      <c r="R1" s="469"/>
      <c r="S1" s="469"/>
      <c r="T1" s="469"/>
      <c r="U1" s="469"/>
      <c r="V1" s="469"/>
      <c r="W1" s="469"/>
      <c r="X1" s="469"/>
      <c r="Z1" s="44"/>
    </row>
    <row r="2" spans="1:26" x14ac:dyDescent="0.3">
      <c r="A2" s="469" t="str">
        <f>CASE_NO</f>
        <v>CASE NO.   2024-00354</v>
      </c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Z2" s="44"/>
    </row>
    <row r="3" spans="1:26" x14ac:dyDescent="0.3">
      <c r="A3" s="469" t="str">
        <f>TITLE</f>
        <v>ANNUALIZED TEST YEAR REVENUES AT REHEARING ORDER CALCULATED VS. MOST CURRENT RATES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Z3" s="44"/>
    </row>
    <row r="4" spans="1:26" x14ac:dyDescent="0.3">
      <c r="A4" s="469" t="str">
        <f>DATE</f>
        <v>FOR THE TWELVE MONTHS ENDED June 30, 2026</v>
      </c>
      <c r="B4" s="469"/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  <c r="Q4" s="469"/>
      <c r="R4" s="469"/>
      <c r="S4" s="469"/>
      <c r="T4" s="469"/>
      <c r="U4" s="469"/>
      <c r="V4" s="469"/>
      <c r="W4" s="469"/>
      <c r="X4" s="469"/>
      <c r="Z4" s="44"/>
    </row>
    <row r="5" spans="1:26" x14ac:dyDescent="0.3">
      <c r="A5" s="469" t="str">
        <f>SERVICE</f>
        <v>(ELECTRIC SERVICE)</v>
      </c>
      <c r="B5" s="469"/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Z5" s="44"/>
    </row>
    <row r="6" spans="1:26" x14ac:dyDescent="0.3">
      <c r="A6" s="41" t="str">
        <f>DATA_PERIOD</f>
        <v>DATA: ____ BASE PERIOD   __X__FORECASTED PERIOD</v>
      </c>
      <c r="V6" s="42" t="s">
        <v>158</v>
      </c>
      <c r="W6" s="42"/>
      <c r="Z6" s="44"/>
    </row>
    <row r="7" spans="1:26" x14ac:dyDescent="0.3">
      <c r="A7" s="41" t="str">
        <f>TYPE</f>
        <v>TYPE OF FILING: _X_ ORIGINAL   ___UPDATED  ___ REVISED</v>
      </c>
      <c r="V7" s="45" t="str">
        <f>"PAGE 1 OF "&amp;TEXT(Page_Num_2.2,"00")</f>
        <v>PAGE 1 OF 24</v>
      </c>
      <c r="W7" s="42"/>
      <c r="Z7" s="44"/>
    </row>
    <row r="8" spans="1:26" x14ac:dyDescent="0.3">
      <c r="A8" s="42" t="s">
        <v>171</v>
      </c>
      <c r="V8" s="42" t="s">
        <v>3</v>
      </c>
      <c r="W8" s="42"/>
      <c r="Z8" s="44"/>
    </row>
    <row r="9" spans="1:26" x14ac:dyDescent="0.3">
      <c r="A9" s="132" t="str">
        <f>TIME</f>
        <v>12 Months Projected with Riders</v>
      </c>
      <c r="V9" s="41" t="str">
        <f>WIT</f>
        <v>B. L. Sailers</v>
      </c>
      <c r="W9" s="42"/>
      <c r="Z9" s="44"/>
    </row>
    <row r="10" spans="1:26" x14ac:dyDescent="0.3">
      <c r="A10" s="132" t="str">
        <f>INPUT!B5</f>
        <v xml:space="preserve"> </v>
      </c>
      <c r="W10" s="42"/>
      <c r="Z10" s="44"/>
    </row>
    <row r="11" spans="1:26" x14ac:dyDescent="0.3">
      <c r="A11" s="40" t="s">
        <v>131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166"/>
      <c r="S11" s="40"/>
      <c r="T11" s="40"/>
      <c r="U11" s="40"/>
      <c r="V11" s="40"/>
      <c r="W11" s="40"/>
      <c r="X11" s="166"/>
      <c r="Z11" s="44"/>
    </row>
    <row r="12" spans="1:26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167"/>
      <c r="S12" s="43"/>
      <c r="T12" s="43"/>
      <c r="U12" s="43"/>
      <c r="V12" s="43"/>
      <c r="W12" s="43"/>
      <c r="X12" s="167"/>
      <c r="Z12" s="44"/>
    </row>
    <row r="13" spans="1:26" ht="18" customHeight="1" x14ac:dyDescent="0.3">
      <c r="L13" s="44" t="s">
        <v>8</v>
      </c>
      <c r="M13" s="44"/>
      <c r="N13" s="44" t="s">
        <v>7</v>
      </c>
      <c r="O13" s="44"/>
      <c r="P13" s="44" t="s">
        <v>9</v>
      </c>
      <c r="Q13" s="44"/>
      <c r="R13" s="168" t="s">
        <v>10</v>
      </c>
      <c r="S13" s="44"/>
      <c r="V13" s="44" t="s">
        <v>8</v>
      </c>
      <c r="W13" s="44"/>
      <c r="X13" s="168" t="s">
        <v>11</v>
      </c>
      <c r="Z13" s="44"/>
    </row>
    <row r="14" spans="1:26" x14ac:dyDescent="0.3">
      <c r="J14" s="44" t="s">
        <v>14</v>
      </c>
      <c r="K14" s="44"/>
      <c r="L14" s="44" t="s">
        <v>12</v>
      </c>
      <c r="M14" s="44"/>
      <c r="N14" s="44" t="s">
        <v>13</v>
      </c>
      <c r="O14" s="44"/>
      <c r="P14" s="44" t="s">
        <v>15</v>
      </c>
      <c r="Q14" s="44"/>
      <c r="R14" s="168" t="s">
        <v>16</v>
      </c>
      <c r="S14" s="44"/>
      <c r="V14" s="44" t="s">
        <v>11</v>
      </c>
      <c r="W14" s="44"/>
      <c r="X14" s="168" t="s">
        <v>9</v>
      </c>
      <c r="Z14" s="44"/>
    </row>
    <row r="15" spans="1:26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8</v>
      </c>
      <c r="K15" s="44"/>
      <c r="L15" s="44" t="s">
        <v>842</v>
      </c>
      <c r="M15" s="44"/>
      <c r="N15" s="44" t="s">
        <v>842</v>
      </c>
      <c r="O15" s="44"/>
      <c r="P15" s="46" t="s">
        <v>965</v>
      </c>
      <c r="Q15" s="44"/>
      <c r="R15" s="169" t="s">
        <v>965</v>
      </c>
      <c r="S15" s="44"/>
      <c r="T15" s="44" t="s">
        <v>842</v>
      </c>
      <c r="U15" s="44"/>
      <c r="V15" s="44" t="s">
        <v>9</v>
      </c>
      <c r="W15" s="44"/>
      <c r="X15" s="168" t="s">
        <v>21</v>
      </c>
      <c r="Z15" s="44"/>
    </row>
    <row r="16" spans="1:26" x14ac:dyDescent="0.3">
      <c r="A16" s="44" t="s">
        <v>22</v>
      </c>
      <c r="C16" s="44" t="s">
        <v>23</v>
      </c>
      <c r="D16" s="44" t="s">
        <v>24</v>
      </c>
      <c r="E16" s="44"/>
      <c r="F16" s="44" t="s">
        <v>55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141" t="s">
        <v>29</v>
      </c>
      <c r="Q16" s="44"/>
      <c r="R16" s="170" t="s">
        <v>30</v>
      </c>
      <c r="S16" s="44"/>
      <c r="T16" s="44" t="s">
        <v>9</v>
      </c>
      <c r="U16" s="44"/>
      <c r="V16" s="141" t="s">
        <v>31</v>
      </c>
      <c r="W16" s="44"/>
      <c r="X16" s="170" t="s">
        <v>32</v>
      </c>
      <c r="Z16" s="44"/>
    </row>
    <row r="17" spans="1:26" x14ac:dyDescent="0.3">
      <c r="C17" s="141" t="s">
        <v>33</v>
      </c>
      <c r="D17" s="141" t="s">
        <v>34</v>
      </c>
      <c r="E17" s="141"/>
      <c r="F17" s="141" t="s">
        <v>35</v>
      </c>
      <c r="G17" s="153"/>
      <c r="H17" s="141" t="s">
        <v>36</v>
      </c>
      <c r="I17" s="141"/>
      <c r="J17" s="141" t="s">
        <v>42</v>
      </c>
      <c r="K17" s="141"/>
      <c r="L17" s="141" t="s">
        <v>43</v>
      </c>
      <c r="M17" s="141"/>
      <c r="N17" s="141" t="s">
        <v>44</v>
      </c>
      <c r="O17" s="141"/>
      <c r="P17" s="141" t="s">
        <v>45</v>
      </c>
      <c r="Q17" s="141"/>
      <c r="R17" s="170" t="s">
        <v>46</v>
      </c>
      <c r="S17" s="141"/>
      <c r="T17" s="141" t="s">
        <v>40</v>
      </c>
      <c r="U17" s="141"/>
      <c r="V17" s="141" t="s">
        <v>47</v>
      </c>
      <c r="W17" s="141"/>
      <c r="X17" s="170" t="s">
        <v>48</v>
      </c>
      <c r="Y17" s="44"/>
      <c r="Z17" s="44"/>
    </row>
    <row r="18" spans="1:26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167"/>
      <c r="S18" s="43"/>
      <c r="T18" s="43"/>
      <c r="U18" s="43"/>
      <c r="V18" s="43"/>
      <c r="W18" s="43"/>
      <c r="X18" s="167"/>
      <c r="Y18" s="44"/>
      <c r="Z18" s="44"/>
    </row>
    <row r="19" spans="1:26" ht="17.100000000000001" customHeight="1" x14ac:dyDescent="0.3">
      <c r="H19" s="171" t="s">
        <v>49</v>
      </c>
      <c r="I19" s="171"/>
      <c r="J19" s="172" t="s">
        <v>198</v>
      </c>
      <c r="K19" s="171"/>
      <c r="L19" s="171" t="s">
        <v>50</v>
      </c>
      <c r="M19" s="171"/>
      <c r="N19" s="171" t="s">
        <v>51</v>
      </c>
      <c r="O19" s="171"/>
      <c r="P19" s="171" t="s">
        <v>50</v>
      </c>
      <c r="Q19" s="171"/>
      <c r="R19" s="173" t="s">
        <v>51</v>
      </c>
      <c r="S19" s="171"/>
      <c r="T19" s="171" t="s">
        <v>50</v>
      </c>
      <c r="U19" s="171"/>
      <c r="V19" s="171" t="s">
        <v>50</v>
      </c>
      <c r="W19" s="171"/>
      <c r="X19" s="173" t="s">
        <v>51</v>
      </c>
      <c r="Y19" s="123"/>
      <c r="Z19" s="44"/>
    </row>
    <row r="20" spans="1:26" x14ac:dyDescent="0.3">
      <c r="C20" s="470" t="s">
        <v>53</v>
      </c>
      <c r="D20" s="470"/>
      <c r="H20" s="44"/>
      <c r="I20" s="44"/>
      <c r="J20" s="46"/>
      <c r="K20" s="44"/>
      <c r="L20" s="44"/>
      <c r="M20" s="44"/>
      <c r="N20" s="44"/>
      <c r="O20" s="44"/>
      <c r="P20" s="44"/>
      <c r="Q20" s="44"/>
      <c r="R20" s="168"/>
      <c r="S20" s="44"/>
      <c r="T20" s="44"/>
      <c r="U20" s="44"/>
      <c r="V20" s="44"/>
      <c r="W20" s="44"/>
      <c r="X20" s="168"/>
      <c r="Y20" s="123"/>
      <c r="Z20" s="44"/>
    </row>
    <row r="21" spans="1:26" x14ac:dyDescent="0.3">
      <c r="A21" s="44">
        <v>1</v>
      </c>
      <c r="C21" s="42" t="s">
        <v>52</v>
      </c>
      <c r="D21" s="45" t="s">
        <v>243</v>
      </c>
      <c r="E21" s="42"/>
      <c r="F21" s="3">
        <f>'Rate RS'!X79</f>
        <v>1689991</v>
      </c>
      <c r="G21" s="1"/>
      <c r="H21" s="3">
        <f>'Rate RS'!Z79</f>
        <v>1527729253</v>
      </c>
      <c r="I21" s="3"/>
      <c r="J21" s="174">
        <f>IF(H21=0,"-",ROUND((L21/H21)*100,6))</f>
        <v>13.074158000000001</v>
      </c>
      <c r="K21" s="7"/>
      <c r="L21" s="3">
        <f>'Rate RS'!AD79</f>
        <v>199737729</v>
      </c>
      <c r="M21" s="3"/>
      <c r="N21" s="5">
        <f>ROUND((L21/L$23)*100,2)</f>
        <v>100</v>
      </c>
      <c r="O21" s="7"/>
      <c r="P21" s="3">
        <f>'Rate RS'!AH79</f>
        <v>19392151</v>
      </c>
      <c r="Q21" s="3"/>
      <c r="R21" s="175">
        <f>ROUND((P21/L21)*100,1)</f>
        <v>9.6999999999999993</v>
      </c>
      <c r="S21" s="6"/>
      <c r="T21" s="3">
        <f>'Rate RS'!AL79</f>
        <v>5327517</v>
      </c>
      <c r="U21" s="3"/>
      <c r="V21" s="3">
        <f>'Rate RS'!AN79</f>
        <v>205065246</v>
      </c>
      <c r="W21" s="3"/>
      <c r="X21" s="175">
        <f>ROUND((P21/V21)*100,1)</f>
        <v>9.5</v>
      </c>
      <c r="Y21" s="123"/>
      <c r="Z21" s="44"/>
    </row>
    <row r="22" spans="1:26" x14ac:dyDescent="0.3">
      <c r="A22" s="44">
        <v>2</v>
      </c>
      <c r="C22" s="42"/>
      <c r="D22" s="45"/>
      <c r="E22" s="42"/>
      <c r="F22" s="49"/>
      <c r="G22" s="1"/>
      <c r="H22" s="49"/>
      <c r="I22" s="3"/>
      <c r="J22" s="174"/>
      <c r="K22" s="7"/>
      <c r="L22" s="49"/>
      <c r="M22" s="3"/>
      <c r="N22" s="176"/>
      <c r="O22" s="7"/>
      <c r="P22" s="49"/>
      <c r="Q22" s="3"/>
      <c r="R22" s="175"/>
      <c r="S22" s="6"/>
      <c r="T22" s="49"/>
      <c r="U22" s="3"/>
      <c r="V22" s="49"/>
      <c r="W22" s="3"/>
      <c r="X22" s="177"/>
      <c r="Y22" s="123"/>
      <c r="Z22" s="44"/>
    </row>
    <row r="23" spans="1:26" ht="20.100000000000001" customHeight="1" x14ac:dyDescent="0.3">
      <c r="A23" s="44">
        <v>3</v>
      </c>
      <c r="C23" s="178" t="s">
        <v>196</v>
      </c>
      <c r="F23" s="145">
        <f>F21</f>
        <v>1689991</v>
      </c>
      <c r="G23" s="1"/>
      <c r="H23" s="145">
        <f>H21</f>
        <v>1527729253</v>
      </c>
      <c r="I23" s="3"/>
      <c r="J23" s="174">
        <f>IF(H23=0,"-",ROUND((L23/H23)*100,6))</f>
        <v>13.074158000000001</v>
      </c>
      <c r="K23" s="7"/>
      <c r="L23" s="145">
        <f>L21</f>
        <v>199737729</v>
      </c>
      <c r="M23" s="3"/>
      <c r="N23" s="179">
        <f>ROUND((L23/L$67)*100,2)</f>
        <v>43.15</v>
      </c>
      <c r="O23" s="7"/>
      <c r="P23" s="145">
        <f>P21</f>
        <v>19392151</v>
      </c>
      <c r="Q23" s="3"/>
      <c r="R23" s="175">
        <f>ROUND((P23/L23)*100,1)</f>
        <v>9.6999999999999993</v>
      </c>
      <c r="S23" s="6"/>
      <c r="T23" s="145">
        <f>T21</f>
        <v>5327517</v>
      </c>
      <c r="U23" s="3"/>
      <c r="V23" s="145">
        <f>V21</f>
        <v>205065246</v>
      </c>
      <c r="W23" s="3"/>
      <c r="X23" s="180">
        <f>ROUND((P23/V23)*100,1)</f>
        <v>9.5</v>
      </c>
      <c r="Y23" s="123"/>
      <c r="Z23" s="44"/>
    </row>
    <row r="24" spans="1:26" x14ac:dyDescent="0.3">
      <c r="A24" s="44"/>
      <c r="F24" s="3"/>
      <c r="G24" s="1"/>
      <c r="H24" s="3"/>
      <c r="I24" s="3"/>
      <c r="J24" s="174"/>
      <c r="K24" s="7"/>
      <c r="L24" s="3"/>
      <c r="M24" s="3"/>
      <c r="N24" s="5"/>
      <c r="O24" s="7"/>
      <c r="P24" s="1"/>
      <c r="Q24" s="1"/>
      <c r="R24" s="175"/>
      <c r="S24" s="6"/>
      <c r="T24" s="3"/>
      <c r="U24" s="3"/>
      <c r="V24" s="3"/>
      <c r="W24" s="3"/>
      <c r="X24" s="175"/>
      <c r="Y24" s="123"/>
      <c r="Z24" s="44"/>
    </row>
    <row r="25" spans="1:26" x14ac:dyDescent="0.3">
      <c r="A25" s="44"/>
      <c r="C25" s="470" t="s">
        <v>254</v>
      </c>
      <c r="D25" s="470"/>
      <c r="F25" s="3"/>
      <c r="G25" s="1"/>
      <c r="H25" s="3"/>
      <c r="I25" s="3"/>
      <c r="J25" s="174"/>
      <c r="K25" s="7"/>
      <c r="L25" s="3"/>
      <c r="M25" s="3"/>
      <c r="N25" s="5"/>
      <c r="O25" s="7"/>
      <c r="P25" s="1"/>
      <c r="Q25" s="1"/>
      <c r="R25" s="175"/>
      <c r="S25" s="6"/>
      <c r="T25" s="3"/>
      <c r="U25" s="3"/>
      <c r="V25" s="3"/>
      <c r="W25" s="3"/>
      <c r="X25" s="175"/>
      <c r="Y25" s="123"/>
      <c r="Z25" s="44"/>
    </row>
    <row r="26" spans="1:26" x14ac:dyDescent="0.3">
      <c r="A26" s="44">
        <v>4</v>
      </c>
      <c r="C26" s="42" t="s">
        <v>91</v>
      </c>
      <c r="D26" s="45" t="s">
        <v>244</v>
      </c>
      <c r="E26" s="42"/>
      <c r="F26" s="3">
        <f>'Rate DS'!Y106</f>
        <v>155005</v>
      </c>
      <c r="G26" s="1"/>
      <c r="H26" s="3">
        <f>'Rate DS'!AA106</f>
        <v>1097342923</v>
      </c>
      <c r="I26" s="3"/>
      <c r="J26" s="174">
        <f t="shared" ref="J26:J32" si="0">IF(H26=0,"-",ROUND((L26/H26)*100,6))</f>
        <v>12.055709999999999</v>
      </c>
      <c r="K26" s="7"/>
      <c r="L26" s="3">
        <f>'Rate DS'!AE106</f>
        <v>132292480</v>
      </c>
      <c r="M26" s="3"/>
      <c r="N26" s="5">
        <f t="shared" ref="N26:N31" si="1">ROUND((L26/L$33)*100,2)</f>
        <v>54.99</v>
      </c>
      <c r="O26" s="7"/>
      <c r="P26" s="3">
        <f>'Rate DS'!AI106</f>
        <v>12732631</v>
      </c>
      <c r="Q26" s="3"/>
      <c r="R26" s="175">
        <f t="shared" ref="R26:R32" si="2">ROUND((P26/L26)*100,1)</f>
        <v>9.6</v>
      </c>
      <c r="S26" s="6"/>
      <c r="T26" s="3">
        <f>'Rate DS'!AM106</f>
        <v>3826668</v>
      </c>
      <c r="U26" s="3"/>
      <c r="V26" s="3">
        <f>'Rate DS'!AO106</f>
        <v>136119148</v>
      </c>
      <c r="W26" s="3"/>
      <c r="X26" s="175">
        <f t="shared" ref="X26:X32" si="3">ROUND((P26/V26)*100,1)</f>
        <v>9.4</v>
      </c>
      <c r="Y26" s="123"/>
      <c r="Z26" s="44"/>
    </row>
    <row r="27" spans="1:26" x14ac:dyDescent="0.3">
      <c r="A27" s="44">
        <v>5</v>
      </c>
      <c r="C27" s="42" t="s">
        <v>381</v>
      </c>
      <c r="D27" s="42" t="s">
        <v>61</v>
      </c>
      <c r="E27" s="42"/>
      <c r="F27" s="3">
        <f>'Rate DT-Pri'!Y137</f>
        <v>395</v>
      </c>
      <c r="G27" s="1"/>
      <c r="H27" s="3">
        <f>'Rate DT-Pri'!AA137</f>
        <v>474967440</v>
      </c>
      <c r="I27" s="3"/>
      <c r="J27" s="174">
        <f t="shared" si="0"/>
        <v>9.6371909999999996</v>
      </c>
      <c r="K27" s="7"/>
      <c r="L27" s="3">
        <f>'Rate DT-Pri'!AE137</f>
        <v>45773518</v>
      </c>
      <c r="M27" s="3"/>
      <c r="N27" s="5">
        <f t="shared" si="1"/>
        <v>19.03</v>
      </c>
      <c r="O27" s="7"/>
      <c r="P27" s="3">
        <f>'Rate DT-Pri'!AI137</f>
        <v>4102049</v>
      </c>
      <c r="Q27" s="3"/>
      <c r="R27" s="175">
        <f t="shared" si="2"/>
        <v>9</v>
      </c>
      <c r="S27" s="6"/>
      <c r="T27" s="3">
        <f>'Rate DT-Pri'!AM137</f>
        <v>1656313</v>
      </c>
      <c r="U27" s="3"/>
      <c r="V27" s="3">
        <f>'Rate DT-Pri'!AO137</f>
        <v>47429831</v>
      </c>
      <c r="W27" s="3"/>
      <c r="X27" s="175">
        <f t="shared" si="3"/>
        <v>8.6</v>
      </c>
      <c r="Y27" s="123"/>
      <c r="Z27" s="44"/>
    </row>
    <row r="28" spans="1:26" x14ac:dyDescent="0.3">
      <c r="A28" s="44">
        <v>6</v>
      </c>
      <c r="C28" s="42" t="s">
        <v>379</v>
      </c>
      <c r="D28" s="42" t="s">
        <v>61</v>
      </c>
      <c r="E28" s="42"/>
      <c r="F28" s="3">
        <f>'Rate DT-Sec'!Y133</f>
        <v>1363</v>
      </c>
      <c r="G28" s="1"/>
      <c r="H28" s="3">
        <f>'Rate DT-Sec'!AA133</f>
        <v>600045849</v>
      </c>
      <c r="I28" s="3"/>
      <c r="J28" s="174">
        <f t="shared" si="0"/>
        <v>9.8129469999999994</v>
      </c>
      <c r="K28" s="7"/>
      <c r="L28" s="3">
        <f>'Rate DT-Sec'!AE133</f>
        <v>58882183</v>
      </c>
      <c r="M28" s="3"/>
      <c r="N28" s="5">
        <f t="shared" si="1"/>
        <v>24.48</v>
      </c>
      <c r="O28" s="7"/>
      <c r="P28" s="3">
        <f>'Rate DT-Sec'!AI133</f>
        <v>5241208</v>
      </c>
      <c r="Q28" s="3"/>
      <c r="R28" s="175">
        <f t="shared" si="2"/>
        <v>8.9</v>
      </c>
      <c r="S28" s="6"/>
      <c r="T28" s="3">
        <f>'Rate DT-Sec'!AM133</f>
        <v>2092488</v>
      </c>
      <c r="U28" s="3"/>
      <c r="V28" s="3">
        <f>'Rate DT-Sec'!AO133</f>
        <v>60974671</v>
      </c>
      <c r="W28" s="3"/>
      <c r="X28" s="175">
        <f>ROUND((P28/V28)*100,1)</f>
        <v>8.6</v>
      </c>
      <c r="Y28" s="123"/>
      <c r="Z28" s="44"/>
    </row>
    <row r="29" spans="1:26" x14ac:dyDescent="0.3">
      <c r="A29" s="44">
        <v>7</v>
      </c>
      <c r="C29" s="42" t="s">
        <v>94</v>
      </c>
      <c r="D29" s="45" t="s">
        <v>246</v>
      </c>
      <c r="E29" s="42"/>
      <c r="F29" s="3">
        <f>'Rate EH'!Y91</f>
        <v>1006</v>
      </c>
      <c r="G29" s="1"/>
      <c r="H29" s="3">
        <f>'Rate EH'!AA91</f>
        <v>19145457</v>
      </c>
      <c r="I29" s="3"/>
      <c r="J29" s="174">
        <f t="shared" si="0"/>
        <v>9.8447849999999999</v>
      </c>
      <c r="K29" s="7"/>
      <c r="L29" s="3">
        <f>'Rate EH'!AE91</f>
        <v>1884829</v>
      </c>
      <c r="M29" s="3"/>
      <c r="N29" s="5">
        <f t="shared" si="1"/>
        <v>0.78</v>
      </c>
      <c r="O29" s="7"/>
      <c r="P29" s="3">
        <f>'Rate EH'!AI91</f>
        <v>272702</v>
      </c>
      <c r="Q29" s="3"/>
      <c r="R29" s="175">
        <f>ROUND((P29/L29)*100,1)</f>
        <v>14.5</v>
      </c>
      <c r="S29" s="6"/>
      <c r="T29" s="3">
        <f>'Rate EH'!AM91</f>
        <v>66764</v>
      </c>
      <c r="U29" s="3"/>
      <c r="V29" s="3">
        <f>'Rate EH'!AO91</f>
        <v>1951593</v>
      </c>
      <c r="W29" s="3"/>
      <c r="X29" s="175">
        <f>ROUND((P29/V29)*100,1)</f>
        <v>14</v>
      </c>
      <c r="Y29" s="123"/>
      <c r="Z29" s="44"/>
    </row>
    <row r="30" spans="1:26" x14ac:dyDescent="0.3">
      <c r="A30" s="44">
        <v>8</v>
      </c>
      <c r="C30" s="42" t="s">
        <v>95</v>
      </c>
      <c r="D30" s="45" t="s">
        <v>245</v>
      </c>
      <c r="E30" s="42"/>
      <c r="F30" s="3">
        <f>'Rate SP GSFL'!Y101</f>
        <v>166</v>
      </c>
      <c r="G30" s="1"/>
      <c r="H30" s="3">
        <f>'Rate SP GSFL'!AA101</f>
        <v>327203</v>
      </c>
      <c r="I30" s="3"/>
      <c r="J30" s="174">
        <f t="shared" si="0"/>
        <v>15.891358</v>
      </c>
      <c r="K30" s="7"/>
      <c r="L30" s="3">
        <f>'Rate SP GSFL'!AE101</f>
        <v>51997</v>
      </c>
      <c r="M30" s="3"/>
      <c r="N30" s="5">
        <f t="shared" si="1"/>
        <v>0.02</v>
      </c>
      <c r="O30" s="7"/>
      <c r="P30" s="3">
        <f>'Rate SP GSFL'!AI101</f>
        <v>7587</v>
      </c>
      <c r="Q30" s="3"/>
      <c r="R30" s="175">
        <f>ROUND((P30/L30)*100,1)</f>
        <v>14.6</v>
      </c>
      <c r="S30" s="6"/>
      <c r="T30" s="3">
        <f>'Rate SP GSFL'!AM101</f>
        <v>1141</v>
      </c>
      <c r="U30" s="3"/>
      <c r="V30" s="3">
        <f>'Rate SP GSFL'!AO101</f>
        <v>53138</v>
      </c>
      <c r="W30" s="3"/>
      <c r="X30" s="175">
        <f>ROUND((P30/V30)*100,1)</f>
        <v>14.3</v>
      </c>
      <c r="Y30" s="123"/>
      <c r="Z30" s="44"/>
    </row>
    <row r="31" spans="1:26" x14ac:dyDescent="0.3">
      <c r="A31" s="44">
        <v>9</v>
      </c>
      <c r="C31" s="42" t="s">
        <v>93</v>
      </c>
      <c r="D31" s="42" t="s">
        <v>153</v>
      </c>
      <c r="E31" s="42"/>
      <c r="F31" s="3">
        <f>'Rate SP GSFL'!Y120</f>
        <v>275</v>
      </c>
      <c r="G31" s="1"/>
      <c r="H31" s="3">
        <f>'Rate SP GSFL'!AA120</f>
        <v>5922743</v>
      </c>
      <c r="I31" s="3"/>
      <c r="J31" s="174">
        <f t="shared" si="0"/>
        <v>13.836342</v>
      </c>
      <c r="K31" s="7"/>
      <c r="L31" s="3">
        <f>'Rate SP GSFL'!AE120</f>
        <v>819491</v>
      </c>
      <c r="M31" s="3"/>
      <c r="N31" s="5">
        <f t="shared" si="1"/>
        <v>0.34</v>
      </c>
      <c r="O31" s="7"/>
      <c r="P31" s="3">
        <f>'Rate SP GSFL'!AI120</f>
        <v>119326</v>
      </c>
      <c r="Q31" s="3"/>
      <c r="R31" s="175">
        <f>ROUND((P31/L31)*100,1)</f>
        <v>14.6</v>
      </c>
      <c r="S31" s="6"/>
      <c r="T31" s="3">
        <f>'Rate SP GSFL'!AM120</f>
        <v>20654</v>
      </c>
      <c r="U31" s="3"/>
      <c r="V31" s="3">
        <f>'Rate SP GSFL'!AO120</f>
        <v>840145</v>
      </c>
      <c r="W31" s="3"/>
      <c r="X31" s="175">
        <f>ROUND((P31/V31)*100,1)</f>
        <v>14.2</v>
      </c>
      <c r="Y31" s="123"/>
      <c r="Z31" s="44"/>
    </row>
    <row r="32" spans="1:26" x14ac:dyDescent="0.3">
      <c r="A32" s="44">
        <v>10</v>
      </c>
      <c r="C32" s="42" t="s">
        <v>92</v>
      </c>
      <c r="D32" s="45" t="s">
        <v>182</v>
      </c>
      <c r="E32" s="42"/>
      <c r="F32" s="3">
        <f>'Rate DP'!Y98</f>
        <v>120</v>
      </c>
      <c r="G32" s="1"/>
      <c r="H32" s="3">
        <f>'Rate DP'!AA98</f>
        <v>7726973</v>
      </c>
      <c r="I32" s="3"/>
      <c r="J32" s="174">
        <f t="shared" si="0"/>
        <v>11.251818999999999</v>
      </c>
      <c r="K32" s="7"/>
      <c r="L32" s="3">
        <f>'Rate DP'!AE98</f>
        <v>869425</v>
      </c>
      <c r="M32" s="3"/>
      <c r="N32" s="5">
        <f>ROUND((L32/L$33)*100,2)</f>
        <v>0.36</v>
      </c>
      <c r="O32" s="7"/>
      <c r="P32" s="3">
        <f>'Rate DP'!AI98</f>
        <v>53549</v>
      </c>
      <c r="Q32" s="3"/>
      <c r="R32" s="175">
        <f t="shared" si="2"/>
        <v>6.2</v>
      </c>
      <c r="S32" s="6"/>
      <c r="T32" s="3">
        <f>'Rate DP'!AM98</f>
        <v>26946</v>
      </c>
      <c r="U32" s="3"/>
      <c r="V32" s="3">
        <f>'Rate DP'!AO98</f>
        <v>896371</v>
      </c>
      <c r="W32" s="3"/>
      <c r="X32" s="177">
        <f t="shared" si="3"/>
        <v>6</v>
      </c>
      <c r="Y32" s="123"/>
      <c r="Z32" s="44"/>
    </row>
    <row r="33" spans="1:26" ht="20.100000000000001" customHeight="1" x14ac:dyDescent="0.3">
      <c r="A33" s="44">
        <v>11</v>
      </c>
      <c r="C33" s="178" t="s">
        <v>167</v>
      </c>
      <c r="F33" s="145">
        <f>SUM(F26:F32)</f>
        <v>158330</v>
      </c>
      <c r="G33" s="1"/>
      <c r="H33" s="145">
        <f>SUM(H26:H32)</f>
        <v>2205478588</v>
      </c>
      <c r="I33" s="3"/>
      <c r="J33" s="174">
        <f>IF(H33=0,"-",ROUND((L33/H33)*100,6))</f>
        <v>10.908014</v>
      </c>
      <c r="K33" s="7"/>
      <c r="L33" s="145">
        <f>SUM(L26:L32)</f>
        <v>240573923</v>
      </c>
      <c r="M33" s="3"/>
      <c r="N33" s="179">
        <f>ROUND((L33/L$67)*100,2)</f>
        <v>51.97</v>
      </c>
      <c r="O33" s="7"/>
      <c r="P33" s="145">
        <f>SUM(P26:P32)</f>
        <v>22529052</v>
      </c>
      <c r="Q33" s="3"/>
      <c r="R33" s="175">
        <f>ROUND((P33/L33)*100,1)</f>
        <v>9.4</v>
      </c>
      <c r="S33" s="6"/>
      <c r="T33" s="145">
        <f>SUM(T26:T32)</f>
        <v>7690974</v>
      </c>
      <c r="U33" s="3"/>
      <c r="V33" s="145">
        <f>SUM(V26:V32)</f>
        <v>248264897</v>
      </c>
      <c r="W33" s="3"/>
      <c r="X33" s="180">
        <f>ROUND((P33/V33)*100,1)</f>
        <v>9.1</v>
      </c>
      <c r="Y33" s="123"/>
      <c r="Z33" s="44"/>
    </row>
    <row r="34" spans="1:26" x14ac:dyDescent="0.3">
      <c r="A34" s="44"/>
      <c r="F34" s="3"/>
      <c r="G34" s="1"/>
      <c r="H34" s="3"/>
      <c r="I34" s="3"/>
      <c r="J34" s="174"/>
      <c r="K34" s="7"/>
      <c r="L34" s="3"/>
      <c r="M34" s="3"/>
      <c r="N34" s="5"/>
      <c r="O34" s="7"/>
      <c r="P34" s="1"/>
      <c r="Q34" s="1"/>
      <c r="R34" s="175"/>
      <c r="S34" s="6"/>
      <c r="T34" s="3"/>
      <c r="U34" s="3"/>
      <c r="V34" s="3"/>
      <c r="W34" s="3"/>
      <c r="X34" s="175"/>
      <c r="Y34" s="123"/>
      <c r="Z34" s="44"/>
    </row>
    <row r="35" spans="1:26" x14ac:dyDescent="0.3">
      <c r="A35" s="44"/>
      <c r="C35" s="470" t="s">
        <v>255</v>
      </c>
      <c r="D35" s="470"/>
      <c r="F35" s="3"/>
      <c r="G35" s="1"/>
      <c r="H35" s="3"/>
      <c r="I35" s="3"/>
      <c r="J35" s="174"/>
      <c r="K35" s="7"/>
      <c r="L35" s="3"/>
      <c r="M35" s="3"/>
      <c r="N35" s="5"/>
      <c r="O35" s="7"/>
      <c r="P35" s="1"/>
      <c r="Q35" s="1"/>
      <c r="R35" s="175"/>
      <c r="S35" s="6"/>
      <c r="T35" s="3"/>
      <c r="U35" s="3"/>
      <c r="V35" s="3"/>
      <c r="W35" s="3"/>
      <c r="X35" s="175"/>
      <c r="Y35" s="123"/>
      <c r="Z35" s="44"/>
    </row>
    <row r="36" spans="1:26" x14ac:dyDescent="0.3">
      <c r="A36" s="44">
        <v>12</v>
      </c>
      <c r="C36" s="42" t="s">
        <v>60</v>
      </c>
      <c r="D36" s="42" t="s">
        <v>61</v>
      </c>
      <c r="E36" s="42"/>
      <c r="F36" s="3">
        <f>'Rate TT'!Y120</f>
        <v>156</v>
      </c>
      <c r="G36" s="1"/>
      <c r="H36" s="3">
        <f>'Rate TT'!AA120</f>
        <v>185463057</v>
      </c>
      <c r="I36" s="3"/>
      <c r="J36" s="174">
        <f>IF(H36=0,"-",ROUND((L36/H36)*100,6))</f>
        <v>8.0558390000000006</v>
      </c>
      <c r="K36" s="7"/>
      <c r="L36" s="3">
        <f>'Rate TT'!AE120</f>
        <v>14940605</v>
      </c>
      <c r="M36" s="3"/>
      <c r="N36" s="5">
        <f>ROUND((L36/L$37)*100,2)</f>
        <v>100</v>
      </c>
      <c r="O36" s="7"/>
      <c r="P36" s="3">
        <f>'Rate TT'!AI120</f>
        <v>1245195</v>
      </c>
      <c r="Q36" s="3"/>
      <c r="R36" s="175">
        <f>ROUND((P36/L36)*100,1)</f>
        <v>8.3000000000000007</v>
      </c>
      <c r="S36" s="6"/>
      <c r="T36" s="3">
        <f>'Rate TT'!AM120</f>
        <v>646749</v>
      </c>
      <c r="U36" s="3"/>
      <c r="V36" s="3">
        <f>'Rate TT'!AO120</f>
        <v>15587354</v>
      </c>
      <c r="W36" s="3"/>
      <c r="X36" s="177">
        <f>'Rate TT'!AQ120</f>
        <v>8</v>
      </c>
      <c r="Y36" s="123"/>
      <c r="Z36" s="44"/>
    </row>
    <row r="37" spans="1:26" ht="20.100000000000001" customHeight="1" x14ac:dyDescent="0.3">
      <c r="A37" s="44">
        <v>13</v>
      </c>
      <c r="C37" s="178" t="s">
        <v>168</v>
      </c>
      <c r="F37" s="145">
        <f>F36</f>
        <v>156</v>
      </c>
      <c r="G37" s="1"/>
      <c r="H37" s="145">
        <f>H36</f>
        <v>185463057</v>
      </c>
      <c r="I37" s="3"/>
      <c r="J37" s="174">
        <f>IF(H37=0,"-",ROUND((L37/H37)*100,6))</f>
        <v>8.0558390000000006</v>
      </c>
      <c r="K37" s="7"/>
      <c r="L37" s="145">
        <f>L36</f>
        <v>14940605</v>
      </c>
      <c r="M37" s="3"/>
      <c r="N37" s="179">
        <f>ROUND((L37/L$67)*100,2)</f>
        <v>3.23</v>
      </c>
      <c r="O37" s="7"/>
      <c r="P37" s="145">
        <f>P36</f>
        <v>1245195</v>
      </c>
      <c r="Q37" s="3"/>
      <c r="R37" s="175">
        <f>ROUND((P37/L37)*100,1)</f>
        <v>8.3000000000000007</v>
      </c>
      <c r="S37" s="6"/>
      <c r="T37" s="145">
        <f>T36</f>
        <v>646749</v>
      </c>
      <c r="U37" s="3"/>
      <c r="V37" s="145">
        <f>V36</f>
        <v>15587354</v>
      </c>
      <c r="W37" s="3"/>
      <c r="X37" s="180">
        <f>ROUND((P37/V37)*100,1)</f>
        <v>8</v>
      </c>
      <c r="Y37" s="123"/>
      <c r="Z37" s="44"/>
    </row>
    <row r="38" spans="1:26" x14ac:dyDescent="0.3">
      <c r="A38" s="44"/>
      <c r="F38" s="3"/>
      <c r="G38" s="1"/>
      <c r="H38" s="3"/>
      <c r="I38" s="3"/>
      <c r="J38" s="174"/>
      <c r="K38" s="7"/>
      <c r="L38" s="3"/>
      <c r="M38" s="3"/>
      <c r="N38" s="5"/>
      <c r="O38" s="7"/>
      <c r="P38" s="1"/>
      <c r="Q38" s="1"/>
      <c r="R38" s="175"/>
      <c r="S38" s="6"/>
      <c r="T38" s="3"/>
      <c r="U38" s="3"/>
      <c r="V38" s="3"/>
      <c r="W38" s="3"/>
      <c r="X38" s="175"/>
      <c r="Y38" s="123"/>
      <c r="Z38" s="44"/>
    </row>
    <row r="39" spans="1:26" x14ac:dyDescent="0.3">
      <c r="A39" s="44"/>
      <c r="C39" s="470" t="s">
        <v>258</v>
      </c>
      <c r="D39" s="470"/>
      <c r="F39" s="3"/>
      <c r="G39" s="1"/>
      <c r="H39" s="3"/>
      <c r="I39" s="3"/>
      <c r="J39" s="174"/>
      <c r="K39" s="7"/>
      <c r="L39" s="3"/>
      <c r="M39" s="3"/>
      <c r="N39" s="5"/>
      <c r="O39" s="7"/>
      <c r="P39" s="1"/>
      <c r="Q39" s="1"/>
      <c r="R39" s="175"/>
      <c r="S39" s="6"/>
      <c r="T39" s="3"/>
      <c r="U39" s="3"/>
      <c r="V39" s="3"/>
      <c r="W39" s="3"/>
      <c r="X39" s="175"/>
      <c r="Y39" s="123"/>
      <c r="Z39" s="44"/>
    </row>
    <row r="40" spans="1:26" x14ac:dyDescent="0.3">
      <c r="A40" s="44">
        <v>14</v>
      </c>
      <c r="C40" s="41" t="s">
        <v>371</v>
      </c>
      <c r="D40" s="41" t="s">
        <v>258</v>
      </c>
      <c r="F40" s="3">
        <f>'Rate DT RTP-P'!Y82</f>
        <v>0</v>
      </c>
      <c r="G40" s="1"/>
      <c r="H40" s="3">
        <f>'Rate DT RTP-P'!AA82</f>
        <v>0</v>
      </c>
      <c r="I40" s="3"/>
      <c r="J40" s="174" t="str">
        <f>IF(H40=0,"-",ROUND((L40/H40)*100,6))</f>
        <v>-</v>
      </c>
      <c r="K40" s="7"/>
      <c r="L40" s="3">
        <f>'Rate DT RTP-P'!AE82</f>
        <v>0</v>
      </c>
      <c r="M40" s="3"/>
      <c r="N40" s="5">
        <f>IFERROR(ROUND((L40/L$44)*100,2),0)</f>
        <v>0</v>
      </c>
      <c r="O40" s="7"/>
      <c r="P40" s="3">
        <f>'Rate DT RTP-P'!AI82</f>
        <v>0</v>
      </c>
      <c r="Q40" s="1"/>
      <c r="R40" s="175">
        <f>IFERROR(ROUND((P40/L40)*100,1),0)</f>
        <v>0</v>
      </c>
      <c r="S40" s="6"/>
      <c r="T40" s="3">
        <f>'Rate DT RTP-P'!AM82</f>
        <v>0</v>
      </c>
      <c r="U40" s="3"/>
      <c r="V40" s="3">
        <f>'Rate DT RTP-P'!AO82</f>
        <v>0</v>
      </c>
      <c r="W40" s="3"/>
      <c r="X40" s="175">
        <f>IFERROR(ROUND((P40/V40)*100,1),0)</f>
        <v>0</v>
      </c>
      <c r="Y40" s="123"/>
      <c r="Z40" s="44"/>
    </row>
    <row r="41" spans="1:26" x14ac:dyDescent="0.3">
      <c r="A41" s="44">
        <v>15</v>
      </c>
      <c r="C41" s="41" t="s">
        <v>372</v>
      </c>
      <c r="D41" s="41" t="s">
        <v>258</v>
      </c>
      <c r="F41" s="3">
        <f>'Rate DT RTP-S'!Y83</f>
        <v>12</v>
      </c>
      <c r="G41" s="1"/>
      <c r="H41" s="3">
        <f>'Rate DT RTP-S'!AA83</f>
        <v>1106948</v>
      </c>
      <c r="I41" s="3"/>
      <c r="J41" s="174">
        <f>IF(H41=0,"-",ROUND((L41/H41)*100,6))</f>
        <v>6.7694239999999999</v>
      </c>
      <c r="K41" s="7"/>
      <c r="L41" s="3">
        <f>'Rate DT RTP-S'!AE83</f>
        <v>74934</v>
      </c>
      <c r="M41" s="3"/>
      <c r="N41" s="5">
        <f>ROUND((L41/L$44)*100,2)</f>
        <v>12.17</v>
      </c>
      <c r="O41" s="7"/>
      <c r="P41" s="3">
        <f>'Rate DT RTP-S'!AI83</f>
        <v>11356</v>
      </c>
      <c r="Q41" s="1"/>
      <c r="R41" s="175">
        <f>ROUND((P41/L41)*100,1)</f>
        <v>15.2</v>
      </c>
      <c r="S41" s="6"/>
      <c r="T41" s="3">
        <f>'Rate DT RTP-S'!AM83</f>
        <v>0</v>
      </c>
      <c r="U41" s="3"/>
      <c r="V41" s="3">
        <f>'Rate DT RTP-S'!AO83</f>
        <v>74934</v>
      </c>
      <c r="W41" s="3"/>
      <c r="X41" s="175">
        <f>ROUND((P41/V41)*100,1)</f>
        <v>15.2</v>
      </c>
      <c r="Y41" s="123"/>
      <c r="Z41" s="44"/>
    </row>
    <row r="42" spans="1:26" x14ac:dyDescent="0.3">
      <c r="A42" s="44">
        <v>16</v>
      </c>
      <c r="C42" s="41" t="s">
        <v>261</v>
      </c>
      <c r="D42" s="41" t="s">
        <v>258</v>
      </c>
      <c r="F42" s="3">
        <f>'Rate DS RTP'!Y83</f>
        <v>12</v>
      </c>
      <c r="G42" s="1"/>
      <c r="H42" s="3">
        <f>'Rate DS RTP'!AA83</f>
        <v>-2961</v>
      </c>
      <c r="I42" s="3"/>
      <c r="J42" s="174">
        <f>IF(H42=0,"-",ROUND((L42/H42)*100,6))</f>
        <v>-68.253968</v>
      </c>
      <c r="K42" s="7"/>
      <c r="L42" s="3">
        <f>'Rate DS RTP'!AE83</f>
        <v>2021</v>
      </c>
      <c r="M42" s="3"/>
      <c r="N42" s="5">
        <f>ROUND((L42/L$44)*100,2)</f>
        <v>0.33</v>
      </c>
      <c r="O42" s="7"/>
      <c r="P42" s="3">
        <f>'Rate DS RTP'!AI83</f>
        <v>-32</v>
      </c>
      <c r="Q42" s="1"/>
      <c r="R42" s="175">
        <f>ROUND((P42/L42)*100,1)</f>
        <v>-1.6</v>
      </c>
      <c r="S42" s="6"/>
      <c r="T42" s="3">
        <f>'Rate DS RTP'!AM83</f>
        <v>0</v>
      </c>
      <c r="U42" s="3"/>
      <c r="V42" s="3">
        <f>'Rate DS RTP'!AO83</f>
        <v>2021</v>
      </c>
      <c r="W42" s="3"/>
      <c r="X42" s="175">
        <f>ROUND((P42/V42)*100,1)</f>
        <v>-1.6</v>
      </c>
      <c r="Y42" s="123"/>
      <c r="Z42" s="44"/>
    </row>
    <row r="43" spans="1:26" x14ac:dyDescent="0.3">
      <c r="A43" s="44">
        <v>17</v>
      </c>
      <c r="C43" s="41" t="s">
        <v>262</v>
      </c>
      <c r="D43" s="41" t="s">
        <v>258</v>
      </c>
      <c r="F43" s="49">
        <f>'Rate TT RTP'!Y85</f>
        <v>24</v>
      </c>
      <c r="G43" s="1"/>
      <c r="H43" s="49">
        <f>'Rate TT RTP'!AA85</f>
        <v>12132774</v>
      </c>
      <c r="I43" s="3"/>
      <c r="J43" s="174">
        <f>IF(H43=0,"-",ROUND((L43/H43)*100,6))</f>
        <v>4.4425369999999997</v>
      </c>
      <c r="K43" s="7"/>
      <c r="L43" s="49">
        <f>'Rate TT RTP'!AE85</f>
        <v>539003</v>
      </c>
      <c r="M43" s="3"/>
      <c r="N43" s="5">
        <f>ROUND((L43/L$44)*100,2)</f>
        <v>87.51</v>
      </c>
      <c r="O43" s="7"/>
      <c r="P43" s="49">
        <f>'Rate TT RTP'!AI85</f>
        <v>42918</v>
      </c>
      <c r="Q43" s="1"/>
      <c r="R43" s="175">
        <f>ROUND((P43/L43)*100,1)</f>
        <v>8</v>
      </c>
      <c r="S43" s="6"/>
      <c r="T43" s="49">
        <f>'Rate TT RTP'!AM85</f>
        <v>0</v>
      </c>
      <c r="U43" s="3"/>
      <c r="V43" s="49">
        <f>'Rate TT RTP'!AO85</f>
        <v>539003</v>
      </c>
      <c r="W43" s="3"/>
      <c r="X43" s="177">
        <f>ROUND((P43/V43)*100,1)</f>
        <v>8</v>
      </c>
      <c r="Y43" s="123"/>
      <c r="Z43" s="44"/>
    </row>
    <row r="44" spans="1:26" ht="20.100000000000001" customHeight="1" x14ac:dyDescent="0.3">
      <c r="A44" s="44">
        <v>18</v>
      </c>
      <c r="C44" s="178" t="s">
        <v>263</v>
      </c>
      <c r="F44" s="145">
        <f>SUM(F40:F43)</f>
        <v>48</v>
      </c>
      <c r="G44" s="1"/>
      <c r="H44" s="145">
        <f>SUM(H40:H43)</f>
        <v>13236761</v>
      </c>
      <c r="I44" s="3"/>
      <c r="J44" s="174">
        <f>IF(H44=0,"-",ROUND((L44/H44)*100,6))</f>
        <v>4.6533889999999998</v>
      </c>
      <c r="K44" s="7"/>
      <c r="L44" s="145">
        <f>SUM(L40:L43)</f>
        <v>615958</v>
      </c>
      <c r="M44" s="3"/>
      <c r="N44" s="179">
        <f>ROUND((L44/L$67)*100,2)</f>
        <v>0.13</v>
      </c>
      <c r="O44" s="7"/>
      <c r="P44" s="145">
        <f>SUM(P40:P43)</f>
        <v>54242</v>
      </c>
      <c r="Q44" s="1"/>
      <c r="R44" s="175">
        <f>ROUND((P44/L44)*100,1)</f>
        <v>8.8000000000000007</v>
      </c>
      <c r="S44" s="6"/>
      <c r="T44" s="145">
        <f>SUM(T40:T43)</f>
        <v>0</v>
      </c>
      <c r="U44" s="3"/>
      <c r="V44" s="145">
        <f>SUM(V40:V43)</f>
        <v>615958</v>
      </c>
      <c r="W44" s="3"/>
      <c r="X44" s="180">
        <f>ROUND((P44/V44)*100,1)</f>
        <v>8.8000000000000007</v>
      </c>
      <c r="Y44" s="123"/>
      <c r="Z44" s="44"/>
    </row>
    <row r="45" spans="1:26" x14ac:dyDescent="0.3">
      <c r="A45" s="44"/>
      <c r="F45" s="3"/>
      <c r="G45" s="1"/>
      <c r="H45" s="3"/>
      <c r="I45" s="3"/>
      <c r="J45" s="174"/>
      <c r="K45" s="7"/>
      <c r="L45" s="3"/>
      <c r="M45" s="3"/>
      <c r="N45" s="5"/>
      <c r="O45" s="7"/>
      <c r="P45" s="1"/>
      <c r="Q45" s="1"/>
      <c r="R45" s="175"/>
      <c r="S45" s="6"/>
      <c r="T45" s="3"/>
      <c r="U45" s="3"/>
      <c r="V45" s="3"/>
      <c r="W45" s="3"/>
      <c r="X45" s="175"/>
      <c r="Y45" s="123"/>
      <c r="Z45" s="44"/>
    </row>
    <row r="46" spans="1:26" x14ac:dyDescent="0.3">
      <c r="A46" s="44"/>
      <c r="C46" s="470" t="s">
        <v>413</v>
      </c>
      <c r="D46" s="470"/>
      <c r="F46" s="3"/>
      <c r="G46" s="1"/>
      <c r="H46" s="3"/>
      <c r="I46" s="3"/>
      <c r="J46" s="174"/>
      <c r="K46" s="7"/>
      <c r="L46" s="3"/>
      <c r="M46" s="3"/>
      <c r="N46" s="5"/>
      <c r="O46" s="7"/>
      <c r="P46" s="1"/>
      <c r="Q46" s="1"/>
      <c r="R46" s="175"/>
      <c r="S46" s="6"/>
      <c r="T46" s="3"/>
      <c r="U46" s="3"/>
      <c r="V46" s="3"/>
      <c r="W46" s="3"/>
      <c r="X46" s="175"/>
      <c r="Y46" s="123"/>
      <c r="Z46" s="44"/>
    </row>
    <row r="47" spans="1:26" x14ac:dyDescent="0.3">
      <c r="A47" s="44">
        <v>19</v>
      </c>
      <c r="C47" s="42" t="s">
        <v>77</v>
      </c>
      <c r="D47" s="45" t="s">
        <v>78</v>
      </c>
      <c r="E47" s="42"/>
      <c r="F47" s="3">
        <f>'Rate SL'!Y293</f>
        <v>103310</v>
      </c>
      <c r="G47" s="1"/>
      <c r="H47" s="3">
        <f>'Rate SL'!AA293</f>
        <v>6857780</v>
      </c>
      <c r="I47" s="3"/>
      <c r="J47" s="174">
        <f t="shared" ref="J47:J53" si="4">IF(H47=0,"-",ROUND((L47/H47)*100,6))</f>
        <v>20.695225000000001</v>
      </c>
      <c r="K47" s="7"/>
      <c r="L47" s="3">
        <f>'Rate SL'!AE293</f>
        <v>1419233</v>
      </c>
      <c r="M47" s="3"/>
      <c r="N47" s="5">
        <f t="shared" ref="N47:N53" si="5">ROUND((L47/L$54)*100,2)</f>
        <v>57</v>
      </c>
      <c r="O47" s="7"/>
      <c r="P47" s="3">
        <f>'Rate SL'!AI293</f>
        <v>198968</v>
      </c>
      <c r="Q47" s="3"/>
      <c r="R47" s="175">
        <f t="shared" ref="R47:R54" si="6">ROUND((P47/L47)*100,1)</f>
        <v>14</v>
      </c>
      <c r="S47" s="6"/>
      <c r="T47" s="3">
        <f>'Rate SL'!AM293</f>
        <v>23917</v>
      </c>
      <c r="U47" s="3"/>
      <c r="V47" s="3">
        <f>'Rate SL'!AO293</f>
        <v>1443150</v>
      </c>
      <c r="W47" s="3"/>
      <c r="X47" s="175">
        <f t="shared" ref="X47:X54" si="7">ROUND((P47/V47)*100,1)</f>
        <v>13.8</v>
      </c>
      <c r="Y47" s="123"/>
      <c r="Z47" s="44"/>
    </row>
    <row r="48" spans="1:26" x14ac:dyDescent="0.3">
      <c r="A48" s="44">
        <v>20</v>
      </c>
      <c r="C48" s="42" t="s">
        <v>81</v>
      </c>
      <c r="D48" s="45" t="s">
        <v>82</v>
      </c>
      <c r="E48" s="42"/>
      <c r="F48" s="3">
        <f>'Rate TL'!Y72</f>
        <v>1560</v>
      </c>
      <c r="G48" s="1"/>
      <c r="H48" s="3">
        <f>'Rate TL'!AA72</f>
        <v>1436827.8010000002</v>
      </c>
      <c r="I48" s="3"/>
      <c r="J48" s="174">
        <f t="shared" si="4"/>
        <v>6.9952709999999998</v>
      </c>
      <c r="K48" s="7"/>
      <c r="L48" s="3">
        <f>'Rate TL'!AE72</f>
        <v>100510</v>
      </c>
      <c r="M48" s="3"/>
      <c r="N48" s="5">
        <f t="shared" si="5"/>
        <v>4.04</v>
      </c>
      <c r="O48" s="7"/>
      <c r="P48" s="3">
        <f>'Rate TL'!AI72</f>
        <v>13815</v>
      </c>
      <c r="Q48" s="3"/>
      <c r="R48" s="175">
        <f t="shared" si="6"/>
        <v>13.7</v>
      </c>
      <c r="S48" s="6"/>
      <c r="T48" s="3">
        <f>'Rate TL'!AM72</f>
        <v>5011</v>
      </c>
      <c r="U48" s="3"/>
      <c r="V48" s="3">
        <f>'Rate TL'!AO72</f>
        <v>105521</v>
      </c>
      <c r="W48" s="3"/>
      <c r="X48" s="175">
        <f t="shared" si="7"/>
        <v>13.1</v>
      </c>
      <c r="Y48" s="123"/>
      <c r="Z48" s="44"/>
    </row>
    <row r="49" spans="1:26" x14ac:dyDescent="0.3">
      <c r="A49" s="44">
        <v>21</v>
      </c>
      <c r="C49" s="42" t="s">
        <v>240</v>
      </c>
      <c r="D49" s="45" t="s">
        <v>247</v>
      </c>
      <c r="E49" s="42"/>
      <c r="F49" s="3">
        <f>'Rate UOLS'!Y63</f>
        <v>30661</v>
      </c>
      <c r="G49" s="1"/>
      <c r="H49" s="3">
        <f>'Rate UOLS'!AA63</f>
        <v>8542179</v>
      </c>
      <c r="I49" s="3"/>
      <c r="J49" s="174">
        <f t="shared" si="4"/>
        <v>6.9192999999999998</v>
      </c>
      <c r="K49" s="7"/>
      <c r="L49" s="3">
        <f>'Rate UOLS'!AE63</f>
        <v>591059</v>
      </c>
      <c r="M49" s="3"/>
      <c r="N49" s="5">
        <f t="shared" si="5"/>
        <v>23.74</v>
      </c>
      <c r="O49" s="7"/>
      <c r="P49" s="3">
        <f>'Rate UOLS'!AI63</f>
        <v>81211</v>
      </c>
      <c r="Q49" s="3"/>
      <c r="R49" s="181">
        <f>IF(L49=0,"0.0 ",ROUND((P49/L49)*100,1))</f>
        <v>13.7</v>
      </c>
      <c r="S49" s="6"/>
      <c r="T49" s="3">
        <f>'Rate UOLS'!AM63</f>
        <v>29788</v>
      </c>
      <c r="U49" s="3"/>
      <c r="V49" s="3">
        <f>'Rate UOLS'!AO63</f>
        <v>620847</v>
      </c>
      <c r="W49" s="3"/>
      <c r="X49" s="181">
        <f>IF(V49=0,"0.0 ",ROUND((P49/V49)*100,1))</f>
        <v>13.1</v>
      </c>
      <c r="Y49" s="123"/>
      <c r="Z49" s="44"/>
    </row>
    <row r="50" spans="1:26" x14ac:dyDescent="0.3">
      <c r="A50" s="44">
        <v>22</v>
      </c>
      <c r="C50" s="42" t="s">
        <v>86</v>
      </c>
      <c r="D50" s="45" t="s">
        <v>248</v>
      </c>
      <c r="E50" s="42"/>
      <c r="F50" s="3">
        <f>'Rate NSU'!Y95</f>
        <v>8073</v>
      </c>
      <c r="G50" s="1"/>
      <c r="H50" s="3">
        <f>'Rate NSU'!AA95</f>
        <v>392374</v>
      </c>
      <c r="I50" s="3"/>
      <c r="J50" s="174">
        <f t="shared" si="4"/>
        <v>24.451926</v>
      </c>
      <c r="K50" s="7"/>
      <c r="L50" s="3">
        <f>'Rate NSU'!AE95</f>
        <v>95943</v>
      </c>
      <c r="M50" s="3"/>
      <c r="N50" s="5">
        <f t="shared" si="5"/>
        <v>3.85</v>
      </c>
      <c r="O50" s="7"/>
      <c r="P50" s="3">
        <f>'Rate NSU'!AI95</f>
        <v>13492</v>
      </c>
      <c r="Q50" s="3"/>
      <c r="R50" s="175">
        <f t="shared" si="6"/>
        <v>14.1</v>
      </c>
      <c r="S50" s="6"/>
      <c r="T50" s="3">
        <f>'Rate NSU'!AM95</f>
        <v>1368</v>
      </c>
      <c r="U50" s="3"/>
      <c r="V50" s="3">
        <f>'Rate NSU'!AO95</f>
        <v>97311</v>
      </c>
      <c r="W50" s="3"/>
      <c r="X50" s="175">
        <f t="shared" si="7"/>
        <v>13.9</v>
      </c>
      <c r="Y50" s="123"/>
      <c r="Z50" s="44"/>
    </row>
    <row r="51" spans="1:26" x14ac:dyDescent="0.3">
      <c r="A51" s="44">
        <v>23</v>
      </c>
      <c r="C51" s="42" t="s">
        <v>73</v>
      </c>
      <c r="D51" s="42" t="s">
        <v>426</v>
      </c>
      <c r="E51" s="42"/>
      <c r="F51" s="3">
        <f>'Rate SC'!Y145</f>
        <v>2064</v>
      </c>
      <c r="G51" s="3"/>
      <c r="H51" s="3">
        <f>'Rate SC'!AA145</f>
        <v>91284</v>
      </c>
      <c r="I51" s="3"/>
      <c r="J51" s="174">
        <f t="shared" si="4"/>
        <v>6.8763420000000002</v>
      </c>
      <c r="K51" s="7"/>
      <c r="L51" s="3">
        <f>'Rate SC'!AE145</f>
        <v>6277</v>
      </c>
      <c r="M51" s="3"/>
      <c r="N51" s="5">
        <f t="shared" si="5"/>
        <v>0.25</v>
      </c>
      <c r="O51" s="7"/>
      <c r="P51" s="3">
        <f>'Rate SC'!AI145</f>
        <v>862</v>
      </c>
      <c r="Q51" s="3"/>
      <c r="R51" s="175">
        <f t="shared" si="6"/>
        <v>13.7</v>
      </c>
      <c r="S51" s="6"/>
      <c r="T51" s="3">
        <f>'Rate SC'!AM145</f>
        <v>318</v>
      </c>
      <c r="U51" s="3"/>
      <c r="V51" s="3">
        <f>'Rate SC'!AO145</f>
        <v>6595</v>
      </c>
      <c r="W51" s="3"/>
      <c r="X51" s="175">
        <f t="shared" si="7"/>
        <v>13.1</v>
      </c>
      <c r="Y51" s="123"/>
      <c r="Z51" s="44"/>
    </row>
    <row r="52" spans="1:26" x14ac:dyDescent="0.3">
      <c r="A52" s="44">
        <v>24</v>
      </c>
      <c r="C52" s="42" t="s">
        <v>70</v>
      </c>
      <c r="D52" s="42" t="s">
        <v>427</v>
      </c>
      <c r="E52" s="42"/>
      <c r="F52" s="3">
        <f>'Rate SE'!Y108</f>
        <v>20531</v>
      </c>
      <c r="G52" s="3"/>
      <c r="H52" s="3">
        <f>'Rate SE'!AA108</f>
        <v>1209602</v>
      </c>
      <c r="I52" s="3"/>
      <c r="J52" s="174">
        <f t="shared" si="4"/>
        <v>21.236324</v>
      </c>
      <c r="K52" s="7"/>
      <c r="L52" s="3">
        <f>'Rate SE'!AE108</f>
        <v>256875</v>
      </c>
      <c r="M52" s="3"/>
      <c r="N52" s="5">
        <f t="shared" si="5"/>
        <v>10.32</v>
      </c>
      <c r="O52" s="7"/>
      <c r="P52" s="3">
        <f>'Rate SE'!AI108</f>
        <v>36068</v>
      </c>
      <c r="Q52" s="3"/>
      <c r="R52" s="175">
        <f t="shared" si="6"/>
        <v>14</v>
      </c>
      <c r="S52" s="6"/>
      <c r="T52" s="3">
        <f>'Rate SE'!AM108</f>
        <v>4218</v>
      </c>
      <c r="U52" s="3"/>
      <c r="V52" s="3">
        <f>'Rate SE'!AO108</f>
        <v>261093</v>
      </c>
      <c r="W52" s="3"/>
      <c r="X52" s="175">
        <f t="shared" si="7"/>
        <v>13.8</v>
      </c>
      <c r="Y52" s="123"/>
      <c r="Z52" s="44"/>
    </row>
    <row r="53" spans="1:26" x14ac:dyDescent="0.3">
      <c r="A53" s="44">
        <v>25</v>
      </c>
      <c r="C53" s="42" t="s">
        <v>796</v>
      </c>
      <c r="D53" s="42" t="s">
        <v>824</v>
      </c>
      <c r="E53" s="42"/>
      <c r="F53" s="3">
        <f>'Rate LED'!Y692</f>
        <v>2283</v>
      </c>
      <c r="G53" s="3"/>
      <c r="H53" s="3">
        <f>'Rate LED'!AA692</f>
        <v>42161</v>
      </c>
      <c r="I53" s="3"/>
      <c r="J53" s="174">
        <f t="shared" si="4"/>
        <v>47.247456</v>
      </c>
      <c r="K53" s="7"/>
      <c r="L53" s="3">
        <f>'Rate LED'!AE692</f>
        <v>19920</v>
      </c>
      <c r="M53" s="3"/>
      <c r="N53" s="5">
        <f t="shared" si="5"/>
        <v>0.8</v>
      </c>
      <c r="O53" s="7"/>
      <c r="P53" s="3">
        <f>'Rate LED'!AI692</f>
        <v>2859.4291680000001</v>
      </c>
      <c r="Q53" s="3"/>
      <c r="R53" s="175">
        <f>IFERROR(ROUND((P53/L53)*100,1),0)</f>
        <v>14.4</v>
      </c>
      <c r="S53" s="6"/>
      <c r="T53" s="3">
        <f>'Rate LED'!AM692</f>
        <v>147</v>
      </c>
      <c r="U53" s="3"/>
      <c r="V53" s="3">
        <f>'Rate LED'!AO692</f>
        <v>20067</v>
      </c>
      <c r="W53" s="3"/>
      <c r="X53" s="177">
        <f>IFERROR(ROUND((P53/V53)*100,1),0)</f>
        <v>14.2</v>
      </c>
      <c r="Y53" s="123"/>
      <c r="Z53" s="44"/>
    </row>
    <row r="54" spans="1:26" ht="20.100000000000001" customHeight="1" x14ac:dyDescent="0.3">
      <c r="A54" s="44">
        <v>26</v>
      </c>
      <c r="C54" s="178" t="s">
        <v>169</v>
      </c>
      <c r="F54" s="145">
        <f>SUM(F47:F53)</f>
        <v>168482</v>
      </c>
      <c r="G54" s="1"/>
      <c r="H54" s="145">
        <f>SUM(H47:H53)</f>
        <v>18572207.800999999</v>
      </c>
      <c r="I54" s="3"/>
      <c r="J54" s="174">
        <f>IF(H54=0,"-",ROUND((L54/H54)*100,6))</f>
        <v>13.406143999999999</v>
      </c>
      <c r="K54" s="7"/>
      <c r="L54" s="145">
        <f>SUM(L47:L53)</f>
        <v>2489817</v>
      </c>
      <c r="M54" s="3"/>
      <c r="N54" s="179">
        <f>ROUND((L54/L$67)*100,2)</f>
        <v>0.54</v>
      </c>
      <c r="O54" s="7"/>
      <c r="P54" s="145">
        <f>SUM(P47:P53)</f>
        <v>347275.429168</v>
      </c>
      <c r="Q54" s="3"/>
      <c r="R54" s="175">
        <f t="shared" si="6"/>
        <v>13.9</v>
      </c>
      <c r="S54" s="6"/>
      <c r="T54" s="145">
        <f>SUM(T47:T53)</f>
        <v>64767</v>
      </c>
      <c r="U54" s="3"/>
      <c r="V54" s="145">
        <f>SUM(V47:V53)</f>
        <v>2554584</v>
      </c>
      <c r="W54" s="3"/>
      <c r="X54" s="180">
        <f t="shared" si="7"/>
        <v>13.6</v>
      </c>
      <c r="Y54" s="123"/>
      <c r="Z54" s="44"/>
    </row>
    <row r="55" spans="1:26" x14ac:dyDescent="0.3">
      <c r="A55" s="44"/>
      <c r="F55" s="3"/>
      <c r="G55" s="1"/>
      <c r="H55" s="3"/>
      <c r="I55" s="3"/>
      <c r="J55" s="182"/>
      <c r="K55" s="183"/>
      <c r="L55" s="3"/>
      <c r="M55" s="3"/>
      <c r="N55" s="5"/>
      <c r="O55" s="3"/>
      <c r="P55" s="3"/>
      <c r="Q55" s="3"/>
      <c r="R55" s="175"/>
      <c r="S55" s="1"/>
      <c r="T55" s="3"/>
      <c r="U55" s="3"/>
      <c r="V55" s="3"/>
      <c r="W55" s="3"/>
      <c r="X55" s="175"/>
      <c r="Y55" s="123"/>
      <c r="Z55" s="44"/>
    </row>
    <row r="56" spans="1:26" x14ac:dyDescent="0.3">
      <c r="A56" s="44"/>
      <c r="C56" s="470" t="s">
        <v>414</v>
      </c>
      <c r="D56" s="470"/>
      <c r="F56" s="3"/>
      <c r="G56" s="1"/>
      <c r="H56" s="3"/>
      <c r="I56" s="3"/>
      <c r="J56" s="182"/>
      <c r="K56" s="183"/>
      <c r="L56" s="3"/>
      <c r="M56" s="3"/>
      <c r="N56" s="5"/>
      <c r="O56" s="3"/>
      <c r="P56" s="3"/>
      <c r="Q56" s="3"/>
      <c r="R56" s="175"/>
      <c r="S56" s="1"/>
      <c r="T56" s="3"/>
      <c r="U56" s="3"/>
      <c r="V56" s="3"/>
      <c r="W56" s="3"/>
      <c r="X56" s="175"/>
      <c r="Y56" s="123"/>
      <c r="Z56" s="44"/>
    </row>
    <row r="57" spans="1:26" x14ac:dyDescent="0.3">
      <c r="A57" s="44">
        <v>27</v>
      </c>
      <c r="C57" s="41" t="s">
        <v>355</v>
      </c>
      <c r="D57" s="41" t="s">
        <v>327</v>
      </c>
      <c r="E57" s="42"/>
      <c r="F57" s="123">
        <v>12</v>
      </c>
      <c r="G57" s="123"/>
      <c r="H57" s="123">
        <v>328933</v>
      </c>
      <c r="I57" s="1"/>
      <c r="J57" s="174">
        <f t="shared" ref="J57:J64" si="8">IF(H57=0,"-",ROUND((L57/H57)*100,6))</f>
        <v>9.8481880000000004</v>
      </c>
      <c r="K57" s="1"/>
      <c r="L57" s="123">
        <f>33541-(H57*INPUT!F19)</f>
        <v>32393.940632057602</v>
      </c>
      <c r="M57" s="3"/>
      <c r="N57" s="5">
        <f>ROUND((L57/L$65)*100,2)</f>
        <v>0.71</v>
      </c>
      <c r="O57" s="7"/>
      <c r="P57" s="123">
        <f>'SCH M-2.3'!L57-'SCH M-2.2'!L57</f>
        <v>3309</v>
      </c>
      <c r="Q57" s="3"/>
      <c r="R57" s="175">
        <f t="shared" ref="R57:R65" si="9">ROUND((P57/L57)*100,1)</f>
        <v>10.199999999999999</v>
      </c>
      <c r="S57" s="6"/>
      <c r="T57" s="184">
        <f>H57*CUR_FAC</f>
        <v>1147.0593679423998</v>
      </c>
      <c r="U57" s="1"/>
      <c r="V57" s="3">
        <f t="shared" ref="V57:V64" si="10">L57+T57</f>
        <v>33541</v>
      </c>
      <c r="W57" s="3"/>
      <c r="X57" s="175">
        <f t="shared" ref="X57:X65" si="11">ROUND((P57/V57)*100,1)</f>
        <v>9.9</v>
      </c>
      <c r="Y57" s="123"/>
      <c r="Z57" s="185"/>
    </row>
    <row r="58" spans="1:26" x14ac:dyDescent="0.3">
      <c r="A58" s="44">
        <v>28</v>
      </c>
      <c r="C58" s="42"/>
      <c r="D58" s="42" t="s">
        <v>521</v>
      </c>
      <c r="E58" s="42"/>
      <c r="F58" s="3">
        <v>0</v>
      </c>
      <c r="G58" s="1"/>
      <c r="H58" s="3">
        <v>0</v>
      </c>
      <c r="I58" s="3"/>
      <c r="J58" s="174" t="str">
        <f t="shared" si="8"/>
        <v>-</v>
      </c>
      <c r="K58" s="7"/>
      <c r="L58" s="123">
        <v>169500</v>
      </c>
      <c r="M58" s="3"/>
      <c r="N58" s="5">
        <f t="shared" ref="N58:N63" si="12">ROUND((L58/L$65)*100,2)</f>
        <v>3.73</v>
      </c>
      <c r="O58" s="7"/>
      <c r="P58" s="123">
        <f>'SCH M-2.3'!L58-'SCH M-2.2'!L58</f>
        <v>0</v>
      </c>
      <c r="Q58" s="3"/>
      <c r="R58" s="175">
        <f>IF(L58=0,0,ROUND((P58/L58)*100,1))</f>
        <v>0</v>
      </c>
      <c r="S58" s="6"/>
      <c r="T58" s="3">
        <v>0</v>
      </c>
      <c r="U58" s="3"/>
      <c r="V58" s="3">
        <f t="shared" si="10"/>
        <v>169500</v>
      </c>
      <c r="W58" s="3"/>
      <c r="X58" s="175">
        <f>IF(V58=0,0,ROUND((P58/V58)*100,1))</f>
        <v>0</v>
      </c>
      <c r="Y58" s="42"/>
      <c r="Z58" s="44"/>
    </row>
    <row r="59" spans="1:26" x14ac:dyDescent="0.3">
      <c r="A59" s="44">
        <v>29</v>
      </c>
      <c r="D59" s="45" t="s">
        <v>249</v>
      </c>
      <c r="F59" s="3">
        <v>0</v>
      </c>
      <c r="G59" s="1"/>
      <c r="H59" s="3">
        <v>0</v>
      </c>
      <c r="I59" s="3"/>
      <c r="J59" s="174" t="str">
        <f t="shared" si="8"/>
        <v>-</v>
      </c>
      <c r="K59" s="7"/>
      <c r="L59" s="123">
        <v>55176</v>
      </c>
      <c r="M59" s="3"/>
      <c r="N59" s="5">
        <f t="shared" si="12"/>
        <v>1.21</v>
      </c>
      <c r="O59" s="7"/>
      <c r="P59" s="123">
        <f>'SCH M-2.3'!L59-'SCH M-2.2'!L59</f>
        <v>0</v>
      </c>
      <c r="Q59" s="1"/>
      <c r="R59" s="175">
        <f t="shared" si="9"/>
        <v>0</v>
      </c>
      <c r="S59" s="6"/>
      <c r="T59" s="3">
        <v>0</v>
      </c>
      <c r="U59" s="3"/>
      <c r="V59" s="3">
        <f t="shared" si="10"/>
        <v>55176</v>
      </c>
      <c r="W59" s="3"/>
      <c r="X59" s="175">
        <f t="shared" si="11"/>
        <v>0</v>
      </c>
      <c r="Y59" s="42"/>
      <c r="Z59" s="44"/>
    </row>
    <row r="60" spans="1:26" x14ac:dyDescent="0.3">
      <c r="A60" s="44">
        <v>30</v>
      </c>
      <c r="D60" s="42" t="s">
        <v>252</v>
      </c>
      <c r="F60" s="3">
        <v>0</v>
      </c>
      <c r="G60" s="1"/>
      <c r="H60" s="3">
        <v>0</v>
      </c>
      <c r="I60" s="3"/>
      <c r="J60" s="174" t="str">
        <f t="shared" si="8"/>
        <v>-</v>
      </c>
      <c r="K60" s="7"/>
      <c r="L60" s="123">
        <v>55068</v>
      </c>
      <c r="M60" s="3"/>
      <c r="N60" s="5">
        <f t="shared" si="12"/>
        <v>1.21</v>
      </c>
      <c r="O60" s="7"/>
      <c r="P60" s="123">
        <f>'SCH M-2.3'!L60-'SCH M-2.2'!L60</f>
        <v>8323</v>
      </c>
      <c r="Q60" s="1"/>
      <c r="R60" s="175">
        <f t="shared" si="9"/>
        <v>15.1</v>
      </c>
      <c r="S60" s="6"/>
      <c r="T60" s="3">
        <v>0</v>
      </c>
      <c r="U60" s="3"/>
      <c r="V60" s="3">
        <f t="shared" si="10"/>
        <v>55068</v>
      </c>
      <c r="W60" s="3"/>
      <c r="X60" s="175">
        <f t="shared" si="11"/>
        <v>15.1</v>
      </c>
      <c r="Y60" s="42"/>
      <c r="Z60" s="44"/>
    </row>
    <row r="61" spans="1:26" x14ac:dyDescent="0.3">
      <c r="A61" s="44">
        <v>31</v>
      </c>
      <c r="D61" s="42" t="s">
        <v>480</v>
      </c>
      <c r="F61" s="3">
        <v>0</v>
      </c>
      <c r="G61" s="1"/>
      <c r="H61" s="3">
        <v>0</v>
      </c>
      <c r="I61" s="3"/>
      <c r="J61" s="174" t="str">
        <f t="shared" si="8"/>
        <v>-</v>
      </c>
      <c r="K61" s="7"/>
      <c r="L61" s="123">
        <v>699996</v>
      </c>
      <c r="M61" s="3"/>
      <c r="N61" s="5">
        <f>ROUND((L61/L$65)*100,2)</f>
        <v>15.39</v>
      </c>
      <c r="O61" s="7"/>
      <c r="P61" s="123">
        <f>'SCH M-2.3'!L61-'SCH M-2.2'!L61</f>
        <v>7594</v>
      </c>
      <c r="Q61" s="1"/>
      <c r="R61" s="175">
        <f>ROUND((P61/L61)*100,1)</f>
        <v>1.1000000000000001</v>
      </c>
      <c r="S61" s="6"/>
      <c r="T61" s="3">
        <v>0</v>
      </c>
      <c r="U61" s="3"/>
      <c r="V61" s="3">
        <f>L61+T61</f>
        <v>699996</v>
      </c>
      <c r="W61" s="3"/>
      <c r="X61" s="175">
        <f>ROUND((P61/V61)*100,1)</f>
        <v>1.1000000000000001</v>
      </c>
      <c r="Y61" s="42"/>
      <c r="Z61" s="44"/>
    </row>
    <row r="62" spans="1:26" x14ac:dyDescent="0.3">
      <c r="A62" s="44">
        <v>32</v>
      </c>
      <c r="D62" s="42" t="s">
        <v>251</v>
      </c>
      <c r="F62" s="3">
        <v>0</v>
      </c>
      <c r="G62" s="1"/>
      <c r="H62" s="3">
        <v>0</v>
      </c>
      <c r="I62" s="3"/>
      <c r="J62" s="174" t="str">
        <f t="shared" si="8"/>
        <v>-</v>
      </c>
      <c r="K62" s="7"/>
      <c r="L62" s="123">
        <v>1299996</v>
      </c>
      <c r="M62" s="3"/>
      <c r="N62" s="5">
        <f t="shared" si="12"/>
        <v>28.58</v>
      </c>
      <c r="O62" s="7"/>
      <c r="P62" s="123">
        <f>'SCH M-2.3'!L62-'SCH M-2.2'!L62</f>
        <v>0</v>
      </c>
      <c r="Q62" s="1"/>
      <c r="R62" s="175">
        <f t="shared" si="9"/>
        <v>0</v>
      </c>
      <c r="S62" s="6"/>
      <c r="T62" s="3">
        <v>0</v>
      </c>
      <c r="U62" s="3"/>
      <c r="V62" s="3">
        <f t="shared" si="10"/>
        <v>1299996</v>
      </c>
      <c r="W62" s="3"/>
      <c r="X62" s="175">
        <f t="shared" si="11"/>
        <v>0</v>
      </c>
      <c r="Y62" s="42"/>
      <c r="Z62" s="44"/>
    </row>
    <row r="63" spans="1:26" x14ac:dyDescent="0.3">
      <c r="A63" s="44">
        <v>33</v>
      </c>
      <c r="C63" s="41" t="s">
        <v>330</v>
      </c>
      <c r="D63" s="42" t="s">
        <v>328</v>
      </c>
      <c r="E63" s="42"/>
      <c r="F63" s="123">
        <v>12</v>
      </c>
      <c r="H63" s="123">
        <v>13976789</v>
      </c>
      <c r="I63" s="3"/>
      <c r="J63" s="174">
        <f t="shared" si="8"/>
        <v>6.7425790000000001</v>
      </c>
      <c r="K63" s="7"/>
      <c r="L63" s="123">
        <f>IF(INPUT!$C$29&gt;0,$H$63*(INPUT!$C$204-CUR_FAC),$H$63*(INPUT!$C$204-INPUT!F19)-($H$63*(INPUT!$F$30+INPUT!$F$34)))</f>
        <v>942396.00085330079</v>
      </c>
      <c r="M63" s="159"/>
      <c r="N63" s="5">
        <f t="shared" si="12"/>
        <v>20.72</v>
      </c>
      <c r="O63" s="7"/>
      <c r="P63" s="123">
        <f>'SCH M-2.3'!L63-'SCH M-2.2'!L63</f>
        <v>83750.961643000017</v>
      </c>
      <c r="Q63" s="3"/>
      <c r="R63" s="175">
        <f t="shared" si="9"/>
        <v>8.9</v>
      </c>
      <c r="S63" s="6"/>
      <c r="T63" s="184">
        <f>H63*CUR_FAC</f>
        <v>48740.037503699197</v>
      </c>
      <c r="U63" s="3"/>
      <c r="V63" s="3">
        <f t="shared" si="10"/>
        <v>991136.03835699998</v>
      </c>
      <c r="W63" s="3"/>
      <c r="X63" s="175">
        <f t="shared" si="11"/>
        <v>8.4</v>
      </c>
      <c r="Y63" s="123"/>
      <c r="Z63" s="44"/>
    </row>
    <row r="64" spans="1:26" x14ac:dyDescent="0.3">
      <c r="A64" s="44">
        <v>34</v>
      </c>
      <c r="D64" s="42" t="s">
        <v>97</v>
      </c>
      <c r="E64" s="42"/>
      <c r="F64" s="3">
        <v>0</v>
      </c>
      <c r="G64" s="1"/>
      <c r="H64" s="3">
        <v>0</v>
      </c>
      <c r="I64" s="3"/>
      <c r="J64" s="174" t="str">
        <f t="shared" si="8"/>
        <v>-</v>
      </c>
      <c r="K64" s="7"/>
      <c r="L64" s="184">
        <f>139752+1155060+0</f>
        <v>1294812</v>
      </c>
      <c r="M64" s="159"/>
      <c r="N64" s="5">
        <f>ROUND((L64/L$65)*100,2)</f>
        <v>28.46</v>
      </c>
      <c r="O64" s="7"/>
      <c r="P64" s="123">
        <f>'SCH M-2.3'!L64-'SCH M-2.2'!L64</f>
        <v>0</v>
      </c>
      <c r="Q64" s="3"/>
      <c r="R64" s="175">
        <f t="shared" si="9"/>
        <v>0</v>
      </c>
      <c r="S64" s="6"/>
      <c r="T64" s="3">
        <v>0</v>
      </c>
      <c r="U64" s="3"/>
      <c r="V64" s="3">
        <f t="shared" si="10"/>
        <v>1294812</v>
      </c>
      <c r="W64" s="3"/>
      <c r="X64" s="177">
        <f t="shared" si="11"/>
        <v>0</v>
      </c>
      <c r="Y64" s="42"/>
      <c r="Z64" s="44"/>
    </row>
    <row r="65" spans="1:26" ht="20.100000000000001" customHeight="1" x14ac:dyDescent="0.3">
      <c r="A65" s="44">
        <v>35</v>
      </c>
      <c r="C65" s="132" t="s">
        <v>415</v>
      </c>
      <c r="F65" s="145">
        <f>SUM(F57:F64)</f>
        <v>24</v>
      </c>
      <c r="G65" s="1"/>
      <c r="H65" s="145">
        <f>SUM(H57:H64)</f>
        <v>14305722</v>
      </c>
      <c r="I65" s="3"/>
      <c r="J65" s="174"/>
      <c r="K65" s="7"/>
      <c r="L65" s="145">
        <f>SUM(L57:L64)</f>
        <v>4549337.9414853584</v>
      </c>
      <c r="M65" s="3"/>
      <c r="N65" s="179">
        <f>ROUND((L65/L$67)*100,2)</f>
        <v>0.98</v>
      </c>
      <c r="O65" s="7"/>
      <c r="P65" s="145">
        <f>SUM(P57:P64)</f>
        <v>102976.96164300002</v>
      </c>
      <c r="Q65" s="3"/>
      <c r="R65" s="175">
        <f t="shared" si="9"/>
        <v>2.2999999999999998</v>
      </c>
      <c r="S65" s="6"/>
      <c r="T65" s="145">
        <f>SUM(T57:T64)</f>
        <v>49887.096871641595</v>
      </c>
      <c r="U65" s="3"/>
      <c r="V65" s="145">
        <f>SUM(V57:V64)</f>
        <v>4599225.0383569999</v>
      </c>
      <c r="W65" s="3"/>
      <c r="X65" s="180">
        <f t="shared" si="11"/>
        <v>2.2000000000000002</v>
      </c>
      <c r="Y65" s="123"/>
      <c r="Z65" s="44"/>
    </row>
    <row r="66" spans="1:26" x14ac:dyDescent="0.3">
      <c r="A66" s="44"/>
      <c r="F66" s="3"/>
      <c r="G66" s="1"/>
      <c r="H66" s="3"/>
      <c r="I66" s="3"/>
      <c r="J66" s="174"/>
      <c r="K66" s="7"/>
      <c r="L66" s="3"/>
      <c r="M66" s="3"/>
      <c r="N66" s="5"/>
      <c r="O66" s="7"/>
      <c r="P66" s="1"/>
      <c r="Q66" s="1"/>
      <c r="R66" s="175"/>
      <c r="S66" s="6"/>
      <c r="T66" s="3"/>
      <c r="U66" s="3"/>
      <c r="V66" s="3"/>
      <c r="W66" s="3"/>
      <c r="X66" s="175"/>
      <c r="Y66" s="123"/>
      <c r="Z66" s="44"/>
    </row>
    <row r="67" spans="1:26" ht="20.100000000000001" customHeight="1" thickBot="1" x14ac:dyDescent="0.35">
      <c r="A67" s="44">
        <v>36</v>
      </c>
      <c r="C67" s="132" t="s">
        <v>98</v>
      </c>
      <c r="F67" s="151">
        <f>F65+F54+F44+F37+F33+F23</f>
        <v>2017031</v>
      </c>
      <c r="G67" s="1"/>
      <c r="H67" s="151">
        <f>H65+H54+H44+H37+H33+H23</f>
        <v>3964785588.8010001</v>
      </c>
      <c r="I67" s="3"/>
      <c r="J67" s="174">
        <f>IF(H67=0,"-",ROUND((L67/H67)*100,6))</f>
        <v>11.675470000000001</v>
      </c>
      <c r="K67" s="7"/>
      <c r="L67" s="151">
        <f>L65+L54+L44+L37+L33+L23</f>
        <v>462907369.94148535</v>
      </c>
      <c r="M67" s="3"/>
      <c r="N67" s="186">
        <v>100</v>
      </c>
      <c r="O67" s="7"/>
      <c r="P67" s="151">
        <f>P65+P54+P44+P37+P33+P23</f>
        <v>43670892.390810996</v>
      </c>
      <c r="Q67" s="3"/>
      <c r="R67" s="175">
        <f>ROUND((P67/L67)*100,1)</f>
        <v>9.4</v>
      </c>
      <c r="S67" s="6"/>
      <c r="T67" s="151">
        <f>T65+T54+T44+T37+T33+T23</f>
        <v>13779894.096871642</v>
      </c>
      <c r="U67" s="3"/>
      <c r="V67" s="151">
        <f>V65+V54+V44+V37+V33+V23</f>
        <v>476687264.03835702</v>
      </c>
      <c r="W67" s="3"/>
      <c r="X67" s="187">
        <f>ROUND((P67/V67)*100,1)</f>
        <v>9.1999999999999993</v>
      </c>
      <c r="Y67" s="123"/>
      <c r="Z67" s="44"/>
    </row>
    <row r="68" spans="1:26" ht="16.2" thickTop="1" x14ac:dyDescent="0.3">
      <c r="F68" s="1"/>
      <c r="G68" s="1"/>
      <c r="H68" s="1"/>
      <c r="I68" s="1"/>
      <c r="J68" s="2"/>
      <c r="K68" s="1"/>
      <c r="L68" s="1"/>
      <c r="M68" s="1"/>
      <c r="N68" s="5"/>
      <c r="O68" s="1"/>
      <c r="P68" s="1"/>
      <c r="Q68" s="1"/>
      <c r="R68" s="175"/>
      <c r="S68" s="1"/>
      <c r="T68" s="1"/>
      <c r="U68" s="1"/>
      <c r="V68" s="1"/>
      <c r="W68" s="1"/>
      <c r="X68" s="175"/>
      <c r="Y68" s="123"/>
      <c r="Z68" s="44"/>
    </row>
    <row r="69" spans="1:26" x14ac:dyDescent="0.3">
      <c r="C69" s="45" t="str">
        <f>"NOTE: DETAIL CONTAINED ON SCHEDULES M-2.2 PAGES 2 THROUGH "&amp;TEXT(Page_Num_2.2,"00")&amp;"."</f>
        <v>NOTE: DETAIL CONTAINED ON SCHEDULES M-2.2 PAGES 2 THROUGH 24.</v>
      </c>
      <c r="J69" s="44"/>
      <c r="N69" s="188"/>
      <c r="Y69" s="123"/>
      <c r="Z69" s="44"/>
    </row>
    <row r="70" spans="1:26" x14ac:dyDescent="0.3">
      <c r="C70" s="45"/>
      <c r="J70" s="44"/>
      <c r="N70" s="188"/>
      <c r="Y70" s="123"/>
      <c r="Z70" s="44"/>
    </row>
    <row r="71" spans="1:26" x14ac:dyDescent="0.3">
      <c r="C71" s="45"/>
      <c r="J71" s="44"/>
      <c r="L71" s="123"/>
      <c r="N71" s="188"/>
      <c r="V71" s="123"/>
      <c r="Y71" s="123"/>
      <c r="Z71" s="44"/>
    </row>
    <row r="72" spans="1:26" x14ac:dyDescent="0.3">
      <c r="C72" s="45"/>
      <c r="J72" s="44"/>
      <c r="N72" s="188"/>
      <c r="Y72" s="123"/>
      <c r="Z72" s="44"/>
    </row>
    <row r="73" spans="1:26" x14ac:dyDescent="0.3">
      <c r="C73" s="45"/>
      <c r="J73" s="44"/>
      <c r="N73" s="188"/>
      <c r="Y73" s="123"/>
      <c r="Z73" s="44"/>
    </row>
    <row r="74" spans="1:26" x14ac:dyDescent="0.3">
      <c r="C74" s="45"/>
      <c r="J74" s="44"/>
      <c r="N74" s="188"/>
      <c r="Y74" s="123"/>
      <c r="Z74" s="44"/>
    </row>
    <row r="75" spans="1:26" x14ac:dyDescent="0.3">
      <c r="A75" s="42"/>
      <c r="J75" s="44"/>
      <c r="N75" s="188"/>
      <c r="Y75" s="123"/>
      <c r="Z75" s="44"/>
    </row>
    <row r="76" spans="1:26" x14ac:dyDescent="0.3">
      <c r="H76" s="123"/>
      <c r="Y76" s="123"/>
      <c r="Z76" s="44"/>
    </row>
    <row r="77" spans="1:26" ht="24.6" x14ac:dyDescent="0.4">
      <c r="L77" s="189"/>
      <c r="Y77" s="123"/>
      <c r="Z77" s="44"/>
    </row>
    <row r="78" spans="1:26" x14ac:dyDescent="0.3">
      <c r="H78" s="125"/>
      <c r="L78" s="125"/>
      <c r="Y78" s="123"/>
      <c r="Z78" s="44"/>
    </row>
    <row r="79" spans="1:26" x14ac:dyDescent="0.3">
      <c r="L79" s="125"/>
      <c r="Y79" s="123"/>
      <c r="Z79" s="44"/>
    </row>
    <row r="80" spans="1:26" x14ac:dyDescent="0.3">
      <c r="H80" s="123"/>
      <c r="L80" s="125"/>
      <c r="Y80" s="123"/>
      <c r="Z80" s="44"/>
    </row>
    <row r="81" spans="8:26" x14ac:dyDescent="0.3">
      <c r="H81" s="123"/>
      <c r="Y81" s="123"/>
      <c r="Z81" s="44"/>
    </row>
    <row r="82" spans="8:26" x14ac:dyDescent="0.3">
      <c r="H82" s="123"/>
      <c r="L82" s="190"/>
      <c r="Y82" s="123"/>
      <c r="Z82" s="44"/>
    </row>
    <row r="83" spans="8:26" x14ac:dyDescent="0.3">
      <c r="Y83" s="123"/>
      <c r="Z83" s="44"/>
    </row>
    <row r="84" spans="8:26" x14ac:dyDescent="0.3">
      <c r="Y84" s="123"/>
      <c r="Z84" s="44"/>
    </row>
    <row r="85" spans="8:26" x14ac:dyDescent="0.3">
      <c r="Y85" s="123"/>
      <c r="Z85" s="44"/>
    </row>
    <row r="86" spans="8:26" x14ac:dyDescent="0.3">
      <c r="Z86" s="44"/>
    </row>
    <row r="87" spans="8:26" x14ac:dyDescent="0.3">
      <c r="Z87" s="44"/>
    </row>
    <row r="88" spans="8:26" x14ac:dyDescent="0.3">
      <c r="Z88" s="44"/>
    </row>
    <row r="89" spans="8:26" x14ac:dyDescent="0.3">
      <c r="Z89" s="44"/>
    </row>
    <row r="90" spans="8:26" x14ac:dyDescent="0.3">
      <c r="Z90" s="44"/>
    </row>
    <row r="91" spans="8:26" x14ac:dyDescent="0.3">
      <c r="Z91" s="44"/>
    </row>
    <row r="92" spans="8:26" x14ac:dyDescent="0.3">
      <c r="Z92" s="44"/>
    </row>
    <row r="93" spans="8:26" x14ac:dyDescent="0.3">
      <c r="Z93" s="44"/>
    </row>
    <row r="94" spans="8:26" x14ac:dyDescent="0.3">
      <c r="Z94" s="44"/>
    </row>
    <row r="95" spans="8:26" x14ac:dyDescent="0.3">
      <c r="Z95" s="44"/>
    </row>
    <row r="96" spans="8:26" x14ac:dyDescent="0.3">
      <c r="Z96" s="44"/>
    </row>
    <row r="97" spans="26:26" x14ac:dyDescent="0.3">
      <c r="Z97" s="44"/>
    </row>
  </sheetData>
  <customSheetViews>
    <customSheetView guid="{195DF303-1BBD-4236-94B5-47432850B006}" scale="75" fitToPage="1" showRuler="0">
      <pageMargins left="0.5" right="0.5" top="1" bottom="0" header="0.5" footer="0.5"/>
      <printOptions horizontalCentered="1"/>
      <pageSetup scale="52" orientation="landscape" horizontalDpi="300" verticalDpi="300" r:id="rId1"/>
      <headerFooter alignWithMargins="0"/>
    </customSheetView>
    <customSheetView guid="{0C49E549-011E-46F4-A82E-2CC8951A9C1E}" scale="75" fitToPage="1" showRuler="0" topLeftCell="A4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2"/>
      <headerFooter alignWithMargins="0"/>
    </customSheetView>
    <customSheetView guid="{4BC93440-BA85-4935-A8C9-66DC6AE5DE5E}" scale="75" fitToPage="1" showRuler="0">
      <pane xSplit="5" ySplit="18" topLeftCell="G64" activePane="bottomRight" state="frozen"/>
      <selection pane="bottomRight" activeCell="L68" sqref="L68"/>
      <pageMargins left="0.5" right="0.5" top="1" bottom="0" header="0.5" footer="0.5"/>
      <printOptions horizontalCentered="1"/>
      <pageSetup scale="53" orientation="landscape" horizontalDpi="300" verticalDpi="300" r:id="rId3"/>
      <headerFooter alignWithMargins="0"/>
    </customSheetView>
    <customSheetView guid="{2431C9E5-7CC2-4B8D-99C3-962247B1DBF5}" scale="75" fitToPage="1" showRuler="0">
      <pane xSplit="5" ySplit="18" topLeftCell="F19" activePane="bottomRight" state="frozen"/>
      <selection pane="bottomRight" activeCell="L50" sqref="L50"/>
      <pageMargins left="0.5" right="0.5" top="1" bottom="0" header="0.5" footer="0.5"/>
      <printOptions horizontalCentered="1"/>
      <pageSetup scale="53" orientation="landscape" horizontalDpi="300" verticalDpi="300" r:id="rId4"/>
      <headerFooter alignWithMargins="0"/>
    </customSheetView>
    <customSheetView guid="{2EA35095-1ADC-4CC7-8C3C-B487D65FA247}" scale="75" fitToPage="1" showRuler="0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5"/>
      <headerFooter alignWithMargins="0"/>
    </customSheetView>
    <customSheetView guid="{8FC77C99-DBF7-40B8-99B8-01B75826CDCB}" scale="75" fitToPage="1" showRuler="0" topLeftCell="I46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6"/>
      <headerFooter alignWithMargins="0"/>
    </customSheetView>
    <customSheetView guid="{8FB94551-8874-4095-B8FB-5316E0D2FD2C}" scale="75" fitToPage="1" showRuler="0">
      <pageMargins left="0.5" right="0.5" top="1" bottom="0" header="0.5" footer="0.5"/>
      <printOptions horizontalCentered="1"/>
      <pageSetup scale="52" orientation="landscape" horizontalDpi="300" verticalDpi="300" r:id="rId7"/>
      <headerFooter alignWithMargins="0"/>
    </customSheetView>
    <customSheetView guid="{6B3D5C27-2FDE-4561-9575-1E98BFB869D0}" scale="75" fitToPage="1" showRuler="0">
      <selection activeCell="D33" sqref="D33"/>
      <pageMargins left="0.5" right="0.5" top="1" bottom="0" header="0.5" footer="0.5"/>
      <printOptions horizontalCentered="1"/>
      <pageSetup scale="48" orientation="landscape" horizontalDpi="300" verticalDpi="300" r:id="rId8"/>
      <headerFooter alignWithMargins="0"/>
    </customSheetView>
    <customSheetView guid="{0BC1F393-8A13-47D5-BC6C-0C99615B5AB9}" scale="75" fitToPage="1" showRuler="0" topLeftCell="A33">
      <selection activeCell="H55" sqref="H55"/>
      <pageMargins left="0.5" right="0.5" top="1" bottom="0" header="0.5" footer="0.5"/>
      <printOptions horizontalCentered="1"/>
      <pageSetup scale="52" orientation="landscape" horizontalDpi="300" verticalDpi="300" r:id="rId9"/>
      <headerFooter alignWithMargins="0"/>
    </customSheetView>
    <customSheetView guid="{18BDED73-BFA0-442E-87EC-CED86EE4CF94}" scale="75" fitToPage="1" showRuler="0" topLeftCell="A33">
      <selection activeCell="H55" sqref="H55"/>
      <pageMargins left="0.5" right="0.5" top="1" bottom="0" header="0.5" footer="0.5"/>
      <printOptions horizontalCentered="1"/>
      <pageSetup scale="52" orientation="landscape" horizontalDpi="300" verticalDpi="300" r:id="rId10"/>
      <headerFooter alignWithMargins="0"/>
    </customSheetView>
    <customSheetView guid="{35F19056-2E6F-4935-B863-78836FE990BF}" scale="75" fitToPage="1" showRuler="0" topLeftCell="G33">
      <selection activeCell="V55" sqref="V55"/>
      <pageMargins left="0.5" right="0.5" top="1" bottom="0" header="0.5" footer="0.5"/>
      <printOptions horizontalCentered="1"/>
      <pageSetup scale="54" orientation="landscape" horizontalDpi="300" verticalDpi="300" r:id="rId11"/>
      <headerFooter alignWithMargins="0"/>
    </customSheetView>
    <customSheetView guid="{F562D92E-120C-4AE9-9663-89E64D41DC53}" scale="75" fitToPage="1" topLeftCell="G16">
      <selection activeCell="T19" sqref="T19"/>
      <pageMargins left="0.5" right="0.5" top="1" bottom="0" header="0.5" footer="0.5"/>
      <printOptions horizontalCentered="1"/>
      <pageSetup scale="54" orientation="landscape" horizontalDpi="300" verticalDpi="300" r:id="rId12"/>
      <headerFooter alignWithMargins="0"/>
    </customSheetView>
  </customSheetViews>
  <mergeCells count="11">
    <mergeCell ref="C56:D56"/>
    <mergeCell ref="C20:D20"/>
    <mergeCell ref="C25:D25"/>
    <mergeCell ref="C35:D35"/>
    <mergeCell ref="C39:D39"/>
    <mergeCell ref="C46:D46"/>
    <mergeCell ref="A1:X1"/>
    <mergeCell ref="A2:X2"/>
    <mergeCell ref="A3:X3"/>
    <mergeCell ref="A4:X4"/>
    <mergeCell ref="A5:X5"/>
  </mergeCells>
  <phoneticPr fontId="11" type="noConversion"/>
  <printOptions horizontalCentered="1"/>
  <pageMargins left="0.5" right="0.5" top="1" bottom="0" header="0.5" footer="0.5"/>
  <pageSetup scale="44" orientation="landscape" horizontalDpi="300" verticalDpi="300" r:id="rId1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syncVertical="1" syncRef="A1" transitionEvaluation="1" transitionEntry="1" codeName="Sheet5">
    <pageSetUpPr fitToPage="1"/>
  </sheetPr>
  <dimension ref="A1:X80"/>
  <sheetViews>
    <sheetView zoomScale="75" zoomScaleNormal="75" workbookViewId="0"/>
  </sheetViews>
  <sheetFormatPr defaultColWidth="9.75" defaultRowHeight="15.6" x14ac:dyDescent="0.3"/>
  <cols>
    <col min="1" max="1" width="5.6640625" style="41" customWidth="1"/>
    <col min="2" max="2" width="0.33203125" style="41" customWidth="1"/>
    <col min="3" max="3" width="13.58203125" style="41" customWidth="1"/>
    <col min="4" max="4" width="32" style="41" customWidth="1"/>
    <col min="5" max="5" width="0.58203125" style="41" customWidth="1"/>
    <col min="6" max="6" width="15.58203125" style="41" customWidth="1"/>
    <col min="7" max="7" width="0.58203125" style="41" customWidth="1"/>
    <col min="8" max="8" width="19.33203125" style="41" customWidth="1"/>
    <col min="9" max="9" width="0.75" style="41" customWidth="1"/>
    <col min="10" max="10" width="12.08203125" style="41" customWidth="1"/>
    <col min="11" max="11" width="0.4140625" style="41" customWidth="1"/>
    <col min="12" max="12" width="15.6640625" style="41" customWidth="1"/>
    <col min="13" max="13" width="0.9140625" style="41" customWidth="1"/>
    <col min="14" max="14" width="12.75" style="41" customWidth="1"/>
    <col min="15" max="15" width="0.6640625" style="41" customWidth="1"/>
    <col min="16" max="16" width="15.4140625" style="41" customWidth="1"/>
    <col min="17" max="17" width="0.75" style="41" customWidth="1"/>
    <col min="18" max="18" width="22.33203125" style="41" customWidth="1"/>
    <col min="19" max="70" width="9.75" style="41"/>
    <col min="71" max="71" width="20.75" style="41" customWidth="1"/>
    <col min="72" max="16384" width="9.75" style="41"/>
  </cols>
  <sheetData>
    <row r="1" spans="1:18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18" x14ac:dyDescent="0.3">
      <c r="A3" s="40" t="str">
        <f>TITLE</f>
        <v>ANNUALIZED TEST YEAR REVENUES AT REHEARING ORDER CALCULATED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18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</row>
    <row r="6" spans="1:18" x14ac:dyDescent="0.3">
      <c r="A6" s="41" t="str">
        <f>DATA_PERIOD</f>
        <v>DATA: ____ BASE PERIOD   __X__FORECASTED PERIOD</v>
      </c>
      <c r="R6" s="42" t="s">
        <v>157</v>
      </c>
    </row>
    <row r="7" spans="1:18" x14ac:dyDescent="0.3">
      <c r="A7" s="41" t="str">
        <f>TYPE</f>
        <v>TYPE OF FILING: _X_ ORIGINAL   ___UPDATED  ___ REVISED</v>
      </c>
      <c r="R7" s="45" t="str">
        <f>"PAGE 1 OF "&amp;TEXT(Page_Num_2.3,"00")</f>
        <v>PAGE 1 OF 24</v>
      </c>
    </row>
    <row r="8" spans="1:18" x14ac:dyDescent="0.3">
      <c r="A8" s="42" t="s">
        <v>187</v>
      </c>
      <c r="R8" s="42" t="s">
        <v>3</v>
      </c>
    </row>
    <row r="9" spans="1:18" x14ac:dyDescent="0.3">
      <c r="A9" s="132" t="str">
        <f>TIME</f>
        <v>12 Months Projected with Riders</v>
      </c>
      <c r="R9" s="41" t="str">
        <f>WIT</f>
        <v>B. L. Sailers</v>
      </c>
    </row>
    <row r="10" spans="1:18" x14ac:dyDescent="0.3">
      <c r="A10" s="132" t="str">
        <f>INPUT!B5</f>
        <v xml:space="preserve"> </v>
      </c>
    </row>
    <row r="11" spans="1:18" x14ac:dyDescent="0.3">
      <c r="A11" s="40" t="s">
        <v>130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</row>
    <row r="12" spans="1:18" ht="12.75" customHeight="1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</row>
    <row r="13" spans="1:18" ht="18" customHeight="1" x14ac:dyDescent="0.3">
      <c r="L13" s="44" t="s">
        <v>6</v>
      </c>
      <c r="M13" s="44"/>
      <c r="N13" s="44" t="s">
        <v>7</v>
      </c>
      <c r="O13" s="44"/>
      <c r="R13" s="44" t="s">
        <v>6</v>
      </c>
    </row>
    <row r="14" spans="1:18" x14ac:dyDescent="0.3">
      <c r="L14" s="44" t="s">
        <v>12</v>
      </c>
      <c r="M14" s="44"/>
      <c r="N14" s="44" t="s">
        <v>13</v>
      </c>
      <c r="O14" s="44"/>
      <c r="R14" s="44" t="s">
        <v>11</v>
      </c>
    </row>
    <row r="15" spans="1:18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842</v>
      </c>
      <c r="M15" s="44"/>
      <c r="N15" s="44" t="s">
        <v>842</v>
      </c>
      <c r="O15" s="44"/>
      <c r="P15" s="44" t="s">
        <v>842</v>
      </c>
      <c r="Q15" s="44"/>
      <c r="R15" s="44" t="s">
        <v>9</v>
      </c>
    </row>
    <row r="16" spans="1:18" x14ac:dyDescent="0.3">
      <c r="A16" s="44" t="s">
        <v>22</v>
      </c>
      <c r="C16" s="44" t="s">
        <v>23</v>
      </c>
      <c r="D16" s="44" t="s">
        <v>24</v>
      </c>
      <c r="E16" s="44"/>
      <c r="F16" s="44" t="s">
        <v>55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9</v>
      </c>
      <c r="Q16" s="44"/>
      <c r="R16" s="141" t="s">
        <v>28</v>
      </c>
    </row>
    <row r="17" spans="1:18" x14ac:dyDescent="0.3">
      <c r="C17" s="141" t="s">
        <v>33</v>
      </c>
      <c r="D17" s="141" t="s">
        <v>34</v>
      </c>
      <c r="E17" s="141"/>
      <c r="F17" s="141" t="s">
        <v>35</v>
      </c>
      <c r="G17" s="153"/>
      <c r="H17" s="141" t="s">
        <v>36</v>
      </c>
      <c r="I17" s="141"/>
      <c r="J17" s="141" t="s">
        <v>37</v>
      </c>
      <c r="K17" s="141"/>
      <c r="L17" s="141" t="s">
        <v>38</v>
      </c>
      <c r="M17" s="141"/>
      <c r="N17" s="141" t="s">
        <v>39</v>
      </c>
      <c r="O17" s="141"/>
      <c r="P17" s="141" t="s">
        <v>40</v>
      </c>
      <c r="Q17" s="141"/>
      <c r="R17" s="141" t="s">
        <v>41</v>
      </c>
    </row>
    <row r="18" spans="1:18" ht="9.75" customHeight="1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</row>
    <row r="19" spans="1:18" ht="17.100000000000001" customHeight="1" x14ac:dyDescent="0.3">
      <c r="H19" s="171" t="s">
        <v>49</v>
      </c>
      <c r="I19" s="171"/>
      <c r="J19" s="172" t="s">
        <v>198</v>
      </c>
      <c r="K19" s="171"/>
      <c r="L19" s="171" t="s">
        <v>50</v>
      </c>
      <c r="M19" s="171"/>
      <c r="N19" s="171" t="s">
        <v>51</v>
      </c>
      <c r="O19" s="171"/>
      <c r="P19" s="171" t="s">
        <v>50</v>
      </c>
      <c r="Q19" s="171"/>
      <c r="R19" s="171" t="s">
        <v>50</v>
      </c>
    </row>
    <row r="20" spans="1:18" x14ac:dyDescent="0.3">
      <c r="C20" s="470" t="s">
        <v>53</v>
      </c>
      <c r="D20" s="470"/>
      <c r="H20" s="44"/>
      <c r="I20" s="44"/>
      <c r="J20" s="46"/>
      <c r="K20" s="44"/>
      <c r="L20" s="44"/>
      <c r="M20" s="44"/>
      <c r="N20" s="44"/>
      <c r="O20" s="44"/>
      <c r="P20" s="44"/>
      <c r="Q20" s="44"/>
      <c r="R20" s="44"/>
    </row>
    <row r="21" spans="1:18" x14ac:dyDescent="0.3">
      <c r="A21" s="44">
        <v>1</v>
      </c>
      <c r="C21" s="42" t="s">
        <v>52</v>
      </c>
      <c r="D21" s="45" t="s">
        <v>243</v>
      </c>
      <c r="E21" s="42"/>
      <c r="F21" s="3">
        <f>'Rate RS'!F38</f>
        <v>1689991</v>
      </c>
      <c r="G21" s="1"/>
      <c r="H21" s="3">
        <f>'Rate RS'!H38</f>
        <v>1527729253</v>
      </c>
      <c r="I21" s="3"/>
      <c r="J21" s="174">
        <f>IF(H21=0,"-",ROUND((L21/H21)*100,6))</f>
        <v>14.343502000000001</v>
      </c>
      <c r="K21" s="7"/>
      <c r="L21" s="3">
        <f>'Rate RS'!L38</f>
        <v>219129880</v>
      </c>
      <c r="M21" s="3"/>
      <c r="N21" s="5">
        <f>ROUND((L21/L$23)*100,2)</f>
        <v>100</v>
      </c>
      <c r="O21" s="7"/>
      <c r="P21" s="3">
        <f>'Rate RS'!P38</f>
        <v>5327517</v>
      </c>
      <c r="Q21" s="3"/>
      <c r="R21" s="3">
        <f>'Rate RS'!R38</f>
        <v>224457397</v>
      </c>
    </row>
    <row r="22" spans="1:18" x14ac:dyDescent="0.3">
      <c r="A22" s="44">
        <v>2</v>
      </c>
      <c r="C22" s="42"/>
      <c r="D22" s="45"/>
      <c r="E22" s="42"/>
      <c r="F22" s="3"/>
      <c r="G22" s="1"/>
      <c r="H22" s="3"/>
      <c r="I22" s="3"/>
      <c r="J22" s="174"/>
      <c r="K22" s="7"/>
      <c r="L22" s="3"/>
      <c r="M22" s="3"/>
      <c r="N22" s="5"/>
      <c r="O22" s="7"/>
      <c r="P22" s="3"/>
      <c r="Q22" s="3"/>
      <c r="R22" s="3"/>
    </row>
    <row r="23" spans="1:18" ht="20.100000000000001" customHeight="1" x14ac:dyDescent="0.3">
      <c r="A23" s="44">
        <v>3</v>
      </c>
      <c r="C23" s="178" t="s">
        <v>196</v>
      </c>
      <c r="F23" s="145">
        <f>F21</f>
        <v>1689991</v>
      </c>
      <c r="G23" s="1"/>
      <c r="H23" s="145">
        <f>H21</f>
        <v>1527729253</v>
      </c>
      <c r="I23" s="3"/>
      <c r="J23" s="174">
        <f>IF(H23=0,"-",ROUND((L23/H23)*100,6))</f>
        <v>14.343502000000001</v>
      </c>
      <c r="K23" s="7"/>
      <c r="L23" s="145">
        <f>L21</f>
        <v>219129880</v>
      </c>
      <c r="M23" s="3"/>
      <c r="N23" s="179">
        <f>ROUND((L23/L$67)*100,2)</f>
        <v>43.26</v>
      </c>
      <c r="O23" s="7"/>
      <c r="P23" s="145">
        <f>P21</f>
        <v>5327517</v>
      </c>
      <c r="Q23" s="3"/>
      <c r="R23" s="145">
        <f>R21</f>
        <v>224457397</v>
      </c>
    </row>
    <row r="24" spans="1:18" ht="12" customHeight="1" x14ac:dyDescent="0.3">
      <c r="A24" s="44"/>
      <c r="F24" s="3"/>
      <c r="G24" s="1"/>
      <c r="H24" s="3"/>
      <c r="I24" s="3"/>
      <c r="J24" s="174"/>
      <c r="K24" s="7"/>
      <c r="L24" s="3"/>
      <c r="M24" s="3"/>
      <c r="N24" s="5"/>
      <c r="O24" s="7"/>
      <c r="P24" s="3"/>
      <c r="Q24" s="3"/>
      <c r="R24" s="3"/>
    </row>
    <row r="25" spans="1:18" ht="15.75" customHeight="1" x14ac:dyDescent="0.3">
      <c r="A25" s="44"/>
      <c r="C25" s="470" t="s">
        <v>254</v>
      </c>
      <c r="D25" s="470"/>
      <c r="F25" s="3"/>
      <c r="G25" s="1"/>
      <c r="H25" s="3"/>
      <c r="I25" s="3"/>
      <c r="J25" s="174"/>
      <c r="K25" s="7"/>
      <c r="L25" s="3"/>
      <c r="M25" s="3"/>
      <c r="N25" s="5"/>
      <c r="O25" s="7"/>
      <c r="P25" s="3"/>
      <c r="Q25" s="3"/>
      <c r="R25" s="3"/>
    </row>
    <row r="26" spans="1:18" x14ac:dyDescent="0.3">
      <c r="A26" s="44">
        <v>4</v>
      </c>
      <c r="C26" s="42" t="s">
        <v>91</v>
      </c>
      <c r="D26" s="45" t="s">
        <v>244</v>
      </c>
      <c r="E26" s="42"/>
      <c r="F26" s="3">
        <f>'Rate DS'!F50</f>
        <v>155005</v>
      </c>
      <c r="G26" s="1"/>
      <c r="H26" s="3">
        <f>'Rate DS'!H50</f>
        <v>1097342923</v>
      </c>
      <c r="I26" s="3"/>
      <c r="J26" s="174">
        <f t="shared" ref="J26:J33" si="0">IF(H26=0,"-",ROUND((L26/H26)*100,6))</f>
        <v>13.216025</v>
      </c>
      <c r="K26" s="7"/>
      <c r="L26" s="3">
        <f>'Rate DS'!L50</f>
        <v>145025111</v>
      </c>
      <c r="M26" s="3"/>
      <c r="N26" s="5">
        <f t="shared" ref="N26:N31" si="1">ROUND((L26/L$33)*100,2)</f>
        <v>55.12</v>
      </c>
      <c r="O26" s="7"/>
      <c r="P26" s="3">
        <f>'Rate DS'!P50</f>
        <v>3826668</v>
      </c>
      <c r="Q26" s="3"/>
      <c r="R26" s="3">
        <f>'Rate DS'!R50</f>
        <v>148851779</v>
      </c>
    </row>
    <row r="27" spans="1:18" x14ac:dyDescent="0.3">
      <c r="A27" s="44">
        <v>5</v>
      </c>
      <c r="C27" s="42" t="s">
        <v>381</v>
      </c>
      <c r="D27" s="42" t="s">
        <v>61</v>
      </c>
      <c r="E27" s="42"/>
      <c r="F27" s="3">
        <f>'Rate DT-Pri'!F65</f>
        <v>395</v>
      </c>
      <c r="G27" s="1"/>
      <c r="H27" s="3">
        <f>'Rate DT-Pri'!H65</f>
        <v>474967440</v>
      </c>
      <c r="I27" s="3"/>
      <c r="J27" s="174">
        <f t="shared" si="0"/>
        <v>10.500838999999999</v>
      </c>
      <c r="K27" s="7"/>
      <c r="L27" s="3">
        <f>'Rate DT-Pri'!L65</f>
        <v>49875567</v>
      </c>
      <c r="M27" s="3"/>
      <c r="N27" s="5">
        <f t="shared" si="1"/>
        <v>18.96</v>
      </c>
      <c r="O27" s="7"/>
      <c r="P27" s="3">
        <f>'Rate DT-Pri'!P65</f>
        <v>1656313</v>
      </c>
      <c r="Q27" s="3"/>
      <c r="R27" s="3">
        <f>'Rate DT-Pri'!R65</f>
        <v>51531880</v>
      </c>
    </row>
    <row r="28" spans="1:18" x14ac:dyDescent="0.3">
      <c r="A28" s="44">
        <v>6</v>
      </c>
      <c r="C28" s="42" t="s">
        <v>379</v>
      </c>
      <c r="D28" s="42" t="s">
        <v>61</v>
      </c>
      <c r="E28" s="42"/>
      <c r="F28" s="3">
        <f>'Rate DT-Sec'!F63</f>
        <v>1363</v>
      </c>
      <c r="G28" s="1"/>
      <c r="H28" s="3">
        <f>'Rate DT-Sec'!H63</f>
        <v>600045849</v>
      </c>
      <c r="I28" s="3"/>
      <c r="J28" s="174">
        <f t="shared" si="0"/>
        <v>10.686415</v>
      </c>
      <c r="K28" s="7"/>
      <c r="L28" s="3">
        <f>'Rate DT-Sec'!L63</f>
        <v>64123391</v>
      </c>
      <c r="M28" s="3"/>
      <c r="N28" s="5">
        <f t="shared" si="1"/>
        <v>24.37</v>
      </c>
      <c r="O28" s="7"/>
      <c r="P28" s="3">
        <f>'Rate DT-Sec'!P63</f>
        <v>2092488</v>
      </c>
      <c r="Q28" s="3"/>
      <c r="R28" s="3">
        <f>'Rate DT-Sec'!R63</f>
        <v>66215879</v>
      </c>
    </row>
    <row r="29" spans="1:18" x14ac:dyDescent="0.3">
      <c r="A29" s="44">
        <v>7</v>
      </c>
      <c r="C29" s="42" t="s">
        <v>94</v>
      </c>
      <c r="D29" s="42" t="s">
        <v>246</v>
      </c>
      <c r="E29" s="42"/>
      <c r="F29" s="3">
        <f>'Rate EH'!F43</f>
        <v>1006</v>
      </c>
      <c r="G29" s="1"/>
      <c r="H29" s="3">
        <f>'Rate EH'!H43</f>
        <v>19145457</v>
      </c>
      <c r="I29" s="3"/>
      <c r="J29" s="174">
        <f t="shared" si="0"/>
        <v>11.269154</v>
      </c>
      <c r="K29" s="7"/>
      <c r="L29" s="3">
        <f>'Rate EH'!L43</f>
        <v>2157531</v>
      </c>
      <c r="M29" s="3"/>
      <c r="N29" s="5">
        <f t="shared" si="1"/>
        <v>0.82</v>
      </c>
      <c r="O29" s="7"/>
      <c r="P29" s="3">
        <f>'Rate EH'!P43</f>
        <v>66764</v>
      </c>
      <c r="Q29" s="3"/>
      <c r="R29" s="3">
        <f>'Rate EH'!R43</f>
        <v>2224295</v>
      </c>
    </row>
    <row r="30" spans="1:18" x14ac:dyDescent="0.3">
      <c r="A30" s="44">
        <v>8</v>
      </c>
      <c r="B30" s="191"/>
      <c r="C30" s="42" t="s">
        <v>95</v>
      </c>
      <c r="D30" s="45" t="s">
        <v>245</v>
      </c>
      <c r="E30" s="42"/>
      <c r="F30" s="3">
        <f>'Rate SP GSFL'!F38</f>
        <v>166</v>
      </c>
      <c r="G30" s="1"/>
      <c r="H30" s="3">
        <f>'Rate SP GSFL'!H38</f>
        <v>327203</v>
      </c>
      <c r="I30" s="3"/>
      <c r="J30" s="174">
        <f t="shared" si="0"/>
        <v>18.210101999999999</v>
      </c>
      <c r="K30" s="7"/>
      <c r="L30" s="3">
        <f>'Rate SP GSFL'!L38</f>
        <v>59584</v>
      </c>
      <c r="M30" s="3"/>
      <c r="N30" s="5">
        <f t="shared" si="1"/>
        <v>0.02</v>
      </c>
      <c r="O30" s="7"/>
      <c r="P30" s="3">
        <f>'Rate SP GSFL'!P38</f>
        <v>1141</v>
      </c>
      <c r="Q30" s="3"/>
      <c r="R30" s="3">
        <f>'Rate SP GSFL'!R38</f>
        <v>60725</v>
      </c>
    </row>
    <row r="31" spans="1:18" x14ac:dyDescent="0.3">
      <c r="A31" s="44">
        <v>9</v>
      </c>
      <c r="C31" s="42" t="s">
        <v>93</v>
      </c>
      <c r="D31" s="42" t="s">
        <v>153</v>
      </c>
      <c r="E31" s="42"/>
      <c r="F31" s="3">
        <f>'Rate SP GSFL'!F57</f>
        <v>275</v>
      </c>
      <c r="G31" s="1"/>
      <c r="H31" s="3">
        <f>'Rate SP GSFL'!H57</f>
        <v>5922743</v>
      </c>
      <c r="I31" s="3"/>
      <c r="J31" s="174">
        <f t="shared" si="0"/>
        <v>15.851051</v>
      </c>
      <c r="K31" s="7"/>
      <c r="L31" s="3">
        <f>'Rate SP GSFL'!L57</f>
        <v>938817</v>
      </c>
      <c r="M31" s="3"/>
      <c r="N31" s="5">
        <f t="shared" si="1"/>
        <v>0.36</v>
      </c>
      <c r="O31" s="7"/>
      <c r="P31" s="3">
        <f>'Rate SP GSFL'!P57</f>
        <v>20654</v>
      </c>
      <c r="Q31" s="3"/>
      <c r="R31" s="3">
        <f>'Rate SP GSFL'!R57</f>
        <v>959471</v>
      </c>
    </row>
    <row r="32" spans="1:18" x14ac:dyDescent="0.3">
      <c r="A32" s="44">
        <v>10</v>
      </c>
      <c r="C32" s="42" t="s">
        <v>92</v>
      </c>
      <c r="D32" s="45" t="s">
        <v>182</v>
      </c>
      <c r="E32" s="42"/>
      <c r="F32" s="3">
        <f>'Rate DP'!F46</f>
        <v>120</v>
      </c>
      <c r="G32" s="1"/>
      <c r="H32" s="3">
        <f>'Rate DP'!H46</f>
        <v>7726973</v>
      </c>
      <c r="I32" s="3"/>
      <c r="J32" s="174">
        <f t="shared" si="0"/>
        <v>11.944832999999999</v>
      </c>
      <c r="K32" s="7"/>
      <c r="L32" s="3">
        <f>'Rate DP'!L46</f>
        <v>922974</v>
      </c>
      <c r="M32" s="3"/>
      <c r="N32" s="5">
        <f>ROUND((L32/L$33)*100,2)</f>
        <v>0.35</v>
      </c>
      <c r="O32" s="7"/>
      <c r="P32" s="3">
        <f>'Rate DP'!P46</f>
        <v>26946</v>
      </c>
      <c r="Q32" s="3"/>
      <c r="R32" s="3">
        <f>'Rate DP'!R46</f>
        <v>949920</v>
      </c>
    </row>
    <row r="33" spans="1:18" ht="20.100000000000001" customHeight="1" x14ac:dyDescent="0.3">
      <c r="A33" s="44">
        <v>11</v>
      </c>
      <c r="C33" s="178" t="s">
        <v>167</v>
      </c>
      <c r="F33" s="145">
        <f>SUM(F26:F32)</f>
        <v>158330</v>
      </c>
      <c r="G33" s="1"/>
      <c r="H33" s="145">
        <f>SUM(H26:H32)</f>
        <v>2205478588</v>
      </c>
      <c r="I33" s="3"/>
      <c r="J33" s="174">
        <f t="shared" si="0"/>
        <v>11.929518</v>
      </c>
      <c r="K33" s="7"/>
      <c r="L33" s="145">
        <f>SUM(L26:L32)</f>
        <v>263102975</v>
      </c>
      <c r="M33" s="3"/>
      <c r="N33" s="179">
        <f>ROUND((L33/L$67)*100,2)+0.01</f>
        <v>51.949999999999996</v>
      </c>
      <c r="O33" s="7"/>
      <c r="P33" s="145">
        <f>SUM(P26:P32)</f>
        <v>7690974</v>
      </c>
      <c r="Q33" s="3"/>
      <c r="R33" s="145">
        <f>SUM(R26:R32)</f>
        <v>270793949</v>
      </c>
    </row>
    <row r="34" spans="1:18" ht="16.5" customHeight="1" x14ac:dyDescent="0.3">
      <c r="A34" s="44"/>
      <c r="F34" s="3"/>
      <c r="G34" s="1"/>
      <c r="H34" s="3"/>
      <c r="I34" s="3"/>
      <c r="J34" s="174"/>
      <c r="K34" s="7"/>
      <c r="L34" s="3"/>
      <c r="M34" s="3"/>
      <c r="N34" s="5"/>
      <c r="O34" s="7"/>
      <c r="P34" s="3"/>
      <c r="Q34" s="3"/>
      <c r="R34" s="3"/>
    </row>
    <row r="35" spans="1:18" ht="15.75" customHeight="1" x14ac:dyDescent="0.3">
      <c r="A35" s="44"/>
      <c r="C35" s="470" t="s">
        <v>255</v>
      </c>
      <c r="D35" s="470"/>
      <c r="F35" s="3"/>
      <c r="G35" s="1"/>
      <c r="H35" s="3"/>
      <c r="I35" s="3"/>
      <c r="J35" s="174"/>
      <c r="K35" s="7"/>
      <c r="L35" s="3"/>
      <c r="M35" s="3"/>
      <c r="N35" s="5"/>
      <c r="O35" s="7"/>
      <c r="P35" s="3"/>
      <c r="Q35" s="3"/>
      <c r="R35" s="3"/>
    </row>
    <row r="36" spans="1:18" x14ac:dyDescent="0.3">
      <c r="A36" s="44">
        <v>12</v>
      </c>
      <c r="C36" s="42" t="s">
        <v>60</v>
      </c>
      <c r="D36" s="42" t="s">
        <v>61</v>
      </c>
      <c r="E36" s="42"/>
      <c r="F36" s="49">
        <f>'Rate TT'!F56</f>
        <v>156</v>
      </c>
      <c r="G36" s="1"/>
      <c r="H36" s="49">
        <f>'Rate TT'!H56</f>
        <v>185463057</v>
      </c>
      <c r="I36" s="3"/>
      <c r="J36" s="174">
        <f>IF(H36=0,"-",ROUND((L36/H36)*100,6))</f>
        <v>8.7272370000000006</v>
      </c>
      <c r="K36" s="7"/>
      <c r="L36" s="49">
        <f>'Rate TT'!L56</f>
        <v>16185800</v>
      </c>
      <c r="M36" s="3"/>
      <c r="N36" s="176">
        <f>ROUND((L36/L$37)*100,2)</f>
        <v>100</v>
      </c>
      <c r="O36" s="7"/>
      <c r="P36" s="49">
        <f>'Rate TT'!P56</f>
        <v>646749</v>
      </c>
      <c r="Q36" s="3"/>
      <c r="R36" s="49">
        <f>'Rate TT'!R56</f>
        <v>16832549</v>
      </c>
    </row>
    <row r="37" spans="1:18" ht="20.100000000000001" customHeight="1" x14ac:dyDescent="0.3">
      <c r="A37" s="44">
        <v>13</v>
      </c>
      <c r="C37" s="178" t="s">
        <v>168</v>
      </c>
      <c r="D37" s="153"/>
      <c r="F37" s="145">
        <f>F36</f>
        <v>156</v>
      </c>
      <c r="G37" s="1"/>
      <c r="H37" s="145">
        <f>H36</f>
        <v>185463057</v>
      </c>
      <c r="I37" s="3"/>
      <c r="J37" s="174">
        <f>IF(H37=0,"-",ROUND((L37/H37)*100,6))</f>
        <v>8.7272370000000006</v>
      </c>
      <c r="K37" s="7"/>
      <c r="L37" s="145">
        <f>L36</f>
        <v>16185800</v>
      </c>
      <c r="M37" s="3"/>
      <c r="N37" s="179">
        <f>ROUND((L37/L$67)*100,2)</f>
        <v>3.2</v>
      </c>
      <c r="O37" s="7"/>
      <c r="P37" s="145">
        <f>P36</f>
        <v>646749</v>
      </c>
      <c r="Q37" s="3"/>
      <c r="R37" s="145">
        <f>R36</f>
        <v>16832549</v>
      </c>
    </row>
    <row r="38" spans="1:18" ht="12" customHeight="1" x14ac:dyDescent="0.3">
      <c r="A38" s="44"/>
      <c r="F38" s="3"/>
      <c r="G38" s="1"/>
      <c r="H38" s="3"/>
      <c r="I38" s="3"/>
      <c r="J38" s="174"/>
      <c r="K38" s="7"/>
      <c r="L38" s="3"/>
      <c r="M38" s="3"/>
      <c r="N38" s="5"/>
      <c r="O38" s="7"/>
      <c r="P38" s="3"/>
      <c r="Q38" s="3"/>
      <c r="R38" s="3"/>
    </row>
    <row r="39" spans="1:18" ht="15.75" customHeight="1" x14ac:dyDescent="0.3">
      <c r="A39" s="44"/>
      <c r="C39" s="470" t="s">
        <v>258</v>
      </c>
      <c r="D39" s="470"/>
      <c r="F39" s="3"/>
      <c r="G39" s="1"/>
      <c r="H39" s="3"/>
      <c r="I39" s="3"/>
      <c r="J39" s="174"/>
      <c r="K39" s="7"/>
      <c r="L39" s="3"/>
      <c r="M39" s="3"/>
      <c r="N39" s="5"/>
      <c r="O39" s="7"/>
      <c r="P39" s="3"/>
      <c r="Q39" s="3"/>
      <c r="R39" s="3"/>
    </row>
    <row r="40" spans="1:18" x14ac:dyDescent="0.3">
      <c r="A40" s="44">
        <v>14</v>
      </c>
      <c r="C40" s="41" t="s">
        <v>371</v>
      </c>
      <c r="D40" s="41" t="s">
        <v>258</v>
      </c>
      <c r="F40" s="3">
        <f>'Rate DT RTP-P'!F38</f>
        <v>0</v>
      </c>
      <c r="G40" s="1"/>
      <c r="H40" s="3">
        <f>'Rate DT RTP-P'!H38</f>
        <v>0</v>
      </c>
      <c r="I40" s="3"/>
      <c r="J40" s="174" t="str">
        <f>IF(H40=0,"-",ROUND((L40/H40)*100,6))</f>
        <v>-</v>
      </c>
      <c r="K40" s="7"/>
      <c r="L40" s="3">
        <f>'Rate DT RTP-P'!L38</f>
        <v>0</v>
      </c>
      <c r="M40" s="3"/>
      <c r="N40" s="5">
        <f>IFERROR(ROUND((L40/L$44)*100,2),0)</f>
        <v>0</v>
      </c>
      <c r="O40" s="7"/>
      <c r="P40" s="3">
        <f>'Rate DT RTP-P'!P38</f>
        <v>0</v>
      </c>
      <c r="Q40" s="3"/>
      <c r="R40" s="3">
        <f>'Rate DT RTP-P'!R38</f>
        <v>0</v>
      </c>
    </row>
    <row r="41" spans="1:18" x14ac:dyDescent="0.3">
      <c r="A41" s="44">
        <v>15</v>
      </c>
      <c r="C41" s="41" t="s">
        <v>372</v>
      </c>
      <c r="D41" s="41" t="s">
        <v>258</v>
      </c>
      <c r="F41" s="3">
        <f>'Rate DT RTP-S'!F39</f>
        <v>12</v>
      </c>
      <c r="G41" s="1"/>
      <c r="H41" s="3">
        <f>'Rate DT RTP-S'!H39</f>
        <v>1106948</v>
      </c>
      <c r="I41" s="3"/>
      <c r="J41" s="174">
        <f>IF(H41=0,"-",ROUND((L41/H41)*100,6))</f>
        <v>7.7953070000000002</v>
      </c>
      <c r="K41" s="7"/>
      <c r="L41" s="3">
        <f>'Rate DT RTP-S'!L39</f>
        <v>86290</v>
      </c>
      <c r="M41" s="3"/>
      <c r="N41" s="5">
        <f>IFERROR(ROUND((L41/L$44)*100,2),0)</f>
        <v>12.88</v>
      </c>
      <c r="O41" s="7"/>
      <c r="P41" s="3">
        <f>'Rate DT RTP-S'!P39</f>
        <v>0</v>
      </c>
      <c r="Q41" s="3"/>
      <c r="R41" s="3">
        <f>'Rate DT RTP-S'!R39</f>
        <v>86290</v>
      </c>
    </row>
    <row r="42" spans="1:18" x14ac:dyDescent="0.3">
      <c r="A42" s="44">
        <v>16</v>
      </c>
      <c r="C42" s="41" t="s">
        <v>261</v>
      </c>
      <c r="D42" s="41" t="s">
        <v>258</v>
      </c>
      <c r="F42" s="3">
        <f>'Rate DS RTP'!F39</f>
        <v>12</v>
      </c>
      <c r="G42" s="1"/>
      <c r="H42" s="3">
        <f>'Rate DS RTP'!H39</f>
        <v>-2961</v>
      </c>
      <c r="I42" s="3"/>
      <c r="J42" s="174">
        <f>IF(H42=0,"-",ROUND((L42/H42)*100,6))</f>
        <v>-67.173252000000005</v>
      </c>
      <c r="K42" s="7"/>
      <c r="L42" s="3">
        <f>'Rate DS RTP'!L39</f>
        <v>1989</v>
      </c>
      <c r="M42" s="3"/>
      <c r="N42" s="5">
        <f>IFERROR(ROUND((L42/L$44)*100,2),0)</f>
        <v>0.3</v>
      </c>
      <c r="O42" s="7"/>
      <c r="P42" s="3">
        <f>'Rate DS RTP'!P39</f>
        <v>0</v>
      </c>
      <c r="Q42" s="3"/>
      <c r="R42" s="3">
        <f>'Rate DS RTP'!R39</f>
        <v>1989</v>
      </c>
    </row>
    <row r="43" spans="1:18" x14ac:dyDescent="0.3">
      <c r="A43" s="44">
        <v>17</v>
      </c>
      <c r="C43" s="41" t="s">
        <v>262</v>
      </c>
      <c r="D43" s="41" t="s">
        <v>258</v>
      </c>
      <c r="F43" s="49">
        <f>'Rate TT RTP'!F39</f>
        <v>24</v>
      </c>
      <c r="G43" s="1"/>
      <c r="H43" s="49">
        <f>'Rate TT RTP'!H39</f>
        <v>12132774</v>
      </c>
      <c r="I43" s="3"/>
      <c r="J43" s="174">
        <f>IF(H43=0,"-",ROUND((L43/H43)*100,6))</f>
        <v>4.7962730000000002</v>
      </c>
      <c r="K43" s="7"/>
      <c r="L43" s="49">
        <f>'Rate TT RTP'!L39</f>
        <v>581921</v>
      </c>
      <c r="M43" s="3"/>
      <c r="N43" s="176">
        <f>IFERROR(ROUND((L43/L$44)*100,2),0)</f>
        <v>86.83</v>
      </c>
      <c r="O43" s="7"/>
      <c r="P43" s="49">
        <f>'Rate TT RTP'!P39</f>
        <v>0</v>
      </c>
      <c r="Q43" s="3"/>
      <c r="R43" s="49">
        <f>'Rate TT RTP'!R39</f>
        <v>581921</v>
      </c>
    </row>
    <row r="44" spans="1:18" ht="20.100000000000001" customHeight="1" x14ac:dyDescent="0.3">
      <c r="A44" s="44">
        <v>18</v>
      </c>
      <c r="C44" s="178" t="s">
        <v>263</v>
      </c>
      <c r="F44" s="145">
        <f>SUM(F40:F43)</f>
        <v>48</v>
      </c>
      <c r="G44" s="1"/>
      <c r="H44" s="145">
        <f>SUM(H40:H43)</f>
        <v>13236761</v>
      </c>
      <c r="I44" s="3"/>
      <c r="J44" s="174">
        <f>IF(H44=0,"-",ROUND((L44/H44)*100,6))</f>
        <v>5.0631719999999998</v>
      </c>
      <c r="K44" s="7"/>
      <c r="L44" s="145">
        <f>SUM(L40:L43)</f>
        <v>670200</v>
      </c>
      <c r="M44" s="3"/>
      <c r="N44" s="179">
        <f>ROUND((L44/L$67)*100,2)</f>
        <v>0.13</v>
      </c>
      <c r="O44" s="7"/>
      <c r="P44" s="145">
        <f>SUM(P40:P43)</f>
        <v>0</v>
      </c>
      <c r="Q44" s="3"/>
      <c r="R44" s="145">
        <f>SUM(R40:R43)</f>
        <v>670200</v>
      </c>
    </row>
    <row r="45" spans="1:18" ht="10.5" customHeight="1" x14ac:dyDescent="0.3">
      <c r="A45" s="44"/>
      <c r="C45" s="45"/>
      <c r="F45" s="3"/>
      <c r="G45" s="1"/>
      <c r="H45" s="3"/>
      <c r="I45" s="3"/>
      <c r="J45" s="174"/>
      <c r="K45" s="7"/>
      <c r="L45" s="3"/>
      <c r="M45" s="3"/>
      <c r="N45" s="5"/>
      <c r="O45" s="7"/>
      <c r="P45" s="3"/>
      <c r="Q45" s="3"/>
      <c r="R45" s="3"/>
    </row>
    <row r="46" spans="1:18" ht="15.75" customHeight="1" x14ac:dyDescent="0.3">
      <c r="A46" s="44"/>
      <c r="C46" s="470" t="s">
        <v>413</v>
      </c>
      <c r="D46" s="470"/>
      <c r="F46" s="3"/>
      <c r="G46" s="1"/>
      <c r="H46" s="3"/>
      <c r="I46" s="3"/>
      <c r="J46" s="174"/>
      <c r="K46" s="7"/>
      <c r="L46" s="3"/>
      <c r="M46" s="3"/>
      <c r="N46" s="5"/>
      <c r="O46" s="7"/>
      <c r="P46" s="3"/>
      <c r="Q46" s="3"/>
      <c r="R46" s="3"/>
    </row>
    <row r="47" spans="1:18" x14ac:dyDescent="0.3">
      <c r="A47" s="44">
        <v>19</v>
      </c>
      <c r="C47" s="42" t="s">
        <v>77</v>
      </c>
      <c r="D47" s="45" t="s">
        <v>78</v>
      </c>
      <c r="E47" s="42"/>
      <c r="F47" s="3">
        <f>'Rate SL'!F139</f>
        <v>103310</v>
      </c>
      <c r="G47" s="1"/>
      <c r="H47" s="3">
        <f>'Rate SL'!H139</f>
        <v>6857780</v>
      </c>
      <c r="I47" s="3"/>
      <c r="J47" s="174">
        <f t="shared" ref="J47:J54" si="2">IF(H47=0,"-",ROUND((L47/H47)*100,6))</f>
        <v>23.596571999999998</v>
      </c>
      <c r="K47" s="7"/>
      <c r="L47" s="3">
        <f>'Rate SL'!L139</f>
        <v>1618201</v>
      </c>
      <c r="M47" s="3"/>
      <c r="N47" s="5">
        <f t="shared" ref="N47:N53" si="3">ROUND((L47/L$54)*100,2)</f>
        <v>57.04</v>
      </c>
      <c r="O47" s="7"/>
      <c r="P47" s="3">
        <f>'Rate SL'!P139</f>
        <v>23915</v>
      </c>
      <c r="Q47" s="3"/>
      <c r="R47" s="3">
        <f>'Rate SL'!R139</f>
        <v>1642118</v>
      </c>
    </row>
    <row r="48" spans="1:18" x14ac:dyDescent="0.3">
      <c r="A48" s="44">
        <v>20</v>
      </c>
      <c r="C48" s="42" t="s">
        <v>81</v>
      </c>
      <c r="D48" s="45" t="s">
        <v>82</v>
      </c>
      <c r="E48" s="42"/>
      <c r="F48" s="3">
        <f>'Rate TL'!F34</f>
        <v>1560</v>
      </c>
      <c r="G48" s="1"/>
      <c r="H48" s="3">
        <f>'Rate TL'!H34</f>
        <v>1436827.8010000002</v>
      </c>
      <c r="I48" s="3"/>
      <c r="J48" s="174">
        <f t="shared" si="2"/>
        <v>7.9567639999999997</v>
      </c>
      <c r="K48" s="7"/>
      <c r="L48" s="3">
        <f>'Rate TL'!L34</f>
        <v>114325</v>
      </c>
      <c r="M48" s="3"/>
      <c r="N48" s="5">
        <f t="shared" si="3"/>
        <v>4.03</v>
      </c>
      <c r="O48" s="7"/>
      <c r="P48" s="3">
        <f>'Rate TL'!P34</f>
        <v>5011</v>
      </c>
      <c r="Q48" s="3"/>
      <c r="R48" s="3">
        <f>'Rate TL'!R34</f>
        <v>119336</v>
      </c>
    </row>
    <row r="49" spans="1:24" x14ac:dyDescent="0.3">
      <c r="A49" s="44">
        <v>21</v>
      </c>
      <c r="C49" s="42" t="s">
        <v>250</v>
      </c>
      <c r="D49" s="42" t="s">
        <v>247</v>
      </c>
      <c r="E49" s="42"/>
      <c r="F49" s="3">
        <f>'Rate UOLS'!F28</f>
        <v>30661</v>
      </c>
      <c r="G49" s="1"/>
      <c r="H49" s="3">
        <f>'Rate UOLS'!H28</f>
        <v>8542179</v>
      </c>
      <c r="I49" s="3"/>
      <c r="J49" s="174">
        <f t="shared" si="2"/>
        <v>7.8700060000000001</v>
      </c>
      <c r="K49" s="7"/>
      <c r="L49" s="3">
        <f>'Rate UOLS'!L28</f>
        <v>672270</v>
      </c>
      <c r="M49" s="3"/>
      <c r="N49" s="5">
        <f t="shared" si="3"/>
        <v>23.7</v>
      </c>
      <c r="O49" s="7"/>
      <c r="P49" s="3">
        <f>'Rate UOLS'!P28</f>
        <v>29788</v>
      </c>
      <c r="Q49" s="3"/>
      <c r="R49" s="3">
        <f>'Rate UOLS'!R28</f>
        <v>702058</v>
      </c>
    </row>
    <row r="50" spans="1:24" x14ac:dyDescent="0.3">
      <c r="A50" s="44">
        <v>22</v>
      </c>
      <c r="C50" s="45" t="s">
        <v>86</v>
      </c>
      <c r="D50" s="45" t="s">
        <v>248</v>
      </c>
      <c r="E50" s="42"/>
      <c r="F50" s="3">
        <f>'Rate NSU'!F45</f>
        <v>8073</v>
      </c>
      <c r="G50" s="1"/>
      <c r="H50" s="3">
        <f>'Rate NSU'!H45</f>
        <v>392374</v>
      </c>
      <c r="I50" s="3"/>
      <c r="J50" s="174">
        <f t="shared" si="2"/>
        <v>27.890481999999999</v>
      </c>
      <c r="K50" s="7"/>
      <c r="L50" s="3">
        <f>'Rate NSU'!L45</f>
        <v>109435</v>
      </c>
      <c r="M50" s="3"/>
      <c r="N50" s="5">
        <f t="shared" si="3"/>
        <v>3.86</v>
      </c>
      <c r="O50" s="7"/>
      <c r="P50" s="3">
        <f>'Rate NSU'!P45</f>
        <v>1368</v>
      </c>
      <c r="Q50" s="3"/>
      <c r="R50" s="3">
        <f>'Rate NSU'!R45</f>
        <v>110803</v>
      </c>
    </row>
    <row r="51" spans="1:24" x14ac:dyDescent="0.3">
      <c r="A51" s="44">
        <v>23</v>
      </c>
      <c r="C51" s="42" t="s">
        <v>73</v>
      </c>
      <c r="D51" s="42" t="s">
        <v>426</v>
      </c>
      <c r="E51" s="42"/>
      <c r="F51" s="3">
        <f>'Rate SC'!F72</f>
        <v>2064</v>
      </c>
      <c r="G51" s="3"/>
      <c r="H51" s="3">
        <f>'Rate SC'!H72</f>
        <v>91284</v>
      </c>
      <c r="I51" s="3"/>
      <c r="J51" s="174">
        <f t="shared" si="2"/>
        <v>7.8206480000000003</v>
      </c>
      <c r="K51" s="7"/>
      <c r="L51" s="3">
        <f>'Rate SC'!L72</f>
        <v>7139</v>
      </c>
      <c r="M51" s="3"/>
      <c r="N51" s="5">
        <f t="shared" si="3"/>
        <v>0.25</v>
      </c>
      <c r="O51" s="7"/>
      <c r="P51" s="3">
        <f>'Rate SC'!P72</f>
        <v>318</v>
      </c>
      <c r="Q51" s="3"/>
      <c r="R51" s="3">
        <f>'Rate SC'!R72</f>
        <v>7457</v>
      </c>
    </row>
    <row r="52" spans="1:24" x14ac:dyDescent="0.3">
      <c r="A52" s="44">
        <v>24</v>
      </c>
      <c r="C52" s="42" t="s">
        <v>70</v>
      </c>
      <c r="D52" s="42" t="s">
        <v>427</v>
      </c>
      <c r="E52" s="42"/>
      <c r="F52" s="3">
        <f>'Rate SE'!F52</f>
        <v>20531</v>
      </c>
      <c r="G52" s="3"/>
      <c r="H52" s="3">
        <f>'Rate SE'!H52</f>
        <v>1209602</v>
      </c>
      <c r="I52" s="3"/>
      <c r="J52" s="174">
        <f t="shared" si="2"/>
        <v>24.218131</v>
      </c>
      <c r="K52" s="7"/>
      <c r="L52" s="3">
        <f>'Rate SE'!L52</f>
        <v>292943</v>
      </c>
      <c r="M52" s="3"/>
      <c r="N52" s="5">
        <f t="shared" si="3"/>
        <v>10.33</v>
      </c>
      <c r="O52" s="7"/>
      <c r="P52" s="3">
        <f>'Rate SE'!P52</f>
        <v>4218</v>
      </c>
      <c r="Q52" s="3"/>
      <c r="R52" s="3">
        <f>'Rate SE'!R52</f>
        <v>297161</v>
      </c>
    </row>
    <row r="53" spans="1:24" x14ac:dyDescent="0.3">
      <c r="A53" s="44">
        <v>25</v>
      </c>
      <c r="C53" s="42" t="s">
        <v>796</v>
      </c>
      <c r="D53" s="42" t="s">
        <v>824</v>
      </c>
      <c r="E53" s="42"/>
      <c r="F53" s="49">
        <f>'Rate LED'!F340</f>
        <v>2283</v>
      </c>
      <c r="G53" s="3"/>
      <c r="H53" s="49">
        <f>'Rate LED'!H340</f>
        <v>42161</v>
      </c>
      <c r="I53" s="3"/>
      <c r="J53" s="174">
        <f t="shared" si="2"/>
        <v>53.922888999999998</v>
      </c>
      <c r="K53" s="7"/>
      <c r="L53" s="49">
        <f>'Rate LED'!L340</f>
        <v>22734.429167999999</v>
      </c>
      <c r="M53" s="3"/>
      <c r="N53" s="5">
        <f t="shared" si="3"/>
        <v>0.8</v>
      </c>
      <c r="O53" s="7"/>
      <c r="P53" s="49">
        <f>'Rate LED'!P340</f>
        <v>147</v>
      </c>
      <c r="Q53" s="3"/>
      <c r="R53" s="49">
        <f>'Rate LED'!R340</f>
        <v>22881.429167999999</v>
      </c>
    </row>
    <row r="54" spans="1:24" ht="20.100000000000001" customHeight="1" x14ac:dyDescent="0.3">
      <c r="A54" s="44">
        <v>26</v>
      </c>
      <c r="C54" s="178" t="s">
        <v>169</v>
      </c>
      <c r="D54" s="153"/>
      <c r="F54" s="145">
        <f>SUM(F47:F53)</f>
        <v>168482</v>
      </c>
      <c r="G54" s="1"/>
      <c r="H54" s="145">
        <f>SUM(H47:H53)</f>
        <v>18572207.800999999</v>
      </c>
      <c r="I54" s="3"/>
      <c r="J54" s="174">
        <f t="shared" si="2"/>
        <v>15.275767999999999</v>
      </c>
      <c r="K54" s="7"/>
      <c r="L54" s="145">
        <f>SUM(L47:L53)</f>
        <v>2837047.4291679999</v>
      </c>
      <c r="M54" s="3"/>
      <c r="N54" s="179">
        <f>ROUND((L54/L$67)*100,2)</f>
        <v>0.56000000000000005</v>
      </c>
      <c r="O54" s="7"/>
      <c r="P54" s="145">
        <f>SUM(P47:P53)</f>
        <v>64765</v>
      </c>
      <c r="Q54" s="3"/>
      <c r="R54" s="145">
        <f>SUM(R47:R53)</f>
        <v>2901814.4291679999</v>
      </c>
    </row>
    <row r="55" spans="1:24" ht="16.5" customHeight="1" x14ac:dyDescent="0.3">
      <c r="A55" s="44"/>
      <c r="F55" s="1"/>
      <c r="G55" s="1"/>
      <c r="H55" s="1"/>
      <c r="I55" s="1"/>
      <c r="J55" s="174"/>
      <c r="K55" s="1"/>
      <c r="L55" s="1"/>
      <c r="M55" s="1"/>
      <c r="N55" s="5"/>
      <c r="O55" s="1"/>
      <c r="P55" s="1"/>
      <c r="Q55" s="1"/>
      <c r="R55" s="1"/>
    </row>
    <row r="56" spans="1:24" ht="15.75" customHeight="1" x14ac:dyDescent="0.3">
      <c r="A56" s="44"/>
      <c r="C56" s="470" t="s">
        <v>414</v>
      </c>
      <c r="D56" s="470"/>
      <c r="F56" s="1"/>
      <c r="G56" s="1"/>
      <c r="H56" s="1"/>
      <c r="I56" s="1"/>
      <c r="J56" s="174"/>
      <c r="K56" s="1"/>
      <c r="L56" s="1"/>
      <c r="M56" s="1"/>
      <c r="N56" s="5"/>
      <c r="O56" s="1"/>
      <c r="P56" s="1"/>
      <c r="Q56" s="1"/>
      <c r="R56" s="1"/>
    </row>
    <row r="57" spans="1:24" x14ac:dyDescent="0.3">
      <c r="A57" s="44">
        <v>27</v>
      </c>
      <c r="C57" s="41" t="s">
        <v>355</v>
      </c>
      <c r="D57" s="41" t="s">
        <v>327</v>
      </c>
      <c r="E57" s="42"/>
      <c r="F57" s="123">
        <f>'SCH M-2.2'!F57</f>
        <v>12</v>
      </c>
      <c r="G57" s="3"/>
      <c r="H57" s="123">
        <f>'SCH M-2.2'!H57</f>
        <v>328933</v>
      </c>
      <c r="I57" s="1"/>
      <c r="J57" s="174">
        <f t="shared" ref="J57:J67" si="4">IF(H57=0,"-",ROUND((L57/H57)*100,2))</f>
        <v>10.85</v>
      </c>
      <c r="K57" s="1"/>
      <c r="L57" s="123">
        <f>'Revenue Requirements'!I39-P57</f>
        <v>35702.940632057602</v>
      </c>
      <c r="M57" s="3"/>
      <c r="N57" s="5">
        <f t="shared" ref="N57:N63" si="5">ROUND((L57/L$65)*100,2)</f>
        <v>0.77</v>
      </c>
      <c r="O57" s="7"/>
      <c r="P57" s="123">
        <f>'SCH M-2.2'!T57</f>
        <v>1147.0593679423998</v>
      </c>
      <c r="Q57" s="1"/>
      <c r="R57" s="3">
        <f>L57+P57</f>
        <v>36850</v>
      </c>
    </row>
    <row r="58" spans="1:24" x14ac:dyDescent="0.3">
      <c r="A58" s="44">
        <v>28</v>
      </c>
      <c r="C58" s="42"/>
      <c r="D58" s="42" t="s">
        <v>521</v>
      </c>
      <c r="E58" s="42"/>
      <c r="F58" s="123">
        <f>'SCH M-2.2'!F58</f>
        <v>0</v>
      </c>
      <c r="G58" s="3"/>
      <c r="H58" s="123">
        <f>'SCH M-2.2'!H58</f>
        <v>0</v>
      </c>
      <c r="I58" s="159"/>
      <c r="J58" s="174" t="str">
        <f t="shared" si="4"/>
        <v>-</v>
      </c>
      <c r="K58" s="7"/>
      <c r="L58" s="123">
        <f>'SCH M-2.2'!L58</f>
        <v>169500</v>
      </c>
      <c r="M58" s="3"/>
      <c r="N58" s="5">
        <f t="shared" si="5"/>
        <v>3.64</v>
      </c>
      <c r="O58" s="7"/>
      <c r="P58" s="123">
        <f>'SCH M-2.2'!T58</f>
        <v>0</v>
      </c>
      <c r="Q58" s="159"/>
      <c r="R58" s="3">
        <f t="shared" ref="R58:R64" si="6">L58+P58</f>
        <v>169500</v>
      </c>
    </row>
    <row r="59" spans="1:24" ht="18" customHeight="1" x14ac:dyDescent="0.3">
      <c r="A59" s="44">
        <v>29</v>
      </c>
      <c r="D59" s="45" t="s">
        <v>249</v>
      </c>
      <c r="F59" s="123">
        <f>'SCH M-2.2'!F59</f>
        <v>0</v>
      </c>
      <c r="G59" s="3"/>
      <c r="H59" s="123">
        <f>'SCH M-2.2'!H59</f>
        <v>0</v>
      </c>
      <c r="I59" s="3"/>
      <c r="J59" s="174" t="str">
        <f t="shared" si="4"/>
        <v>-</v>
      </c>
      <c r="K59" s="7"/>
      <c r="L59" s="123">
        <f>'SCH M-2.2'!L59</f>
        <v>55176</v>
      </c>
      <c r="M59" s="3"/>
      <c r="N59" s="5">
        <f t="shared" si="5"/>
        <v>1.19</v>
      </c>
      <c r="O59" s="7"/>
      <c r="P59" s="123">
        <f>'SCH M-2.2'!T59</f>
        <v>0</v>
      </c>
      <c r="Q59" s="3"/>
      <c r="R59" s="3">
        <f t="shared" si="6"/>
        <v>55176</v>
      </c>
    </row>
    <row r="60" spans="1:24" ht="18" customHeight="1" x14ac:dyDescent="0.3">
      <c r="A60" s="44">
        <v>30</v>
      </c>
      <c r="D60" s="42" t="s">
        <v>252</v>
      </c>
      <c r="F60" s="123">
        <f>'SCH M-2.2'!F60</f>
        <v>0</v>
      </c>
      <c r="G60" s="3"/>
      <c r="H60" s="123">
        <f>'SCH M-2.2'!H60</f>
        <v>0</v>
      </c>
      <c r="I60" s="3"/>
      <c r="J60" s="174" t="str">
        <f t="shared" si="4"/>
        <v>-</v>
      </c>
      <c r="K60" s="7"/>
      <c r="L60" s="123">
        <v>63391</v>
      </c>
      <c r="M60" s="3"/>
      <c r="N60" s="5">
        <f t="shared" si="5"/>
        <v>1.36</v>
      </c>
      <c r="O60" s="7"/>
      <c r="P60" s="123">
        <f>'SCH M-2.2'!T60</f>
        <v>0</v>
      </c>
      <c r="Q60" s="3"/>
      <c r="R60" s="3">
        <f t="shared" si="6"/>
        <v>63391</v>
      </c>
    </row>
    <row r="61" spans="1:24" ht="18" customHeight="1" x14ac:dyDescent="0.3">
      <c r="A61" s="44">
        <v>31</v>
      </c>
      <c r="D61" s="42" t="s">
        <v>480</v>
      </c>
      <c r="F61" s="123">
        <f>'SCH M-2.2'!F61</f>
        <v>0</v>
      </c>
      <c r="G61" s="3"/>
      <c r="H61" s="123">
        <f>'SCH M-2.2'!H61</f>
        <v>0</v>
      </c>
      <c r="I61" s="3"/>
      <c r="J61" s="174" t="str">
        <f>IF(H61=0,"-",ROUND((L61/H61)*100,2))</f>
        <v>-</v>
      </c>
      <c r="K61" s="7"/>
      <c r="L61" s="123">
        <v>707590</v>
      </c>
      <c r="M61" s="3"/>
      <c r="N61" s="5">
        <f>ROUND((L61/L$65)*100,2)</f>
        <v>15.21</v>
      </c>
      <c r="O61" s="7"/>
      <c r="P61" s="123">
        <f>'SCH M-2.2'!T61</f>
        <v>0</v>
      </c>
      <c r="Q61" s="3"/>
      <c r="R61" s="3">
        <f>L61+P61</f>
        <v>707590</v>
      </c>
      <c r="S61" s="6"/>
      <c r="T61" s="3"/>
      <c r="U61" s="3"/>
      <c r="V61" s="3"/>
      <c r="W61" s="3"/>
      <c r="X61" s="175"/>
    </row>
    <row r="62" spans="1:24" ht="18" customHeight="1" x14ac:dyDescent="0.3">
      <c r="A62" s="44">
        <v>32</v>
      </c>
      <c r="D62" s="42" t="s">
        <v>251</v>
      </c>
      <c r="F62" s="123">
        <f>'SCH M-2.2'!F62</f>
        <v>0</v>
      </c>
      <c r="G62" s="3"/>
      <c r="H62" s="123">
        <f>'SCH M-2.2'!H62</f>
        <v>0</v>
      </c>
      <c r="I62" s="3"/>
      <c r="J62" s="174" t="str">
        <f t="shared" si="4"/>
        <v>-</v>
      </c>
      <c r="K62" s="7"/>
      <c r="L62" s="123">
        <f>'SCH M-2.2'!L62</f>
        <v>1299996</v>
      </c>
      <c r="M62" s="3"/>
      <c r="N62" s="5">
        <f t="shared" si="5"/>
        <v>27.94</v>
      </c>
      <c r="O62" s="7"/>
      <c r="P62" s="123">
        <f>'SCH M-2.2'!T62</f>
        <v>0</v>
      </c>
      <c r="Q62" s="3"/>
      <c r="R62" s="3">
        <f t="shared" si="6"/>
        <v>1299996</v>
      </c>
    </row>
    <row r="63" spans="1:24" x14ac:dyDescent="0.3">
      <c r="A63" s="44">
        <v>33</v>
      </c>
      <c r="C63" s="41" t="s">
        <v>330</v>
      </c>
      <c r="D63" s="42" t="s">
        <v>328</v>
      </c>
      <c r="E63" s="42"/>
      <c r="F63" s="123">
        <f>'SCH M-2.2'!F63</f>
        <v>12</v>
      </c>
      <c r="G63" s="3"/>
      <c r="H63" s="123">
        <f>'SCH M-2.2'!H63</f>
        <v>13976789</v>
      </c>
      <c r="I63" s="3"/>
      <c r="J63" s="174">
        <f t="shared" si="4"/>
        <v>7.34</v>
      </c>
      <c r="K63" s="7"/>
      <c r="L63" s="123">
        <f>IF(DSM_RES&gt;0,'Revenue Requirements'!I24-P63+ROUND($H$63*(INPUT!$F$30+INPUT!$F$34),0),'Revenue Requirements'!I24-P63)</f>
        <v>1026146.9624963008</v>
      </c>
      <c r="M63" s="159"/>
      <c r="N63" s="5">
        <f t="shared" si="5"/>
        <v>22.06</v>
      </c>
      <c r="O63" s="7"/>
      <c r="P63" s="123">
        <f>'SCH M-2.2'!T63</f>
        <v>48740.037503699197</v>
      </c>
      <c r="Q63" s="3"/>
      <c r="R63" s="3">
        <f t="shared" si="6"/>
        <v>1074887</v>
      </c>
    </row>
    <row r="64" spans="1:24" x14ac:dyDescent="0.3">
      <c r="A64" s="44">
        <v>34</v>
      </c>
      <c r="D64" s="42" t="s">
        <v>97</v>
      </c>
      <c r="E64" s="42"/>
      <c r="F64" s="123">
        <f>'SCH M-2.2'!F64</f>
        <v>0</v>
      </c>
      <c r="G64" s="3"/>
      <c r="H64" s="123">
        <f>'SCH M-2.2'!H64</f>
        <v>0</v>
      </c>
      <c r="I64" s="3"/>
      <c r="J64" s="174" t="str">
        <f t="shared" si="4"/>
        <v>-</v>
      </c>
      <c r="K64" s="7"/>
      <c r="L64" s="123">
        <f>'SCH M-2.2'!L64</f>
        <v>1294812</v>
      </c>
      <c r="M64" s="159"/>
      <c r="N64" s="5">
        <f>ROUND((L64/L$65)*100,2)</f>
        <v>27.83</v>
      </c>
      <c r="O64" s="7"/>
      <c r="P64" s="123">
        <f>'SCH M-2.2'!T64</f>
        <v>0</v>
      </c>
      <c r="Q64" s="3"/>
      <c r="R64" s="3">
        <f t="shared" si="6"/>
        <v>1294812</v>
      </c>
    </row>
    <row r="65" spans="1:18" ht="20.100000000000001" customHeight="1" x14ac:dyDescent="0.3">
      <c r="A65" s="44">
        <v>35</v>
      </c>
      <c r="C65" s="132" t="s">
        <v>415</v>
      </c>
      <c r="F65" s="145">
        <f>SUM(F57:F64)</f>
        <v>24</v>
      </c>
      <c r="G65" s="1"/>
      <c r="H65" s="145">
        <f>SUM(H57:H64)</f>
        <v>14305722</v>
      </c>
      <c r="I65" s="3"/>
      <c r="J65" s="174"/>
      <c r="K65" s="7"/>
      <c r="L65" s="145">
        <f>SUM(L57:L64)</f>
        <v>4652314.9031283576</v>
      </c>
      <c r="M65" s="3"/>
      <c r="N65" s="179">
        <f>ROUND((L65/L$67)*100,2)</f>
        <v>0.92</v>
      </c>
      <c r="O65" s="7"/>
      <c r="P65" s="145">
        <f>SUM(P57:P64)</f>
        <v>49887.096871641595</v>
      </c>
      <c r="Q65" s="3"/>
      <c r="R65" s="145">
        <f>SUM(R57:R64)</f>
        <v>4702202</v>
      </c>
    </row>
    <row r="66" spans="1:18" ht="10.5" customHeight="1" x14ac:dyDescent="0.3">
      <c r="A66" s="44"/>
      <c r="F66" s="3"/>
      <c r="G66" s="1"/>
      <c r="H66" s="3"/>
      <c r="I66" s="3"/>
      <c r="J66" s="174"/>
      <c r="K66" s="7"/>
      <c r="L66" s="3"/>
      <c r="M66" s="3"/>
      <c r="N66" s="5"/>
      <c r="O66" s="7"/>
      <c r="P66" s="3"/>
      <c r="Q66" s="3"/>
      <c r="R66" s="3"/>
    </row>
    <row r="67" spans="1:18" ht="20.100000000000001" customHeight="1" thickBot="1" x14ac:dyDescent="0.35">
      <c r="A67" s="44">
        <v>36</v>
      </c>
      <c r="C67" s="132" t="s">
        <v>98</v>
      </c>
      <c r="F67" s="151">
        <f>F65+F54+F44+F37+F33+F23</f>
        <v>2017031</v>
      </c>
      <c r="G67" s="1"/>
      <c r="H67" s="151">
        <f>H65+H54+H44+H37+H33+H23</f>
        <v>3964785588.8010001</v>
      </c>
      <c r="I67" s="3"/>
      <c r="J67" s="174">
        <f t="shared" si="4"/>
        <v>12.78</v>
      </c>
      <c r="K67" s="7"/>
      <c r="L67" s="151">
        <f>L65+L54+L44+L37+L33+L23</f>
        <v>506578217.33229637</v>
      </c>
      <c r="M67" s="3"/>
      <c r="N67" s="186">
        <v>100</v>
      </c>
      <c r="O67" s="7"/>
      <c r="P67" s="151">
        <f>P65+P54+P44+P37+P33+P23</f>
        <v>13779892.096871642</v>
      </c>
      <c r="Q67" s="3"/>
      <c r="R67" s="151">
        <f>R65+R54+R44+R37+R33+R23</f>
        <v>520358111.42916799</v>
      </c>
    </row>
    <row r="68" spans="1:18" ht="24" customHeight="1" thickTop="1" x14ac:dyDescent="0.3">
      <c r="C68" s="45" t="str">
        <f>"NOTE: DETAIL CONTAINED ON SCHEDULES M-2.3 PAGES 2 THROUGH "&amp;TEXT(Page_Num_2.3,"00")&amp;"."</f>
        <v>NOTE: DETAIL CONTAINED ON SCHEDULES M-2.3 PAGES 2 THROUGH 24.</v>
      </c>
      <c r="F68" s="1"/>
      <c r="G68" s="1"/>
      <c r="H68" s="1"/>
      <c r="I68" s="1"/>
      <c r="J68" s="2"/>
      <c r="K68" s="1"/>
      <c r="L68" s="1"/>
      <c r="M68" s="1"/>
      <c r="N68" s="5"/>
      <c r="O68" s="1"/>
      <c r="P68" s="1"/>
      <c r="Q68" s="1"/>
      <c r="R68" s="1"/>
    </row>
    <row r="69" spans="1:18" x14ac:dyDescent="0.3">
      <c r="J69" s="44"/>
      <c r="L69" s="123"/>
      <c r="M69" s="123"/>
      <c r="N69" s="188"/>
      <c r="P69" s="123"/>
      <c r="Q69" s="123"/>
      <c r="R69" s="123"/>
    </row>
    <row r="70" spans="1:18" x14ac:dyDescent="0.3">
      <c r="A70" s="42"/>
      <c r="J70" s="44"/>
      <c r="L70" s="123"/>
      <c r="M70" s="123"/>
      <c r="N70" s="188"/>
      <c r="P70" s="123"/>
      <c r="Q70" s="123"/>
      <c r="R70" s="123"/>
    </row>
    <row r="71" spans="1:18" x14ac:dyDescent="0.3">
      <c r="J71" s="44"/>
      <c r="L71" s="123"/>
      <c r="M71" s="123"/>
      <c r="P71" s="123"/>
      <c r="Q71" s="123"/>
      <c r="R71" s="123"/>
    </row>
    <row r="72" spans="1:18" x14ac:dyDescent="0.3">
      <c r="J72" s="44"/>
      <c r="L72" s="123"/>
      <c r="M72" s="123"/>
      <c r="P72" s="123"/>
      <c r="Q72" s="123"/>
      <c r="R72" s="123"/>
    </row>
    <row r="73" spans="1:18" x14ac:dyDescent="0.3">
      <c r="J73" s="44"/>
      <c r="L73" s="123"/>
      <c r="M73" s="123"/>
      <c r="P73" s="123"/>
      <c r="Q73" s="123"/>
      <c r="R73" s="123"/>
    </row>
    <row r="74" spans="1:18" x14ac:dyDescent="0.3">
      <c r="J74" s="44"/>
      <c r="L74" s="123"/>
      <c r="M74" s="123"/>
      <c r="P74" s="123"/>
      <c r="Q74" s="123"/>
      <c r="R74" s="123"/>
    </row>
    <row r="75" spans="1:18" x14ac:dyDescent="0.3">
      <c r="J75" s="44"/>
      <c r="L75" s="123"/>
      <c r="M75" s="123"/>
      <c r="P75" s="123"/>
      <c r="Q75" s="123"/>
      <c r="R75" s="123"/>
    </row>
    <row r="76" spans="1:18" x14ac:dyDescent="0.3">
      <c r="J76" s="44"/>
    </row>
    <row r="77" spans="1:18" x14ac:dyDescent="0.3">
      <c r="J77" s="44"/>
    </row>
    <row r="78" spans="1:18" x14ac:dyDescent="0.3">
      <c r="J78" s="44"/>
    </row>
    <row r="79" spans="1:18" x14ac:dyDescent="0.3">
      <c r="J79" s="44"/>
    </row>
    <row r="80" spans="1:18" x14ac:dyDescent="0.3">
      <c r="J80" s="44"/>
    </row>
  </sheetData>
  <customSheetViews>
    <customSheetView guid="{195DF303-1BBD-4236-94B5-47432850B006}" scale="75" fitToPage="1" showRuler="0"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1"/>
      <headerFooter alignWithMargins="0"/>
    </customSheetView>
    <customSheetView guid="{0C49E549-011E-46F4-A82E-2CC8951A9C1E}" scale="75" fitToPage="1" showRuler="0" topLeftCell="D36">
      <selection activeCell="L56" sqref="L56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2"/>
      <headerFooter alignWithMargins="0"/>
    </customSheetView>
    <customSheetView guid="{4BC93440-BA85-4935-A8C9-66DC6AE5DE5E}" scale="75" fitToPage="1" showRuler="0">
      <selection sqref="A1:R65"/>
      <rowBreaks count="1" manualBreakCount="1">
        <brk id="62" max="17" man="1"/>
      </rowBreaks>
      <pageMargins left="0.5" right="0.5" top="1" bottom="0" header="0.5" footer="0.5"/>
      <printOptions horizontalCentered="1"/>
      <pageSetup scale="58" orientation="landscape" horizontalDpi="300" verticalDpi="300" r:id="rId3"/>
      <headerFooter alignWithMargins="0"/>
    </customSheetView>
    <customSheetView guid="{2431C9E5-7CC2-4B8D-99C3-962247B1DBF5}" scale="75" fitToPage="1" showRuler="0">
      <selection activeCell="L50" sqref="L50"/>
      <rowBreaks count="1" manualBreakCount="1">
        <brk id="62" max="17" man="1"/>
      </rowBreaks>
      <pageMargins left="0.5" right="0.5" top="1" bottom="0" header="0.5" footer="0.5"/>
      <printOptions horizontalCentered="1"/>
      <pageSetup scale="58" orientation="landscape" horizontalDpi="300" verticalDpi="300" r:id="rId4"/>
      <headerFooter alignWithMargins="0"/>
    </customSheetView>
    <customSheetView guid="{2EA35095-1ADC-4CC7-8C3C-B487D65FA247}" scale="75" fitToPage="1" showRuler="0">
      <selection sqref="A1:R64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5"/>
      <headerFooter alignWithMargins="0"/>
    </customSheetView>
    <customSheetView guid="{8FC77C99-DBF7-40B8-99B8-01B75826CDCB}" scale="75" showPageBreaks="1" fitToPage="1" printArea="1" showRuler="0">
      <selection sqref="A1:R64"/>
      <rowBreaks count="1" manualBreakCount="1">
        <brk id="61" max="17" man="1"/>
      </rowBreaks>
      <pageMargins left="0.5" right="0.5" top="1" bottom="0" header="0.5" footer="0.5"/>
      <printOptions horizontalCentered="1"/>
      <pageSetup scale="53" orientation="landscape" horizontalDpi="300" verticalDpi="300" r:id="rId6"/>
      <headerFooter alignWithMargins="0"/>
    </customSheetView>
    <customSheetView guid="{8FB94551-8874-4095-B8FB-5316E0D2FD2C}" scale="75" fitToPage="1" showRuler="0"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7"/>
      <headerFooter alignWithMargins="0"/>
    </customSheetView>
    <customSheetView guid="{6B3D5C27-2FDE-4561-9575-1E98BFB869D0}" scale="75" fitToPage="1" showRuler="0" topLeftCell="F9">
      <selection activeCell="D33" sqref="D33"/>
      <rowBreaks count="1" manualBreakCount="1">
        <brk id="61" max="17" man="1"/>
      </rowBreaks>
      <pageMargins left="0.5" right="0.5" top="1" bottom="0" header="0.5" footer="0.5"/>
      <printOptions horizontalCentered="1"/>
      <pageSetup scale="53" orientation="landscape" horizontalDpi="300" verticalDpi="300" r:id="rId8"/>
      <headerFooter alignWithMargins="0"/>
    </customSheetView>
    <customSheetView guid="{0BC1F393-8A13-47D5-BC6C-0C99615B5AB9}" scale="75" fitToPage="1" showRuler="0" topLeftCell="A33">
      <selection activeCell="H55" sqref="H55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9"/>
      <headerFooter alignWithMargins="0"/>
    </customSheetView>
    <customSheetView guid="{18BDED73-BFA0-442E-87EC-CED86EE4CF94}" scale="75" fitToPage="1" showRuler="0" topLeftCell="A33">
      <selection activeCell="L56" sqref="L56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10"/>
      <headerFooter alignWithMargins="0"/>
    </customSheetView>
    <customSheetView guid="{35F19056-2E6F-4935-B863-78836FE990BF}" scale="75" fitToPage="1" showRuler="0" topLeftCell="F29">
      <selection activeCell="L59" sqref="L59"/>
      <rowBreaks count="1" manualBreakCount="1">
        <brk id="61" max="17" man="1"/>
      </rowBreaks>
      <pageMargins left="0.5" right="0.5" top="1" bottom="0" header="0.5" footer="0.5"/>
      <printOptions horizontalCentered="1"/>
      <pageSetup scale="60" orientation="landscape" horizontalDpi="300" verticalDpi="300" r:id="rId11"/>
      <headerFooter alignWithMargins="0"/>
    </customSheetView>
    <customSheetView guid="{F562D92E-120C-4AE9-9663-89E64D41DC53}" scale="75" fitToPage="1" topLeftCell="F29">
      <selection activeCell="L59" sqref="L59"/>
      <rowBreaks count="1" manualBreakCount="1">
        <brk id="61" max="17" man="1"/>
      </rowBreaks>
      <pageMargins left="0.5" right="0.5" top="1" bottom="0" header="0.5" footer="0.5"/>
      <printOptions horizontalCentered="1"/>
      <pageSetup scale="60" orientation="landscape" horizontalDpi="300" verticalDpi="300" r:id="rId12"/>
      <headerFooter alignWithMargins="0"/>
    </customSheetView>
  </customSheetViews>
  <mergeCells count="6">
    <mergeCell ref="C56:D56"/>
    <mergeCell ref="C20:D20"/>
    <mergeCell ref="C25:D25"/>
    <mergeCell ref="C35:D35"/>
    <mergeCell ref="C39:D39"/>
    <mergeCell ref="C46:D46"/>
  </mergeCells>
  <phoneticPr fontId="11" type="noConversion"/>
  <printOptions horizontalCentered="1"/>
  <pageMargins left="0.5" right="0.5" top="1" bottom="0" header="0.5" footer="0.5"/>
  <pageSetup scale="43" orientation="landscape" horizontalDpi="300" verticalDpi="300" r:id="rId13"/>
  <headerFooter alignWithMargins="0"/>
  <rowBreaks count="1" manualBreakCount="1">
    <brk id="69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syncVertical="1" syncRef="A1" transitionEvaluation="1" transitionEntry="1" codeName="Sheet6">
    <pageSetUpPr fitToPage="1"/>
  </sheetPr>
  <dimension ref="A1:CW288"/>
  <sheetViews>
    <sheetView zoomScale="75" workbookViewId="0"/>
  </sheetViews>
  <sheetFormatPr defaultColWidth="9.75" defaultRowHeight="15.6" x14ac:dyDescent="0.3"/>
  <cols>
    <col min="1" max="1" width="5.6640625" style="41" customWidth="1"/>
    <col min="2" max="2" width="0.6640625" style="41" customWidth="1"/>
    <col min="3" max="3" width="6.75" style="41" customWidth="1"/>
    <col min="4" max="4" width="35.6640625" style="41" customWidth="1"/>
    <col min="5" max="5" width="0.4140625" style="41" customWidth="1"/>
    <col min="6" max="6" width="12.33203125" style="41" customWidth="1"/>
    <col min="7" max="7" width="0.9140625" style="41" customWidth="1"/>
    <col min="8" max="8" width="15.6640625" style="41" customWidth="1"/>
    <col min="9" max="9" width="0.75" style="41" customWidth="1"/>
    <col min="10" max="10" width="13" style="41" customWidth="1"/>
    <col min="11" max="11" width="0.6640625" style="41" customWidth="1"/>
    <col min="12" max="12" width="15.6640625" style="41" customWidth="1"/>
    <col min="13" max="13" width="0.75" style="41" customWidth="1"/>
    <col min="14" max="14" width="12.75" style="41" customWidth="1"/>
    <col min="15" max="15" width="0.6640625" style="41" customWidth="1"/>
    <col min="16" max="16" width="14.6640625" style="41" customWidth="1"/>
    <col min="17" max="17" width="0.9140625" style="41" customWidth="1"/>
    <col min="18" max="18" width="18.25" style="41" customWidth="1"/>
    <col min="19" max="19" width="13.75" style="41" customWidth="1"/>
    <col min="20" max="20" width="5.75" style="41" customWidth="1"/>
    <col min="21" max="21" width="0.9140625" style="41" customWidth="1"/>
    <col min="22" max="22" width="6.75" style="41" customWidth="1"/>
    <col min="23" max="23" width="37.6640625" style="41" customWidth="1"/>
    <col min="24" max="24" width="12.75" style="41" customWidth="1"/>
    <col min="25" max="25" width="1" style="41" customWidth="1"/>
    <col min="26" max="26" width="14.25" style="41" customWidth="1"/>
    <col min="27" max="27" width="1" style="41" customWidth="1"/>
    <col min="28" max="28" width="11.75" style="41" customWidth="1"/>
    <col min="29" max="29" width="0.9140625" style="41" customWidth="1"/>
    <col min="30" max="30" width="15.58203125" style="41" customWidth="1"/>
    <col min="31" max="31" width="0.75" style="41" customWidth="1"/>
    <col min="32" max="32" width="11.75" style="165" customWidth="1"/>
    <col min="33" max="33" width="0.9140625" style="41" customWidth="1"/>
    <col min="34" max="34" width="15" style="41" customWidth="1"/>
    <col min="35" max="35" width="0.58203125" style="41" customWidth="1"/>
    <col min="36" max="36" width="13.75" style="165" customWidth="1"/>
    <col min="37" max="37" width="0.4140625" style="41" customWidth="1"/>
    <col min="38" max="38" width="14.4140625" style="41" customWidth="1"/>
    <col min="39" max="39" width="0.6640625" style="41" customWidth="1"/>
    <col min="40" max="40" width="15.4140625" style="41" customWidth="1"/>
    <col min="41" max="41" width="0.75" style="41" customWidth="1"/>
    <col min="42" max="42" width="10.75" style="165" customWidth="1"/>
    <col min="43" max="99" width="9.75" style="41"/>
    <col min="100" max="100" width="20.75" style="41" customWidth="1"/>
    <col min="101" max="16384" width="9.75" style="41"/>
  </cols>
  <sheetData>
    <row r="1" spans="1:18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8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18" x14ac:dyDescent="0.3">
      <c r="A3" s="40" t="str">
        <f>TITLE</f>
        <v>ANNUALIZED TEST YEAR REVENUES AT REHEARING ORDER CALCULATED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18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</row>
    <row r="6" spans="1:18" x14ac:dyDescent="0.3">
      <c r="A6" s="41" t="str">
        <f>DATA_PERIOD</f>
        <v>DATA: ____ BASE PERIOD   __X__FORECASTED PERIOD</v>
      </c>
      <c r="R6" s="42" t="s">
        <v>157</v>
      </c>
    </row>
    <row r="7" spans="1:18" x14ac:dyDescent="0.3">
      <c r="A7" s="41" t="str">
        <f>TYPE</f>
        <v>TYPE OF FILING: _X_ ORIGINAL   ___UPDATED  ___ REVISED</v>
      </c>
      <c r="R7" s="45" t="str">
        <f>"PAGE 2 OF "&amp;TEXT(Page_Num_2.3,"00")</f>
        <v>PAGE 2 OF 24</v>
      </c>
    </row>
    <row r="8" spans="1:18" x14ac:dyDescent="0.3">
      <c r="A8" s="42" t="s">
        <v>171</v>
      </c>
      <c r="R8" s="42" t="s">
        <v>3</v>
      </c>
    </row>
    <row r="9" spans="1:18" x14ac:dyDescent="0.3">
      <c r="A9" s="132" t="str">
        <f>TIME</f>
        <v>12 Months Projected with Riders</v>
      </c>
      <c r="R9" s="41" t="str">
        <f>WIT</f>
        <v>B. L. Sailers</v>
      </c>
    </row>
    <row r="10" spans="1:18" x14ac:dyDescent="0.3">
      <c r="A10" s="132" t="str">
        <f>INPUT!B5</f>
        <v xml:space="preserve"> </v>
      </c>
    </row>
    <row r="11" spans="1:18" x14ac:dyDescent="0.3">
      <c r="A11" s="40" t="s">
        <v>130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</row>
    <row r="12" spans="1:18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</row>
    <row r="13" spans="1:18" ht="18" customHeight="1" x14ac:dyDescent="0.3">
      <c r="L13" s="44" t="s">
        <v>6</v>
      </c>
      <c r="M13" s="44"/>
      <c r="N13" s="44" t="s">
        <v>7</v>
      </c>
      <c r="O13" s="44"/>
      <c r="R13" s="44" t="s">
        <v>6</v>
      </c>
    </row>
    <row r="14" spans="1:18" x14ac:dyDescent="0.3">
      <c r="L14" s="44" t="s">
        <v>12</v>
      </c>
      <c r="M14" s="44"/>
      <c r="N14" s="44" t="s">
        <v>13</v>
      </c>
      <c r="O14" s="44"/>
      <c r="R14" s="44" t="s">
        <v>11</v>
      </c>
    </row>
    <row r="15" spans="1:18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842</v>
      </c>
      <c r="M15" s="44"/>
      <c r="N15" s="44" t="s">
        <v>842</v>
      </c>
      <c r="O15" s="44"/>
      <c r="P15" s="44" t="s">
        <v>842</v>
      </c>
      <c r="Q15" s="44"/>
      <c r="R15" s="44" t="s">
        <v>9</v>
      </c>
    </row>
    <row r="16" spans="1:18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9</v>
      </c>
      <c r="M16" s="44"/>
      <c r="N16" s="44" t="s">
        <v>9</v>
      </c>
      <c r="O16" s="44"/>
      <c r="P16" s="44" t="s">
        <v>324</v>
      </c>
      <c r="Q16" s="44"/>
      <c r="R16" s="141" t="s">
        <v>28</v>
      </c>
    </row>
    <row r="17" spans="1:22" x14ac:dyDescent="0.3">
      <c r="C17" s="141" t="s">
        <v>33</v>
      </c>
      <c r="D17" s="141" t="s">
        <v>34</v>
      </c>
      <c r="E17" s="141"/>
      <c r="F17" s="141" t="s">
        <v>35</v>
      </c>
      <c r="G17" s="153"/>
      <c r="H17" s="141" t="s">
        <v>36</v>
      </c>
      <c r="I17" s="141"/>
      <c r="J17" s="141" t="s">
        <v>37</v>
      </c>
      <c r="K17" s="141"/>
      <c r="L17" s="141" t="s">
        <v>38</v>
      </c>
      <c r="M17" s="141"/>
      <c r="N17" s="141" t="s">
        <v>39</v>
      </c>
      <c r="O17" s="141"/>
      <c r="P17" s="141" t="s">
        <v>40</v>
      </c>
      <c r="Q17" s="141"/>
      <c r="R17" s="141" t="s">
        <v>41</v>
      </c>
    </row>
    <row r="18" spans="1:22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</row>
    <row r="19" spans="1:22" ht="17.100000000000001" customHeight="1" x14ac:dyDescent="0.3">
      <c r="H19" s="171" t="s">
        <v>49</v>
      </c>
      <c r="I19" s="171"/>
      <c r="J19" s="172" t="s">
        <v>313</v>
      </c>
      <c r="K19" s="171"/>
      <c r="L19" s="171" t="s">
        <v>50</v>
      </c>
      <c r="M19" s="171"/>
      <c r="N19" s="171" t="s">
        <v>51</v>
      </c>
      <c r="O19" s="171"/>
      <c r="P19" s="171" t="s">
        <v>50</v>
      </c>
      <c r="Q19" s="171"/>
      <c r="R19" s="171" t="s">
        <v>50</v>
      </c>
    </row>
    <row r="20" spans="1:22" x14ac:dyDescent="0.3">
      <c r="A20" s="41">
        <v>1</v>
      </c>
      <c r="C20" s="132" t="s">
        <v>52</v>
      </c>
      <c r="D20" s="132" t="s">
        <v>53</v>
      </c>
      <c r="E20" s="4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22" x14ac:dyDescent="0.3">
      <c r="C21" s="42"/>
      <c r="D21" s="42"/>
      <c r="E21" s="4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22" x14ac:dyDescent="0.3">
      <c r="A22" s="41">
        <v>2</v>
      </c>
      <c r="C22" s="153" t="s">
        <v>134</v>
      </c>
      <c r="F22" s="159"/>
      <c r="G22" s="1"/>
      <c r="H22" s="159"/>
      <c r="I22" s="159"/>
      <c r="J22" s="183"/>
      <c r="K22" s="183"/>
      <c r="L22" s="3"/>
      <c r="M22" s="3"/>
      <c r="N22" s="4"/>
      <c r="O22" s="4"/>
      <c r="P22" s="3"/>
      <c r="Q22" s="3"/>
      <c r="R22" s="3"/>
      <c r="S22" s="123"/>
    </row>
    <row r="23" spans="1:22" x14ac:dyDescent="0.3">
      <c r="A23" s="41">
        <v>3</v>
      </c>
      <c r="C23" s="192" t="s">
        <v>55</v>
      </c>
      <c r="F23" s="184">
        <v>1689991</v>
      </c>
      <c r="G23" s="1"/>
      <c r="H23" s="159"/>
      <c r="I23" s="159"/>
      <c r="J23" s="193">
        <f>INPUT!D43</f>
        <v>14.75</v>
      </c>
      <c r="K23" s="194"/>
      <c r="L23" s="3">
        <f>ROUND(F23*J23,0)-P23</f>
        <v>24927367</v>
      </c>
      <c r="M23" s="3"/>
      <c r="N23" s="175">
        <f>ROUND((L23/$L$38)*100,1)</f>
        <v>11.4</v>
      </c>
      <c r="O23" s="4"/>
      <c r="P23" s="3"/>
      <c r="Q23" s="3"/>
      <c r="R23" s="3">
        <f>L23+P23</f>
        <v>24927367</v>
      </c>
      <c r="S23" s="123"/>
      <c r="V23" s="123"/>
    </row>
    <row r="24" spans="1:22" x14ac:dyDescent="0.3">
      <c r="C24" s="42"/>
      <c r="F24" s="159"/>
      <c r="G24" s="1"/>
      <c r="H24" s="159"/>
      <c r="I24" s="159"/>
      <c r="J24" s="194"/>
      <c r="K24" s="194"/>
      <c r="L24" s="3"/>
      <c r="M24" s="3"/>
      <c r="N24" s="175"/>
      <c r="O24" s="4"/>
      <c r="P24" s="3"/>
      <c r="Q24" s="3"/>
      <c r="R24" s="3"/>
      <c r="S24" s="123"/>
    </row>
    <row r="25" spans="1:22" x14ac:dyDescent="0.3">
      <c r="A25" s="41">
        <v>4</v>
      </c>
      <c r="C25" s="178" t="s">
        <v>374</v>
      </c>
      <c r="F25" s="195"/>
      <c r="G25" s="1"/>
      <c r="H25" s="195"/>
      <c r="I25" s="195"/>
      <c r="J25" s="183"/>
      <c r="K25" s="183"/>
      <c r="L25" s="3"/>
      <c r="M25" s="3"/>
      <c r="N25" s="175"/>
      <c r="O25" s="4"/>
      <c r="P25" s="1"/>
      <c r="Q25" s="1"/>
      <c r="R25" s="3"/>
    </row>
    <row r="26" spans="1:22" x14ac:dyDescent="0.3">
      <c r="A26" s="41">
        <v>5</v>
      </c>
      <c r="C26" s="192" t="s">
        <v>123</v>
      </c>
      <c r="F26" s="196"/>
      <c r="G26" s="1"/>
      <c r="H26" s="197">
        <v>1527729253</v>
      </c>
      <c r="I26" s="159"/>
      <c r="J26" s="198">
        <f>INPUT!D44</f>
        <v>0.122409</v>
      </c>
      <c r="K26" s="199"/>
      <c r="L26" s="49">
        <f>ROUND(H26*J26,0)-P26</f>
        <v>187007810</v>
      </c>
      <c r="M26" s="3"/>
      <c r="N26" s="177">
        <f>ROUND((L26/$L$38)*100,1)</f>
        <v>85.3</v>
      </c>
      <c r="O26" s="4"/>
      <c r="P26" s="49"/>
      <c r="Q26" s="3"/>
      <c r="R26" s="49">
        <f>L26+P26</f>
        <v>187007810</v>
      </c>
      <c r="S26" s="123"/>
      <c r="V26" s="123"/>
    </row>
    <row r="27" spans="1:22" x14ac:dyDescent="0.3">
      <c r="C27" s="192"/>
      <c r="F27" s="159"/>
      <c r="G27" s="1"/>
      <c r="H27" s="184"/>
      <c r="I27" s="159"/>
      <c r="J27" s="200"/>
      <c r="K27" s="199"/>
      <c r="L27" s="3"/>
      <c r="M27" s="3"/>
      <c r="N27" s="175"/>
      <c r="O27" s="4"/>
      <c r="P27" s="3"/>
      <c r="Q27" s="3"/>
      <c r="R27" s="3"/>
      <c r="S27" s="123"/>
    </row>
    <row r="28" spans="1:22" ht="17.100000000000001" customHeight="1" x14ac:dyDescent="0.3">
      <c r="A28" s="41">
        <v>6</v>
      </c>
      <c r="C28" s="178" t="s">
        <v>433</v>
      </c>
      <c r="F28" s="196">
        <f>F23</f>
        <v>1689991</v>
      </c>
      <c r="G28" s="1"/>
      <c r="H28" s="196">
        <f>H26</f>
        <v>1527729253</v>
      </c>
      <c r="I28" s="159"/>
      <c r="J28" s="200"/>
      <c r="K28" s="199"/>
      <c r="L28" s="49">
        <f>SUM(L23:L26)</f>
        <v>211935177</v>
      </c>
      <c r="M28" s="3"/>
      <c r="N28" s="177">
        <f>ROUND((L28/$L$38)*100,1)</f>
        <v>96.7</v>
      </c>
      <c r="O28" s="4"/>
      <c r="P28" s="49"/>
      <c r="Q28" s="3"/>
      <c r="R28" s="49">
        <f>SUM(R23:R26)</f>
        <v>211935177</v>
      </c>
      <c r="S28" s="123"/>
      <c r="V28" s="123"/>
    </row>
    <row r="29" spans="1:22" x14ac:dyDescent="0.3">
      <c r="C29" s="192"/>
      <c r="F29" s="159"/>
      <c r="G29" s="1"/>
      <c r="H29" s="184"/>
      <c r="I29" s="159"/>
      <c r="J29" s="200"/>
      <c r="K29" s="199"/>
      <c r="L29" s="3"/>
      <c r="M29" s="3"/>
      <c r="N29" s="175"/>
      <c r="O29" s="4"/>
      <c r="P29" s="3"/>
      <c r="Q29" s="3"/>
      <c r="R29" s="3"/>
      <c r="S29" s="123"/>
    </row>
    <row r="30" spans="1:22" x14ac:dyDescent="0.3">
      <c r="A30" s="41">
        <v>7</v>
      </c>
      <c r="C30" s="132" t="s">
        <v>432</v>
      </c>
      <c r="F30" s="159"/>
      <c r="G30" s="1"/>
      <c r="H30" s="184"/>
      <c r="I30" s="159"/>
      <c r="J30" s="200"/>
      <c r="K30" s="199"/>
      <c r="L30" s="3"/>
      <c r="M30" s="3"/>
      <c r="N30" s="175"/>
      <c r="O30" s="4"/>
      <c r="P30" s="3"/>
      <c r="Q30" s="3"/>
      <c r="R30" s="3"/>
      <c r="S30" s="123"/>
    </row>
    <row r="31" spans="1:22" x14ac:dyDescent="0.3">
      <c r="A31" s="41">
        <v>8</v>
      </c>
      <c r="C31" s="192" t="str">
        <f>HEA_Name</f>
        <v>HOME ENERGY ASSISTANCE (HEA)</v>
      </c>
      <c r="F31" s="159"/>
      <c r="G31" s="1"/>
      <c r="H31" s="184"/>
      <c r="I31" s="159"/>
      <c r="J31" s="193">
        <f>DSM_RS_CUST</f>
        <v>0.3</v>
      </c>
      <c r="K31" s="199"/>
      <c r="L31" s="3">
        <f>ROUND(F23*J31,0)</f>
        <v>506997</v>
      </c>
      <c r="M31" s="3"/>
      <c r="N31" s="175">
        <f t="shared" ref="N31:N36" si="0">ROUND((L31/$L$38)*100,1)</f>
        <v>0.2</v>
      </c>
      <c r="O31" s="4"/>
      <c r="P31" s="3"/>
      <c r="Q31" s="3"/>
      <c r="R31" s="3">
        <f>L31+P31</f>
        <v>506997</v>
      </c>
      <c r="S31" s="123"/>
      <c r="V31" s="123"/>
    </row>
    <row r="32" spans="1:22" x14ac:dyDescent="0.3">
      <c r="A32" s="41">
        <v>9</v>
      </c>
      <c r="C32" s="192" t="str">
        <f>DSMR_Name</f>
        <v>DEMAND SIDE MANAGEMENT RIDER (DSMR)</v>
      </c>
      <c r="F32" s="159"/>
      <c r="G32" s="1"/>
      <c r="H32" s="184"/>
      <c r="I32" s="159"/>
      <c r="J32" s="198">
        <f>PRO_DSM_RES</f>
        <v>1.3519999999999999E-3</v>
      </c>
      <c r="K32" s="199"/>
      <c r="L32" s="3">
        <f>ROUND(H26*J32,0)</f>
        <v>2065490</v>
      </c>
      <c r="M32" s="3"/>
      <c r="N32" s="175">
        <f t="shared" si="0"/>
        <v>0.9</v>
      </c>
      <c r="O32" s="4"/>
      <c r="P32" s="3"/>
      <c r="Q32" s="3"/>
      <c r="R32" s="3">
        <f>L32+P32</f>
        <v>2065490</v>
      </c>
      <c r="S32" s="123"/>
      <c r="V32" s="123"/>
    </row>
    <row r="33" spans="1:42" x14ac:dyDescent="0.3">
      <c r="A33" s="41">
        <v>10</v>
      </c>
      <c r="C33" s="192" t="str">
        <f>ESM_Name</f>
        <v>ENVIRONMENTAL SURCHARGE MECHANISM RIDER (ESM)</v>
      </c>
      <c r="F33" s="159"/>
      <c r="G33" s="1"/>
      <c r="H33" s="184"/>
      <c r="I33" s="159"/>
      <c r="J33" s="201">
        <f>PRO_ESM</f>
        <v>3.7612909999999999E-3</v>
      </c>
      <c r="K33" s="199"/>
      <c r="L33" s="3">
        <f>ROUND((R28+R31+R32+R34+R35)*J33,0)</f>
        <v>841086</v>
      </c>
      <c r="M33" s="3"/>
      <c r="N33" s="175">
        <f t="shared" si="0"/>
        <v>0.4</v>
      </c>
      <c r="O33" s="4"/>
      <c r="P33" s="3"/>
      <c r="Q33" s="3"/>
      <c r="R33" s="3">
        <f>L33+P33</f>
        <v>841086</v>
      </c>
      <c r="S33" s="123"/>
      <c r="V33" s="123"/>
    </row>
    <row r="34" spans="1:42" x14ac:dyDescent="0.3">
      <c r="A34" s="41">
        <v>11</v>
      </c>
      <c r="C34" s="192" t="str">
        <f>FAC_Name</f>
        <v>FUEL ADJUSTMENT CLAUSE (FAC)</v>
      </c>
      <c r="F34" s="159"/>
      <c r="G34" s="1"/>
      <c r="H34" s="184"/>
      <c r="I34" s="159"/>
      <c r="J34" s="198">
        <f>PRO_FAC</f>
        <v>3.4872127999999998E-3</v>
      </c>
      <c r="K34" s="199"/>
      <c r="L34" s="3"/>
      <c r="M34" s="3"/>
      <c r="N34" s="175">
        <f t="shared" si="0"/>
        <v>0</v>
      </c>
      <c r="O34" s="4"/>
      <c r="P34" s="3">
        <f>ROUND($H$26*PRO_FAC,0)</f>
        <v>5327517</v>
      </c>
      <c r="Q34" s="3"/>
      <c r="R34" s="3">
        <f>L34+P34</f>
        <v>5327517</v>
      </c>
      <c r="S34" s="123"/>
      <c r="V34" s="123"/>
    </row>
    <row r="35" spans="1:42" x14ac:dyDescent="0.3">
      <c r="A35" s="41">
        <v>12</v>
      </c>
      <c r="C35" s="192" t="str">
        <f>PSM_Name</f>
        <v>PROFIT SHARING MECHANISM (PSM)</v>
      </c>
      <c r="F35" s="159"/>
      <c r="G35" s="1"/>
      <c r="H35" s="184"/>
      <c r="I35" s="159"/>
      <c r="J35" s="198">
        <f>PRO_PSM</f>
        <v>2.4750000000000002E-3</v>
      </c>
      <c r="K35" s="199"/>
      <c r="L35" s="3">
        <f>ROUND(H26*J35,0)</f>
        <v>3781130</v>
      </c>
      <c r="M35" s="3"/>
      <c r="N35" s="175">
        <f t="shared" si="0"/>
        <v>1.7</v>
      </c>
      <c r="O35" s="4"/>
      <c r="P35" s="3"/>
      <c r="Q35" s="3"/>
      <c r="R35" s="3">
        <f>L35+P35</f>
        <v>3781130</v>
      </c>
      <c r="S35" s="123"/>
      <c r="V35" s="123"/>
    </row>
    <row r="36" spans="1:42" ht="18" customHeight="1" x14ac:dyDescent="0.3">
      <c r="A36" s="41">
        <v>13</v>
      </c>
      <c r="C36" s="132" t="s">
        <v>437</v>
      </c>
      <c r="F36" s="196"/>
      <c r="G36" s="1"/>
      <c r="H36" s="197"/>
      <c r="I36" s="159"/>
      <c r="J36" s="200"/>
      <c r="K36" s="199"/>
      <c r="L36" s="145">
        <f>SUM(L31:L35)</f>
        <v>7194703</v>
      </c>
      <c r="M36" s="3"/>
      <c r="N36" s="180">
        <f t="shared" si="0"/>
        <v>3.3</v>
      </c>
      <c r="O36" s="4"/>
      <c r="P36" s="145">
        <f>SUM(P31:P35)</f>
        <v>5327517</v>
      </c>
      <c r="Q36" s="3"/>
      <c r="R36" s="145">
        <f>SUM(R31:R35)</f>
        <v>12522220</v>
      </c>
      <c r="S36" s="123"/>
    </row>
    <row r="37" spans="1:42" x14ac:dyDescent="0.3">
      <c r="C37" s="42"/>
      <c r="F37" s="1"/>
      <c r="G37" s="1"/>
      <c r="H37" s="1"/>
      <c r="I37" s="1"/>
      <c r="J37" s="7"/>
      <c r="K37" s="7"/>
      <c r="L37" s="3"/>
      <c r="M37" s="3"/>
      <c r="N37" s="175"/>
      <c r="O37" s="4"/>
      <c r="P37" s="3"/>
      <c r="Q37" s="3"/>
      <c r="R37" s="3"/>
      <c r="S37" s="123"/>
    </row>
    <row r="38" spans="1:42" ht="24.9" customHeight="1" thickBot="1" x14ac:dyDescent="0.35">
      <c r="A38" s="41">
        <v>14</v>
      </c>
      <c r="C38" s="178" t="s">
        <v>438</v>
      </c>
      <c r="F38" s="151">
        <f>F23</f>
        <v>1689991</v>
      </c>
      <c r="G38" s="1"/>
      <c r="H38" s="151">
        <f>H26</f>
        <v>1527729253</v>
      </c>
      <c r="I38" s="3"/>
      <c r="J38" s="7"/>
      <c r="K38" s="7"/>
      <c r="L38" s="151">
        <f>L28+L36</f>
        <v>219129880</v>
      </c>
      <c r="M38" s="3"/>
      <c r="N38" s="187">
        <v>100</v>
      </c>
      <c r="O38" s="4"/>
      <c r="P38" s="151">
        <f>P36+P28</f>
        <v>5327517</v>
      </c>
      <c r="Q38" s="159"/>
      <c r="R38" s="151">
        <f>R28+R36</f>
        <v>224457397</v>
      </c>
      <c r="S38" s="123"/>
    </row>
    <row r="39" spans="1:42" ht="24.9" customHeight="1" thickTop="1" x14ac:dyDescent="0.3">
      <c r="C39" s="45"/>
      <c r="F39" s="3"/>
      <c r="G39" s="1"/>
      <c r="H39" s="3"/>
      <c r="I39" s="3"/>
      <c r="J39" s="7"/>
      <c r="K39" s="7"/>
      <c r="L39" s="3"/>
      <c r="M39" s="3"/>
      <c r="N39" s="4"/>
      <c r="O39" s="4"/>
      <c r="P39" s="3"/>
      <c r="Q39" s="159"/>
      <c r="R39" s="3"/>
      <c r="S39" s="123"/>
    </row>
    <row r="40" spans="1:42" x14ac:dyDescent="0.3">
      <c r="C40" s="202" t="s">
        <v>59</v>
      </c>
      <c r="L40" s="123"/>
      <c r="M40" s="123"/>
      <c r="N40" s="123"/>
      <c r="O40" s="123"/>
      <c r="P40" s="123"/>
      <c r="Q40" s="123"/>
      <c r="R40" s="123"/>
      <c r="S40" s="123"/>
    </row>
    <row r="41" spans="1:42" x14ac:dyDescent="0.3">
      <c r="C41" s="202" t="str">
        <f>"(2) REFLECTS FUEL COMPONENT OF "&amp;TEXT(PRO_FAC,"$0.000000;($0.000000)")&amp;"  PER KWH."</f>
        <v>(2) REFLECTS FUEL COMPONENT OF $0.003487  PER KWH.</v>
      </c>
    </row>
    <row r="42" spans="1:42" x14ac:dyDescent="0.3">
      <c r="C42" s="202" t="str">
        <f>"(3) REFLECTS FUEL COST RECOVERY INCLUDED IN BASE RATES OF "&amp;TEXT(PRO_BASE_FUEL,"$0.000000;($0.000000)")&amp;"  PER KWH."</f>
        <v>(3) REFLECTS FUEL COST RECOVERY INCLUDED IN BASE RATES OF $0.033780  PER KWH.</v>
      </c>
      <c r="T42" s="40" t="str">
        <f>NAME</f>
        <v>DUKE ENERGY KENTUCKY, INC.</v>
      </c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166"/>
      <c r="AG42" s="40"/>
      <c r="AH42" s="40"/>
      <c r="AI42" s="40"/>
      <c r="AJ42" s="166"/>
      <c r="AK42" s="40"/>
      <c r="AL42" s="40"/>
      <c r="AM42" s="40"/>
      <c r="AN42" s="40"/>
      <c r="AO42" s="40"/>
      <c r="AP42" s="166"/>
    </row>
    <row r="43" spans="1:42" x14ac:dyDescent="0.3">
      <c r="T43" s="40" t="str">
        <f>CASE_NO</f>
        <v>CASE NO.   2024-00354</v>
      </c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166"/>
      <c r="AG43" s="40"/>
      <c r="AH43" s="40"/>
      <c r="AI43" s="40"/>
      <c r="AJ43" s="166"/>
      <c r="AK43" s="40"/>
      <c r="AL43" s="40"/>
      <c r="AM43" s="40"/>
      <c r="AN43" s="40"/>
      <c r="AO43" s="40"/>
      <c r="AP43" s="166"/>
    </row>
    <row r="44" spans="1:42" x14ac:dyDescent="0.3">
      <c r="F44" s="123"/>
      <c r="G44" s="123"/>
      <c r="H44" s="123"/>
      <c r="T44" s="40" t="str">
        <f>TITLE</f>
        <v>ANNUALIZED TEST YEAR REVENUES AT REHEARING ORDER CALCULATED VS. MOST CURRENT RATES</v>
      </c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166"/>
      <c r="AG44" s="40"/>
      <c r="AH44" s="40"/>
      <c r="AI44" s="40"/>
      <c r="AJ44" s="166"/>
      <c r="AK44" s="40"/>
      <c r="AL44" s="40"/>
      <c r="AM44" s="40"/>
      <c r="AN44" s="40"/>
      <c r="AO44" s="40"/>
      <c r="AP44" s="166"/>
    </row>
    <row r="45" spans="1:42" x14ac:dyDescent="0.3">
      <c r="T45" s="40" t="str">
        <f>DATE</f>
        <v>FOR THE TWELVE MONTHS ENDED June 30, 2026</v>
      </c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166"/>
      <c r="AG45" s="40"/>
      <c r="AH45" s="40"/>
      <c r="AI45" s="40"/>
      <c r="AJ45" s="166"/>
      <c r="AK45" s="40"/>
      <c r="AL45" s="40"/>
      <c r="AM45" s="40"/>
      <c r="AN45" s="40"/>
      <c r="AO45" s="40"/>
      <c r="AP45" s="166"/>
    </row>
    <row r="46" spans="1:42" x14ac:dyDescent="0.3">
      <c r="F46" s="203"/>
      <c r="T46" s="40" t="str">
        <f>SERVICE</f>
        <v>(ELECTRIC SERVICE)</v>
      </c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166"/>
      <c r="AG46" s="40"/>
      <c r="AH46" s="40"/>
      <c r="AI46" s="40"/>
      <c r="AJ46" s="166"/>
      <c r="AK46" s="40"/>
      <c r="AL46" s="40"/>
      <c r="AM46" s="40"/>
      <c r="AN46" s="40"/>
      <c r="AO46" s="40"/>
      <c r="AP46" s="166"/>
    </row>
    <row r="47" spans="1:42" x14ac:dyDescent="0.3">
      <c r="T47" s="41" t="str">
        <f>DATA_PERIOD</f>
        <v>DATA: ____ BASE PERIOD   __X__FORECASTED PERIOD</v>
      </c>
      <c r="AN47" s="42" t="s">
        <v>158</v>
      </c>
      <c r="AO47" s="42"/>
    </row>
    <row r="48" spans="1:42" x14ac:dyDescent="0.3">
      <c r="C48" s="192"/>
      <c r="T48" s="41" t="str">
        <f>TYPE</f>
        <v>TYPE OF FILING: _X_ ORIGINAL   ___UPDATED  ___ REVISED</v>
      </c>
      <c r="AN48" s="45" t="str">
        <f>"PAGE 2 OF "&amp;TEXT(Page_Num_2.2,"00")</f>
        <v>PAGE 2 OF 24</v>
      </c>
      <c r="AO48" s="42"/>
    </row>
    <row r="49" spans="20:42" x14ac:dyDescent="0.3">
      <c r="T49" s="42" t="s">
        <v>171</v>
      </c>
      <c r="AN49" s="42" t="s">
        <v>3</v>
      </c>
      <c r="AO49" s="42"/>
    </row>
    <row r="50" spans="20:42" x14ac:dyDescent="0.3">
      <c r="T50" s="132" t="str">
        <f>TIME</f>
        <v>12 Months Projected with Riders</v>
      </c>
      <c r="AN50" s="42" t="str">
        <f>WIT</f>
        <v>B. L. Sailers</v>
      </c>
      <c r="AO50" s="42"/>
    </row>
    <row r="51" spans="20:42" x14ac:dyDescent="0.3">
      <c r="T51" s="132" t="str">
        <f>INPUT!B5</f>
        <v xml:space="preserve"> </v>
      </c>
      <c r="AN51" s="42"/>
      <c r="AO51" s="42"/>
    </row>
    <row r="52" spans="20:42" x14ac:dyDescent="0.3">
      <c r="AD52" s="42" t="s">
        <v>5</v>
      </c>
      <c r="AE52" s="42"/>
    </row>
    <row r="53" spans="20:42" x14ac:dyDescent="0.3"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167"/>
      <c r="AG53" s="43"/>
      <c r="AH53" s="43"/>
      <c r="AI53" s="43"/>
      <c r="AJ53" s="167"/>
      <c r="AK53" s="43"/>
      <c r="AL53" s="43"/>
      <c r="AM53" s="43"/>
      <c r="AN53" s="43"/>
      <c r="AO53" s="43"/>
      <c r="AP53" s="167"/>
    </row>
    <row r="54" spans="20:42" ht="18" customHeight="1" x14ac:dyDescent="0.3">
      <c r="AD54" s="44" t="s">
        <v>8</v>
      </c>
      <c r="AE54" s="44"/>
      <c r="AF54" s="168" t="s">
        <v>7</v>
      </c>
      <c r="AG54" s="44"/>
      <c r="AH54" s="44" t="s">
        <v>9</v>
      </c>
      <c r="AI54" s="44"/>
      <c r="AJ54" s="168" t="s">
        <v>10</v>
      </c>
      <c r="AK54" s="44"/>
      <c r="AN54" s="44" t="s">
        <v>8</v>
      </c>
      <c r="AO54" s="44"/>
      <c r="AP54" s="168" t="s">
        <v>11</v>
      </c>
    </row>
    <row r="55" spans="20:42" x14ac:dyDescent="0.3">
      <c r="AB55" s="44" t="s">
        <v>14</v>
      </c>
      <c r="AC55" s="44"/>
      <c r="AD55" s="44" t="s">
        <v>12</v>
      </c>
      <c r="AE55" s="44"/>
      <c r="AF55" s="168" t="s">
        <v>13</v>
      </c>
      <c r="AG55" s="44"/>
      <c r="AH55" s="44" t="s">
        <v>15</v>
      </c>
      <c r="AI55" s="44"/>
      <c r="AJ55" s="168" t="s">
        <v>16</v>
      </c>
      <c r="AK55" s="44"/>
      <c r="AN55" s="44" t="s">
        <v>11</v>
      </c>
      <c r="AO55" s="44"/>
      <c r="AP55" s="168" t="s">
        <v>9</v>
      </c>
    </row>
    <row r="56" spans="20:42" x14ac:dyDescent="0.3">
      <c r="T56" s="44" t="s">
        <v>17</v>
      </c>
      <c r="V56" s="44" t="s">
        <v>18</v>
      </c>
      <c r="W56" s="44" t="s">
        <v>19</v>
      </c>
      <c r="X56" s="44" t="s">
        <v>20</v>
      </c>
      <c r="AB56" s="44" t="s">
        <v>8</v>
      </c>
      <c r="AC56" s="44"/>
      <c r="AD56" s="44" t="s">
        <v>842</v>
      </c>
      <c r="AE56" s="44"/>
      <c r="AF56" s="168" t="s">
        <v>842</v>
      </c>
      <c r="AG56" s="44"/>
      <c r="AH56" s="44" t="s">
        <v>965</v>
      </c>
      <c r="AI56" s="44"/>
      <c r="AJ56" s="168" t="s">
        <v>965</v>
      </c>
      <c r="AK56" s="44"/>
      <c r="AL56" s="44" t="s">
        <v>842</v>
      </c>
      <c r="AM56" s="44"/>
      <c r="AN56" s="44" t="s">
        <v>9</v>
      </c>
      <c r="AO56" s="44"/>
      <c r="AP56" s="168" t="s">
        <v>21</v>
      </c>
    </row>
    <row r="57" spans="20:42" x14ac:dyDescent="0.3">
      <c r="T57" s="44" t="s">
        <v>22</v>
      </c>
      <c r="V57" s="44" t="s">
        <v>23</v>
      </c>
      <c r="W57" s="44" t="s">
        <v>24</v>
      </c>
      <c r="X57" s="44" t="s">
        <v>25</v>
      </c>
      <c r="Z57" s="44" t="s">
        <v>26</v>
      </c>
      <c r="AA57" s="44"/>
      <c r="AB57" s="44" t="s">
        <v>27</v>
      </c>
      <c r="AC57" s="44"/>
      <c r="AD57" s="44" t="s">
        <v>9</v>
      </c>
      <c r="AE57" s="44"/>
      <c r="AF57" s="168" t="s">
        <v>9</v>
      </c>
      <c r="AG57" s="44"/>
      <c r="AH57" s="141" t="s">
        <v>29</v>
      </c>
      <c r="AI57" s="141"/>
      <c r="AJ57" s="170" t="s">
        <v>30</v>
      </c>
      <c r="AK57" s="44"/>
      <c r="AL57" s="44" t="s">
        <v>324</v>
      </c>
      <c r="AM57" s="44"/>
      <c r="AN57" s="141" t="s">
        <v>31</v>
      </c>
      <c r="AO57" s="141"/>
      <c r="AP57" s="170" t="s">
        <v>32</v>
      </c>
    </row>
    <row r="58" spans="20:42" x14ac:dyDescent="0.3">
      <c r="V58" s="141" t="s">
        <v>33</v>
      </c>
      <c r="W58" s="141" t="s">
        <v>34</v>
      </c>
      <c r="X58" s="141" t="s">
        <v>35</v>
      </c>
      <c r="Y58" s="153"/>
      <c r="Z58" s="141" t="s">
        <v>36</v>
      </c>
      <c r="AA58" s="141"/>
      <c r="AB58" s="141" t="s">
        <v>42</v>
      </c>
      <c r="AC58" s="141"/>
      <c r="AD58" s="141" t="s">
        <v>43</v>
      </c>
      <c r="AE58" s="141"/>
      <c r="AF58" s="170" t="s">
        <v>44</v>
      </c>
      <c r="AG58" s="141"/>
      <c r="AH58" s="141" t="s">
        <v>45</v>
      </c>
      <c r="AI58" s="141"/>
      <c r="AJ58" s="170" t="s">
        <v>46</v>
      </c>
      <c r="AK58" s="141"/>
      <c r="AL58" s="141" t="s">
        <v>40</v>
      </c>
      <c r="AM58" s="141"/>
      <c r="AN58" s="141" t="s">
        <v>47</v>
      </c>
      <c r="AO58" s="141"/>
      <c r="AP58" s="170" t="s">
        <v>48</v>
      </c>
    </row>
    <row r="59" spans="20:42" ht="17.100000000000001" customHeight="1" x14ac:dyDescent="0.3"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167"/>
      <c r="AG59" s="43"/>
      <c r="AH59" s="43"/>
      <c r="AI59" s="43"/>
      <c r="AJ59" s="167"/>
      <c r="AK59" s="43"/>
      <c r="AL59" s="43"/>
      <c r="AM59" s="43"/>
      <c r="AN59" s="43"/>
      <c r="AO59" s="43"/>
      <c r="AP59" s="167"/>
    </row>
    <row r="60" spans="20:42" ht="17.100000000000001" customHeight="1" x14ac:dyDescent="0.3">
      <c r="Z60" s="171" t="s">
        <v>49</v>
      </c>
      <c r="AA60" s="171"/>
      <c r="AB60" s="172" t="s">
        <v>313</v>
      </c>
      <c r="AC60" s="171"/>
      <c r="AD60" s="171" t="s">
        <v>50</v>
      </c>
      <c r="AE60" s="171"/>
      <c r="AF60" s="173" t="s">
        <v>51</v>
      </c>
      <c r="AG60" s="171"/>
      <c r="AH60" s="171" t="s">
        <v>50</v>
      </c>
      <c r="AI60" s="171"/>
      <c r="AJ60" s="173" t="s">
        <v>51</v>
      </c>
      <c r="AK60" s="171"/>
      <c r="AL60" s="171" t="s">
        <v>50</v>
      </c>
      <c r="AM60" s="171"/>
      <c r="AN60" s="171" t="s">
        <v>50</v>
      </c>
      <c r="AO60" s="171"/>
      <c r="AP60" s="173" t="s">
        <v>51</v>
      </c>
    </row>
    <row r="61" spans="20:42" x14ac:dyDescent="0.3">
      <c r="T61" s="41">
        <v>1</v>
      </c>
      <c r="V61" s="132" t="s">
        <v>52</v>
      </c>
      <c r="W61" s="132" t="s">
        <v>53</v>
      </c>
      <c r="X61" s="1"/>
      <c r="Y61" s="1"/>
      <c r="Z61" s="1"/>
      <c r="AA61" s="1"/>
      <c r="AB61" s="1"/>
      <c r="AC61" s="1"/>
      <c r="AD61" s="1"/>
      <c r="AE61" s="1"/>
      <c r="AF61" s="175"/>
      <c r="AG61" s="1"/>
      <c r="AH61" s="1"/>
      <c r="AI61" s="1"/>
      <c r="AJ61" s="175"/>
      <c r="AK61" s="1"/>
      <c r="AL61" s="1"/>
      <c r="AM61" s="1"/>
      <c r="AN61" s="1"/>
      <c r="AO61" s="1"/>
      <c r="AP61" s="175"/>
    </row>
    <row r="62" spans="20:42" x14ac:dyDescent="0.3">
      <c r="V62" s="42"/>
      <c r="W62" s="42"/>
      <c r="X62" s="1"/>
      <c r="Y62" s="1"/>
      <c r="Z62" s="1"/>
      <c r="AA62" s="1"/>
      <c r="AB62" s="1"/>
      <c r="AC62" s="1"/>
      <c r="AD62" s="1"/>
      <c r="AE62" s="1"/>
      <c r="AF62" s="175"/>
      <c r="AG62" s="1"/>
      <c r="AH62" s="1"/>
      <c r="AI62" s="1"/>
      <c r="AJ62" s="175"/>
      <c r="AK62" s="1"/>
      <c r="AL62" s="1"/>
      <c r="AM62" s="1"/>
      <c r="AN62" s="1"/>
      <c r="AO62" s="1"/>
      <c r="AP62" s="175"/>
    </row>
    <row r="63" spans="20:42" x14ac:dyDescent="0.3">
      <c r="T63" s="41">
        <v>2</v>
      </c>
      <c r="V63" s="153" t="s">
        <v>134</v>
      </c>
      <c r="X63" s="159"/>
      <c r="Y63" s="1"/>
      <c r="Z63" s="159"/>
      <c r="AA63" s="159"/>
      <c r="AB63" s="183"/>
      <c r="AC63" s="183"/>
      <c r="AD63" s="3"/>
      <c r="AE63" s="3"/>
      <c r="AF63" s="175"/>
      <c r="AG63" s="4"/>
      <c r="AH63" s="3"/>
      <c r="AI63" s="3"/>
      <c r="AJ63" s="175"/>
      <c r="AK63" s="1"/>
      <c r="AL63" s="3"/>
      <c r="AM63" s="3"/>
      <c r="AN63" s="3"/>
      <c r="AO63" s="3"/>
      <c r="AP63" s="175"/>
    </row>
    <row r="64" spans="20:42" x14ac:dyDescent="0.3">
      <c r="T64" s="41">
        <v>3</v>
      </c>
      <c r="V64" s="192" t="s">
        <v>55</v>
      </c>
      <c r="X64" s="3">
        <f>F23</f>
        <v>1689991</v>
      </c>
      <c r="Y64" s="1"/>
      <c r="Z64" s="159"/>
      <c r="AA64" s="159"/>
      <c r="AB64" s="193">
        <f>INPUT!C43</f>
        <v>13</v>
      </c>
      <c r="AC64" s="194"/>
      <c r="AD64" s="3">
        <f>ROUND(X64*AB64,0)</f>
        <v>21969883</v>
      </c>
      <c r="AE64" s="3"/>
      <c r="AF64" s="175">
        <f>ROUND((AD64/$AD$79)*100,1)</f>
        <v>11</v>
      </c>
      <c r="AG64" s="4"/>
      <c r="AH64" s="3">
        <f>L23-AD64</f>
        <v>2957484</v>
      </c>
      <c r="AI64" s="3"/>
      <c r="AJ64" s="175">
        <f>ROUND((AH64/AD64)*100,1)</f>
        <v>13.5</v>
      </c>
      <c r="AK64" s="4"/>
      <c r="AL64" s="3"/>
      <c r="AM64" s="3"/>
      <c r="AN64" s="3">
        <f>AD64+AL64</f>
        <v>21969883</v>
      </c>
      <c r="AO64" s="3"/>
      <c r="AP64" s="175">
        <f>ROUND((AH64/AN64)*100,1)</f>
        <v>13.5</v>
      </c>
    </row>
    <row r="65" spans="20:42" x14ac:dyDescent="0.3">
      <c r="V65" s="42"/>
      <c r="X65" s="3"/>
      <c r="Y65" s="1"/>
      <c r="Z65" s="159"/>
      <c r="AA65" s="159"/>
      <c r="AB65" s="194"/>
      <c r="AC65" s="194"/>
      <c r="AD65" s="3"/>
      <c r="AE65" s="3"/>
      <c r="AF65" s="175"/>
      <c r="AG65" s="4"/>
      <c r="AH65" s="3"/>
      <c r="AI65" s="3"/>
      <c r="AJ65" s="175"/>
      <c r="AK65" s="4"/>
      <c r="AL65" s="3"/>
      <c r="AM65" s="3"/>
      <c r="AN65" s="3"/>
      <c r="AO65" s="3"/>
      <c r="AP65" s="175"/>
    </row>
    <row r="66" spans="20:42" x14ac:dyDescent="0.3">
      <c r="T66" s="41">
        <v>4</v>
      </c>
      <c r="V66" s="178" t="s">
        <v>374</v>
      </c>
      <c r="X66" s="195"/>
      <c r="Y66" s="1"/>
      <c r="Z66" s="195"/>
      <c r="AA66" s="195"/>
      <c r="AB66" s="183"/>
      <c r="AC66" s="183"/>
      <c r="AD66" s="3"/>
      <c r="AE66" s="3"/>
      <c r="AF66" s="175"/>
      <c r="AG66" s="4"/>
      <c r="AH66" s="3"/>
      <c r="AI66" s="3"/>
      <c r="AJ66" s="175"/>
      <c r="AK66" s="4"/>
      <c r="AL66" s="1"/>
      <c r="AM66" s="1"/>
      <c r="AN66" s="3"/>
      <c r="AO66" s="3"/>
      <c r="AP66" s="175"/>
    </row>
    <row r="67" spans="20:42" x14ac:dyDescent="0.3">
      <c r="T67" s="41">
        <v>5</v>
      </c>
      <c r="V67" s="192" t="s">
        <v>123</v>
      </c>
      <c r="X67" s="196"/>
      <c r="Y67" s="1"/>
      <c r="Z67" s="49">
        <f>H26</f>
        <v>1527729253</v>
      </c>
      <c r="AA67" s="3"/>
      <c r="AB67" s="198">
        <f>INPUT!C44</f>
        <v>0.111639</v>
      </c>
      <c r="AC67" s="204"/>
      <c r="AD67" s="49">
        <f>ROUND((Z67*AB67),0)-AL67</f>
        <v>170554166</v>
      </c>
      <c r="AE67" s="3"/>
      <c r="AF67" s="177">
        <f>ROUND((AD67/$AD$79)*100,1)</f>
        <v>85.4</v>
      </c>
      <c r="AG67" s="4"/>
      <c r="AH67" s="49">
        <f>L26-AD67</f>
        <v>16453644</v>
      </c>
      <c r="AI67" s="3"/>
      <c r="AJ67" s="177">
        <f>ROUND((AH67/AD67)*100,1)</f>
        <v>9.6</v>
      </c>
      <c r="AK67" s="4"/>
      <c r="AL67" s="49"/>
      <c r="AM67" s="3"/>
      <c r="AN67" s="49">
        <f>AD67+AL67</f>
        <v>170554166</v>
      </c>
      <c r="AO67" s="3"/>
      <c r="AP67" s="177">
        <f>ROUND((AH67/AN67)*100,1)</f>
        <v>9.6</v>
      </c>
    </row>
    <row r="68" spans="20:42" x14ac:dyDescent="0.3">
      <c r="V68" s="42"/>
      <c r="X68" s="1"/>
      <c r="Y68" s="1"/>
      <c r="Z68" s="1"/>
      <c r="AA68" s="1"/>
      <c r="AB68" s="183"/>
      <c r="AC68" s="183"/>
      <c r="AD68" s="3"/>
      <c r="AE68" s="3"/>
      <c r="AF68" s="175"/>
      <c r="AG68" s="4"/>
      <c r="AH68" s="3"/>
      <c r="AI68" s="3"/>
      <c r="AJ68" s="175"/>
      <c r="AK68" s="4"/>
      <c r="AL68" s="3"/>
      <c r="AM68" s="3"/>
      <c r="AN68" s="3"/>
      <c r="AO68" s="3"/>
      <c r="AP68" s="175"/>
    </row>
    <row r="69" spans="20:42" x14ac:dyDescent="0.3">
      <c r="T69" s="41">
        <v>6</v>
      </c>
      <c r="V69" s="178" t="s">
        <v>433</v>
      </c>
      <c r="X69" s="49">
        <f>X64</f>
        <v>1689991</v>
      </c>
      <c r="Y69" s="1"/>
      <c r="Z69" s="49">
        <f>Z67</f>
        <v>1527729253</v>
      </c>
      <c r="AA69" s="1"/>
      <c r="AB69" s="183"/>
      <c r="AC69" s="183"/>
      <c r="AD69" s="49">
        <f>SUM(AD64:AD67)</f>
        <v>192524049</v>
      </c>
      <c r="AE69" s="3"/>
      <c r="AF69" s="177">
        <f>ROUND((AD69/$AD$79)*100,1)</f>
        <v>96.4</v>
      </c>
      <c r="AG69" s="4"/>
      <c r="AH69" s="49">
        <f>SUM(AH64:AH67)</f>
        <v>19411128</v>
      </c>
      <c r="AI69" s="3"/>
      <c r="AJ69" s="177">
        <f>ROUND((AH69/AD69)*100,1)</f>
        <v>10.1</v>
      </c>
      <c r="AK69" s="4"/>
      <c r="AL69" s="49"/>
      <c r="AM69" s="3"/>
      <c r="AN69" s="49">
        <f>SUM(AN64:AN67)</f>
        <v>192524049</v>
      </c>
      <c r="AO69" s="3"/>
      <c r="AP69" s="177">
        <f>ROUND((AH69/AN69)*100,1)</f>
        <v>10.1</v>
      </c>
    </row>
    <row r="70" spans="20:42" x14ac:dyDescent="0.3">
      <c r="V70" s="192"/>
      <c r="X70" s="1"/>
      <c r="Y70" s="1"/>
      <c r="Z70" s="1"/>
      <c r="AA70" s="1"/>
      <c r="AB70" s="183"/>
      <c r="AC70" s="183"/>
      <c r="AD70" s="3"/>
      <c r="AE70" s="3"/>
      <c r="AF70" s="175"/>
      <c r="AG70" s="4"/>
      <c r="AH70" s="3"/>
      <c r="AI70" s="3"/>
      <c r="AJ70" s="175"/>
      <c r="AK70" s="4"/>
      <c r="AL70" s="3"/>
      <c r="AM70" s="3"/>
      <c r="AN70" s="3"/>
      <c r="AO70" s="3"/>
      <c r="AP70" s="175"/>
    </row>
    <row r="71" spans="20:42" x14ac:dyDescent="0.3">
      <c r="T71" s="41">
        <v>7</v>
      </c>
      <c r="V71" s="132" t="s">
        <v>432</v>
      </c>
      <c r="X71" s="1"/>
      <c r="Y71" s="1"/>
      <c r="Z71" s="1"/>
      <c r="AA71" s="1"/>
      <c r="AB71" s="183"/>
      <c r="AC71" s="183"/>
      <c r="AD71" s="3"/>
      <c r="AE71" s="3"/>
      <c r="AF71" s="175"/>
      <c r="AG71" s="4"/>
      <c r="AH71" s="3"/>
      <c r="AI71" s="3"/>
      <c r="AJ71" s="175"/>
      <c r="AK71" s="4"/>
      <c r="AL71" s="3"/>
      <c r="AM71" s="3"/>
      <c r="AN71" s="3"/>
      <c r="AO71" s="3"/>
      <c r="AP71" s="175"/>
    </row>
    <row r="72" spans="20:42" x14ac:dyDescent="0.3">
      <c r="T72" s="41">
        <f t="shared" ref="T72:T77" si="1">A31</f>
        <v>8</v>
      </c>
      <c r="V72" s="192" t="str">
        <f>C31</f>
        <v>HOME ENERGY ASSISTANCE (HEA)</v>
      </c>
      <c r="X72" s="1"/>
      <c r="Y72" s="1"/>
      <c r="Z72" s="1"/>
      <c r="AA72" s="1"/>
      <c r="AB72" s="193">
        <f>DSM_RS_CUST</f>
        <v>0.3</v>
      </c>
      <c r="AC72" s="183"/>
      <c r="AD72" s="3">
        <f>ROUND(X64*AB72,0)</f>
        <v>506997</v>
      </c>
      <c r="AE72" s="3"/>
      <c r="AF72" s="175">
        <f>ROUND((AD72/$AD$79)*100,1)</f>
        <v>0.3</v>
      </c>
      <c r="AG72" s="4"/>
      <c r="AH72" s="3">
        <f>L31-AD72</f>
        <v>0</v>
      </c>
      <c r="AI72" s="3"/>
      <c r="AJ72" s="175">
        <f>IFERROR(ROUND((AH72/AD72)*100,1),0)</f>
        <v>0</v>
      </c>
      <c r="AK72" s="4"/>
      <c r="AL72" s="3"/>
      <c r="AM72" s="3"/>
      <c r="AN72" s="3">
        <f>AD72+AL72</f>
        <v>506997</v>
      </c>
      <c r="AO72" s="3"/>
      <c r="AP72" s="175">
        <f>IFERROR(ROUND((AH72/AN72)*100,1),0)</f>
        <v>0</v>
      </c>
    </row>
    <row r="73" spans="20:42" x14ac:dyDescent="0.3">
      <c r="T73" s="41">
        <f t="shared" si="1"/>
        <v>9</v>
      </c>
      <c r="V73" s="192" t="str">
        <f>C32</f>
        <v>DEMAND SIDE MANAGEMENT RIDER (DSMR)</v>
      </c>
      <c r="X73" s="1"/>
      <c r="Y73" s="1"/>
      <c r="Z73" s="1"/>
      <c r="AA73" s="1"/>
      <c r="AB73" s="205">
        <f>DSM_RES</f>
        <v>1.3519999999999999E-3</v>
      </c>
      <c r="AC73" s="183"/>
      <c r="AD73" s="3">
        <f>ROUND(Z67*AB73,0)</f>
        <v>2065490</v>
      </c>
      <c r="AE73" s="3"/>
      <c r="AF73" s="175">
        <f>ROUND((AD73/$AD$79)*100,1)</f>
        <v>1</v>
      </c>
      <c r="AG73" s="4"/>
      <c r="AH73" s="3">
        <f>L32-AD73</f>
        <v>0</v>
      </c>
      <c r="AI73" s="3"/>
      <c r="AJ73" s="175">
        <f>IFERROR(ROUND((AH73/AD73)*100,1),0)</f>
        <v>0</v>
      </c>
      <c r="AK73" s="4"/>
      <c r="AL73" s="3"/>
      <c r="AM73" s="3"/>
      <c r="AN73" s="3">
        <f>AD73+AL73</f>
        <v>2065490</v>
      </c>
      <c r="AO73" s="3"/>
      <c r="AP73" s="175">
        <f>IFERROR(ROUND((AH73/AN73)*100,1),0)</f>
        <v>0</v>
      </c>
    </row>
    <row r="74" spans="20:42" x14ac:dyDescent="0.3">
      <c r="T74" s="41">
        <f t="shared" si="1"/>
        <v>10</v>
      </c>
      <c r="V74" s="192" t="str">
        <f>C33</f>
        <v>ENVIRONMENTAL SURCHARGE MECHANISM RIDER (ESM)</v>
      </c>
      <c r="X74" s="1"/>
      <c r="Y74" s="1"/>
      <c r="Z74" s="1"/>
      <c r="AA74" s="1"/>
      <c r="AB74" s="201">
        <f>CUR_ESM</f>
        <v>4.2117566880979784E-3</v>
      </c>
      <c r="AC74" s="183"/>
      <c r="AD74" s="3">
        <f>ROUND((AN69+AN72+AN73+AN75+AN76)*AB74,0)</f>
        <v>860063</v>
      </c>
      <c r="AE74" s="3"/>
      <c r="AF74" s="175">
        <f>ROUND((AD74/$AD$79)*100,1)</f>
        <v>0.4</v>
      </c>
      <c r="AG74" s="4"/>
      <c r="AH74" s="3">
        <f>L33-AD74</f>
        <v>-18977</v>
      </c>
      <c r="AI74" s="3"/>
      <c r="AJ74" s="175">
        <f>IFERROR(ROUND((AH74/AD74)*100,1),0)</f>
        <v>-2.2000000000000002</v>
      </c>
      <c r="AK74" s="4"/>
      <c r="AL74" s="3"/>
      <c r="AM74" s="3"/>
      <c r="AN74" s="3">
        <f>AD74+AL74</f>
        <v>860063</v>
      </c>
      <c r="AO74" s="3"/>
      <c r="AP74" s="175">
        <f>IFERROR(ROUND((AH74/AN74)*100,1),0)</f>
        <v>-2.2000000000000002</v>
      </c>
    </row>
    <row r="75" spans="20:42" x14ac:dyDescent="0.3">
      <c r="T75" s="41">
        <f t="shared" si="1"/>
        <v>11</v>
      </c>
      <c r="V75" s="192" t="str">
        <f>C34</f>
        <v>FUEL ADJUSTMENT CLAUSE (FAC)</v>
      </c>
      <c r="X75" s="1"/>
      <c r="Y75" s="1"/>
      <c r="Z75" s="1"/>
      <c r="AA75" s="1"/>
      <c r="AB75" s="205">
        <f>CUR_FAC</f>
        <v>3.4872127999999998E-3</v>
      </c>
      <c r="AC75" s="183"/>
      <c r="AD75" s="3"/>
      <c r="AE75" s="3"/>
      <c r="AF75" s="175"/>
      <c r="AG75" s="4"/>
      <c r="AH75" s="3"/>
      <c r="AI75" s="3"/>
      <c r="AJ75" s="175"/>
      <c r="AK75" s="4"/>
      <c r="AL75" s="3">
        <f>ROUND(Z67*CUR_FAC,0)</f>
        <v>5327517</v>
      </c>
      <c r="AM75" s="3"/>
      <c r="AN75" s="3">
        <f>AD75+AL75</f>
        <v>5327517</v>
      </c>
      <c r="AO75" s="3"/>
      <c r="AP75" s="175">
        <f>IFERROR(ROUND((AH75/AN75)*100,1),0)</f>
        <v>0</v>
      </c>
    </row>
    <row r="76" spans="20:42" x14ac:dyDescent="0.3">
      <c r="T76" s="41">
        <f t="shared" si="1"/>
        <v>12</v>
      </c>
      <c r="V76" s="192" t="str">
        <f>C35</f>
        <v>PROFIT SHARING MECHANISM (PSM)</v>
      </c>
      <c r="X76" s="1"/>
      <c r="Y76" s="1"/>
      <c r="Z76" s="1"/>
      <c r="AA76" s="1"/>
      <c r="AB76" s="205">
        <f>RS_PSM</f>
        <v>2.4750000000000002E-3</v>
      </c>
      <c r="AC76" s="183"/>
      <c r="AD76" s="49">
        <f>ROUND(Z67*AB76,0)</f>
        <v>3781130</v>
      </c>
      <c r="AE76" s="3"/>
      <c r="AF76" s="177">
        <f>ROUND((AD76/$AD$79)*100,1)</f>
        <v>1.9</v>
      </c>
      <c r="AG76" s="4"/>
      <c r="AH76" s="49">
        <f>L35-AD76</f>
        <v>0</v>
      </c>
      <c r="AI76" s="3"/>
      <c r="AJ76" s="175">
        <f>IFERROR(ROUND((AH76/AD76)*100,1),0)</f>
        <v>0</v>
      </c>
      <c r="AK76" s="4"/>
      <c r="AL76" s="49"/>
      <c r="AM76" s="3"/>
      <c r="AN76" s="49">
        <f>AD76+AL76</f>
        <v>3781130</v>
      </c>
      <c r="AO76" s="3"/>
      <c r="AP76" s="177">
        <f>IFERROR(ROUND((AH76/AN76)*100,1),0)</f>
        <v>0</v>
      </c>
    </row>
    <row r="77" spans="20:42" ht="18" customHeight="1" x14ac:dyDescent="0.3">
      <c r="T77" s="41">
        <f t="shared" si="1"/>
        <v>13</v>
      </c>
      <c r="V77" s="132" t="s">
        <v>437</v>
      </c>
      <c r="X77" s="8"/>
      <c r="Y77" s="1"/>
      <c r="Z77" s="8"/>
      <c r="AA77" s="1"/>
      <c r="AB77" s="183"/>
      <c r="AC77" s="183"/>
      <c r="AD77" s="145">
        <f>SUM(AD72:AD76)</f>
        <v>7213680</v>
      </c>
      <c r="AE77" s="3"/>
      <c r="AF77" s="180">
        <f>ROUND((AD77/$AD$79)*100,1)</f>
        <v>3.6</v>
      </c>
      <c r="AG77" s="4"/>
      <c r="AH77" s="145">
        <f>SUM(AH72:AH76)</f>
        <v>-18977</v>
      </c>
      <c r="AI77" s="3"/>
      <c r="AJ77" s="180">
        <v>0</v>
      </c>
      <c r="AK77" s="4"/>
      <c r="AL77" s="145">
        <f>SUM(AL72:AL76)</f>
        <v>5327517</v>
      </c>
      <c r="AM77" s="3"/>
      <c r="AN77" s="145">
        <f>SUM(AN72:AN76)</f>
        <v>12541197</v>
      </c>
      <c r="AO77" s="3"/>
      <c r="AP77" s="177">
        <f>ROUND((AH77/AN77)*100,1)</f>
        <v>-0.2</v>
      </c>
    </row>
    <row r="78" spans="20:42" x14ac:dyDescent="0.3">
      <c r="V78" s="42"/>
      <c r="X78" s="1"/>
      <c r="Y78" s="1"/>
      <c r="Z78" s="1"/>
      <c r="AA78" s="1"/>
      <c r="AB78" s="183"/>
      <c r="AC78" s="183"/>
      <c r="AD78" s="3"/>
      <c r="AE78" s="3"/>
      <c r="AF78" s="175"/>
      <c r="AG78" s="4"/>
      <c r="AH78" s="3"/>
      <c r="AI78" s="3"/>
      <c r="AJ78" s="175"/>
      <c r="AK78" s="4"/>
      <c r="AL78" s="3"/>
      <c r="AM78" s="3"/>
      <c r="AN78" s="3"/>
      <c r="AO78" s="3"/>
      <c r="AP78" s="175"/>
    </row>
    <row r="79" spans="20:42" ht="24.9" customHeight="1" thickBot="1" x14ac:dyDescent="0.35">
      <c r="T79" s="41">
        <f>A38</f>
        <v>14</v>
      </c>
      <c r="V79" s="178" t="s">
        <v>438</v>
      </c>
      <c r="X79" s="151">
        <f>X64</f>
        <v>1689991</v>
      </c>
      <c r="Y79" s="1"/>
      <c r="Z79" s="151">
        <f>Z67</f>
        <v>1527729253</v>
      </c>
      <c r="AA79" s="3"/>
      <c r="AB79" s="183"/>
      <c r="AC79" s="183"/>
      <c r="AD79" s="151">
        <f>AD69+AD77</f>
        <v>199737729</v>
      </c>
      <c r="AE79" s="3"/>
      <c r="AF79" s="187">
        <v>100</v>
      </c>
      <c r="AG79" s="4"/>
      <c r="AH79" s="151">
        <f>AH69+AH77</f>
        <v>19392151</v>
      </c>
      <c r="AI79" s="3"/>
      <c r="AJ79" s="187">
        <f>ROUND((AH79/AD79)*100,1)</f>
        <v>9.6999999999999993</v>
      </c>
      <c r="AK79" s="4"/>
      <c r="AL79" s="151">
        <f>AL69+AL77</f>
        <v>5327517</v>
      </c>
      <c r="AM79" s="3"/>
      <c r="AN79" s="151">
        <f>AN69+AN77</f>
        <v>205065246</v>
      </c>
      <c r="AO79" s="3"/>
      <c r="AP79" s="187">
        <f>ROUND((AH79/AN79)*100,1)</f>
        <v>9.5</v>
      </c>
    </row>
    <row r="80" spans="20:42" ht="24.9" customHeight="1" thickTop="1" x14ac:dyDescent="0.3">
      <c r="V80" s="45"/>
      <c r="X80" s="3"/>
      <c r="Y80" s="1"/>
      <c r="Z80" s="3"/>
      <c r="AA80" s="3"/>
      <c r="AB80" s="183"/>
      <c r="AC80" s="183"/>
      <c r="AD80" s="3"/>
      <c r="AE80" s="3"/>
      <c r="AF80" s="175"/>
      <c r="AG80" s="4"/>
      <c r="AH80" s="3"/>
      <c r="AI80" s="3"/>
      <c r="AJ80" s="175"/>
      <c r="AK80" s="4"/>
      <c r="AL80" s="3"/>
      <c r="AM80" s="3"/>
      <c r="AN80" s="3"/>
      <c r="AO80" s="3"/>
      <c r="AP80" s="175"/>
    </row>
    <row r="81" spans="22:41" x14ac:dyDescent="0.3">
      <c r="V81" s="202" t="s">
        <v>59</v>
      </c>
      <c r="AD81" s="123"/>
      <c r="AE81" s="123"/>
      <c r="AG81" s="123"/>
      <c r="AL81" s="123"/>
      <c r="AM81" s="123"/>
      <c r="AN81" s="123"/>
      <c r="AO81" s="123"/>
    </row>
    <row r="82" spans="22:41" x14ac:dyDescent="0.3">
      <c r="V82" s="202" t="str">
        <f>"(2) REFLECTS FUEL COMPONENT OF "&amp;TEXT(CUR_FAC,"$0.000000;($0.000000)")&amp;"  PER KWH."</f>
        <v>(2) REFLECTS FUEL COMPONENT OF $0.003487  PER KWH.</v>
      </c>
    </row>
    <row r="83" spans="22:41" x14ac:dyDescent="0.3">
      <c r="V83" s="202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96" spans="1:101" x14ac:dyDescent="0.3">
      <c r="A196" s="42"/>
    </row>
    <row r="197" spans="1:101" x14ac:dyDescent="0.3">
      <c r="A197" s="42"/>
    </row>
    <row r="198" spans="1:101" x14ac:dyDescent="0.3">
      <c r="A198" s="42"/>
    </row>
    <row r="199" spans="1:101" x14ac:dyDescent="0.3">
      <c r="A199" s="42"/>
    </row>
    <row r="200" spans="1:101" x14ac:dyDescent="0.3">
      <c r="A200" s="42"/>
    </row>
    <row r="201" spans="1:101" x14ac:dyDescent="0.3">
      <c r="A201" s="42"/>
    </row>
    <row r="202" spans="1:101" x14ac:dyDescent="0.3">
      <c r="A202" s="42"/>
    </row>
    <row r="203" spans="1:101" x14ac:dyDescent="0.3">
      <c r="A203" s="42"/>
    </row>
    <row r="204" spans="1:101" x14ac:dyDescent="0.3">
      <c r="A204" s="42"/>
      <c r="CV204" s="42"/>
      <c r="CW204" s="42"/>
    </row>
    <row r="205" spans="1:101" x14ac:dyDescent="0.3">
      <c r="A205" s="42"/>
      <c r="CV205" s="42"/>
      <c r="CW205" s="42"/>
    </row>
    <row r="206" spans="1:101" x14ac:dyDescent="0.3">
      <c r="A206" s="42"/>
      <c r="CV206" s="42"/>
      <c r="CW206" s="42"/>
    </row>
    <row r="207" spans="1:101" x14ac:dyDescent="0.3">
      <c r="CV207" s="42"/>
      <c r="CW207" s="42"/>
    </row>
    <row r="208" spans="1:101" x14ac:dyDescent="0.3">
      <c r="CV208" s="42"/>
      <c r="CW208" s="42"/>
    </row>
    <row r="209" spans="1:101" x14ac:dyDescent="0.3">
      <c r="CV209" s="42"/>
      <c r="CW209" s="42"/>
    </row>
    <row r="210" spans="1:101" x14ac:dyDescent="0.3">
      <c r="CV210" s="42"/>
      <c r="CW210" s="42"/>
    </row>
    <row r="211" spans="1:101" x14ac:dyDescent="0.3">
      <c r="A211" s="42"/>
      <c r="CV211" s="42"/>
      <c r="CW211" s="42"/>
    </row>
    <row r="212" spans="1:101" x14ac:dyDescent="0.3">
      <c r="A212" s="42"/>
      <c r="CV212" s="42"/>
      <c r="CW212" s="42"/>
    </row>
    <row r="213" spans="1:101" x14ac:dyDescent="0.3">
      <c r="CV213" s="42"/>
      <c r="CW213" s="42"/>
    </row>
    <row r="214" spans="1:101" x14ac:dyDescent="0.3">
      <c r="CV214" s="42"/>
      <c r="CW214" s="42"/>
    </row>
    <row r="215" spans="1:101" x14ac:dyDescent="0.3">
      <c r="A215" s="42"/>
      <c r="CV215" s="42"/>
      <c r="CW215" s="42"/>
    </row>
    <row r="216" spans="1:101" x14ac:dyDescent="0.3">
      <c r="CV216" s="42"/>
      <c r="CW216" s="42"/>
    </row>
    <row r="217" spans="1:101" x14ac:dyDescent="0.3">
      <c r="A217" s="42"/>
      <c r="CV217" s="42"/>
      <c r="CW217" s="42"/>
    </row>
    <row r="218" spans="1:101" x14ac:dyDescent="0.3">
      <c r="CV218" s="42"/>
      <c r="CW218" s="42"/>
    </row>
    <row r="219" spans="1:101" x14ac:dyDescent="0.3">
      <c r="A219" s="42"/>
      <c r="CV219" s="42"/>
      <c r="CW219" s="42"/>
    </row>
    <row r="220" spans="1:101" x14ac:dyDescent="0.3">
      <c r="CV220" s="42"/>
      <c r="CW220" s="42"/>
    </row>
    <row r="221" spans="1:101" x14ac:dyDescent="0.3">
      <c r="A221" s="42"/>
      <c r="CV221" s="42"/>
      <c r="CW221" s="42"/>
    </row>
    <row r="222" spans="1:101" x14ac:dyDescent="0.3">
      <c r="CV222" s="42"/>
      <c r="CW222" s="42"/>
    </row>
    <row r="223" spans="1:101" x14ac:dyDescent="0.3">
      <c r="CV223" s="42"/>
      <c r="CW223" s="42"/>
    </row>
    <row r="224" spans="1:101" x14ac:dyDescent="0.3">
      <c r="A224" s="42"/>
      <c r="CV224" s="42"/>
      <c r="CW224" s="42"/>
    </row>
    <row r="225" spans="1:101" x14ac:dyDescent="0.3">
      <c r="A225" s="42"/>
      <c r="CV225" s="42"/>
      <c r="CW225" s="42"/>
    </row>
    <row r="226" spans="1:101" x14ac:dyDescent="0.3">
      <c r="A226" s="42"/>
      <c r="CV226" s="42"/>
      <c r="CW226" s="42"/>
    </row>
    <row r="227" spans="1:101" x14ac:dyDescent="0.3">
      <c r="A227" s="42"/>
      <c r="CV227" s="42"/>
      <c r="CW227" s="42"/>
    </row>
    <row r="228" spans="1:101" x14ac:dyDescent="0.3">
      <c r="A228" s="42"/>
      <c r="CV228" s="42"/>
      <c r="CW228" s="42"/>
    </row>
    <row r="229" spans="1:101" x14ac:dyDescent="0.3">
      <c r="A229" s="42"/>
      <c r="CV229" s="42"/>
      <c r="CW229" s="42"/>
    </row>
    <row r="230" spans="1:101" x14ac:dyDescent="0.3">
      <c r="A230" s="42"/>
      <c r="CV230" s="42"/>
      <c r="CW230" s="42"/>
    </row>
    <row r="231" spans="1:101" x14ac:dyDescent="0.3">
      <c r="A231" s="42"/>
      <c r="CV231" s="42"/>
      <c r="CW231" s="42"/>
    </row>
    <row r="232" spans="1:101" x14ac:dyDescent="0.3">
      <c r="CV232" s="42"/>
      <c r="CW232" s="42"/>
    </row>
    <row r="233" spans="1:101" x14ac:dyDescent="0.3">
      <c r="CV233" s="42"/>
      <c r="CW233" s="42"/>
    </row>
    <row r="234" spans="1:101" x14ac:dyDescent="0.3">
      <c r="CV234" s="42"/>
      <c r="CW234" s="42"/>
    </row>
    <row r="235" spans="1:101" x14ac:dyDescent="0.3">
      <c r="CV235" s="42"/>
      <c r="CW235" s="42"/>
    </row>
    <row r="236" spans="1:101" x14ac:dyDescent="0.3">
      <c r="CV236" s="42"/>
      <c r="CW236" s="42"/>
    </row>
    <row r="237" spans="1:101" x14ac:dyDescent="0.3">
      <c r="CV237" s="42"/>
      <c r="CW237" s="42"/>
    </row>
    <row r="238" spans="1:101" x14ac:dyDescent="0.3">
      <c r="CV238" s="42"/>
      <c r="CW238" s="42"/>
    </row>
    <row r="239" spans="1:101" x14ac:dyDescent="0.3">
      <c r="CV239" s="42"/>
      <c r="CW239" s="42"/>
    </row>
    <row r="240" spans="1:101" x14ac:dyDescent="0.3">
      <c r="CV240" s="42"/>
      <c r="CW240" s="42"/>
    </row>
    <row r="241" spans="100:101" x14ac:dyDescent="0.3">
      <c r="CV241" s="42"/>
      <c r="CW241" s="42"/>
    </row>
    <row r="242" spans="100:101" x14ac:dyDescent="0.3">
      <c r="CV242" s="42"/>
      <c r="CW242" s="42"/>
    </row>
    <row r="243" spans="100:101" x14ac:dyDescent="0.3">
      <c r="CV243" s="42"/>
      <c r="CW243" s="42"/>
    </row>
    <row r="244" spans="100:101" x14ac:dyDescent="0.3">
      <c r="CV244" s="42"/>
      <c r="CW244" s="42"/>
    </row>
    <row r="245" spans="100:101" x14ac:dyDescent="0.3">
      <c r="CV245" s="42"/>
      <c r="CW245" s="42"/>
    </row>
    <row r="246" spans="100:101" x14ac:dyDescent="0.3">
      <c r="CV246" s="42"/>
      <c r="CW246" s="42"/>
    </row>
    <row r="247" spans="100:101" x14ac:dyDescent="0.3">
      <c r="CV247" s="42"/>
      <c r="CW247" s="42"/>
    </row>
    <row r="248" spans="100:101" x14ac:dyDescent="0.3">
      <c r="CV248" s="42"/>
      <c r="CW248" s="42"/>
    </row>
    <row r="249" spans="100:101" x14ac:dyDescent="0.3">
      <c r="CV249" s="42"/>
      <c r="CW249" s="42"/>
    </row>
    <row r="250" spans="100:101" x14ac:dyDescent="0.3">
      <c r="CV250" s="42"/>
      <c r="CW250" s="42"/>
    </row>
    <row r="251" spans="100:101" x14ac:dyDescent="0.3">
      <c r="CV251" s="42"/>
      <c r="CW251" s="42"/>
    </row>
    <row r="252" spans="100:101" x14ac:dyDescent="0.3">
      <c r="CV252" s="42"/>
      <c r="CW252" s="42"/>
    </row>
    <row r="253" spans="100:101" x14ac:dyDescent="0.3">
      <c r="CV253" s="42"/>
      <c r="CW253" s="42"/>
    </row>
    <row r="254" spans="100:101" x14ac:dyDescent="0.3">
      <c r="CV254" s="42"/>
      <c r="CW254" s="42"/>
    </row>
    <row r="255" spans="100:101" x14ac:dyDescent="0.3">
      <c r="CV255" s="42"/>
      <c r="CW255" s="42"/>
    </row>
    <row r="256" spans="100:101" x14ac:dyDescent="0.3">
      <c r="CV256" s="42"/>
      <c r="CW256" s="42"/>
    </row>
    <row r="257" spans="100:101" x14ac:dyDescent="0.3">
      <c r="CV257" s="42"/>
      <c r="CW257" s="42"/>
    </row>
    <row r="258" spans="100:101" x14ac:dyDescent="0.3">
      <c r="CV258" s="42"/>
      <c r="CW258" s="42"/>
    </row>
    <row r="259" spans="100:101" x14ac:dyDescent="0.3">
      <c r="CV259" s="42"/>
      <c r="CW259" s="42"/>
    </row>
    <row r="260" spans="100:101" x14ac:dyDescent="0.3">
      <c r="CV260" s="42"/>
      <c r="CW260" s="42"/>
    </row>
    <row r="261" spans="100:101" x14ac:dyDescent="0.3">
      <c r="CV261" s="42"/>
      <c r="CW261" s="42"/>
    </row>
    <row r="262" spans="100:101" x14ac:dyDescent="0.3">
      <c r="CV262" s="42"/>
      <c r="CW262" s="42"/>
    </row>
    <row r="263" spans="100:101" x14ac:dyDescent="0.3">
      <c r="CV263" s="42"/>
      <c r="CW263" s="42"/>
    </row>
    <row r="264" spans="100:101" x14ac:dyDescent="0.3">
      <c r="CV264" s="42"/>
      <c r="CW264" s="42"/>
    </row>
    <row r="265" spans="100:101" x14ac:dyDescent="0.3">
      <c r="CV265" s="42"/>
      <c r="CW265" s="42"/>
    </row>
    <row r="266" spans="100:101" x14ac:dyDescent="0.3">
      <c r="CV266" s="42"/>
      <c r="CW266" s="42"/>
    </row>
    <row r="267" spans="100:101" x14ac:dyDescent="0.3">
      <c r="CV267" s="42"/>
      <c r="CW267" s="42"/>
    </row>
    <row r="268" spans="100:101" x14ac:dyDescent="0.3">
      <c r="CV268" s="42"/>
      <c r="CW268" s="42"/>
    </row>
    <row r="269" spans="100:101" x14ac:dyDescent="0.3">
      <c r="CV269" s="42"/>
      <c r="CW269" s="42"/>
    </row>
    <row r="270" spans="100:101" x14ac:dyDescent="0.3">
      <c r="CV270" s="42"/>
      <c r="CW270" s="42"/>
    </row>
    <row r="271" spans="100:101" x14ac:dyDescent="0.3">
      <c r="CV271" s="42"/>
      <c r="CW271" s="42"/>
    </row>
    <row r="272" spans="100:101" x14ac:dyDescent="0.3">
      <c r="CV272" s="42"/>
      <c r="CW272" s="42"/>
    </row>
    <row r="273" spans="100:101" x14ac:dyDescent="0.3">
      <c r="CV273" s="42"/>
      <c r="CW273" s="42"/>
    </row>
    <row r="274" spans="100:101" x14ac:dyDescent="0.3">
      <c r="CV274" s="42"/>
      <c r="CW274" s="42"/>
    </row>
    <row r="275" spans="100:101" x14ac:dyDescent="0.3">
      <c r="CV275" s="42"/>
      <c r="CW275" s="42"/>
    </row>
    <row r="276" spans="100:101" x14ac:dyDescent="0.3">
      <c r="CV276" s="42"/>
      <c r="CW276" s="42"/>
    </row>
    <row r="277" spans="100:101" x14ac:dyDescent="0.3">
      <c r="CV277" s="42"/>
      <c r="CW277" s="42"/>
    </row>
    <row r="278" spans="100:101" x14ac:dyDescent="0.3">
      <c r="CV278" s="42"/>
      <c r="CW278" s="42"/>
    </row>
    <row r="279" spans="100:101" x14ac:dyDescent="0.3">
      <c r="CV279" s="42"/>
      <c r="CW279" s="42"/>
    </row>
    <row r="280" spans="100:101" x14ac:dyDescent="0.3">
      <c r="CV280" s="42"/>
      <c r="CW280" s="42"/>
    </row>
    <row r="281" spans="100:101" x14ac:dyDescent="0.3">
      <c r="CV281" s="42"/>
      <c r="CW281" s="42"/>
    </row>
    <row r="282" spans="100:101" x14ac:dyDescent="0.3">
      <c r="CV282" s="42"/>
      <c r="CW282" s="42"/>
    </row>
    <row r="283" spans="100:101" x14ac:dyDescent="0.3">
      <c r="CV283" s="42"/>
      <c r="CW283" s="42"/>
    </row>
    <row r="284" spans="100:101" x14ac:dyDescent="0.3">
      <c r="CV284" s="42"/>
      <c r="CW284" s="42"/>
    </row>
    <row r="285" spans="100:101" x14ac:dyDescent="0.3">
      <c r="CV285" s="42"/>
      <c r="CW285" s="42"/>
    </row>
    <row r="286" spans="100:101" x14ac:dyDescent="0.3">
      <c r="CV286" s="42"/>
      <c r="CW286" s="42"/>
    </row>
    <row r="287" spans="100:101" x14ac:dyDescent="0.3">
      <c r="CV287" s="42"/>
      <c r="CW287" s="42"/>
    </row>
    <row r="288" spans="100:101" x14ac:dyDescent="0.3">
      <c r="CV288" s="42"/>
      <c r="CW288" s="42"/>
    </row>
  </sheetData>
  <customSheetViews>
    <customSheetView guid="{195DF303-1BBD-4236-94B5-47432850B006}" scale="75" fitToPage="1" showRuler="0"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"/>
      <headerFooter alignWithMargins="0"/>
    </customSheetView>
    <customSheetView guid="{0C49E549-011E-46F4-A82E-2CC8951A9C1E}" scale="75" fitToPage="1" showRuler="0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2"/>
      <headerFooter alignWithMargins="0"/>
    </customSheetView>
    <customSheetView guid="{4BC93440-BA85-4935-A8C9-66DC6AE5DE5E}" scale="75" fitToPage="1" showRuler="0" topLeftCell="I32">
      <selection activeCell="P47" sqref="P47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3"/>
      <headerFooter alignWithMargins="0"/>
    </customSheetView>
    <customSheetView guid="{2431C9E5-7CC2-4B8D-99C3-962247B1DBF5}" scale="75" fitToPage="1" showRuler="0" topLeftCell="I32">
      <selection activeCell="P47" sqref="P47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4"/>
      <headerFooter alignWithMargins="0"/>
    </customSheetView>
    <customSheetView guid="{2EA35095-1ADC-4CC7-8C3C-B487D65FA247}" scale="75" fitToPage="1" showRuler="0" topLeftCell="A26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5"/>
      <headerFooter alignWithMargins="0"/>
    </customSheetView>
    <customSheetView guid="{8FC77C99-DBF7-40B8-99B8-01B75826CDCB}" scale="75" fitToPage="1" showRuler="0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6"/>
      <headerFooter alignWithMargins="0"/>
    </customSheetView>
    <customSheetView guid="{8FB94551-8874-4095-B8FB-5316E0D2FD2C}" scale="75" fitToPage="1" showRuler="0"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7"/>
      <headerFooter alignWithMargins="0"/>
    </customSheetView>
    <customSheetView guid="{6B3D5C27-2FDE-4561-9575-1E98BFB869D0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8"/>
      <headerFooter alignWithMargins="0"/>
    </customSheetView>
    <customSheetView guid="{0BC1F393-8A13-47D5-BC6C-0C99615B5AB9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9"/>
      <headerFooter alignWithMargins="0"/>
    </customSheetView>
    <customSheetView guid="{18BDED73-BFA0-442E-87EC-CED86EE4CF94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0"/>
      <headerFooter alignWithMargins="0"/>
    </customSheetView>
    <customSheetView guid="{35F19056-2E6F-4935-B863-78836FE990BF}" scale="75" fitToPage="1" showRuler="0" topLeftCell="A16">
      <selection activeCell="J22" sqref="J22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1"/>
      <headerFooter alignWithMargins="0"/>
    </customSheetView>
    <customSheetView guid="{F562D92E-120C-4AE9-9663-89E64D41DC53}" scale="75" fitToPage="1" printArea="1">
      <selection activeCell="L16" sqref="L16"/>
      <rowBreaks count="3" manualBreakCount="3">
        <brk id="30" max="17" man="1"/>
        <brk id="69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2"/>
      <headerFooter alignWithMargins="0"/>
    </customSheetView>
  </customSheetViews>
  <phoneticPr fontId="11" type="noConversion"/>
  <pageMargins left="0.5" right="0.5" top="1" bottom="1" header="0.5" footer="0.5"/>
  <pageSetup scale="61" orientation="landscape" horizontalDpi="300" verticalDpi="300" r:id="rId13"/>
  <headerFooter alignWithMargins="0"/>
  <rowBreaks count="2" manualBreakCount="2">
    <brk id="41" max="17" man="1"/>
    <brk id="133" max="65535" man="1"/>
  </rowBreaks>
  <colBreaks count="1" manualBreakCount="1">
    <brk id="1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syncVertical="1" syncRef="A1" transitionEvaluation="1" transitionEntry="1" codeName="Sheet7">
    <pageSetUpPr fitToPage="1"/>
  </sheetPr>
  <dimension ref="A1:BX1140"/>
  <sheetViews>
    <sheetView zoomScale="75" workbookViewId="0"/>
  </sheetViews>
  <sheetFormatPr defaultColWidth="9.75" defaultRowHeight="15.6" x14ac:dyDescent="0.3"/>
  <cols>
    <col min="1" max="1" width="4" style="41" customWidth="1"/>
    <col min="2" max="2" width="0.6640625" style="41" customWidth="1"/>
    <col min="3" max="3" width="6.75" style="41" customWidth="1"/>
    <col min="4" max="4" width="37.75" style="41" customWidth="1"/>
    <col min="5" max="5" width="0.4140625" style="41" customWidth="1"/>
    <col min="6" max="6" width="11.08203125" style="41" customWidth="1"/>
    <col min="7" max="7" width="0.6640625" style="41" customWidth="1"/>
    <col min="8" max="8" width="14.58203125" style="41" customWidth="1"/>
    <col min="9" max="9" width="0.6640625" style="41" customWidth="1"/>
    <col min="10" max="10" width="10.6640625" style="41" customWidth="1"/>
    <col min="11" max="11" width="0.6640625" style="41" customWidth="1"/>
    <col min="12" max="12" width="14.6640625" style="41" customWidth="1"/>
    <col min="13" max="13" width="0.33203125" style="41" customWidth="1"/>
    <col min="14" max="14" width="12.75" style="41" customWidth="1"/>
    <col min="15" max="15" width="0.58203125" style="41" customWidth="1"/>
    <col min="16" max="16" width="14.75" style="41" customWidth="1"/>
    <col min="17" max="17" width="0.58203125" style="41" customWidth="1"/>
    <col min="18" max="18" width="16" style="41" customWidth="1"/>
    <col min="19" max="19" width="8.75" style="41" customWidth="1"/>
    <col min="20" max="20" width="5.4140625" style="41" customWidth="1"/>
    <col min="21" max="21" width="0.58203125" style="41" customWidth="1"/>
    <col min="22" max="22" width="4.58203125" style="41" customWidth="1"/>
    <col min="23" max="23" width="39.9140625" style="41" customWidth="1"/>
    <col min="24" max="24" width="0.4140625" style="41" customWidth="1"/>
    <col min="25" max="25" width="9.6640625" style="41" customWidth="1"/>
    <col min="26" max="26" width="0.6640625" style="41" customWidth="1"/>
    <col min="27" max="27" width="14.33203125" style="41" customWidth="1"/>
    <col min="28" max="28" width="0.6640625" style="41" customWidth="1"/>
    <col min="29" max="29" width="11.4140625" style="41" customWidth="1"/>
    <col min="30" max="30" width="0.58203125" style="41" customWidth="1"/>
    <col min="31" max="31" width="12.9140625" style="41" customWidth="1"/>
    <col min="32" max="32" width="0.75" style="41" customWidth="1"/>
    <col min="33" max="33" width="13.6640625" style="165" customWidth="1"/>
    <col min="34" max="34" width="0.6640625" style="41" customWidth="1"/>
    <col min="35" max="35" width="14.33203125" style="41" customWidth="1"/>
    <col min="36" max="36" width="0.9140625" style="41" customWidth="1"/>
    <col min="37" max="37" width="14.58203125" style="165" customWidth="1"/>
    <col min="38" max="38" width="0.6640625" style="41" customWidth="1"/>
    <col min="39" max="39" width="12.08203125" style="41" customWidth="1"/>
    <col min="40" max="40" width="0.58203125" style="41" customWidth="1"/>
    <col min="41" max="41" width="13.25" style="41" customWidth="1"/>
    <col min="42" max="42" width="0.6640625" style="41" customWidth="1"/>
    <col min="43" max="43" width="11.25" style="165" customWidth="1"/>
    <col min="44" max="44" width="14.75" style="41" customWidth="1"/>
    <col min="45" max="45" width="4.75" style="41" customWidth="1"/>
    <col min="46" max="46" width="5.75" style="41" customWidth="1"/>
    <col min="47" max="47" width="10.75" style="41" customWidth="1"/>
    <col min="48" max="48" width="11.75" style="41" customWidth="1"/>
    <col min="49" max="49" width="12.75" style="41" customWidth="1"/>
    <col min="50" max="52" width="15.75" style="41" customWidth="1"/>
    <col min="53" max="53" width="12.75" style="41" customWidth="1"/>
    <col min="54" max="56" width="15.75" style="41" customWidth="1"/>
    <col min="57" max="57" width="12.75" style="41" customWidth="1"/>
    <col min="58" max="59" width="9.75" style="41"/>
    <col min="60" max="62" width="12.75" style="41" customWidth="1"/>
    <col min="63" max="63" width="14.75" style="41" customWidth="1"/>
    <col min="64" max="65" width="9.75" style="41"/>
    <col min="66" max="68" width="12.75" style="41" customWidth="1"/>
    <col min="69" max="69" width="14.75" style="41" customWidth="1"/>
    <col min="70" max="76" width="9.75" style="41"/>
    <col min="77" max="77" width="1.75" style="41" customWidth="1"/>
    <col min="78" max="79" width="9.75" style="41"/>
    <col min="80" max="80" width="10.75" style="41" customWidth="1"/>
    <col min="81" max="82" width="9.75" style="41"/>
    <col min="83" max="83" width="7.75" style="41" customWidth="1"/>
    <col min="84" max="16384" width="9.75" style="41"/>
  </cols>
  <sheetData>
    <row r="1" spans="1:40" x14ac:dyDescent="0.3">
      <c r="A1" s="40" t="str">
        <f>NAME</f>
        <v>DUKE ENERGY KENTUCKY, INC.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40" x14ac:dyDescent="0.3">
      <c r="A2" s="40" t="str">
        <f>CASE_NO</f>
        <v>CASE NO.   2024-00354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40" x14ac:dyDescent="0.3">
      <c r="A3" s="40" t="str">
        <f>TITLE</f>
        <v>ANNUALIZED TEST YEAR REVENUES AT REHEARING ORDER CALCULATED VS. MOST CURRENT RATES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Y3" s="42"/>
    </row>
    <row r="4" spans="1:40" x14ac:dyDescent="0.3">
      <c r="A4" s="40" t="str">
        <f>DATE</f>
        <v>FOR THE TWELVE MONTHS ENDED June 30, 2026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40" x14ac:dyDescent="0.3">
      <c r="A5" s="40" t="str">
        <f>SERVICE</f>
        <v>(ELECTRIC SERVICE)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AA5" s="42"/>
      <c r="AB5" s="42"/>
    </row>
    <row r="6" spans="1:40" x14ac:dyDescent="0.3">
      <c r="A6" s="41" t="str">
        <f>DATA_PERIOD</f>
        <v>DATA: ____ BASE PERIOD   __X__FORECASTED PERIOD</v>
      </c>
      <c r="R6" s="42" t="s">
        <v>157</v>
      </c>
      <c r="AK6" s="206"/>
      <c r="AL6" s="42"/>
    </row>
    <row r="7" spans="1:40" x14ac:dyDescent="0.3">
      <c r="A7" s="41" t="str">
        <f>TYPE</f>
        <v>TYPE OF FILING: _X_ ORIGINAL   ___UPDATED  ___ REVISED</v>
      </c>
      <c r="R7" s="45" t="str">
        <f>"PAGE 3 OF "&amp;TEXT(Page_Num_2.3,"00")</f>
        <v>PAGE 3 OF 24</v>
      </c>
      <c r="AK7" s="206"/>
      <c r="AL7" s="42"/>
    </row>
    <row r="8" spans="1:40" x14ac:dyDescent="0.3">
      <c r="A8" s="42" t="s">
        <v>171</v>
      </c>
      <c r="R8" s="42" t="s">
        <v>3</v>
      </c>
      <c r="AK8" s="206"/>
      <c r="AL8" s="42"/>
    </row>
    <row r="9" spans="1:40" x14ac:dyDescent="0.3">
      <c r="A9" s="132" t="str">
        <f>TIME</f>
        <v>12 Months Projected with Riders</v>
      </c>
      <c r="R9" s="41" t="str">
        <f>WIT</f>
        <v>B. L. Sailers</v>
      </c>
      <c r="AK9" s="206"/>
      <c r="AL9" s="42"/>
    </row>
    <row r="10" spans="1:40" x14ac:dyDescent="0.3">
      <c r="A10" s="132" t="str">
        <f>INPUT!B5</f>
        <v xml:space="preserve"> </v>
      </c>
      <c r="AK10" s="206"/>
      <c r="AL10" s="42"/>
    </row>
    <row r="11" spans="1:40" x14ac:dyDescent="0.3">
      <c r="A11" s="40" t="s">
        <v>130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AA11" s="42"/>
      <c r="AB11" s="42"/>
    </row>
    <row r="12" spans="1:40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207"/>
      <c r="AH12" s="135"/>
      <c r="AI12" s="135"/>
      <c r="AJ12" s="135"/>
      <c r="AK12" s="207"/>
      <c r="AL12" s="135"/>
      <c r="AM12" s="135"/>
      <c r="AN12" s="135"/>
    </row>
    <row r="13" spans="1:40" ht="18" customHeight="1" x14ac:dyDescent="0.3">
      <c r="L13" s="44" t="s">
        <v>6</v>
      </c>
      <c r="M13" s="44"/>
      <c r="N13" s="44" t="s">
        <v>7</v>
      </c>
      <c r="O13" s="44"/>
      <c r="R13" s="44" t="s">
        <v>6</v>
      </c>
      <c r="AA13" s="44"/>
      <c r="AB13" s="44"/>
      <c r="AC13" s="44"/>
      <c r="AD13" s="44"/>
      <c r="AE13" s="44"/>
      <c r="AF13" s="44"/>
      <c r="AG13" s="168"/>
      <c r="AH13" s="44"/>
      <c r="AK13" s="168"/>
      <c r="AL13" s="44"/>
      <c r="AM13" s="44"/>
      <c r="AN13" s="44"/>
    </row>
    <row r="14" spans="1:40" x14ac:dyDescent="0.3">
      <c r="L14" s="44" t="s">
        <v>12</v>
      </c>
      <c r="M14" s="44"/>
      <c r="N14" s="44" t="s">
        <v>13</v>
      </c>
      <c r="O14" s="44"/>
      <c r="R14" s="44" t="s">
        <v>11</v>
      </c>
      <c r="Z14" s="44"/>
      <c r="AA14" s="44"/>
      <c r="AB14" s="44"/>
      <c r="AC14" s="44"/>
      <c r="AD14" s="44"/>
      <c r="AE14" s="44"/>
      <c r="AF14" s="44"/>
      <c r="AG14" s="168"/>
      <c r="AH14" s="44"/>
      <c r="AK14" s="168"/>
      <c r="AL14" s="44"/>
      <c r="AM14" s="44"/>
      <c r="AN14" s="44"/>
    </row>
    <row r="15" spans="1:40" x14ac:dyDescent="0.3">
      <c r="A15" s="44" t="s">
        <v>17</v>
      </c>
      <c r="C15" s="44" t="s">
        <v>18</v>
      </c>
      <c r="D15" s="44" t="s">
        <v>19</v>
      </c>
      <c r="E15" s="44"/>
      <c r="F15" s="44" t="s">
        <v>20</v>
      </c>
      <c r="J15" s="44" t="s">
        <v>6</v>
      </c>
      <c r="K15" s="44"/>
      <c r="L15" s="44" t="s">
        <v>842</v>
      </c>
      <c r="M15" s="44"/>
      <c r="N15" s="44" t="s">
        <v>842</v>
      </c>
      <c r="O15" s="44"/>
      <c r="P15" s="44" t="s">
        <v>842</v>
      </c>
      <c r="Q15" s="44"/>
      <c r="R15" s="44" t="s">
        <v>9</v>
      </c>
      <c r="T15" s="44"/>
      <c r="U15" s="44"/>
      <c r="V15" s="44"/>
      <c r="Z15" s="44"/>
      <c r="AA15" s="44"/>
      <c r="AB15" s="44"/>
      <c r="AC15" s="44"/>
      <c r="AD15" s="44"/>
      <c r="AE15" s="44"/>
      <c r="AF15" s="44"/>
      <c r="AG15" s="168"/>
      <c r="AH15" s="44"/>
      <c r="AI15" s="44"/>
      <c r="AJ15" s="44"/>
      <c r="AK15" s="168"/>
      <c r="AL15" s="44"/>
      <c r="AM15" s="44"/>
      <c r="AN15" s="44"/>
    </row>
    <row r="16" spans="1:40" x14ac:dyDescent="0.3">
      <c r="A16" s="44" t="s">
        <v>22</v>
      </c>
      <c r="C16" s="44" t="s">
        <v>23</v>
      </c>
      <c r="D16" s="44" t="s">
        <v>24</v>
      </c>
      <c r="E16" s="44"/>
      <c r="F16" s="44" t="s">
        <v>25</v>
      </c>
      <c r="H16" s="44" t="s">
        <v>26</v>
      </c>
      <c r="I16" s="44"/>
      <c r="J16" s="44" t="s">
        <v>27</v>
      </c>
      <c r="K16" s="44"/>
      <c r="L16" s="44" t="s">
        <v>1040</v>
      </c>
      <c r="M16" s="44"/>
      <c r="N16" s="44" t="s">
        <v>9</v>
      </c>
      <c r="O16" s="44"/>
      <c r="P16" s="44" t="s">
        <v>324</v>
      </c>
      <c r="Q16" s="44"/>
      <c r="R16" s="141" t="s">
        <v>28</v>
      </c>
      <c r="T16" s="44"/>
      <c r="U16" s="44"/>
      <c r="V16" s="44"/>
      <c r="Y16" s="44"/>
      <c r="Z16" s="44"/>
      <c r="AA16" s="44"/>
      <c r="AB16" s="44"/>
      <c r="AC16" s="44"/>
      <c r="AD16" s="44"/>
      <c r="AE16" s="44"/>
      <c r="AF16" s="44"/>
      <c r="AG16" s="168"/>
      <c r="AH16" s="44"/>
      <c r="AI16" s="44"/>
      <c r="AJ16" s="44"/>
      <c r="AK16" s="168"/>
      <c r="AL16" s="44"/>
      <c r="AM16" s="44"/>
      <c r="AN16" s="44"/>
    </row>
    <row r="17" spans="1:40" x14ac:dyDescent="0.3">
      <c r="C17" s="141" t="s">
        <v>33</v>
      </c>
      <c r="D17" s="141" t="s">
        <v>34</v>
      </c>
      <c r="E17" s="141"/>
      <c r="F17" s="141" t="s">
        <v>35</v>
      </c>
      <c r="G17" s="153"/>
      <c r="H17" s="141" t="s">
        <v>36</v>
      </c>
      <c r="I17" s="141"/>
      <c r="J17" s="141" t="s">
        <v>37</v>
      </c>
      <c r="K17" s="141"/>
      <c r="L17" s="141" t="s">
        <v>38</v>
      </c>
      <c r="M17" s="141"/>
      <c r="N17" s="141" t="s">
        <v>39</v>
      </c>
      <c r="O17" s="141"/>
      <c r="P17" s="141" t="s">
        <v>40</v>
      </c>
      <c r="Q17" s="141"/>
      <c r="R17" s="141" t="s">
        <v>41</v>
      </c>
      <c r="T17" s="44"/>
      <c r="U17" s="44"/>
      <c r="V17" s="44"/>
      <c r="Y17" s="44"/>
      <c r="Z17" s="44"/>
      <c r="AA17" s="44"/>
      <c r="AB17" s="44"/>
      <c r="AC17" s="44"/>
      <c r="AD17" s="44"/>
      <c r="AE17" s="44"/>
      <c r="AF17" s="44"/>
      <c r="AG17" s="168"/>
      <c r="AH17" s="44"/>
      <c r="AI17" s="44"/>
      <c r="AJ17" s="44"/>
      <c r="AK17" s="168"/>
      <c r="AL17" s="44"/>
      <c r="AM17" s="44"/>
      <c r="AN17" s="44"/>
    </row>
    <row r="18" spans="1:40" x14ac:dyDescent="0.3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207"/>
      <c r="AH18" s="135"/>
      <c r="AI18" s="135"/>
      <c r="AJ18" s="135"/>
      <c r="AK18" s="207"/>
      <c r="AL18" s="135"/>
      <c r="AM18" s="135"/>
      <c r="AN18" s="135"/>
    </row>
    <row r="19" spans="1:40" ht="17.100000000000001" customHeight="1" x14ac:dyDescent="0.3">
      <c r="H19" s="172" t="s">
        <v>197</v>
      </c>
      <c r="I19" s="171"/>
      <c r="J19" s="172" t="s">
        <v>332</v>
      </c>
      <c r="K19" s="171"/>
      <c r="L19" s="171" t="s">
        <v>50</v>
      </c>
      <c r="M19" s="171"/>
      <c r="N19" s="171" t="s">
        <v>51</v>
      </c>
      <c r="O19" s="171"/>
      <c r="P19" s="171" t="s">
        <v>50</v>
      </c>
      <c r="Q19" s="171"/>
      <c r="R19" s="171" t="s">
        <v>50</v>
      </c>
      <c r="Y19" s="44"/>
      <c r="Z19" s="44"/>
      <c r="AA19" s="44"/>
      <c r="AB19" s="44"/>
      <c r="AC19" s="44"/>
      <c r="AD19" s="44"/>
      <c r="AE19" s="44"/>
      <c r="AF19" s="44"/>
      <c r="AG19" s="168"/>
      <c r="AH19" s="44"/>
      <c r="AI19" s="44"/>
      <c r="AJ19" s="44"/>
      <c r="AK19" s="168"/>
      <c r="AL19" s="44"/>
      <c r="AM19" s="44"/>
      <c r="AN19" s="44"/>
    </row>
    <row r="20" spans="1:40" x14ac:dyDescent="0.3">
      <c r="A20" s="41">
        <v>1</v>
      </c>
      <c r="C20" s="132" t="s">
        <v>91</v>
      </c>
      <c r="D20" s="132" t="s">
        <v>132</v>
      </c>
      <c r="E20" s="42"/>
      <c r="F20" s="1"/>
      <c r="G20" s="1"/>
      <c r="H20" s="208"/>
      <c r="I20" s="208"/>
      <c r="J20" s="172" t="s">
        <v>329</v>
      </c>
      <c r="K20" s="208"/>
      <c r="L20" s="208"/>
      <c r="M20" s="208"/>
      <c r="N20" s="208"/>
      <c r="O20" s="208"/>
      <c r="P20" s="208"/>
      <c r="Q20" s="208"/>
      <c r="R20" s="208"/>
      <c r="T20" s="42"/>
      <c r="U20" s="42"/>
    </row>
    <row r="21" spans="1:40" x14ac:dyDescent="0.3">
      <c r="A21" s="41">
        <v>2</v>
      </c>
      <c r="C21" s="153"/>
      <c r="D21" s="132" t="s">
        <v>133</v>
      </c>
      <c r="E21" s="4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2"/>
    </row>
    <row r="22" spans="1:40" x14ac:dyDescent="0.3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 x14ac:dyDescent="0.3">
      <c r="A23" s="41">
        <v>3</v>
      </c>
      <c r="C23" s="132" t="s">
        <v>134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23"/>
      <c r="T23" s="42"/>
      <c r="V23" s="123"/>
      <c r="Y23" s="123"/>
      <c r="Z23" s="193"/>
      <c r="AA23" s="123"/>
      <c r="AB23" s="123"/>
      <c r="AC23" s="160"/>
      <c r="AD23" s="160"/>
      <c r="AE23" s="123"/>
      <c r="AF23" s="123"/>
      <c r="AH23" s="160"/>
      <c r="AI23" s="123"/>
      <c r="AJ23" s="123"/>
      <c r="AL23" s="123"/>
      <c r="AM23" s="160"/>
      <c r="AN23" s="160"/>
    </row>
    <row r="24" spans="1:40" x14ac:dyDescent="0.3">
      <c r="A24" s="41">
        <v>4</v>
      </c>
      <c r="C24" s="45" t="s">
        <v>356</v>
      </c>
      <c r="F24" s="123">
        <v>1545</v>
      </c>
      <c r="G24" s="1"/>
      <c r="H24" s="1"/>
      <c r="I24" s="1"/>
      <c r="J24" s="209">
        <f>INPUT!D63</f>
        <v>5</v>
      </c>
      <c r="K24" s="1"/>
      <c r="L24" s="3">
        <f>ROUND(F24*J24,0)</f>
        <v>7725</v>
      </c>
      <c r="M24" s="3"/>
      <c r="N24" s="4">
        <f>ROUND((L24/L$50)*100,1)</f>
        <v>0</v>
      </c>
      <c r="O24" s="4"/>
      <c r="P24" s="3"/>
      <c r="Q24" s="1"/>
      <c r="R24" s="3">
        <f>L24+P24</f>
        <v>7725</v>
      </c>
      <c r="S24" s="123"/>
      <c r="T24" s="42"/>
      <c r="V24" s="123"/>
      <c r="Y24" s="123"/>
      <c r="Z24" s="193"/>
      <c r="AA24" s="123"/>
      <c r="AB24" s="123"/>
      <c r="AC24" s="160"/>
      <c r="AD24" s="160"/>
      <c r="AE24" s="123"/>
      <c r="AF24" s="123"/>
      <c r="AH24" s="160"/>
      <c r="AI24" s="123"/>
      <c r="AJ24" s="123"/>
      <c r="AL24" s="123"/>
      <c r="AM24" s="160"/>
      <c r="AN24" s="160"/>
    </row>
    <row r="25" spans="1:40" x14ac:dyDescent="0.3">
      <c r="A25" s="41">
        <v>5</v>
      </c>
      <c r="C25" s="42" t="s">
        <v>135</v>
      </c>
      <c r="F25" s="184">
        <v>79682</v>
      </c>
      <c r="G25" s="1"/>
      <c r="H25" s="159"/>
      <c r="I25" s="159"/>
      <c r="J25" s="193">
        <f>INPUT!D48</f>
        <v>15</v>
      </c>
      <c r="K25" s="194"/>
      <c r="L25" s="3">
        <f>ROUND(F25*J25,0)</f>
        <v>1195230</v>
      </c>
      <c r="M25" s="3"/>
      <c r="N25" s="4">
        <f>ROUND((L25/L$50)*100,1)</f>
        <v>0.8</v>
      </c>
      <c r="O25" s="4"/>
      <c r="P25" s="3"/>
      <c r="Q25" s="1"/>
      <c r="R25" s="3">
        <f>L25+P25</f>
        <v>1195230</v>
      </c>
      <c r="S25" s="123"/>
      <c r="V25" s="210"/>
      <c r="Y25" s="123"/>
      <c r="Z25" s="184"/>
      <c r="AA25" s="123"/>
      <c r="AB25" s="123"/>
      <c r="AC25" s="160"/>
      <c r="AD25" s="160"/>
      <c r="AE25" s="123"/>
      <c r="AF25" s="123"/>
      <c r="AI25" s="123"/>
      <c r="AJ25" s="123"/>
      <c r="AL25" s="123"/>
    </row>
    <row r="26" spans="1:40" x14ac:dyDescent="0.3">
      <c r="A26" s="41">
        <v>6</v>
      </c>
      <c r="C26" s="42" t="s">
        <v>136</v>
      </c>
      <c r="F26" s="184">
        <v>75323</v>
      </c>
      <c r="G26" s="1"/>
      <c r="H26" s="159"/>
      <c r="I26" s="159"/>
      <c r="J26" s="193">
        <f>INPUT!D49</f>
        <v>30</v>
      </c>
      <c r="K26" s="194"/>
      <c r="L26" s="3">
        <f>ROUND(F26*J26,0)</f>
        <v>2259690</v>
      </c>
      <c r="M26" s="3"/>
      <c r="N26" s="4">
        <f>ROUND((L26/L$50)*100,1)</f>
        <v>1.6</v>
      </c>
      <c r="O26" s="4"/>
      <c r="P26" s="3"/>
      <c r="Q26" s="1"/>
      <c r="R26" s="3">
        <f>L26+P26</f>
        <v>2259690</v>
      </c>
      <c r="S26" s="123"/>
      <c r="V26" s="123"/>
      <c r="Y26" s="123"/>
      <c r="Z26" s="184"/>
      <c r="AA26" s="123"/>
      <c r="AB26" s="123"/>
      <c r="AC26" s="160"/>
      <c r="AD26" s="160"/>
      <c r="AE26" s="123"/>
      <c r="AF26" s="123"/>
      <c r="AI26" s="123"/>
      <c r="AJ26" s="123"/>
      <c r="AL26" s="123"/>
    </row>
    <row r="27" spans="1:40" ht="20.100000000000001" customHeight="1" x14ac:dyDescent="0.3">
      <c r="A27" s="41">
        <v>7</v>
      </c>
      <c r="C27" s="132" t="s">
        <v>137</v>
      </c>
      <c r="F27" s="145">
        <f>SUM(F25:F26)</f>
        <v>155005</v>
      </c>
      <c r="G27" s="1"/>
      <c r="H27" s="3"/>
      <c r="I27" s="3"/>
      <c r="J27" s="183"/>
      <c r="K27" s="183"/>
      <c r="L27" s="145">
        <f>SUM(L24:L26)</f>
        <v>3462645</v>
      </c>
      <c r="M27" s="3"/>
      <c r="N27" s="211">
        <f>ROUND((L27/L$50)*100,1)</f>
        <v>2.4</v>
      </c>
      <c r="O27" s="4"/>
      <c r="P27" s="145"/>
      <c r="Q27" s="3"/>
      <c r="R27" s="145">
        <f>SUM(R24:R26)</f>
        <v>3462645</v>
      </c>
      <c r="S27" s="123"/>
      <c r="T27" s="42"/>
      <c r="V27" s="123"/>
      <c r="Y27" s="123"/>
      <c r="Z27" s="212"/>
      <c r="AA27" s="123"/>
      <c r="AB27" s="123"/>
      <c r="AC27" s="160"/>
      <c r="AD27" s="160"/>
      <c r="AE27" s="123"/>
      <c r="AF27" s="123"/>
      <c r="AH27" s="160"/>
      <c r="AI27" s="123"/>
      <c r="AJ27" s="123"/>
      <c r="AL27" s="123"/>
      <c r="AM27" s="160"/>
      <c r="AN27" s="160"/>
    </row>
    <row r="28" spans="1:40" x14ac:dyDescent="0.3">
      <c r="F28" s="3"/>
      <c r="G28" s="1"/>
      <c r="H28" s="3"/>
      <c r="I28" s="3"/>
      <c r="J28" s="183"/>
      <c r="K28" s="183"/>
      <c r="L28" s="3"/>
      <c r="M28" s="3"/>
      <c r="N28" s="4"/>
      <c r="O28" s="4"/>
      <c r="P28" s="3"/>
      <c r="Q28" s="3"/>
      <c r="R28" s="3"/>
      <c r="S28" s="123"/>
      <c r="T28" s="42"/>
      <c r="V28" s="123"/>
      <c r="Y28" s="123"/>
      <c r="Z28" s="213"/>
      <c r="AA28" s="123"/>
      <c r="AB28" s="123"/>
      <c r="AC28" s="160"/>
      <c r="AD28" s="160"/>
      <c r="AE28" s="123"/>
      <c r="AF28" s="123"/>
      <c r="AH28" s="160"/>
      <c r="AI28" s="123"/>
      <c r="AJ28" s="123"/>
      <c r="AL28" s="123"/>
      <c r="AM28" s="160"/>
      <c r="AN28" s="160"/>
    </row>
    <row r="29" spans="1:40" x14ac:dyDescent="0.3">
      <c r="A29" s="41">
        <v>8</v>
      </c>
      <c r="C29" s="132" t="s">
        <v>63</v>
      </c>
      <c r="F29" s="3"/>
      <c r="G29" s="1"/>
      <c r="H29" s="3"/>
      <c r="I29" s="3"/>
      <c r="J29" s="183"/>
      <c r="K29" s="183"/>
      <c r="L29" s="3"/>
      <c r="M29" s="3"/>
      <c r="N29" s="4"/>
      <c r="O29" s="4"/>
      <c r="P29" s="3"/>
      <c r="Q29" s="3"/>
      <c r="R29" s="3"/>
      <c r="S29" s="123"/>
      <c r="V29" s="210"/>
      <c r="Y29" s="210"/>
      <c r="Z29" s="213"/>
      <c r="AA29" s="210"/>
      <c r="AB29" s="210"/>
      <c r="AC29" s="210"/>
      <c r="AD29" s="210"/>
      <c r="AE29" s="210"/>
      <c r="AF29" s="210"/>
      <c r="AI29" s="210"/>
      <c r="AJ29" s="210"/>
      <c r="AK29" s="214"/>
      <c r="AL29" s="210"/>
      <c r="AM29" s="160"/>
      <c r="AN29" s="160"/>
    </row>
    <row r="30" spans="1:40" x14ac:dyDescent="0.3">
      <c r="A30" s="41">
        <v>9</v>
      </c>
      <c r="C30" s="42" t="s">
        <v>138</v>
      </c>
      <c r="F30" s="159"/>
      <c r="G30" s="1"/>
      <c r="H30" s="184">
        <v>1355176</v>
      </c>
      <c r="I30" s="159"/>
      <c r="J30" s="193">
        <f>INPUT!D55</f>
        <v>0</v>
      </c>
      <c r="K30" s="194"/>
      <c r="L30" s="3">
        <f>ROUND(H30*J30,0)</f>
        <v>0</v>
      </c>
      <c r="M30" s="3"/>
      <c r="N30" s="4">
        <f>ROUND((L30/L$50)*100,1)</f>
        <v>0</v>
      </c>
      <c r="O30" s="4"/>
      <c r="P30" s="3"/>
      <c r="Q30" s="3"/>
      <c r="R30" s="3">
        <f>L30+P30</f>
        <v>0</v>
      </c>
      <c r="S30" s="123"/>
      <c r="T30" s="42"/>
      <c r="V30" s="184"/>
      <c r="Y30" s="184"/>
      <c r="Z30" s="213"/>
      <c r="AA30" s="123"/>
      <c r="AB30" s="123"/>
      <c r="AC30" s="160"/>
      <c r="AD30" s="160"/>
      <c r="AE30" s="123"/>
      <c r="AF30" s="123"/>
      <c r="AI30" s="123"/>
      <c r="AJ30" s="123"/>
      <c r="AL30" s="123"/>
      <c r="AM30" s="160"/>
      <c r="AN30" s="160"/>
    </row>
    <row r="31" spans="1:40" x14ac:dyDescent="0.3">
      <c r="A31" s="41">
        <v>10</v>
      </c>
      <c r="C31" s="42" t="s">
        <v>139</v>
      </c>
      <c r="F31" s="159"/>
      <c r="G31" s="1"/>
      <c r="H31" s="184">
        <v>2641511</v>
      </c>
      <c r="I31" s="159"/>
      <c r="J31" s="193">
        <f>INPUT!D56</f>
        <v>12.97</v>
      </c>
      <c r="K31" s="194"/>
      <c r="L31" s="3">
        <f>ROUND((H31+W31)*J31,0)</f>
        <v>34260398</v>
      </c>
      <c r="M31" s="3"/>
      <c r="N31" s="4">
        <f>ROUND((L31/L$50)*100,1)</f>
        <v>23.6</v>
      </c>
      <c r="O31" s="4"/>
      <c r="P31" s="3"/>
      <c r="Q31" s="3"/>
      <c r="R31" s="3">
        <f>L31+P31</f>
        <v>34260398</v>
      </c>
      <c r="S31" s="123"/>
      <c r="V31" s="184"/>
      <c r="W31" s="215"/>
      <c r="Y31" s="184"/>
      <c r="Z31" s="213"/>
      <c r="AA31" s="123"/>
      <c r="AB31" s="123"/>
      <c r="AC31" s="160"/>
      <c r="AD31" s="160"/>
      <c r="AE31" s="123"/>
      <c r="AF31" s="123"/>
      <c r="AI31" s="123"/>
      <c r="AJ31" s="123"/>
      <c r="AL31" s="123"/>
      <c r="AM31" s="160"/>
      <c r="AN31" s="160"/>
    </row>
    <row r="32" spans="1:40" ht="20.100000000000001" customHeight="1" x14ac:dyDescent="0.3">
      <c r="A32" s="41">
        <v>11</v>
      </c>
      <c r="C32" s="132" t="s">
        <v>66</v>
      </c>
      <c r="F32" s="3"/>
      <c r="G32" s="1"/>
      <c r="H32" s="145">
        <f>SUM(H30:H31)</f>
        <v>3996687</v>
      </c>
      <c r="I32" s="3"/>
      <c r="J32" s="183"/>
      <c r="K32" s="183"/>
      <c r="L32" s="145">
        <f>SUM(L30:L31)</f>
        <v>34260398</v>
      </c>
      <c r="M32" s="3"/>
      <c r="N32" s="211">
        <f>ROUND((L32/L$50)*100,1)</f>
        <v>23.6</v>
      </c>
      <c r="O32" s="4"/>
      <c r="P32" s="145"/>
      <c r="Q32" s="3"/>
      <c r="R32" s="145">
        <f>SUM(R30:R31)</f>
        <v>34260398</v>
      </c>
      <c r="S32" s="123"/>
      <c r="V32" s="210"/>
      <c r="Y32" s="184"/>
      <c r="Z32" s="213"/>
      <c r="AA32" s="123"/>
      <c r="AB32" s="123"/>
      <c r="AC32" s="160"/>
      <c r="AD32" s="160"/>
      <c r="AE32" s="123"/>
      <c r="AF32" s="123"/>
      <c r="AH32" s="160"/>
      <c r="AI32" s="123"/>
      <c r="AJ32" s="123"/>
      <c r="AL32" s="123"/>
      <c r="AM32" s="160"/>
      <c r="AN32" s="160"/>
    </row>
    <row r="33" spans="1:40" x14ac:dyDescent="0.3">
      <c r="C33" s="42"/>
      <c r="F33" s="3"/>
      <c r="G33" s="1"/>
      <c r="H33" s="3"/>
      <c r="I33" s="3"/>
      <c r="J33" s="183"/>
      <c r="K33" s="183"/>
      <c r="L33" s="3"/>
      <c r="M33" s="3"/>
      <c r="N33" s="4"/>
      <c r="O33" s="4"/>
      <c r="P33" s="3"/>
      <c r="Q33" s="3"/>
      <c r="R33" s="3"/>
      <c r="S33" s="123"/>
      <c r="V33" s="210"/>
      <c r="Y33" s="184"/>
      <c r="Z33" s="213"/>
      <c r="AA33" s="123"/>
      <c r="AB33" s="123"/>
      <c r="AC33" s="160"/>
      <c r="AD33" s="160"/>
      <c r="AE33" s="123"/>
      <c r="AF33" s="123"/>
      <c r="AH33" s="160"/>
      <c r="AI33" s="123"/>
      <c r="AJ33" s="123"/>
      <c r="AL33" s="123"/>
      <c r="AM33" s="160"/>
      <c r="AN33" s="160"/>
    </row>
    <row r="34" spans="1:40" x14ac:dyDescent="0.3">
      <c r="A34" s="41">
        <v>12</v>
      </c>
      <c r="C34" s="178" t="s">
        <v>374</v>
      </c>
      <c r="F34" s="3"/>
      <c r="G34" s="1"/>
      <c r="H34" s="3"/>
      <c r="I34" s="3"/>
      <c r="J34" s="7"/>
      <c r="K34" s="7"/>
      <c r="L34" s="3"/>
      <c r="M34" s="3"/>
      <c r="N34" s="4"/>
      <c r="O34" s="4"/>
      <c r="P34" s="3"/>
      <c r="Q34" s="3"/>
      <c r="R34" s="3"/>
      <c r="S34" s="123"/>
      <c r="T34" s="42"/>
      <c r="V34" s="184"/>
      <c r="Y34" s="123"/>
      <c r="Z34" s="212"/>
      <c r="AA34" s="123"/>
      <c r="AB34" s="123"/>
      <c r="AC34" s="160"/>
      <c r="AD34" s="160"/>
      <c r="AE34" s="123"/>
      <c r="AF34" s="123"/>
      <c r="AH34" s="160"/>
      <c r="AI34" s="123"/>
      <c r="AJ34" s="123"/>
      <c r="AL34" s="123"/>
      <c r="AM34" s="160"/>
      <c r="AN34" s="160"/>
    </row>
    <row r="35" spans="1:40" x14ac:dyDescent="0.3">
      <c r="A35" s="41">
        <v>13</v>
      </c>
      <c r="C35" s="42" t="s">
        <v>140</v>
      </c>
      <c r="F35" s="159"/>
      <c r="G35" s="1"/>
      <c r="H35" s="184">
        <v>348050244</v>
      </c>
      <c r="I35" s="159"/>
      <c r="J35" s="205">
        <f>INPUT!D51</f>
        <v>0.123027</v>
      </c>
      <c r="K35" s="199"/>
      <c r="L35" s="3">
        <f>ROUND(H35*J35,0)-P35</f>
        <v>42819577</v>
      </c>
      <c r="M35" s="3"/>
      <c r="N35" s="4">
        <f t="shared" ref="N35:N41" si="0">ROUND((L35/L$50)*100,1)</f>
        <v>29.5</v>
      </c>
      <c r="O35" s="4"/>
      <c r="P35" s="159"/>
      <c r="Q35" s="159"/>
      <c r="R35" s="3">
        <f>L35+P35</f>
        <v>42819577</v>
      </c>
      <c r="S35" s="123"/>
      <c r="T35" s="42"/>
      <c r="V35" s="184"/>
      <c r="Y35" s="123"/>
      <c r="Z35" s="212"/>
      <c r="AA35" s="123"/>
      <c r="AB35" s="123"/>
      <c r="AC35" s="160"/>
      <c r="AD35" s="160"/>
      <c r="AE35" s="123"/>
      <c r="AF35" s="123"/>
      <c r="AH35" s="160"/>
      <c r="AI35" s="123"/>
      <c r="AJ35" s="123"/>
      <c r="AL35" s="123"/>
      <c r="AM35" s="160"/>
      <c r="AN35" s="160"/>
    </row>
    <row r="36" spans="1:40" x14ac:dyDescent="0.3">
      <c r="A36" s="41">
        <v>14</v>
      </c>
      <c r="C36" s="42" t="s">
        <v>141</v>
      </c>
      <c r="F36" s="159"/>
      <c r="G36" s="1"/>
      <c r="H36" s="184">
        <v>519725648</v>
      </c>
      <c r="I36" s="159"/>
      <c r="J36" s="205">
        <f>INPUT!D52</f>
        <v>8.2853999999999997E-2</v>
      </c>
      <c r="K36" s="199"/>
      <c r="L36" s="3">
        <f>ROUND(H36*J36,0)-P36</f>
        <v>43061349</v>
      </c>
      <c r="M36" s="3"/>
      <c r="N36" s="4">
        <f t="shared" si="0"/>
        <v>29.7</v>
      </c>
      <c r="O36" s="4"/>
      <c r="P36" s="159"/>
      <c r="Q36" s="159"/>
      <c r="R36" s="3">
        <f>L36+P36</f>
        <v>43061349</v>
      </c>
      <c r="S36" s="123"/>
      <c r="V36" s="210"/>
      <c r="Y36" s="210"/>
      <c r="Z36" s="213"/>
      <c r="AA36" s="210"/>
      <c r="AB36" s="210"/>
      <c r="AC36" s="210"/>
      <c r="AD36" s="210"/>
      <c r="AE36" s="210"/>
      <c r="AF36" s="210"/>
      <c r="AI36" s="210"/>
      <c r="AJ36" s="210"/>
      <c r="AK36" s="214"/>
      <c r="AL36" s="210"/>
      <c r="AM36" s="160"/>
      <c r="AN36" s="160"/>
    </row>
    <row r="37" spans="1:40" x14ac:dyDescent="0.3">
      <c r="A37" s="41">
        <v>15</v>
      </c>
      <c r="C37" s="42" t="s">
        <v>142</v>
      </c>
      <c r="F37" s="159"/>
      <c r="G37" s="1"/>
      <c r="H37" s="184">
        <v>228571887</v>
      </c>
      <c r="I37" s="159"/>
      <c r="J37" s="205">
        <f>INPUT!D53</f>
        <v>6.0887999999999998E-2</v>
      </c>
      <c r="K37" s="199"/>
      <c r="L37" s="3">
        <f>ROUND(H37*J37,0)-P37</f>
        <v>13917285</v>
      </c>
      <c r="M37" s="3"/>
      <c r="N37" s="4">
        <f t="shared" si="0"/>
        <v>9.6</v>
      </c>
      <c r="O37" s="4"/>
      <c r="P37" s="159"/>
      <c r="Q37" s="159"/>
      <c r="R37" s="3">
        <f>L37+P37</f>
        <v>13917285</v>
      </c>
      <c r="S37" s="123"/>
      <c r="T37" s="42"/>
      <c r="V37" s="123"/>
      <c r="Y37" s="123"/>
      <c r="Z37" s="213"/>
      <c r="AA37" s="123"/>
      <c r="AB37" s="123"/>
      <c r="AC37" s="160"/>
      <c r="AD37" s="160"/>
      <c r="AE37" s="123"/>
      <c r="AF37" s="123"/>
      <c r="AH37" s="160"/>
      <c r="AI37" s="123"/>
      <c r="AJ37" s="123"/>
      <c r="AL37" s="123"/>
      <c r="AM37" s="160"/>
      <c r="AN37" s="160"/>
    </row>
    <row r="38" spans="1:40" x14ac:dyDescent="0.3">
      <c r="A38" s="41">
        <v>16</v>
      </c>
      <c r="C38" s="42" t="s">
        <v>363</v>
      </c>
      <c r="F38" s="1"/>
      <c r="G38" s="1"/>
      <c r="H38" s="184">
        <v>928876</v>
      </c>
      <c r="I38" s="159"/>
      <c r="J38" s="205">
        <f>INPUT!D58</f>
        <v>0.331538</v>
      </c>
      <c r="K38" s="199"/>
      <c r="L38" s="3">
        <f>ROUND(H38*J38,0)-P38</f>
        <v>307958</v>
      </c>
      <c r="M38" s="3"/>
      <c r="N38" s="4">
        <f t="shared" si="0"/>
        <v>0.2</v>
      </c>
      <c r="O38" s="4"/>
      <c r="P38" s="159"/>
      <c r="Q38" s="159"/>
      <c r="R38" s="3">
        <f>L38+P38</f>
        <v>307958</v>
      </c>
      <c r="S38" s="123"/>
      <c r="V38" s="210"/>
      <c r="Y38" s="210"/>
      <c r="Z38" s="213"/>
      <c r="AA38" s="210"/>
      <c r="AB38" s="210"/>
      <c r="AC38" s="210"/>
      <c r="AD38" s="210"/>
      <c r="AE38" s="210"/>
      <c r="AF38" s="210"/>
      <c r="AI38" s="210"/>
      <c r="AJ38" s="210"/>
      <c r="AK38" s="214"/>
      <c r="AL38" s="210"/>
      <c r="AM38" s="160"/>
      <c r="AN38" s="160"/>
    </row>
    <row r="39" spans="1:40" x14ac:dyDescent="0.3">
      <c r="A39" s="41">
        <v>17</v>
      </c>
      <c r="C39" s="42" t="s">
        <v>364</v>
      </c>
      <c r="F39" s="1"/>
      <c r="G39" s="1"/>
      <c r="H39" s="184">
        <v>66268</v>
      </c>
      <c r="I39" s="159"/>
      <c r="J39" s="205">
        <f>INPUT!D59</f>
        <v>0.203537</v>
      </c>
      <c r="K39" s="199"/>
      <c r="L39" s="3">
        <f>ROUND(H39*J39,0)-P39</f>
        <v>13488</v>
      </c>
      <c r="M39" s="3"/>
      <c r="N39" s="4">
        <f t="shared" si="0"/>
        <v>0</v>
      </c>
      <c r="O39" s="4"/>
      <c r="P39" s="196"/>
      <c r="Q39" s="159"/>
      <c r="R39" s="3">
        <f>L39+P39</f>
        <v>13488</v>
      </c>
      <c r="S39" s="123"/>
      <c r="T39" s="42"/>
      <c r="Z39" s="213"/>
      <c r="AA39" s="123"/>
      <c r="AB39" s="123"/>
      <c r="AC39" s="160"/>
      <c r="AD39" s="160"/>
      <c r="AE39" s="123"/>
      <c r="AF39" s="123"/>
      <c r="AH39" s="160"/>
      <c r="AI39" s="123"/>
      <c r="AJ39" s="123"/>
      <c r="AL39" s="123"/>
      <c r="AM39" s="160"/>
      <c r="AN39" s="160"/>
    </row>
    <row r="40" spans="1:40" ht="21.75" customHeight="1" x14ac:dyDescent="0.3">
      <c r="A40" s="41">
        <v>18</v>
      </c>
      <c r="C40" s="132" t="s">
        <v>143</v>
      </c>
      <c r="F40" s="49"/>
      <c r="G40" s="1"/>
      <c r="H40" s="145">
        <f>SUM(H35:H39)</f>
        <v>1097342923</v>
      </c>
      <c r="I40" s="3"/>
      <c r="J40" s="216"/>
      <c r="K40" s="7"/>
      <c r="L40" s="145">
        <f>SUM(L35:L39)</f>
        <v>100119657</v>
      </c>
      <c r="M40" s="3"/>
      <c r="N40" s="211">
        <f t="shared" si="0"/>
        <v>69</v>
      </c>
      <c r="O40" s="4"/>
      <c r="P40" s="145"/>
      <c r="Q40" s="3"/>
      <c r="R40" s="145">
        <f>SUM(R35:R39)</f>
        <v>100119657</v>
      </c>
      <c r="S40" s="123"/>
      <c r="V40" s="210"/>
      <c r="Y40" s="210"/>
      <c r="Z40" s="213"/>
      <c r="AA40" s="210"/>
      <c r="AB40" s="210"/>
      <c r="AC40" s="210"/>
      <c r="AD40" s="210"/>
      <c r="AE40" s="210"/>
      <c r="AF40" s="210"/>
      <c r="AI40" s="210"/>
      <c r="AJ40" s="210"/>
      <c r="AK40" s="214"/>
      <c r="AL40" s="210"/>
    </row>
    <row r="41" spans="1:40" ht="21.75" customHeight="1" x14ac:dyDescent="0.3">
      <c r="A41" s="41">
        <v>19</v>
      </c>
      <c r="C41" s="132" t="s">
        <v>439</v>
      </c>
      <c r="F41" s="49">
        <f>F27</f>
        <v>155005</v>
      </c>
      <c r="G41" s="1"/>
      <c r="H41" s="145">
        <f>H40</f>
        <v>1097342923</v>
      </c>
      <c r="I41" s="3"/>
      <c r="J41" s="216"/>
      <c r="K41" s="7"/>
      <c r="L41" s="145">
        <f>L27+L32+L40</f>
        <v>137842700</v>
      </c>
      <c r="M41" s="3"/>
      <c r="N41" s="211">
        <f t="shared" si="0"/>
        <v>95</v>
      </c>
      <c r="O41" s="4"/>
      <c r="P41" s="145"/>
      <c r="Q41" s="3"/>
      <c r="R41" s="145">
        <f>R27+R32+R40</f>
        <v>137842700</v>
      </c>
      <c r="S41" s="123"/>
      <c r="V41" s="210"/>
      <c r="Y41" s="210"/>
      <c r="Z41" s="213"/>
      <c r="AA41" s="210"/>
      <c r="AB41" s="210"/>
      <c r="AC41" s="210"/>
      <c r="AD41" s="210"/>
      <c r="AE41" s="210"/>
      <c r="AF41" s="210"/>
      <c r="AI41" s="210"/>
      <c r="AJ41" s="210"/>
      <c r="AK41" s="214"/>
      <c r="AL41" s="210"/>
    </row>
    <row r="42" spans="1:40" ht="15.75" customHeight="1" x14ac:dyDescent="0.3">
      <c r="C42" s="132"/>
      <c r="F42" s="3"/>
      <c r="G42" s="1"/>
      <c r="H42" s="3"/>
      <c r="I42" s="3"/>
      <c r="J42" s="216"/>
      <c r="K42" s="7"/>
      <c r="L42" s="3"/>
      <c r="M42" s="3"/>
      <c r="N42" s="4"/>
      <c r="O42" s="4"/>
      <c r="P42" s="3"/>
      <c r="Q42" s="3"/>
      <c r="R42" s="3"/>
      <c r="S42" s="123"/>
      <c r="V42" s="210"/>
      <c r="Y42" s="210"/>
      <c r="Z42" s="213"/>
      <c r="AA42" s="210"/>
      <c r="AB42" s="210"/>
      <c r="AC42" s="210"/>
      <c r="AD42" s="210"/>
      <c r="AE42" s="210"/>
      <c r="AF42" s="210"/>
      <c r="AI42" s="210"/>
      <c r="AJ42" s="210"/>
      <c r="AK42" s="214"/>
      <c r="AL42" s="210"/>
    </row>
    <row r="43" spans="1:40" ht="15.75" customHeight="1" x14ac:dyDescent="0.3">
      <c r="A43" s="41">
        <v>20</v>
      </c>
      <c r="C43" s="132" t="s">
        <v>432</v>
      </c>
      <c r="F43" s="3"/>
      <c r="G43" s="1"/>
      <c r="H43" s="3"/>
      <c r="I43" s="3"/>
      <c r="J43" s="216"/>
      <c r="K43" s="7"/>
      <c r="L43" s="3"/>
      <c r="M43" s="3"/>
      <c r="N43" s="4"/>
      <c r="O43" s="4"/>
      <c r="P43" s="3"/>
      <c r="Q43" s="3"/>
      <c r="R43" s="3"/>
      <c r="S43" s="123"/>
      <c r="V43" s="210"/>
      <c r="Y43" s="210"/>
      <c r="Z43" s="213"/>
      <c r="AA43" s="210"/>
      <c r="AB43" s="210"/>
      <c r="AC43" s="210"/>
      <c r="AD43" s="210"/>
      <c r="AE43" s="210"/>
      <c r="AF43" s="210"/>
      <c r="AI43" s="210"/>
      <c r="AJ43" s="210"/>
      <c r="AK43" s="214"/>
      <c r="AL43" s="210"/>
    </row>
    <row r="44" spans="1:40" ht="15.75" customHeight="1" x14ac:dyDescent="0.3">
      <c r="A44" s="41">
        <v>21</v>
      </c>
      <c r="C44" s="192" t="str">
        <f>DSMR_Name</f>
        <v>DEMAND SIDE MANAGEMENT RIDER (DSMR)</v>
      </c>
      <c r="F44" s="3"/>
      <c r="G44" s="1"/>
      <c r="H44" s="3"/>
      <c r="I44" s="3"/>
      <c r="J44" s="217">
        <f>PRO_DSM_DIST</f>
        <v>3.503E-3</v>
      </c>
      <c r="K44" s="7"/>
      <c r="L44" s="3">
        <f>ROUND($H$41*J44,0)</f>
        <v>3843992</v>
      </c>
      <c r="M44" s="3"/>
      <c r="N44" s="175">
        <f>ROUND((L44/L$50)*100,1)</f>
        <v>2.7</v>
      </c>
      <c r="O44" s="4"/>
      <c r="P44" s="3"/>
      <c r="Q44" s="3"/>
      <c r="R44" s="3">
        <f>L44+P44</f>
        <v>3843992</v>
      </c>
      <c r="S44" s="123"/>
      <c r="V44" s="210"/>
      <c r="Y44" s="210"/>
      <c r="Z44" s="213"/>
      <c r="AA44" s="210"/>
      <c r="AB44" s="210"/>
      <c r="AC44" s="210"/>
      <c r="AD44" s="210"/>
      <c r="AE44" s="210"/>
      <c r="AF44" s="210"/>
      <c r="AI44" s="210"/>
      <c r="AJ44" s="210"/>
      <c r="AK44" s="214"/>
      <c r="AL44" s="210"/>
    </row>
    <row r="45" spans="1:40" ht="15.75" customHeight="1" x14ac:dyDescent="0.3">
      <c r="A45" s="41">
        <v>22</v>
      </c>
      <c r="C45" s="192" t="str">
        <f>ESM_Name</f>
        <v>ENVIRONMENTAL SURCHARGE MECHANISM RIDER (ESM)</v>
      </c>
      <c r="F45" s="3"/>
      <c r="G45" s="1"/>
      <c r="H45" s="3"/>
      <c r="I45" s="3"/>
      <c r="J45" s="201">
        <f>PRO_ESM_NONRES</f>
        <v>5.7995821086186533E-3</v>
      </c>
      <c r="K45" s="7"/>
      <c r="L45" s="3">
        <f>ROUND((R41-(PRO_BASE_FUEL*H41)+R44+R47)*J45,0)</f>
        <v>622495</v>
      </c>
      <c r="M45" s="3"/>
      <c r="N45" s="175">
        <f>ROUND((L45/L$50)*100,1)</f>
        <v>0.4</v>
      </c>
      <c r="O45" s="4"/>
      <c r="P45" s="3"/>
      <c r="Q45" s="3"/>
      <c r="R45" s="3">
        <f>L45+P45</f>
        <v>622495</v>
      </c>
      <c r="S45" s="123"/>
      <c r="V45" s="210"/>
      <c r="Y45" s="210"/>
      <c r="Z45" s="213"/>
      <c r="AA45" s="210"/>
      <c r="AB45" s="210"/>
      <c r="AC45" s="210"/>
      <c r="AD45" s="210"/>
      <c r="AE45" s="210"/>
      <c r="AF45" s="210"/>
      <c r="AI45" s="210"/>
      <c r="AJ45" s="210"/>
      <c r="AK45" s="214"/>
      <c r="AL45" s="210"/>
    </row>
    <row r="46" spans="1:40" ht="15.75" customHeight="1" x14ac:dyDescent="0.3">
      <c r="A46" s="41">
        <v>23</v>
      </c>
      <c r="C46" s="192" t="str">
        <f>FAC_Name</f>
        <v>FUEL ADJUSTMENT CLAUSE (FAC)</v>
      </c>
      <c r="F46" s="3"/>
      <c r="G46" s="1"/>
      <c r="H46" s="3"/>
      <c r="I46" s="3"/>
      <c r="J46" s="217">
        <f>PRO_FAC</f>
        <v>3.4872127999999998E-3</v>
      </c>
      <c r="K46" s="7"/>
      <c r="L46" s="3"/>
      <c r="M46" s="3"/>
      <c r="N46" s="175"/>
      <c r="O46" s="4"/>
      <c r="P46" s="3">
        <f>ROUND(H40*J46,0)</f>
        <v>3826668</v>
      </c>
      <c r="Q46" s="3"/>
      <c r="R46" s="3">
        <f>L46+P46</f>
        <v>3826668</v>
      </c>
      <c r="S46" s="123"/>
      <c r="V46" s="210"/>
      <c r="Y46" s="210"/>
      <c r="Z46" s="213"/>
      <c r="AA46" s="210"/>
      <c r="AB46" s="210"/>
      <c r="AC46" s="210"/>
      <c r="AD46" s="210"/>
      <c r="AE46" s="210"/>
      <c r="AF46" s="210"/>
      <c r="AI46" s="210"/>
      <c r="AJ46" s="210"/>
      <c r="AK46" s="214"/>
      <c r="AL46" s="210"/>
    </row>
    <row r="47" spans="1:40" ht="15.75" customHeight="1" x14ac:dyDescent="0.3">
      <c r="A47" s="41">
        <v>24</v>
      </c>
      <c r="C47" s="192" t="str">
        <f>PSM_Name</f>
        <v>PROFIT SHARING MECHANISM (PSM)</v>
      </c>
      <c r="F47" s="3"/>
      <c r="G47" s="1"/>
      <c r="H47" s="3"/>
      <c r="I47" s="3"/>
      <c r="J47" s="217">
        <f>PRO_PSM</f>
        <v>2.4750000000000002E-3</v>
      </c>
      <c r="K47" s="7"/>
      <c r="L47" s="49">
        <f>ROUND(H41*J47,0)</f>
        <v>2715924</v>
      </c>
      <c r="M47" s="3"/>
      <c r="N47" s="177">
        <f>ROUND((L47/L$50)*100,1)</f>
        <v>1.9</v>
      </c>
      <c r="O47" s="4"/>
      <c r="P47" s="49"/>
      <c r="Q47" s="3"/>
      <c r="R47" s="49">
        <f>L47+P47</f>
        <v>2715924</v>
      </c>
      <c r="S47" s="123"/>
      <c r="V47" s="210"/>
      <c r="Y47" s="210"/>
      <c r="Z47" s="213"/>
      <c r="AA47" s="210"/>
      <c r="AB47" s="210"/>
      <c r="AC47" s="210"/>
      <c r="AD47" s="210"/>
      <c r="AE47" s="210"/>
      <c r="AF47" s="210"/>
      <c r="AI47" s="210"/>
      <c r="AJ47" s="210"/>
      <c r="AK47" s="214"/>
      <c r="AL47" s="210"/>
    </row>
    <row r="48" spans="1:40" ht="18" customHeight="1" x14ac:dyDescent="0.3">
      <c r="A48" s="41">
        <v>25</v>
      </c>
      <c r="C48" s="132" t="s">
        <v>437</v>
      </c>
      <c r="F48" s="49"/>
      <c r="G48" s="1"/>
      <c r="H48" s="49"/>
      <c r="I48" s="3"/>
      <c r="J48" s="7"/>
      <c r="K48" s="7"/>
      <c r="L48" s="145">
        <f>SUM(L44:L47)</f>
        <v>7182411</v>
      </c>
      <c r="M48" s="3"/>
      <c r="N48" s="180">
        <f>ROUND((L48/L$50)*100,1)</f>
        <v>5</v>
      </c>
      <c r="O48" s="4"/>
      <c r="P48" s="145">
        <f>SUM(P44:P47)</f>
        <v>3826668</v>
      </c>
      <c r="Q48" s="3"/>
      <c r="R48" s="145">
        <f>SUM(R44:R47)</f>
        <v>11009079</v>
      </c>
      <c r="S48" s="123"/>
      <c r="V48" s="210"/>
      <c r="Y48" s="210"/>
      <c r="Z48" s="213"/>
      <c r="AA48" s="210"/>
      <c r="AB48" s="210"/>
      <c r="AC48" s="210"/>
      <c r="AD48" s="210"/>
      <c r="AE48" s="210"/>
      <c r="AF48" s="210"/>
      <c r="AI48" s="210"/>
      <c r="AJ48" s="210"/>
      <c r="AK48" s="214"/>
      <c r="AL48" s="210"/>
    </row>
    <row r="49" spans="1:43" x14ac:dyDescent="0.3">
      <c r="C49" s="42"/>
      <c r="F49" s="3"/>
      <c r="G49" s="1"/>
      <c r="H49" s="3"/>
      <c r="I49" s="3"/>
      <c r="J49" s="7"/>
      <c r="K49" s="7"/>
      <c r="L49" s="3"/>
      <c r="M49" s="3"/>
      <c r="N49" s="4"/>
      <c r="O49" s="4"/>
      <c r="P49" s="3"/>
      <c r="Q49" s="3"/>
      <c r="R49" s="3"/>
      <c r="S49" s="123"/>
      <c r="V49" s="210"/>
      <c r="Y49" s="210"/>
      <c r="Z49" s="213"/>
      <c r="AA49" s="210"/>
      <c r="AB49" s="210"/>
      <c r="AC49" s="210"/>
      <c r="AD49" s="210"/>
      <c r="AE49" s="210"/>
      <c r="AF49" s="210"/>
      <c r="AI49" s="210"/>
      <c r="AJ49" s="210"/>
      <c r="AK49" s="214"/>
      <c r="AL49" s="210"/>
    </row>
    <row r="50" spans="1:43" ht="20.100000000000001" customHeight="1" thickBot="1" x14ac:dyDescent="0.35">
      <c r="A50" s="41">
        <v>26</v>
      </c>
      <c r="C50" s="178" t="s">
        <v>440</v>
      </c>
      <c r="F50" s="151">
        <f>F41</f>
        <v>155005</v>
      </c>
      <c r="G50" s="1"/>
      <c r="H50" s="151">
        <f>H41</f>
        <v>1097342923</v>
      </c>
      <c r="I50" s="3"/>
      <c r="J50" s="7"/>
      <c r="K50" s="7"/>
      <c r="L50" s="151">
        <f>L41+L48</f>
        <v>145025111</v>
      </c>
      <c r="M50" s="3"/>
      <c r="N50" s="218">
        <v>100</v>
      </c>
      <c r="O50" s="4"/>
      <c r="P50" s="151">
        <f>P41+P48</f>
        <v>3826668</v>
      </c>
      <c r="Q50" s="3"/>
      <c r="R50" s="151">
        <f>R41+R48</f>
        <v>148851779</v>
      </c>
      <c r="S50" s="123"/>
      <c r="AA50" s="123"/>
      <c r="AB50" s="123"/>
      <c r="AC50" s="123"/>
      <c r="AD50" s="123"/>
      <c r="AI50" s="123"/>
      <c r="AJ50" s="123"/>
      <c r="AL50" s="123"/>
    </row>
    <row r="51" spans="1:43" ht="15.15" customHeight="1" thickTop="1" x14ac:dyDescent="0.3">
      <c r="F51" s="3"/>
      <c r="G51" s="1"/>
      <c r="H51" s="3"/>
      <c r="I51" s="3"/>
      <c r="J51" s="7"/>
      <c r="K51" s="7"/>
      <c r="L51" s="3"/>
      <c r="M51" s="3"/>
      <c r="N51" s="3"/>
      <c r="O51" s="3"/>
      <c r="P51" s="3"/>
      <c r="Q51" s="3"/>
      <c r="R51" s="3"/>
    </row>
    <row r="52" spans="1:43" x14ac:dyDescent="0.3">
      <c r="C52" s="202" t="s">
        <v>59</v>
      </c>
      <c r="F52" s="123"/>
      <c r="H52" s="123"/>
      <c r="I52" s="123"/>
      <c r="J52" s="219"/>
      <c r="K52" s="219"/>
      <c r="L52" s="123"/>
      <c r="M52" s="123"/>
      <c r="N52" s="123"/>
      <c r="O52" s="123"/>
      <c r="P52" s="123"/>
      <c r="Q52" s="123"/>
      <c r="R52" s="123"/>
      <c r="Y52" s="42"/>
    </row>
    <row r="53" spans="1:43" x14ac:dyDescent="0.3">
      <c r="A53" s="42"/>
      <c r="C53" s="202" t="str">
        <f>"(2) REFLECTS FUEL COMPONENT OF "&amp;TEXT(PRO_FAC,"$0.000000;($0.000000)")&amp;"  PER KWH."</f>
        <v>(2) REFLECTS FUEL COMPONENT OF $0.003487  PER KWH.</v>
      </c>
      <c r="F53" s="123"/>
      <c r="H53" s="123"/>
      <c r="I53" s="123"/>
      <c r="J53" s="219"/>
      <c r="K53" s="219"/>
      <c r="L53" s="123"/>
      <c r="M53" s="123"/>
      <c r="N53" s="123"/>
      <c r="O53" s="123"/>
      <c r="P53" s="123"/>
      <c r="Q53" s="123"/>
      <c r="R53" s="123"/>
    </row>
    <row r="54" spans="1:43" x14ac:dyDescent="0.3">
      <c r="C54" s="202" t="str">
        <f>"(3) REFLECTS FUEL COST RECOVERY INCLUDED IN BASE RATES OF "&amp;TEXT(PRO_BASE_FUEL,"$0.000000;($0.000000)")&amp;"  PER KWH."</f>
        <v>(3) REFLECTS FUEL COST RECOVERY INCLUDED IN BASE RATES OF $0.033780  PER KWH.</v>
      </c>
      <c r="L54" s="42"/>
      <c r="M54" s="42"/>
      <c r="AA54" s="42"/>
      <c r="AB54" s="42"/>
    </row>
    <row r="55" spans="1:43" x14ac:dyDescent="0.3">
      <c r="C55" s="202" t="str">
        <f>"(4) REFLECTS REVENUE ADDED FOR RIDER LM PROVISION"</f>
        <v>(4) REFLECTS REVENUE ADDED FOR RIDER LM PROVISION</v>
      </c>
      <c r="L55" s="42"/>
      <c r="M55" s="42"/>
      <c r="AA55" s="42"/>
      <c r="AB55" s="42"/>
    </row>
    <row r="56" spans="1:43" x14ac:dyDescent="0.3">
      <c r="R56" s="42"/>
      <c r="AK56" s="206"/>
      <c r="AL56" s="42"/>
    </row>
    <row r="57" spans="1:43" x14ac:dyDescent="0.3">
      <c r="F57" s="220"/>
      <c r="H57" s="123"/>
      <c r="R57" s="42"/>
      <c r="T57" s="40" t="str">
        <f>NAME</f>
        <v>DUKE ENERGY KENTUCKY, INC.</v>
      </c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66"/>
      <c r="AH57" s="40"/>
      <c r="AI57" s="40"/>
      <c r="AJ57" s="40"/>
      <c r="AK57" s="166"/>
      <c r="AL57" s="40"/>
      <c r="AM57" s="40"/>
      <c r="AN57" s="40"/>
      <c r="AO57" s="40"/>
      <c r="AP57" s="40"/>
      <c r="AQ57" s="166"/>
    </row>
    <row r="58" spans="1:43" x14ac:dyDescent="0.3">
      <c r="R58" s="42"/>
      <c r="T58" s="40" t="str">
        <f>CASE_NO</f>
        <v>CASE NO.   2024-00354</v>
      </c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166"/>
      <c r="AH58" s="40"/>
      <c r="AI58" s="40"/>
      <c r="AJ58" s="40"/>
      <c r="AK58" s="166"/>
      <c r="AL58" s="40"/>
      <c r="AM58" s="40"/>
      <c r="AN58" s="40"/>
      <c r="AO58" s="40"/>
      <c r="AP58" s="40"/>
      <c r="AQ58" s="166"/>
    </row>
    <row r="59" spans="1:43" x14ac:dyDescent="0.3">
      <c r="A59" s="42"/>
      <c r="H59" s="123"/>
      <c r="R59" s="42"/>
      <c r="T59" s="40" t="str">
        <f>TITLE</f>
        <v>ANNUALIZED TEST YEAR REVENUES AT REHEARING ORDER CALCULATED VS. MOST CURRENT RATES</v>
      </c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166"/>
      <c r="AH59" s="40"/>
      <c r="AI59" s="40"/>
      <c r="AJ59" s="40"/>
      <c r="AK59" s="166"/>
      <c r="AL59" s="40"/>
      <c r="AM59" s="40"/>
      <c r="AN59" s="40"/>
      <c r="AO59" s="40"/>
      <c r="AP59" s="40"/>
      <c r="AQ59" s="166"/>
    </row>
    <row r="60" spans="1:43" x14ac:dyDescent="0.3">
      <c r="L60" s="42"/>
      <c r="M60" s="42"/>
      <c r="T60" s="40" t="str">
        <f>DATE</f>
        <v>FOR THE TWELVE MONTHS ENDED June 30, 2026</v>
      </c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166"/>
      <c r="AH60" s="40"/>
      <c r="AI60" s="40"/>
      <c r="AJ60" s="40"/>
      <c r="AK60" s="166"/>
      <c r="AL60" s="40"/>
      <c r="AM60" s="40"/>
      <c r="AN60" s="40"/>
      <c r="AO60" s="40"/>
      <c r="AP60" s="40"/>
      <c r="AQ60" s="166"/>
    </row>
    <row r="61" spans="1:43" x14ac:dyDescent="0.3">
      <c r="A61" s="135"/>
      <c r="B61" s="135"/>
      <c r="C61" s="135"/>
      <c r="D61" s="135"/>
      <c r="E61" s="135"/>
      <c r="F61" s="20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T61" s="40" t="str">
        <f>SERVICE</f>
        <v>(ELECTRIC SERVICE)</v>
      </c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166"/>
      <c r="AH61" s="40"/>
      <c r="AI61" s="40"/>
      <c r="AJ61" s="40"/>
      <c r="AK61" s="166"/>
      <c r="AL61" s="40"/>
      <c r="AM61" s="40"/>
      <c r="AN61" s="40"/>
      <c r="AO61" s="40"/>
      <c r="AP61" s="40"/>
      <c r="AQ61" s="166"/>
    </row>
    <row r="62" spans="1:43" x14ac:dyDescent="0.3">
      <c r="L62" s="44"/>
      <c r="M62" s="44"/>
      <c r="N62" s="44"/>
      <c r="O62" s="44"/>
      <c r="R62" s="44"/>
      <c r="T62" s="41" t="str">
        <f>DATA_PERIOD</f>
        <v>DATA: ____ BASE PERIOD   __X__FORECASTED PERIOD</v>
      </c>
      <c r="AO62" s="42" t="s">
        <v>158</v>
      </c>
      <c r="AP62" s="42"/>
    </row>
    <row r="63" spans="1:43" x14ac:dyDescent="0.3">
      <c r="L63" s="44"/>
      <c r="M63" s="44"/>
      <c r="N63" s="44"/>
      <c r="O63" s="44"/>
      <c r="R63" s="44"/>
      <c r="T63" s="41" t="str">
        <f>TYPE</f>
        <v>TYPE OF FILING: _X_ ORIGINAL   ___UPDATED  ___ REVISED</v>
      </c>
      <c r="AO63" s="45" t="str">
        <f>"PAGE 3 OF "&amp;TEXT(Page_Num_2.2,"00")</f>
        <v>PAGE 3 OF 24</v>
      </c>
      <c r="AP63" s="42"/>
    </row>
    <row r="64" spans="1:43" x14ac:dyDescent="0.3">
      <c r="A64" s="44"/>
      <c r="C64" s="44"/>
      <c r="D64" s="44"/>
      <c r="E64" s="44"/>
      <c r="F64" s="44"/>
      <c r="J64" s="44"/>
      <c r="K64" s="44"/>
      <c r="L64" s="44"/>
      <c r="M64" s="44"/>
      <c r="N64" s="44"/>
      <c r="O64" s="44"/>
      <c r="P64" s="44"/>
      <c r="Q64" s="44"/>
      <c r="R64" s="44"/>
      <c r="T64" s="42" t="s">
        <v>171</v>
      </c>
      <c r="AO64" s="42" t="s">
        <v>3</v>
      </c>
      <c r="AP64" s="42"/>
    </row>
    <row r="65" spans="1:43" x14ac:dyDescent="0.3">
      <c r="A65" s="44"/>
      <c r="C65" s="44"/>
      <c r="D65" s="44"/>
      <c r="E65" s="44"/>
      <c r="F65" s="44"/>
      <c r="J65" s="44"/>
      <c r="K65" s="44"/>
      <c r="L65" s="44"/>
      <c r="M65" s="44"/>
      <c r="N65" s="44"/>
      <c r="O65" s="44"/>
      <c r="P65" s="44"/>
      <c r="Q65" s="44"/>
      <c r="R65" s="44"/>
      <c r="T65" s="132" t="str">
        <f>TIME</f>
        <v>12 Months Projected with Riders</v>
      </c>
      <c r="AO65" s="41" t="str">
        <f>WIT</f>
        <v>B. L. Sailers</v>
      </c>
    </row>
    <row r="66" spans="1:43" x14ac:dyDescent="0.3">
      <c r="A66" s="44"/>
      <c r="C66" s="44"/>
      <c r="D66" s="44"/>
      <c r="E66" s="44"/>
      <c r="F66" s="44"/>
      <c r="J66" s="44"/>
      <c r="K66" s="44"/>
      <c r="L66" s="44"/>
      <c r="M66" s="44"/>
      <c r="N66" s="44"/>
      <c r="O66" s="44"/>
      <c r="P66" s="44"/>
      <c r="Q66" s="44"/>
      <c r="R66" s="44"/>
      <c r="T66" s="132" t="str">
        <f>INPUT!B5</f>
        <v xml:space="preserve"> </v>
      </c>
    </row>
    <row r="67" spans="1:43" x14ac:dyDescent="0.3">
      <c r="A67" s="44"/>
      <c r="C67" s="44"/>
      <c r="D67" s="44"/>
      <c r="E67" s="44"/>
      <c r="F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T67" s="40" t="s">
        <v>131</v>
      </c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166"/>
      <c r="AH67" s="40"/>
      <c r="AI67" s="40"/>
      <c r="AJ67" s="40"/>
      <c r="AK67" s="166"/>
      <c r="AL67" s="40"/>
      <c r="AM67" s="40"/>
      <c r="AN67" s="40"/>
      <c r="AO67" s="40"/>
      <c r="AP67" s="40"/>
      <c r="AQ67" s="166"/>
    </row>
    <row r="68" spans="1:43" x14ac:dyDescent="0.3">
      <c r="C68" s="44"/>
      <c r="D68" s="44"/>
      <c r="E68" s="44"/>
      <c r="F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167"/>
      <c r="AH68" s="43"/>
      <c r="AI68" s="43"/>
      <c r="AJ68" s="43"/>
      <c r="AK68" s="167"/>
      <c r="AL68" s="43"/>
      <c r="AM68" s="43"/>
      <c r="AN68" s="43"/>
      <c r="AO68" s="43"/>
      <c r="AP68" s="43"/>
      <c r="AQ68" s="167"/>
    </row>
    <row r="69" spans="1:43" ht="18" customHeight="1" x14ac:dyDescent="0.3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AE69" s="44" t="s">
        <v>8</v>
      </c>
      <c r="AF69" s="44"/>
      <c r="AG69" s="168" t="s">
        <v>7</v>
      </c>
      <c r="AH69" s="44"/>
      <c r="AI69" s="44" t="s">
        <v>9</v>
      </c>
      <c r="AJ69" s="44"/>
      <c r="AK69" s="168" t="s">
        <v>10</v>
      </c>
      <c r="AL69" s="44"/>
      <c r="AO69" s="44" t="s">
        <v>8</v>
      </c>
      <c r="AP69" s="44"/>
      <c r="AQ69" s="168" t="s">
        <v>11</v>
      </c>
    </row>
    <row r="70" spans="1:43" x14ac:dyDescent="0.3"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AC70" s="44" t="s">
        <v>14</v>
      </c>
      <c r="AD70" s="44"/>
      <c r="AE70" s="44" t="s">
        <v>12</v>
      </c>
      <c r="AF70" s="44"/>
      <c r="AG70" s="168" t="s">
        <v>13</v>
      </c>
      <c r="AH70" s="44"/>
      <c r="AI70" s="44" t="s">
        <v>15</v>
      </c>
      <c r="AJ70" s="44"/>
      <c r="AK70" s="168" t="s">
        <v>16</v>
      </c>
      <c r="AL70" s="44"/>
      <c r="AO70" s="44" t="s">
        <v>11</v>
      </c>
      <c r="AP70" s="44"/>
      <c r="AQ70" s="168" t="s">
        <v>9</v>
      </c>
    </row>
    <row r="71" spans="1:43" x14ac:dyDescent="0.3">
      <c r="C71" s="42"/>
      <c r="D71" s="42"/>
      <c r="E71" s="42"/>
      <c r="T71" s="44" t="s">
        <v>17</v>
      </c>
      <c r="V71" s="44" t="s">
        <v>18</v>
      </c>
      <c r="W71" s="44" t="s">
        <v>19</v>
      </c>
      <c r="X71" s="44"/>
      <c r="Y71" s="44" t="s">
        <v>20</v>
      </c>
      <c r="AC71" s="44" t="s">
        <v>8</v>
      </c>
      <c r="AD71" s="44"/>
      <c r="AE71" s="44" t="s">
        <v>842</v>
      </c>
      <c r="AF71" s="44"/>
      <c r="AG71" s="168" t="s">
        <v>842</v>
      </c>
      <c r="AH71" s="44"/>
      <c r="AI71" s="44" t="s">
        <v>965</v>
      </c>
      <c r="AJ71" s="44"/>
      <c r="AK71" s="168" t="s">
        <v>965</v>
      </c>
      <c r="AL71" s="44"/>
      <c r="AM71" s="44" t="s">
        <v>842</v>
      </c>
      <c r="AN71" s="44"/>
      <c r="AO71" s="44" t="s">
        <v>9</v>
      </c>
      <c r="AP71" s="44"/>
      <c r="AQ71" s="168" t="s">
        <v>21</v>
      </c>
    </row>
    <row r="72" spans="1:43" x14ac:dyDescent="0.3">
      <c r="D72" s="42"/>
      <c r="E72" s="42"/>
      <c r="T72" s="44" t="s">
        <v>22</v>
      </c>
      <c r="V72" s="44" t="s">
        <v>23</v>
      </c>
      <c r="W72" s="44" t="s">
        <v>24</v>
      </c>
      <c r="X72" s="44"/>
      <c r="Y72" s="44" t="s">
        <v>25</v>
      </c>
      <c r="AA72" s="44" t="s">
        <v>26</v>
      </c>
      <c r="AB72" s="44"/>
      <c r="AC72" s="44" t="s">
        <v>27</v>
      </c>
      <c r="AD72" s="44"/>
      <c r="AE72" s="44" t="s">
        <v>9</v>
      </c>
      <c r="AF72" s="44"/>
      <c r="AG72" s="168" t="s">
        <v>9</v>
      </c>
      <c r="AH72" s="44"/>
      <c r="AI72" s="141" t="s">
        <v>29</v>
      </c>
      <c r="AJ72" s="141"/>
      <c r="AK72" s="170" t="s">
        <v>30</v>
      </c>
      <c r="AL72" s="44"/>
      <c r="AM72" s="44" t="s">
        <v>324</v>
      </c>
      <c r="AN72" s="44"/>
      <c r="AO72" s="141" t="s">
        <v>31</v>
      </c>
      <c r="AP72" s="141"/>
      <c r="AQ72" s="170" t="s">
        <v>32</v>
      </c>
    </row>
    <row r="73" spans="1:43" x14ac:dyDescent="0.3">
      <c r="V73" s="141" t="s">
        <v>33</v>
      </c>
      <c r="W73" s="141" t="s">
        <v>34</v>
      </c>
      <c r="X73" s="141"/>
      <c r="Y73" s="141" t="s">
        <v>35</v>
      </c>
      <c r="Z73" s="153"/>
      <c r="AA73" s="141" t="s">
        <v>36</v>
      </c>
      <c r="AB73" s="141"/>
      <c r="AC73" s="141" t="s">
        <v>42</v>
      </c>
      <c r="AD73" s="141"/>
      <c r="AE73" s="141" t="s">
        <v>43</v>
      </c>
      <c r="AF73" s="141"/>
      <c r="AG73" s="170" t="s">
        <v>44</v>
      </c>
      <c r="AH73" s="141"/>
      <c r="AI73" s="141" t="s">
        <v>45</v>
      </c>
      <c r="AJ73" s="141"/>
      <c r="AK73" s="170" t="s">
        <v>46</v>
      </c>
      <c r="AL73" s="141"/>
      <c r="AM73" s="141" t="s">
        <v>40</v>
      </c>
      <c r="AN73" s="141"/>
      <c r="AO73" s="141" t="s">
        <v>47</v>
      </c>
      <c r="AP73" s="141"/>
      <c r="AQ73" s="170" t="s">
        <v>48</v>
      </c>
    </row>
    <row r="74" spans="1:43" x14ac:dyDescent="0.3">
      <c r="C74" s="42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167"/>
      <c r="AH74" s="43"/>
      <c r="AI74" s="43"/>
      <c r="AJ74" s="43"/>
      <c r="AK74" s="167"/>
      <c r="AL74" s="43"/>
      <c r="AM74" s="43"/>
      <c r="AN74" s="43"/>
      <c r="AO74" s="43"/>
      <c r="AP74" s="43"/>
      <c r="AQ74" s="167"/>
    </row>
    <row r="75" spans="1:43" ht="17.100000000000001" customHeight="1" x14ac:dyDescent="0.3">
      <c r="C75" s="42"/>
      <c r="F75" s="184"/>
      <c r="H75" s="184"/>
      <c r="I75" s="184"/>
      <c r="J75" s="193"/>
      <c r="K75" s="193"/>
      <c r="L75" s="123"/>
      <c r="M75" s="123"/>
      <c r="N75" s="160"/>
      <c r="O75" s="160"/>
      <c r="R75" s="123"/>
      <c r="AA75" s="172" t="s">
        <v>197</v>
      </c>
      <c r="AB75" s="171"/>
      <c r="AC75" s="172" t="s">
        <v>332</v>
      </c>
      <c r="AD75" s="171"/>
      <c r="AE75" s="171" t="s">
        <v>50</v>
      </c>
      <c r="AF75" s="171"/>
      <c r="AG75" s="173" t="s">
        <v>51</v>
      </c>
      <c r="AH75" s="171"/>
      <c r="AI75" s="171" t="s">
        <v>50</v>
      </c>
      <c r="AJ75" s="171"/>
      <c r="AK75" s="173" t="s">
        <v>51</v>
      </c>
      <c r="AL75" s="171"/>
      <c r="AM75" s="171" t="s">
        <v>50</v>
      </c>
      <c r="AN75" s="171"/>
      <c r="AO75" s="171" t="s">
        <v>50</v>
      </c>
      <c r="AP75" s="171"/>
      <c r="AQ75" s="173" t="s">
        <v>51</v>
      </c>
    </row>
    <row r="76" spans="1:43" x14ac:dyDescent="0.3">
      <c r="C76" s="42"/>
      <c r="F76" s="184"/>
      <c r="H76" s="184"/>
      <c r="I76" s="184"/>
      <c r="J76" s="193"/>
      <c r="K76" s="193"/>
      <c r="L76" s="123"/>
      <c r="M76" s="123"/>
      <c r="N76" s="160"/>
      <c r="O76" s="160"/>
      <c r="R76" s="123"/>
      <c r="T76" s="41">
        <f>A20</f>
        <v>1</v>
      </c>
      <c r="V76" s="132" t="s">
        <v>91</v>
      </c>
      <c r="W76" s="132" t="s">
        <v>144</v>
      </c>
      <c r="X76" s="42"/>
      <c r="Y76" s="1"/>
      <c r="Z76" s="1"/>
      <c r="AA76" s="208"/>
      <c r="AB76" s="208"/>
      <c r="AC76" s="172" t="s">
        <v>329</v>
      </c>
      <c r="AD76" s="208"/>
      <c r="AE76" s="208"/>
      <c r="AF76" s="208"/>
      <c r="AG76" s="221"/>
      <c r="AH76" s="208"/>
      <c r="AI76" s="208"/>
      <c r="AJ76" s="208"/>
      <c r="AK76" s="221"/>
      <c r="AL76" s="208"/>
      <c r="AM76" s="208"/>
      <c r="AN76" s="208"/>
      <c r="AO76" s="208"/>
      <c r="AP76" s="208"/>
      <c r="AQ76" s="221"/>
    </row>
    <row r="77" spans="1:43" x14ac:dyDescent="0.3">
      <c r="F77" s="210"/>
      <c r="H77" s="123"/>
      <c r="I77" s="123"/>
      <c r="J77" s="213"/>
      <c r="K77" s="213"/>
      <c r="L77" s="210"/>
      <c r="M77" s="210"/>
      <c r="N77" s="210"/>
      <c r="O77" s="210"/>
      <c r="P77" s="210"/>
      <c r="Q77" s="210"/>
      <c r="R77" s="210"/>
      <c r="T77" s="41">
        <f>A21</f>
        <v>2</v>
      </c>
      <c r="V77" s="153"/>
      <c r="W77" s="132" t="s">
        <v>133</v>
      </c>
      <c r="X77" s="42"/>
      <c r="Y77" s="1"/>
      <c r="Z77" s="1"/>
      <c r="AA77" s="1"/>
      <c r="AB77" s="1"/>
      <c r="AC77" s="1"/>
      <c r="AD77" s="1"/>
      <c r="AE77" s="1"/>
      <c r="AF77" s="1"/>
      <c r="AG77" s="175"/>
      <c r="AH77" s="1"/>
      <c r="AI77" s="1"/>
      <c r="AJ77" s="1"/>
      <c r="AK77" s="175"/>
      <c r="AL77" s="1"/>
      <c r="AM77" s="1"/>
      <c r="AN77" s="1"/>
      <c r="AO77" s="1"/>
      <c r="AP77" s="1"/>
      <c r="AQ77" s="175"/>
    </row>
    <row r="78" spans="1:43" x14ac:dyDescent="0.3">
      <c r="C78" s="42"/>
      <c r="F78" s="123"/>
      <c r="H78" s="123"/>
      <c r="I78" s="123"/>
      <c r="J78" s="213"/>
      <c r="K78" s="213"/>
      <c r="L78" s="123"/>
      <c r="M78" s="123"/>
      <c r="N78" s="160"/>
      <c r="O78" s="160"/>
      <c r="P78" s="123"/>
      <c r="Q78" s="123"/>
      <c r="R78" s="123"/>
      <c r="Y78" s="1"/>
      <c r="Z78" s="1"/>
      <c r="AA78" s="1"/>
      <c r="AB78" s="1"/>
      <c r="AC78" s="1"/>
      <c r="AD78" s="1"/>
      <c r="AE78" s="1"/>
      <c r="AF78" s="1"/>
      <c r="AG78" s="175"/>
      <c r="AH78" s="1"/>
      <c r="AI78" s="1"/>
      <c r="AJ78" s="1"/>
      <c r="AK78" s="175"/>
      <c r="AL78" s="1"/>
      <c r="AM78" s="1"/>
      <c r="AN78" s="1"/>
      <c r="AO78" s="1"/>
      <c r="AP78" s="1"/>
      <c r="AQ78" s="175"/>
    </row>
    <row r="79" spans="1:43" x14ac:dyDescent="0.3">
      <c r="F79" s="210"/>
      <c r="H79" s="123"/>
      <c r="I79" s="123"/>
      <c r="J79" s="213"/>
      <c r="K79" s="213"/>
      <c r="L79" s="210"/>
      <c r="M79" s="210"/>
      <c r="N79" s="210"/>
      <c r="O79" s="210"/>
      <c r="P79" s="210"/>
      <c r="Q79" s="210"/>
      <c r="R79" s="210"/>
      <c r="T79" s="41">
        <f>A23</f>
        <v>3</v>
      </c>
      <c r="V79" s="132" t="s">
        <v>134</v>
      </c>
      <c r="Y79" s="1"/>
      <c r="Z79" s="1"/>
      <c r="AA79" s="1"/>
      <c r="AB79" s="1"/>
      <c r="AC79" s="1"/>
      <c r="AD79" s="1"/>
      <c r="AE79" s="1"/>
      <c r="AF79" s="1"/>
      <c r="AG79" s="175"/>
      <c r="AH79" s="1"/>
      <c r="AI79" s="1"/>
      <c r="AJ79" s="1"/>
      <c r="AK79" s="175"/>
      <c r="AL79" s="1"/>
      <c r="AM79" s="1"/>
      <c r="AN79" s="1"/>
      <c r="AO79" s="1"/>
      <c r="AP79" s="1"/>
      <c r="AQ79" s="175"/>
    </row>
    <row r="80" spans="1:43" x14ac:dyDescent="0.3">
      <c r="F80" s="210"/>
      <c r="H80" s="123"/>
      <c r="I80" s="123"/>
      <c r="J80" s="213"/>
      <c r="K80" s="213"/>
      <c r="L80" s="210"/>
      <c r="M80" s="210"/>
      <c r="N80" s="210"/>
      <c r="O80" s="210"/>
      <c r="P80" s="210"/>
      <c r="Q80" s="210"/>
      <c r="R80" s="210"/>
      <c r="T80" s="41">
        <f>A24</f>
        <v>4</v>
      </c>
      <c r="V80" s="45" t="s">
        <v>356</v>
      </c>
      <c r="Y80" s="3">
        <f>F24</f>
        <v>1545</v>
      </c>
      <c r="Z80" s="1"/>
      <c r="AA80" s="1"/>
      <c r="AB80" s="1"/>
      <c r="AC80" s="193">
        <f>INPUT!C63</f>
        <v>5</v>
      </c>
      <c r="AD80" s="1"/>
      <c r="AE80" s="3">
        <f>ROUND(Y80*AC80,0)</f>
        <v>7725</v>
      </c>
      <c r="AF80" s="3"/>
      <c r="AG80" s="175">
        <f>ROUND((AE80/AE$106)*100,1)</f>
        <v>0</v>
      </c>
      <c r="AH80" s="4"/>
      <c r="AI80" s="3">
        <f>L24-AE80</f>
        <v>0</v>
      </c>
      <c r="AJ80" s="3"/>
      <c r="AK80" s="175">
        <f>ROUND((AI80/AE80)*100,1)</f>
        <v>0</v>
      </c>
      <c r="AL80" s="6"/>
      <c r="AM80" s="3"/>
      <c r="AN80" s="1"/>
      <c r="AO80" s="3">
        <f>AE80+AM80</f>
        <v>7725</v>
      </c>
      <c r="AP80" s="3"/>
      <c r="AQ80" s="181">
        <f>IF(AO80=0,"0.0 ",ROUND((AI80/AO80)*100,1))</f>
        <v>0</v>
      </c>
    </row>
    <row r="81" spans="3:76" x14ac:dyDescent="0.3">
      <c r="F81" s="123"/>
      <c r="H81" s="123"/>
      <c r="I81" s="123"/>
      <c r="J81" s="213"/>
      <c r="K81" s="213"/>
      <c r="L81" s="123"/>
      <c r="M81" s="123"/>
      <c r="N81" s="160"/>
      <c r="O81" s="160"/>
      <c r="P81" s="123"/>
      <c r="Q81" s="123"/>
      <c r="R81" s="123"/>
      <c r="T81" s="41">
        <f>A25</f>
        <v>5</v>
      </c>
      <c r="V81" s="42" t="s">
        <v>135</v>
      </c>
      <c r="Y81" s="3">
        <f>F25</f>
        <v>79682</v>
      </c>
      <c r="Z81" s="1"/>
      <c r="AA81" s="159"/>
      <c r="AB81" s="159"/>
      <c r="AC81" s="193">
        <f>INPUT!C48</f>
        <v>15</v>
      </c>
      <c r="AD81" s="194"/>
      <c r="AE81" s="3">
        <f>ROUND(Y81*AC81,0)</f>
        <v>1195230</v>
      </c>
      <c r="AF81" s="3"/>
      <c r="AG81" s="175">
        <f>ROUND((AE81/AE$106)*100,1)</f>
        <v>0.9</v>
      </c>
      <c r="AH81" s="4"/>
      <c r="AI81" s="3">
        <f>L25-AE81</f>
        <v>0</v>
      </c>
      <c r="AJ81" s="3"/>
      <c r="AK81" s="175">
        <f>ROUND((AI81/AE81)*100,1)</f>
        <v>0</v>
      </c>
      <c r="AL81" s="6"/>
      <c r="AM81" s="3"/>
      <c r="AN81" s="1"/>
      <c r="AO81" s="3">
        <f>AE81+AM81</f>
        <v>1195230</v>
      </c>
      <c r="AP81" s="3"/>
      <c r="AQ81" s="181">
        <f>IF(AO81=0,"0.0 ",ROUND((AI81/AO81)*100,1))</f>
        <v>0</v>
      </c>
      <c r="BX81" s="222"/>
    </row>
    <row r="82" spans="3:76" x14ac:dyDescent="0.3">
      <c r="C82" s="42"/>
      <c r="F82" s="123"/>
      <c r="H82" s="123"/>
      <c r="I82" s="123"/>
      <c r="J82" s="213"/>
      <c r="K82" s="213"/>
      <c r="L82" s="123"/>
      <c r="M82" s="123"/>
      <c r="N82" s="160"/>
      <c r="O82" s="160"/>
      <c r="P82" s="123"/>
      <c r="Q82" s="123"/>
      <c r="R82" s="123"/>
      <c r="T82" s="41">
        <f>A26</f>
        <v>6</v>
      </c>
      <c r="V82" s="42" t="s">
        <v>136</v>
      </c>
      <c r="Y82" s="3">
        <f>F26</f>
        <v>75323</v>
      </c>
      <c r="Z82" s="1"/>
      <c r="AA82" s="159"/>
      <c r="AB82" s="159"/>
      <c r="AC82" s="193">
        <f>INPUT!C49</f>
        <v>30</v>
      </c>
      <c r="AD82" s="194"/>
      <c r="AE82" s="3">
        <f>ROUND(Y82*AC82,0)</f>
        <v>2259690</v>
      </c>
      <c r="AF82" s="3"/>
      <c r="AG82" s="177">
        <f>ROUND((AE82/AE$106)*100,1)</f>
        <v>1.7</v>
      </c>
      <c r="AH82" s="4"/>
      <c r="AI82" s="3">
        <f>L26-AE82</f>
        <v>0</v>
      </c>
      <c r="AJ82" s="3"/>
      <c r="AK82" s="177">
        <f>ROUND((AI82/AE82)*100,1)</f>
        <v>0</v>
      </c>
      <c r="AL82" s="6"/>
      <c r="AM82" s="3"/>
      <c r="AN82" s="1"/>
      <c r="AO82" s="3">
        <f>AE82+AM82</f>
        <v>2259690</v>
      </c>
      <c r="AP82" s="3"/>
      <c r="AQ82" s="223">
        <f>IF(AO82=0,"0.0 ",ROUND((AI82/AO82)*100,1))</f>
        <v>0</v>
      </c>
    </row>
    <row r="83" spans="3:76" ht="20.100000000000001" customHeight="1" x14ac:dyDescent="0.3">
      <c r="C83" s="42"/>
      <c r="F83" s="184"/>
      <c r="H83" s="184"/>
      <c r="I83" s="184"/>
      <c r="J83" s="193"/>
      <c r="K83" s="193"/>
      <c r="L83" s="123"/>
      <c r="M83" s="123"/>
      <c r="N83" s="160"/>
      <c r="O83" s="160"/>
      <c r="P83" s="123"/>
      <c r="Q83" s="123"/>
      <c r="R83" s="123"/>
      <c r="T83" s="41">
        <f>A27</f>
        <v>7</v>
      </c>
      <c r="V83" s="132" t="s">
        <v>137</v>
      </c>
      <c r="Y83" s="145">
        <f>F27</f>
        <v>155005</v>
      </c>
      <c r="Z83" s="1"/>
      <c r="AA83" s="3"/>
      <c r="AB83" s="3"/>
      <c r="AC83" s="7"/>
      <c r="AD83" s="7"/>
      <c r="AE83" s="145">
        <f>SUM(AE80:AE82)</f>
        <v>3462645</v>
      </c>
      <c r="AF83" s="3"/>
      <c r="AG83" s="180">
        <f>ROUND((AE83/AE$106)*100,1)</f>
        <v>2.6</v>
      </c>
      <c r="AH83" s="4"/>
      <c r="AI83" s="145">
        <f>SUM(AI80:AI82)</f>
        <v>0</v>
      </c>
      <c r="AJ83" s="3"/>
      <c r="AK83" s="180">
        <f>ROUND((AI83/AE83)*100,1)</f>
        <v>0</v>
      </c>
      <c r="AL83" s="6"/>
      <c r="AM83" s="145"/>
      <c r="AN83" s="3"/>
      <c r="AO83" s="145">
        <f>SUM(AO80:AO82)</f>
        <v>3462645</v>
      </c>
      <c r="AP83" s="3"/>
      <c r="AQ83" s="224">
        <f>IF(AO83=0,"0.0 ",ROUND((AI83/AO83)*100,1))</f>
        <v>0</v>
      </c>
    </row>
    <row r="84" spans="3:76" x14ac:dyDescent="0.3">
      <c r="C84" s="42"/>
      <c r="F84" s="123"/>
      <c r="H84" s="123"/>
      <c r="I84" s="123"/>
      <c r="J84" s="213"/>
      <c r="K84" s="213"/>
      <c r="L84" s="123"/>
      <c r="M84" s="123"/>
      <c r="N84" s="160"/>
      <c r="O84" s="160"/>
      <c r="P84" s="123"/>
      <c r="Q84" s="123"/>
      <c r="R84" s="123"/>
      <c r="Y84" s="3"/>
      <c r="Z84" s="1"/>
      <c r="AA84" s="3"/>
      <c r="AB84" s="3"/>
      <c r="AC84" s="7"/>
      <c r="AD84" s="7"/>
      <c r="AE84" s="3"/>
      <c r="AF84" s="3"/>
      <c r="AG84" s="175"/>
      <c r="AH84" s="4"/>
      <c r="AI84" s="3"/>
      <c r="AJ84" s="3"/>
      <c r="AK84" s="175"/>
      <c r="AL84" s="6"/>
      <c r="AM84" s="3"/>
      <c r="AN84" s="3"/>
      <c r="AO84" s="3"/>
      <c r="AP84" s="3"/>
      <c r="AQ84" s="175"/>
    </row>
    <row r="85" spans="3:76" x14ac:dyDescent="0.3">
      <c r="F85" s="123"/>
      <c r="H85" s="210"/>
      <c r="I85" s="210"/>
      <c r="J85" s="213"/>
      <c r="K85" s="213"/>
      <c r="L85" s="210"/>
      <c r="M85" s="210"/>
      <c r="N85" s="210"/>
      <c r="O85" s="210"/>
      <c r="P85" s="210"/>
      <c r="Q85" s="210"/>
      <c r="R85" s="210"/>
      <c r="T85" s="41">
        <f>A29</f>
        <v>8</v>
      </c>
      <c r="V85" s="132" t="s">
        <v>63</v>
      </c>
      <c r="Y85" s="3"/>
      <c r="Z85" s="1"/>
      <c r="AA85" s="3"/>
      <c r="AB85" s="3"/>
      <c r="AC85" s="7"/>
      <c r="AD85" s="7"/>
      <c r="AE85" s="3"/>
      <c r="AF85" s="3"/>
      <c r="AG85" s="175"/>
      <c r="AH85" s="4"/>
      <c r="AI85" s="3"/>
      <c r="AJ85" s="3"/>
      <c r="AK85" s="175"/>
      <c r="AL85" s="6"/>
      <c r="AM85" s="3"/>
      <c r="AN85" s="3"/>
      <c r="AO85" s="3"/>
      <c r="AP85" s="3"/>
      <c r="AQ85" s="175"/>
    </row>
    <row r="86" spans="3:76" x14ac:dyDescent="0.3">
      <c r="C86" s="42"/>
      <c r="F86" s="123"/>
      <c r="H86" s="123"/>
      <c r="I86" s="123"/>
      <c r="J86" s="219"/>
      <c r="K86" s="219"/>
      <c r="L86" s="123"/>
      <c r="M86" s="123"/>
      <c r="N86" s="160"/>
      <c r="O86" s="160"/>
      <c r="P86" s="123"/>
      <c r="Q86" s="123"/>
      <c r="R86" s="123"/>
      <c r="T86" s="41">
        <f>A30</f>
        <v>9</v>
      </c>
      <c r="V86" s="42" t="s">
        <v>138</v>
      </c>
      <c r="Y86" s="159"/>
      <c r="Z86" s="1"/>
      <c r="AA86" s="3">
        <f>H30</f>
        <v>1355176</v>
      </c>
      <c r="AB86" s="3"/>
      <c r="AC86" s="193">
        <f>INPUT!C55</f>
        <v>0</v>
      </c>
      <c r="AD86" s="194"/>
      <c r="AE86" s="3">
        <f>ROUND(AA86*AC86,0)</f>
        <v>0</v>
      </c>
      <c r="AF86" s="3"/>
      <c r="AG86" s="175">
        <f>ROUND((AE86/AE$106)*100,1)</f>
        <v>0</v>
      </c>
      <c r="AH86" s="4"/>
      <c r="AI86" s="3">
        <f>L30-AE86</f>
        <v>0</v>
      </c>
      <c r="AJ86" s="3"/>
      <c r="AK86" s="225">
        <v>0</v>
      </c>
      <c r="AL86" s="226"/>
      <c r="AM86" s="3"/>
      <c r="AN86" s="3"/>
      <c r="AO86" s="3">
        <f>AE86+AM86</f>
        <v>0</v>
      </c>
      <c r="AP86" s="3"/>
      <c r="AQ86" s="181" t="str">
        <f>IF(AO86=0,"0.0 ",ROUND((AI86/AO86)*100,1))</f>
        <v xml:space="preserve">0.0 </v>
      </c>
    </row>
    <row r="87" spans="3:76" x14ac:dyDescent="0.3">
      <c r="C87" s="42"/>
      <c r="F87" s="184"/>
      <c r="H87" s="184"/>
      <c r="I87" s="184"/>
      <c r="J87" s="227"/>
      <c r="K87" s="227"/>
      <c r="L87" s="123"/>
      <c r="M87" s="123"/>
      <c r="N87" s="160"/>
      <c r="O87" s="160"/>
      <c r="P87" s="184"/>
      <c r="Q87" s="184"/>
      <c r="R87" s="123"/>
      <c r="T87" s="41">
        <f>A31</f>
        <v>10</v>
      </c>
      <c r="V87" s="42" t="s">
        <v>139</v>
      </c>
      <c r="Y87" s="159"/>
      <c r="Z87" s="1"/>
      <c r="AA87" s="3">
        <f>H31</f>
        <v>2641511</v>
      </c>
      <c r="AB87" s="3"/>
      <c r="AC87" s="193">
        <f>INPUT!C56</f>
        <v>10.68</v>
      </c>
      <c r="AD87" s="194"/>
      <c r="AE87" s="3">
        <f>ROUND(AA87*AC87,0)</f>
        <v>28211337</v>
      </c>
      <c r="AF87" s="3"/>
      <c r="AG87" s="177">
        <f>ROUND((AE87/AE$106)*100,1)</f>
        <v>21.3</v>
      </c>
      <c r="AH87" s="4"/>
      <c r="AI87" s="3">
        <f>L31-AE87</f>
        <v>6049061</v>
      </c>
      <c r="AJ87" s="3"/>
      <c r="AK87" s="177">
        <f>ROUND((AI87/AE87)*100,1)</f>
        <v>21.4</v>
      </c>
      <c r="AL87" s="6"/>
      <c r="AM87" s="3"/>
      <c r="AN87" s="3"/>
      <c r="AO87" s="3">
        <f>AE87+AM87</f>
        <v>28211337</v>
      </c>
      <c r="AP87" s="3"/>
      <c r="AQ87" s="223">
        <f>IF(AO87=0,"0.0 ",ROUND((AI87/AO87)*100,1))</f>
        <v>21.4</v>
      </c>
    </row>
    <row r="88" spans="3:76" ht="20.100000000000001" customHeight="1" x14ac:dyDescent="0.3">
      <c r="C88" s="42"/>
      <c r="F88" s="184"/>
      <c r="H88" s="184"/>
      <c r="I88" s="184"/>
      <c r="J88" s="227"/>
      <c r="K88" s="227"/>
      <c r="L88" s="123"/>
      <c r="M88" s="123"/>
      <c r="N88" s="160"/>
      <c r="O88" s="160"/>
      <c r="P88" s="184"/>
      <c r="Q88" s="184"/>
      <c r="R88" s="123"/>
      <c r="T88" s="41">
        <f>A32</f>
        <v>11</v>
      </c>
      <c r="V88" s="132" t="s">
        <v>66</v>
      </c>
      <c r="Y88" s="3"/>
      <c r="Z88" s="1"/>
      <c r="AA88" s="145">
        <f>H32</f>
        <v>3996687</v>
      </c>
      <c r="AB88" s="3"/>
      <c r="AC88" s="183"/>
      <c r="AD88" s="183"/>
      <c r="AE88" s="145">
        <f>SUM(AE86:AE87)</f>
        <v>28211337</v>
      </c>
      <c r="AF88" s="3"/>
      <c r="AG88" s="180">
        <f>ROUND((AE88/AE$106)*100,1)</f>
        <v>21.3</v>
      </c>
      <c r="AH88" s="4"/>
      <c r="AI88" s="145">
        <f>SUM(AI86:AI87)</f>
        <v>6049061</v>
      </c>
      <c r="AJ88" s="3"/>
      <c r="AK88" s="180">
        <f>ROUND((AI88/AE88)*100,1)</f>
        <v>21.4</v>
      </c>
      <c r="AL88" s="6"/>
      <c r="AM88" s="145"/>
      <c r="AN88" s="3"/>
      <c r="AO88" s="145">
        <f>SUM(AO86:AO87)</f>
        <v>28211337</v>
      </c>
      <c r="AP88" s="3"/>
      <c r="AQ88" s="224">
        <f>IF(AO88=0,"0.0 ",ROUND((AI88/AO88)*100,1))</f>
        <v>21.4</v>
      </c>
      <c r="AT88" s="41">
        <f>1-AT96</f>
        <v>0.23189527103039187</v>
      </c>
    </row>
    <row r="89" spans="3:76" x14ac:dyDescent="0.3">
      <c r="C89" s="42"/>
      <c r="F89" s="184"/>
      <c r="H89" s="184"/>
      <c r="I89" s="184"/>
      <c r="J89" s="227"/>
      <c r="K89" s="227"/>
      <c r="L89" s="123"/>
      <c r="M89" s="123"/>
      <c r="N89" s="160"/>
      <c r="O89" s="160"/>
      <c r="P89" s="184"/>
      <c r="Q89" s="184"/>
      <c r="R89" s="123"/>
      <c r="V89" s="42"/>
      <c r="Y89" s="3"/>
      <c r="Z89" s="1"/>
      <c r="AA89" s="3"/>
      <c r="AB89" s="3"/>
      <c r="AC89" s="183"/>
      <c r="AD89" s="183"/>
      <c r="AE89" s="3"/>
      <c r="AF89" s="3"/>
      <c r="AG89" s="175"/>
      <c r="AH89" s="4"/>
      <c r="AI89" s="3"/>
      <c r="AJ89" s="3"/>
      <c r="AK89" s="175"/>
      <c r="AL89" s="6"/>
      <c r="AM89" s="3"/>
      <c r="AN89" s="3"/>
      <c r="AO89" s="3"/>
      <c r="AP89" s="3"/>
      <c r="AQ89" s="175"/>
    </row>
    <row r="90" spans="3:76" ht="16.2" thickBot="1" x14ac:dyDescent="0.35">
      <c r="C90" s="42"/>
      <c r="H90" s="184"/>
      <c r="I90" s="184"/>
      <c r="J90" s="227"/>
      <c r="K90" s="227"/>
      <c r="L90" s="123"/>
      <c r="M90" s="123"/>
      <c r="N90" s="160"/>
      <c r="O90" s="160"/>
      <c r="P90" s="184"/>
      <c r="Q90" s="184"/>
      <c r="R90" s="123"/>
      <c r="T90" s="41">
        <f t="shared" ref="T90:T97" si="1">A34</f>
        <v>12</v>
      </c>
      <c r="V90" s="178" t="s">
        <v>374</v>
      </c>
      <c r="Y90" s="3"/>
      <c r="Z90" s="1"/>
      <c r="AA90" s="3"/>
      <c r="AB90" s="3"/>
      <c r="AC90" s="7"/>
      <c r="AD90" s="7"/>
      <c r="AE90" s="3"/>
      <c r="AF90" s="3"/>
      <c r="AG90" s="175"/>
      <c r="AH90" s="4"/>
      <c r="AI90" s="3"/>
      <c r="AJ90" s="3"/>
      <c r="AK90" s="175"/>
      <c r="AL90" s="6"/>
      <c r="AM90" s="3"/>
      <c r="AN90" s="3"/>
      <c r="AO90" s="3"/>
      <c r="AP90" s="3"/>
      <c r="AQ90" s="175"/>
    </row>
    <row r="91" spans="3:76" x14ac:dyDescent="0.3">
      <c r="F91" s="210"/>
      <c r="H91" s="210"/>
      <c r="I91" s="210"/>
      <c r="J91" s="213"/>
      <c r="K91" s="213"/>
      <c r="L91" s="210"/>
      <c r="M91" s="210"/>
      <c r="N91" s="210"/>
      <c r="O91" s="210"/>
      <c r="P91" s="210"/>
      <c r="Q91" s="210"/>
      <c r="R91" s="210"/>
      <c r="T91" s="41">
        <f t="shared" si="1"/>
        <v>13</v>
      </c>
      <c r="V91" s="42" t="s">
        <v>140</v>
      </c>
      <c r="Y91" s="159"/>
      <c r="Z91" s="1"/>
      <c r="AA91" s="3">
        <f t="shared" ref="AA91:AA96" si="2">H35</f>
        <v>348050244</v>
      </c>
      <c r="AB91" s="3"/>
      <c r="AC91" s="205">
        <f>INPUT!C51</f>
        <v>0.114788</v>
      </c>
      <c r="AD91" s="204"/>
      <c r="AE91" s="3">
        <f>ROUND((AA91*AC91),0)-AM91</f>
        <v>39951991</v>
      </c>
      <c r="AF91" s="3"/>
      <c r="AG91" s="175">
        <f t="shared" ref="AG91:AG97" si="3">ROUND((AE91/AE$106)*100,1)</f>
        <v>30.2</v>
      </c>
      <c r="AH91" s="4"/>
      <c r="AI91" s="3">
        <f>L35-AE91</f>
        <v>2867586</v>
      </c>
      <c r="AJ91" s="3"/>
      <c r="AK91" s="175">
        <f t="shared" ref="AK91:AK97" si="4">ROUND((AI91/AE91)*100,1)</f>
        <v>7.2</v>
      </c>
      <c r="AL91" s="6"/>
      <c r="AM91" s="159"/>
      <c r="AN91" s="159"/>
      <c r="AO91" s="3">
        <f>AE91+AM91</f>
        <v>39951991</v>
      </c>
      <c r="AP91" s="3"/>
      <c r="AQ91" s="181">
        <f t="shared" ref="AQ91:AQ104" si="5">IF(AO91=0,"0.0 ",ROUND((AI91/AO91)*100,1))</f>
        <v>7.2</v>
      </c>
      <c r="AT91" s="228">
        <f>AO91/SUM($AO$91:$AO$95)</f>
        <v>0.42754931177034039</v>
      </c>
    </row>
    <row r="92" spans="3:76" x14ac:dyDescent="0.3">
      <c r="C92" s="42"/>
      <c r="F92" s="123"/>
      <c r="H92" s="123"/>
      <c r="I92" s="123"/>
      <c r="J92" s="219"/>
      <c r="K92" s="219"/>
      <c r="L92" s="123"/>
      <c r="M92" s="123"/>
      <c r="N92" s="160"/>
      <c r="O92" s="160"/>
      <c r="P92" s="123"/>
      <c r="Q92" s="123"/>
      <c r="R92" s="123"/>
      <c r="T92" s="41">
        <f t="shared" si="1"/>
        <v>14</v>
      </c>
      <c r="V92" s="42" t="s">
        <v>141</v>
      </c>
      <c r="Y92" s="159"/>
      <c r="Z92" s="1"/>
      <c r="AA92" s="3">
        <f t="shared" si="2"/>
        <v>519725648</v>
      </c>
      <c r="AB92" s="3"/>
      <c r="AC92" s="205">
        <f>INPUT!C52</f>
        <v>7.4619000000000005E-2</v>
      </c>
      <c r="AD92" s="204"/>
      <c r="AE92" s="3">
        <f>ROUND((AA92*AC92),0)-AM92</f>
        <v>38781408</v>
      </c>
      <c r="AF92" s="3"/>
      <c r="AG92" s="175">
        <f t="shared" si="3"/>
        <v>29.3</v>
      </c>
      <c r="AH92" s="4"/>
      <c r="AI92" s="3">
        <f>L36-AE92</f>
        <v>4279941</v>
      </c>
      <c r="AJ92" s="3"/>
      <c r="AK92" s="175">
        <f t="shared" si="4"/>
        <v>11</v>
      </c>
      <c r="AL92" s="6"/>
      <c r="AM92" s="159"/>
      <c r="AN92" s="159"/>
      <c r="AO92" s="3">
        <f>AE92+AM92</f>
        <v>38781408</v>
      </c>
      <c r="AP92" s="3"/>
      <c r="AQ92" s="181">
        <f t="shared" si="5"/>
        <v>11</v>
      </c>
      <c r="AT92" s="229">
        <f>AO92/SUM($AO$91:$AO$95)</f>
        <v>0.41502222755018076</v>
      </c>
    </row>
    <row r="93" spans="3:76" x14ac:dyDescent="0.3">
      <c r="F93" s="210"/>
      <c r="H93" s="210"/>
      <c r="I93" s="210"/>
      <c r="J93" s="213"/>
      <c r="K93" s="213"/>
      <c r="L93" s="210"/>
      <c r="M93" s="210"/>
      <c r="N93" s="210"/>
      <c r="O93" s="210"/>
      <c r="P93" s="210"/>
      <c r="Q93" s="210"/>
      <c r="R93" s="210"/>
      <c r="T93" s="41">
        <f t="shared" si="1"/>
        <v>15</v>
      </c>
      <c r="V93" s="42" t="s">
        <v>142</v>
      </c>
      <c r="Y93" s="159"/>
      <c r="Z93" s="1"/>
      <c r="AA93" s="3">
        <f t="shared" si="2"/>
        <v>228571887</v>
      </c>
      <c r="AB93" s="3"/>
      <c r="AC93" s="205">
        <f>INPUT!C53</f>
        <v>6.3056000000000001E-2</v>
      </c>
      <c r="AD93" s="204"/>
      <c r="AE93" s="3">
        <f>ROUND((AA93*AC93),0)-AM93</f>
        <v>14412829</v>
      </c>
      <c r="AF93" s="3"/>
      <c r="AG93" s="175">
        <f t="shared" si="3"/>
        <v>10.9</v>
      </c>
      <c r="AH93" s="4"/>
      <c r="AI93" s="3">
        <f>L37-AE93</f>
        <v>-495544</v>
      </c>
      <c r="AJ93" s="3"/>
      <c r="AK93" s="175">
        <f t="shared" si="4"/>
        <v>-3.4</v>
      </c>
      <c r="AL93" s="6"/>
      <c r="AM93" s="159"/>
      <c r="AN93" s="159"/>
      <c r="AO93" s="3">
        <f>AE93+AM93</f>
        <v>14412829</v>
      </c>
      <c r="AP93" s="3"/>
      <c r="AQ93" s="181">
        <f t="shared" si="5"/>
        <v>-3.4</v>
      </c>
      <c r="AT93" s="229">
        <f>AO93/SUM($AO$91:$AO$95)</f>
        <v>0.15424000069517446</v>
      </c>
    </row>
    <row r="94" spans="3:76" x14ac:dyDescent="0.3">
      <c r="C94" s="42"/>
      <c r="F94" s="123"/>
      <c r="H94" s="123"/>
      <c r="I94" s="123"/>
      <c r="J94" s="219"/>
      <c r="K94" s="219"/>
      <c r="L94" s="123"/>
      <c r="M94" s="123"/>
      <c r="N94" s="160"/>
      <c r="O94" s="160"/>
      <c r="P94" s="123"/>
      <c r="Q94" s="123"/>
      <c r="R94" s="123"/>
      <c r="T94" s="41">
        <f t="shared" si="1"/>
        <v>16</v>
      </c>
      <c r="V94" s="42" t="s">
        <v>363</v>
      </c>
      <c r="Y94" s="1"/>
      <c r="Z94" s="1"/>
      <c r="AA94" s="3">
        <f t="shared" si="2"/>
        <v>928876</v>
      </c>
      <c r="AB94" s="3"/>
      <c r="AC94" s="205">
        <f>INPUT!C58</f>
        <v>0.30729699999999999</v>
      </c>
      <c r="AD94" s="204"/>
      <c r="AE94" s="3">
        <f>ROUND((AA94*AC94),0)-AM94</f>
        <v>285441</v>
      </c>
      <c r="AF94" s="3"/>
      <c r="AG94" s="175">
        <f t="shared" si="3"/>
        <v>0.2</v>
      </c>
      <c r="AH94" s="4"/>
      <c r="AI94" s="3">
        <f>L38-AE94</f>
        <v>22517</v>
      </c>
      <c r="AJ94" s="3"/>
      <c r="AK94" s="175">
        <f t="shared" si="4"/>
        <v>7.9</v>
      </c>
      <c r="AL94" s="6"/>
      <c r="AM94" s="159"/>
      <c r="AN94" s="159"/>
      <c r="AO94" s="3">
        <f>AE94+AM94</f>
        <v>285441</v>
      </c>
      <c r="AP94" s="3"/>
      <c r="AQ94" s="181">
        <f t="shared" si="5"/>
        <v>7.9</v>
      </c>
      <c r="AT94" s="229">
        <f>AO94/SUM($AO$91:$AO$95)</f>
        <v>3.0546688674673995E-3</v>
      </c>
    </row>
    <row r="95" spans="3:76" ht="16.2" thickBot="1" x14ac:dyDescent="0.35">
      <c r="C95" s="42"/>
      <c r="F95" s="123"/>
      <c r="H95" s="123"/>
      <c r="I95" s="123"/>
      <c r="J95" s="219"/>
      <c r="K95" s="219"/>
      <c r="L95" s="123"/>
      <c r="M95" s="123"/>
      <c r="N95" s="160"/>
      <c r="O95" s="160"/>
      <c r="P95" s="123"/>
      <c r="Q95" s="123"/>
      <c r="R95" s="123"/>
      <c r="T95" s="41">
        <f t="shared" si="1"/>
        <v>17</v>
      </c>
      <c r="V95" s="42" t="s">
        <v>364</v>
      </c>
      <c r="Y95" s="1"/>
      <c r="Z95" s="1"/>
      <c r="AA95" s="3">
        <f t="shared" si="2"/>
        <v>66268</v>
      </c>
      <c r="AB95" s="3"/>
      <c r="AC95" s="205">
        <f>INPUT!C59</f>
        <v>0.18865199999999999</v>
      </c>
      <c r="AD95" s="204"/>
      <c r="AE95" s="3">
        <f>ROUND((AA95*AC95),0)-AM95</f>
        <v>12502</v>
      </c>
      <c r="AF95" s="3"/>
      <c r="AG95" s="175">
        <f t="shared" si="3"/>
        <v>0</v>
      </c>
      <c r="AH95" s="4"/>
      <c r="AI95" s="3">
        <f>L39-AE95</f>
        <v>986</v>
      </c>
      <c r="AJ95" s="3"/>
      <c r="AK95" s="177">
        <f t="shared" si="4"/>
        <v>7.9</v>
      </c>
      <c r="AL95" s="6"/>
      <c r="AM95" s="159"/>
      <c r="AN95" s="159"/>
      <c r="AO95" s="3">
        <f>AE95+AM95</f>
        <v>12502</v>
      </c>
      <c r="AP95" s="3"/>
      <c r="AQ95" s="223">
        <f t="shared" si="5"/>
        <v>7.9</v>
      </c>
      <c r="AT95" s="230">
        <f>AO95/SUM($AO$91:$AO$95)</f>
        <v>1.3379111683702562E-4</v>
      </c>
    </row>
    <row r="96" spans="3:76" ht="20.100000000000001" customHeight="1" x14ac:dyDescent="0.3">
      <c r="F96" s="123"/>
      <c r="H96" s="123"/>
      <c r="I96" s="123"/>
      <c r="J96" s="219"/>
      <c r="K96" s="219"/>
      <c r="L96" s="123"/>
      <c r="M96" s="123"/>
      <c r="N96" s="123"/>
      <c r="O96" s="123"/>
      <c r="P96" s="123"/>
      <c r="Q96" s="123"/>
      <c r="R96" s="123"/>
      <c r="T96" s="41">
        <f t="shared" si="1"/>
        <v>18</v>
      </c>
      <c r="V96" s="132" t="s">
        <v>143</v>
      </c>
      <c r="Y96" s="3"/>
      <c r="Z96" s="1"/>
      <c r="AA96" s="145">
        <f t="shared" si="2"/>
        <v>1097342923</v>
      </c>
      <c r="AB96" s="3"/>
      <c r="AC96" s="216"/>
      <c r="AD96" s="7"/>
      <c r="AE96" s="145">
        <f>SUM(AE91:AE95)</f>
        <v>93444171</v>
      </c>
      <c r="AF96" s="3"/>
      <c r="AG96" s="180">
        <f t="shared" si="3"/>
        <v>70.599999999999994</v>
      </c>
      <c r="AH96" s="4"/>
      <c r="AI96" s="145">
        <f>SUM(AI91:AI95)</f>
        <v>6675486</v>
      </c>
      <c r="AJ96" s="3"/>
      <c r="AK96" s="180">
        <f t="shared" si="4"/>
        <v>7.1</v>
      </c>
      <c r="AL96" s="6"/>
      <c r="AM96" s="145"/>
      <c r="AN96" s="3"/>
      <c r="AO96" s="145">
        <f>SUM(AO91:AO95)</f>
        <v>93444171</v>
      </c>
      <c r="AP96" s="3"/>
      <c r="AQ96" s="224">
        <f t="shared" si="5"/>
        <v>7.1</v>
      </c>
      <c r="AT96" s="41">
        <f>AO96/(AO96+AO88)</f>
        <v>0.76810472896960813</v>
      </c>
    </row>
    <row r="97" spans="6:43" ht="20.100000000000001" customHeight="1" x14ac:dyDescent="0.3">
      <c r="F97" s="123"/>
      <c r="H97" s="123"/>
      <c r="I97" s="123"/>
      <c r="J97" s="219"/>
      <c r="K97" s="219"/>
      <c r="L97" s="123"/>
      <c r="M97" s="123"/>
      <c r="N97" s="123"/>
      <c r="O97" s="123"/>
      <c r="P97" s="123"/>
      <c r="Q97" s="123"/>
      <c r="R97" s="123"/>
      <c r="T97" s="41">
        <f t="shared" si="1"/>
        <v>19</v>
      </c>
      <c r="V97" s="132" t="s">
        <v>439</v>
      </c>
      <c r="Y97" s="49">
        <f>Y83</f>
        <v>155005</v>
      </c>
      <c r="Z97" s="1"/>
      <c r="AA97" s="145">
        <f>AA96</f>
        <v>1097342923</v>
      </c>
      <c r="AB97" s="3"/>
      <c r="AC97" s="216"/>
      <c r="AD97" s="7"/>
      <c r="AE97" s="145">
        <f>AE83+AE88+AE96</f>
        <v>125118153</v>
      </c>
      <c r="AF97" s="3"/>
      <c r="AG97" s="180">
        <f t="shared" si="3"/>
        <v>94.6</v>
      </c>
      <c r="AH97" s="4"/>
      <c r="AI97" s="145">
        <f>L41-AE97</f>
        <v>12724547</v>
      </c>
      <c r="AJ97" s="3"/>
      <c r="AK97" s="180">
        <f t="shared" si="4"/>
        <v>10.199999999999999</v>
      </c>
      <c r="AL97" s="6"/>
      <c r="AM97" s="145"/>
      <c r="AN97" s="3"/>
      <c r="AO97" s="145">
        <f>AO83+AO88+AO96</f>
        <v>125118153</v>
      </c>
      <c r="AP97" s="3"/>
      <c r="AQ97" s="180">
        <f t="shared" si="5"/>
        <v>10.199999999999999</v>
      </c>
    </row>
    <row r="98" spans="6:43" x14ac:dyDescent="0.3">
      <c r="F98" s="123"/>
      <c r="H98" s="123"/>
      <c r="I98" s="123"/>
      <c r="J98" s="219"/>
      <c r="K98" s="219"/>
      <c r="L98" s="123"/>
      <c r="M98" s="123"/>
      <c r="N98" s="123"/>
      <c r="O98" s="123"/>
      <c r="P98" s="123"/>
      <c r="Q98" s="123"/>
      <c r="R98" s="123"/>
      <c r="V98" s="42"/>
      <c r="Y98" s="3"/>
      <c r="Z98" s="1"/>
      <c r="AA98" s="3"/>
      <c r="AB98" s="3"/>
      <c r="AC98" s="216"/>
      <c r="AD98" s="7"/>
      <c r="AE98" s="3"/>
      <c r="AF98" s="3"/>
      <c r="AG98" s="175"/>
      <c r="AH98" s="4"/>
      <c r="AI98" s="3"/>
      <c r="AJ98" s="3"/>
      <c r="AK98" s="175"/>
      <c r="AL98" s="6"/>
      <c r="AM98" s="3"/>
      <c r="AN98" s="3"/>
      <c r="AO98" s="3"/>
      <c r="AP98" s="3"/>
      <c r="AQ98" s="175"/>
    </row>
    <row r="99" spans="6:43" x14ac:dyDescent="0.3">
      <c r="F99" s="123"/>
      <c r="H99" s="123"/>
      <c r="I99" s="123"/>
      <c r="J99" s="219"/>
      <c r="K99" s="219"/>
      <c r="L99" s="123"/>
      <c r="M99" s="123"/>
      <c r="N99" s="123"/>
      <c r="O99" s="123"/>
      <c r="P99" s="123"/>
      <c r="Q99" s="123"/>
      <c r="R99" s="123"/>
      <c r="T99" s="41">
        <f t="shared" ref="T99:T104" si="6">A43</f>
        <v>20</v>
      </c>
      <c r="V99" s="132" t="s">
        <v>432</v>
      </c>
      <c r="Y99" s="3"/>
      <c r="Z99" s="1"/>
      <c r="AA99" s="3"/>
      <c r="AB99" s="3"/>
      <c r="AC99" s="216"/>
      <c r="AD99" s="7"/>
      <c r="AE99" s="3"/>
      <c r="AF99" s="3"/>
      <c r="AG99" s="175"/>
      <c r="AH99" s="4"/>
      <c r="AI99" s="3"/>
      <c r="AJ99" s="3"/>
      <c r="AK99" s="175"/>
      <c r="AL99" s="6"/>
      <c r="AM99" s="3"/>
      <c r="AN99" s="3"/>
      <c r="AO99" s="3"/>
      <c r="AP99" s="3"/>
      <c r="AQ99" s="175"/>
    </row>
    <row r="100" spans="6:43" x14ac:dyDescent="0.3">
      <c r="F100" s="123"/>
      <c r="H100" s="123"/>
      <c r="I100" s="123"/>
      <c r="J100" s="219"/>
      <c r="K100" s="219"/>
      <c r="L100" s="123"/>
      <c r="M100" s="123"/>
      <c r="N100" s="123"/>
      <c r="O100" s="123"/>
      <c r="P100" s="123"/>
      <c r="Q100" s="123"/>
      <c r="R100" s="123"/>
      <c r="T100" s="41">
        <f t="shared" si="6"/>
        <v>21</v>
      </c>
      <c r="V100" s="192" t="str">
        <f>C44</f>
        <v>DEMAND SIDE MANAGEMENT RIDER (DSMR)</v>
      </c>
      <c r="Y100" s="3"/>
      <c r="Z100" s="1"/>
      <c r="AA100" s="3"/>
      <c r="AB100" s="3"/>
      <c r="AC100" s="217">
        <f>DSM_DIST</f>
        <v>3.503E-3</v>
      </c>
      <c r="AD100" s="7"/>
      <c r="AE100" s="3">
        <f>ROUND($AA$96*AC100,0)</f>
        <v>3843992</v>
      </c>
      <c r="AF100" s="3"/>
      <c r="AG100" s="175">
        <f>ROUND((AE100/AE$106)*100,1)</f>
        <v>2.9</v>
      </c>
      <c r="AH100" s="4"/>
      <c r="AI100" s="3">
        <f>L44-AE100</f>
        <v>0</v>
      </c>
      <c r="AJ100" s="3"/>
      <c r="AK100" s="175">
        <f>IFERROR(ROUND((AI100/AE100)*100,1),0)</f>
        <v>0</v>
      </c>
      <c r="AL100" s="6"/>
      <c r="AM100" s="3"/>
      <c r="AN100" s="3"/>
      <c r="AO100" s="3">
        <f>AE100+AM100</f>
        <v>3843992</v>
      </c>
      <c r="AP100" s="3"/>
      <c r="AQ100" s="181">
        <f t="shared" si="5"/>
        <v>0</v>
      </c>
    </row>
    <row r="101" spans="6:43" x14ac:dyDescent="0.3">
      <c r="F101" s="123"/>
      <c r="H101" s="123"/>
      <c r="I101" s="123"/>
      <c r="J101" s="219"/>
      <c r="K101" s="219"/>
      <c r="L101" s="123"/>
      <c r="M101" s="123"/>
      <c r="N101" s="123"/>
      <c r="O101" s="123"/>
      <c r="P101" s="123"/>
      <c r="Q101" s="123"/>
      <c r="R101" s="123"/>
      <c r="T101" s="41">
        <f t="shared" si="6"/>
        <v>22</v>
      </c>
      <c r="V101" s="192" t="str">
        <f>C45</f>
        <v>ENVIRONMENTAL SURCHARGE MECHANISM RIDER (ESM)</v>
      </c>
      <c r="Y101" s="3"/>
      <c r="Z101" s="1"/>
      <c r="AA101" s="3"/>
      <c r="AB101" s="3"/>
      <c r="AC101" s="231">
        <f>CUR_ESM_NonRes</f>
        <v>6.4941608437496566E-3</v>
      </c>
      <c r="AD101" s="7"/>
      <c r="AE101" s="3">
        <f>ROUND((AO97-(CUR_BASE_FUEL*AA97)+AO100+AO103)*AC101,0)</f>
        <v>614411</v>
      </c>
      <c r="AF101" s="3"/>
      <c r="AG101" s="175">
        <f>ROUND((AE101/AE$106)*100,1)</f>
        <v>0.5</v>
      </c>
      <c r="AH101" s="4"/>
      <c r="AI101" s="3">
        <f>L45-AE101</f>
        <v>8084</v>
      </c>
      <c r="AJ101" s="3"/>
      <c r="AK101" s="175">
        <f>IFERROR(ROUND((AI101/AE101)*100,1),0)</f>
        <v>1.3</v>
      </c>
      <c r="AL101" s="6"/>
      <c r="AM101" s="3"/>
      <c r="AN101" s="3"/>
      <c r="AO101" s="3">
        <f>AE101+AM101</f>
        <v>614411</v>
      </c>
      <c r="AP101" s="3"/>
      <c r="AQ101" s="181">
        <f>IF(AO101=0,"0.0 ",ROUND((AI101/AO101)*100,1))</f>
        <v>1.3</v>
      </c>
    </row>
    <row r="102" spans="6:43" x14ac:dyDescent="0.3">
      <c r="F102" s="123"/>
      <c r="H102" s="123"/>
      <c r="I102" s="123"/>
      <c r="J102" s="219"/>
      <c r="K102" s="219"/>
      <c r="L102" s="123"/>
      <c r="M102" s="123"/>
      <c r="N102" s="123"/>
      <c r="O102" s="123"/>
      <c r="P102" s="123"/>
      <c r="Q102" s="123"/>
      <c r="R102" s="123"/>
      <c r="T102" s="41">
        <f t="shared" si="6"/>
        <v>23</v>
      </c>
      <c r="V102" s="192" t="str">
        <f>C46</f>
        <v>FUEL ADJUSTMENT CLAUSE (FAC)</v>
      </c>
      <c r="Y102" s="3"/>
      <c r="Z102" s="1"/>
      <c r="AA102" s="3"/>
      <c r="AB102" s="3"/>
      <c r="AC102" s="217">
        <f>CUR_FAC</f>
        <v>3.4872127999999998E-3</v>
      </c>
      <c r="AD102" s="7"/>
      <c r="AE102" s="3"/>
      <c r="AF102" s="3"/>
      <c r="AG102" s="175"/>
      <c r="AH102" s="4"/>
      <c r="AI102" s="3"/>
      <c r="AJ102" s="3"/>
      <c r="AK102" s="175"/>
      <c r="AL102" s="6"/>
      <c r="AM102" s="3">
        <f>ROUND(AA96*CUR_FAC,0)</f>
        <v>3826668</v>
      </c>
      <c r="AN102" s="3"/>
      <c r="AO102" s="3">
        <f>AE102+AM102</f>
        <v>3826668</v>
      </c>
      <c r="AP102" s="3"/>
      <c r="AQ102" s="181">
        <f>IF(AO102=0,"0.0 ",ROUND(((R46-AO102)/AO102)*100,1))</f>
        <v>0</v>
      </c>
    </row>
    <row r="103" spans="6:43" x14ac:dyDescent="0.3">
      <c r="F103" s="123"/>
      <c r="H103" s="123"/>
      <c r="I103" s="123"/>
      <c r="J103" s="219"/>
      <c r="K103" s="219"/>
      <c r="L103" s="123"/>
      <c r="M103" s="123"/>
      <c r="N103" s="123"/>
      <c r="O103" s="123"/>
      <c r="P103" s="123"/>
      <c r="Q103" s="123"/>
      <c r="R103" s="123"/>
      <c r="T103" s="41">
        <f t="shared" si="6"/>
        <v>24</v>
      </c>
      <c r="V103" s="192" t="str">
        <f>C47</f>
        <v>PROFIT SHARING MECHANISM (PSM)</v>
      </c>
      <c r="Y103" s="3"/>
      <c r="Z103" s="1"/>
      <c r="AA103" s="3"/>
      <c r="AB103" s="3"/>
      <c r="AC103" s="217">
        <f>RS_PSM</f>
        <v>2.4750000000000002E-3</v>
      </c>
      <c r="AD103" s="7"/>
      <c r="AE103" s="49">
        <f>ROUND(AA96*AC103,0)</f>
        <v>2715924</v>
      </c>
      <c r="AF103" s="3"/>
      <c r="AG103" s="177">
        <f>ROUND((AE103/AE$106)*100,1)</f>
        <v>2.1</v>
      </c>
      <c r="AH103" s="4"/>
      <c r="AI103" s="49">
        <f>L47-AE103</f>
        <v>0</v>
      </c>
      <c r="AJ103" s="3"/>
      <c r="AK103" s="175">
        <f>IFERROR(ROUND((AI103/AE103)*100,1),0)</f>
        <v>0</v>
      </c>
      <c r="AL103" s="6"/>
      <c r="AM103" s="49"/>
      <c r="AN103" s="3"/>
      <c r="AO103" s="49">
        <f>AE103+AM103</f>
        <v>2715924</v>
      </c>
      <c r="AP103" s="3"/>
      <c r="AQ103" s="223">
        <f t="shared" si="5"/>
        <v>0</v>
      </c>
    </row>
    <row r="104" spans="6:43" ht="20.100000000000001" customHeight="1" x14ac:dyDescent="0.3">
      <c r="F104" s="123"/>
      <c r="H104" s="123"/>
      <c r="I104" s="123"/>
      <c r="J104" s="219"/>
      <c r="K104" s="219"/>
      <c r="L104" s="123"/>
      <c r="M104" s="123"/>
      <c r="N104" s="123"/>
      <c r="O104" s="123"/>
      <c r="P104" s="123"/>
      <c r="Q104" s="123"/>
      <c r="R104" s="123"/>
      <c r="T104" s="41">
        <f t="shared" si="6"/>
        <v>25</v>
      </c>
      <c r="V104" s="132" t="s">
        <v>437</v>
      </c>
      <c r="Y104" s="49"/>
      <c r="Z104" s="1"/>
      <c r="AA104" s="49"/>
      <c r="AB104" s="3"/>
      <c r="AC104" s="7"/>
      <c r="AD104" s="7"/>
      <c r="AE104" s="145">
        <f>SUM(AE100:AE103)</f>
        <v>7174327</v>
      </c>
      <c r="AF104" s="3"/>
      <c r="AG104" s="180">
        <f>ROUND((AE104/AE$106)*100,1)</f>
        <v>5.4</v>
      </c>
      <c r="AH104" s="4"/>
      <c r="AI104" s="145">
        <f>SUM(AI100:AI103)</f>
        <v>8084</v>
      </c>
      <c r="AJ104" s="3"/>
      <c r="AK104" s="180">
        <v>0</v>
      </c>
      <c r="AL104" s="6"/>
      <c r="AM104" s="145">
        <f>AM102</f>
        <v>3826668</v>
      </c>
      <c r="AN104" s="3"/>
      <c r="AO104" s="145">
        <f>SUM(AO100:AO103)</f>
        <v>11000995</v>
      </c>
      <c r="AP104" s="3"/>
      <c r="AQ104" s="224">
        <f t="shared" si="5"/>
        <v>0.1</v>
      </c>
    </row>
    <row r="105" spans="6:43" x14ac:dyDescent="0.3">
      <c r="F105" s="123"/>
      <c r="H105" s="123"/>
      <c r="I105" s="123"/>
      <c r="J105" s="219"/>
      <c r="K105" s="219"/>
      <c r="L105" s="123"/>
      <c r="M105" s="123"/>
      <c r="N105" s="123"/>
      <c r="O105" s="123"/>
      <c r="P105" s="123"/>
      <c r="Q105" s="123"/>
      <c r="R105" s="123"/>
      <c r="V105" s="42"/>
      <c r="Y105" s="3"/>
      <c r="Z105" s="1"/>
      <c r="AA105" s="3"/>
      <c r="AB105" s="3"/>
      <c r="AC105" s="7"/>
      <c r="AD105" s="7"/>
      <c r="AE105" s="3"/>
      <c r="AF105" s="3"/>
      <c r="AG105" s="175"/>
      <c r="AH105" s="4"/>
      <c r="AI105" s="3"/>
      <c r="AJ105" s="3"/>
      <c r="AK105" s="175"/>
      <c r="AL105" s="6"/>
      <c r="AM105" s="3"/>
      <c r="AN105" s="3"/>
      <c r="AO105" s="3"/>
      <c r="AP105" s="3"/>
      <c r="AQ105" s="175"/>
    </row>
    <row r="106" spans="6:43" ht="20.100000000000001" customHeight="1" thickBot="1" x14ac:dyDescent="0.35">
      <c r="T106" s="41">
        <f>A50</f>
        <v>26</v>
      </c>
      <c r="V106" s="178" t="s">
        <v>440</v>
      </c>
      <c r="Y106" s="151">
        <f>F50</f>
        <v>155005</v>
      </c>
      <c r="Z106" s="1"/>
      <c r="AA106" s="151">
        <f>H50</f>
        <v>1097342923</v>
      </c>
      <c r="AB106" s="3"/>
      <c r="AC106" s="7"/>
      <c r="AD106" s="7"/>
      <c r="AE106" s="151">
        <f>AE97+AE104</f>
        <v>132292480</v>
      </c>
      <c r="AF106" s="3"/>
      <c r="AG106" s="187">
        <v>100</v>
      </c>
      <c r="AH106" s="4"/>
      <c r="AI106" s="151">
        <f>AI97+AI104</f>
        <v>12732631</v>
      </c>
      <c r="AJ106" s="3"/>
      <c r="AK106" s="187">
        <f>ROUND((AI106/AE106)*100,1)</f>
        <v>9.6</v>
      </c>
      <c r="AL106" s="6"/>
      <c r="AM106" s="151">
        <f>AM97+AM104</f>
        <v>3826668</v>
      </c>
      <c r="AN106" s="3"/>
      <c r="AO106" s="151">
        <f>AO97+AO104</f>
        <v>136119148</v>
      </c>
      <c r="AP106" s="3"/>
      <c r="AQ106" s="232">
        <f>IF(AO106=0,"0.0 ",ROUND((AI106/AO106)*100,1))</f>
        <v>9.4</v>
      </c>
    </row>
    <row r="107" spans="6:43" ht="15.75" customHeight="1" thickTop="1" x14ac:dyDescent="0.3">
      <c r="Y107" s="3"/>
      <c r="Z107" s="1"/>
      <c r="AA107" s="3"/>
      <c r="AB107" s="3"/>
      <c r="AC107" s="7"/>
      <c r="AD107" s="7"/>
      <c r="AE107" s="3"/>
      <c r="AF107" s="3"/>
      <c r="AG107" s="175"/>
      <c r="AH107" s="3"/>
      <c r="AI107" s="1"/>
      <c r="AJ107" s="1"/>
      <c r="AK107" s="175"/>
      <c r="AL107" s="1"/>
      <c r="AM107" s="1"/>
      <c r="AN107" s="1"/>
      <c r="AO107" s="1"/>
      <c r="AP107" s="1"/>
      <c r="AQ107" s="175"/>
    </row>
    <row r="108" spans="6:43" x14ac:dyDescent="0.3">
      <c r="L108" s="123"/>
      <c r="M108" s="123"/>
      <c r="N108" s="123"/>
      <c r="O108" s="123"/>
      <c r="P108" s="123"/>
      <c r="Q108" s="123"/>
      <c r="R108" s="123"/>
      <c r="V108" s="202" t="s">
        <v>59</v>
      </c>
      <c r="Y108" s="123"/>
      <c r="AA108" s="123"/>
      <c r="AB108" s="123"/>
      <c r="AC108" s="219"/>
      <c r="AD108" s="219"/>
      <c r="AE108" s="123"/>
      <c r="AF108" s="123"/>
      <c r="AH108" s="123"/>
    </row>
    <row r="109" spans="6:43" x14ac:dyDescent="0.3">
      <c r="T109" s="42"/>
      <c r="V109" s="202" t="str">
        <f>"(2) REFLECTS FUEL COMPONENT OF "&amp;TEXT(CUR_FAC,"$0.000000;($0.000000)")&amp;"  PER KWH."</f>
        <v>(2) REFLECTS FUEL COMPONENT OF $0.003487  PER KWH.</v>
      </c>
      <c r="Y109" s="123"/>
      <c r="AA109" s="123"/>
      <c r="AB109" s="123"/>
      <c r="AC109" s="219"/>
      <c r="AD109" s="219"/>
      <c r="AE109" s="123"/>
      <c r="AF109" s="123"/>
      <c r="AH109" s="123"/>
    </row>
    <row r="110" spans="6:43" x14ac:dyDescent="0.3">
      <c r="V110" s="202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11" spans="6:43" x14ac:dyDescent="0.3">
      <c r="H111" s="42"/>
      <c r="I111" s="42"/>
      <c r="Y111" s="42"/>
    </row>
    <row r="113" spans="1:40" x14ac:dyDescent="0.3">
      <c r="L113" s="42"/>
      <c r="M113" s="42"/>
      <c r="AA113" s="42"/>
      <c r="AB113" s="42"/>
    </row>
    <row r="114" spans="1:40" x14ac:dyDescent="0.3">
      <c r="R114" s="42"/>
      <c r="AK114" s="206"/>
      <c r="AL114" s="42"/>
    </row>
    <row r="115" spans="1:40" x14ac:dyDescent="0.3">
      <c r="R115" s="42"/>
      <c r="AK115" s="206"/>
      <c r="AL115" s="42"/>
    </row>
    <row r="116" spans="1:40" x14ac:dyDescent="0.3">
      <c r="A116" s="42"/>
      <c r="R116" s="42"/>
      <c r="AK116" s="206"/>
      <c r="AL116" s="42"/>
    </row>
    <row r="117" spans="1:40" x14ac:dyDescent="0.3">
      <c r="L117" s="42"/>
      <c r="M117" s="42"/>
      <c r="AA117" s="42"/>
      <c r="AB117" s="42"/>
    </row>
    <row r="118" spans="1:40" x14ac:dyDescent="0.3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207"/>
      <c r="AH118" s="135"/>
      <c r="AI118" s="135"/>
      <c r="AJ118" s="135"/>
      <c r="AK118" s="207"/>
      <c r="AL118" s="135"/>
      <c r="AM118" s="135"/>
      <c r="AN118" s="135"/>
    </row>
    <row r="119" spans="1:40" x14ac:dyDescent="0.3">
      <c r="L119" s="44"/>
      <c r="M119" s="44"/>
      <c r="N119" s="44"/>
      <c r="O119" s="44"/>
      <c r="R119" s="44"/>
      <c r="AA119" s="44"/>
      <c r="AB119" s="44"/>
      <c r="AC119" s="44"/>
      <c r="AD119" s="44"/>
      <c r="AE119" s="44"/>
      <c r="AF119" s="44"/>
      <c r="AG119" s="168"/>
      <c r="AH119" s="44"/>
      <c r="AK119" s="168"/>
      <c r="AL119" s="44"/>
      <c r="AM119" s="44"/>
      <c r="AN119" s="44"/>
    </row>
    <row r="120" spans="1:40" x14ac:dyDescent="0.3">
      <c r="L120" s="44"/>
      <c r="M120" s="44"/>
      <c r="N120" s="44"/>
      <c r="O120" s="44"/>
      <c r="R120" s="44"/>
      <c r="Z120" s="44"/>
      <c r="AA120" s="44"/>
      <c r="AB120" s="44"/>
      <c r="AC120" s="44"/>
      <c r="AD120" s="44"/>
      <c r="AE120" s="44"/>
      <c r="AF120" s="44"/>
      <c r="AG120" s="168"/>
      <c r="AH120" s="44"/>
      <c r="AK120" s="168"/>
      <c r="AL120" s="44"/>
      <c r="AM120" s="44"/>
      <c r="AN120" s="44"/>
    </row>
    <row r="121" spans="1:40" x14ac:dyDescent="0.3">
      <c r="A121" s="44"/>
      <c r="C121" s="44"/>
      <c r="D121" s="44"/>
      <c r="E121" s="44"/>
      <c r="F121" s="44"/>
      <c r="J121" s="44"/>
      <c r="K121" s="44"/>
      <c r="L121" s="44"/>
      <c r="M121" s="44"/>
      <c r="N121" s="44"/>
      <c r="O121" s="44"/>
      <c r="P121" s="44"/>
      <c r="Q121" s="44"/>
      <c r="R121" s="44"/>
      <c r="T121" s="44"/>
      <c r="U121" s="44"/>
      <c r="V121" s="44"/>
      <c r="Z121" s="44"/>
      <c r="AA121" s="44"/>
      <c r="AB121" s="44"/>
      <c r="AC121" s="44"/>
      <c r="AD121" s="44"/>
      <c r="AE121" s="44"/>
      <c r="AF121" s="44"/>
      <c r="AG121" s="168"/>
      <c r="AH121" s="44"/>
      <c r="AI121" s="44"/>
      <c r="AJ121" s="44"/>
      <c r="AK121" s="168"/>
      <c r="AL121" s="44"/>
      <c r="AM121" s="44"/>
      <c r="AN121" s="44"/>
    </row>
    <row r="122" spans="1:40" x14ac:dyDescent="0.3">
      <c r="A122" s="44"/>
      <c r="C122" s="44"/>
      <c r="D122" s="44"/>
      <c r="E122" s="44"/>
      <c r="F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T122" s="44"/>
      <c r="U122" s="44"/>
      <c r="V122" s="44"/>
      <c r="Y122" s="44"/>
      <c r="Z122" s="44"/>
      <c r="AA122" s="44"/>
      <c r="AB122" s="44"/>
      <c r="AC122" s="44"/>
      <c r="AD122" s="44"/>
      <c r="AE122" s="44"/>
      <c r="AF122" s="44"/>
      <c r="AG122" s="168"/>
      <c r="AH122" s="44"/>
      <c r="AI122" s="44"/>
      <c r="AJ122" s="44"/>
      <c r="AK122" s="168"/>
      <c r="AL122" s="44"/>
      <c r="AM122" s="44"/>
      <c r="AN122" s="44"/>
    </row>
    <row r="123" spans="1:40" x14ac:dyDescent="0.3">
      <c r="C123" s="44"/>
      <c r="D123" s="44"/>
      <c r="E123" s="44"/>
      <c r="F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T123" s="44"/>
      <c r="U123" s="44"/>
      <c r="V123" s="44"/>
      <c r="Y123" s="44"/>
      <c r="Z123" s="44"/>
      <c r="AA123" s="44"/>
      <c r="AB123" s="44"/>
      <c r="AC123" s="44"/>
      <c r="AD123" s="44"/>
      <c r="AE123" s="44"/>
      <c r="AF123" s="44"/>
      <c r="AG123" s="168"/>
      <c r="AH123" s="44"/>
      <c r="AI123" s="44"/>
      <c r="AJ123" s="44"/>
      <c r="AK123" s="168"/>
      <c r="AL123" s="44"/>
      <c r="AM123" s="44"/>
      <c r="AN123" s="44"/>
    </row>
    <row r="124" spans="1:40" x14ac:dyDescent="0.3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207"/>
      <c r="AH124" s="135"/>
      <c r="AI124" s="135"/>
      <c r="AJ124" s="135"/>
      <c r="AK124" s="207"/>
      <c r="AL124" s="135"/>
      <c r="AM124" s="135"/>
      <c r="AN124" s="135"/>
    </row>
    <row r="125" spans="1:40" x14ac:dyDescent="0.3"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Y125" s="44"/>
      <c r="Z125" s="44"/>
      <c r="AA125" s="44"/>
      <c r="AB125" s="44"/>
      <c r="AC125" s="44"/>
      <c r="AD125" s="44"/>
      <c r="AE125" s="44"/>
      <c r="AF125" s="44"/>
      <c r="AG125" s="168"/>
      <c r="AH125" s="44"/>
      <c r="AI125" s="44"/>
      <c r="AJ125" s="44"/>
      <c r="AK125" s="168"/>
      <c r="AL125" s="44"/>
      <c r="AM125" s="44"/>
      <c r="AN125" s="44"/>
    </row>
    <row r="126" spans="1:40" x14ac:dyDescent="0.3">
      <c r="C126" s="42"/>
      <c r="D126" s="42"/>
      <c r="E126" s="42"/>
      <c r="T126" s="42"/>
      <c r="U126" s="42"/>
    </row>
    <row r="127" spans="1:40" x14ac:dyDescent="0.3">
      <c r="C127" s="42"/>
      <c r="T127" s="42"/>
    </row>
    <row r="129" spans="3:40" x14ac:dyDescent="0.3">
      <c r="C129" s="42"/>
      <c r="T129" s="42"/>
    </row>
    <row r="130" spans="3:40" x14ac:dyDescent="0.3">
      <c r="C130" s="42"/>
      <c r="F130" s="184"/>
      <c r="H130" s="184"/>
      <c r="I130" s="184"/>
      <c r="J130" s="193"/>
      <c r="K130" s="193"/>
      <c r="L130" s="123"/>
      <c r="M130" s="123"/>
      <c r="N130" s="160"/>
      <c r="O130" s="160"/>
      <c r="R130" s="123"/>
      <c r="T130" s="42"/>
      <c r="V130" s="123"/>
      <c r="Y130" s="184"/>
      <c r="Z130" s="193"/>
      <c r="AA130" s="123"/>
      <c r="AB130" s="123"/>
      <c r="AC130" s="160"/>
      <c r="AD130" s="160"/>
      <c r="AE130" s="123"/>
      <c r="AF130" s="123"/>
      <c r="AG130" s="233"/>
      <c r="AH130" s="234"/>
      <c r="AL130" s="123"/>
      <c r="AM130" s="235"/>
      <c r="AN130" s="235"/>
    </row>
    <row r="131" spans="3:40" x14ac:dyDescent="0.3">
      <c r="C131" s="42"/>
      <c r="F131" s="184"/>
      <c r="H131" s="184"/>
      <c r="I131" s="184"/>
      <c r="J131" s="193"/>
      <c r="K131" s="193"/>
      <c r="L131" s="123"/>
      <c r="M131" s="123"/>
      <c r="N131" s="160"/>
      <c r="O131" s="160"/>
      <c r="R131" s="123"/>
      <c r="T131" s="42"/>
      <c r="V131" s="123"/>
      <c r="Y131" s="184"/>
      <c r="Z131" s="193"/>
      <c r="AA131" s="123"/>
      <c r="AB131" s="123"/>
      <c r="AC131" s="160"/>
      <c r="AD131" s="160"/>
      <c r="AE131" s="123"/>
      <c r="AF131" s="123"/>
      <c r="AH131" s="236"/>
      <c r="AL131" s="123"/>
      <c r="AM131" s="160"/>
      <c r="AN131" s="160"/>
    </row>
    <row r="132" spans="3:40" x14ac:dyDescent="0.3">
      <c r="C132" s="42"/>
      <c r="F132" s="184"/>
      <c r="H132" s="184"/>
      <c r="I132" s="184"/>
      <c r="J132" s="193"/>
      <c r="K132" s="193"/>
      <c r="L132" s="123"/>
      <c r="M132" s="123"/>
      <c r="N132" s="160"/>
      <c r="O132" s="160"/>
      <c r="R132" s="123"/>
      <c r="T132" s="42"/>
      <c r="V132" s="123"/>
      <c r="Y132" s="184"/>
      <c r="Z132" s="193"/>
      <c r="AA132" s="123"/>
      <c r="AB132" s="123"/>
      <c r="AC132" s="160"/>
      <c r="AD132" s="160"/>
      <c r="AE132" s="123"/>
      <c r="AF132" s="123"/>
      <c r="AH132" s="236"/>
      <c r="AL132" s="123"/>
      <c r="AM132" s="160"/>
      <c r="AN132" s="160"/>
    </row>
    <row r="133" spans="3:40" x14ac:dyDescent="0.3">
      <c r="F133" s="210"/>
      <c r="H133" s="123"/>
      <c r="I133" s="123"/>
      <c r="J133" s="213"/>
      <c r="K133" s="213"/>
      <c r="L133" s="210"/>
      <c r="M133" s="210"/>
      <c r="N133" s="210"/>
      <c r="O133" s="210"/>
      <c r="P133" s="210"/>
      <c r="Q133" s="210"/>
      <c r="R133" s="210"/>
      <c r="V133" s="210"/>
      <c r="Y133" s="123"/>
      <c r="Z133" s="213"/>
      <c r="AA133" s="210"/>
      <c r="AB133" s="210"/>
      <c r="AC133" s="210"/>
      <c r="AD133" s="210"/>
      <c r="AE133" s="210"/>
      <c r="AF133" s="210"/>
      <c r="AI133" s="210"/>
      <c r="AJ133" s="210"/>
      <c r="AK133" s="214"/>
      <c r="AL133" s="210"/>
      <c r="AM133" s="160"/>
      <c r="AN133" s="160"/>
    </row>
    <row r="134" spans="3:40" x14ac:dyDescent="0.3">
      <c r="C134" s="42"/>
      <c r="F134" s="123"/>
      <c r="H134" s="123"/>
      <c r="I134" s="123"/>
      <c r="J134" s="213"/>
      <c r="K134" s="213"/>
      <c r="L134" s="123"/>
      <c r="M134" s="123"/>
      <c r="N134" s="160"/>
      <c r="O134" s="160"/>
      <c r="P134" s="123"/>
      <c r="Q134" s="123"/>
      <c r="R134" s="123"/>
      <c r="T134" s="42"/>
      <c r="V134" s="123"/>
      <c r="Y134" s="123"/>
      <c r="Z134" s="219"/>
      <c r="AA134" s="123"/>
      <c r="AB134" s="123"/>
      <c r="AC134" s="160"/>
      <c r="AD134" s="160"/>
      <c r="AE134" s="123"/>
      <c r="AF134" s="123"/>
      <c r="AH134" s="236"/>
      <c r="AI134" s="123"/>
      <c r="AJ134" s="123"/>
      <c r="AL134" s="123"/>
      <c r="AM134" s="160"/>
      <c r="AN134" s="160"/>
    </row>
    <row r="135" spans="3:40" x14ac:dyDescent="0.3">
      <c r="F135" s="210"/>
      <c r="H135" s="123"/>
      <c r="I135" s="123"/>
      <c r="J135" s="213"/>
      <c r="K135" s="213"/>
      <c r="L135" s="210"/>
      <c r="M135" s="210"/>
      <c r="N135" s="210"/>
      <c r="O135" s="210"/>
      <c r="P135" s="210"/>
      <c r="Q135" s="210"/>
      <c r="R135" s="210"/>
      <c r="V135" s="210"/>
      <c r="Y135" s="123"/>
      <c r="Z135" s="213"/>
      <c r="AA135" s="210"/>
      <c r="AB135" s="210"/>
      <c r="AC135" s="210"/>
      <c r="AD135" s="210"/>
      <c r="AE135" s="210"/>
      <c r="AF135" s="210"/>
      <c r="AI135" s="210"/>
      <c r="AJ135" s="210"/>
      <c r="AK135" s="214"/>
      <c r="AL135" s="210"/>
      <c r="AM135" s="160"/>
      <c r="AN135" s="160"/>
    </row>
    <row r="136" spans="3:40" x14ac:dyDescent="0.3">
      <c r="C136" s="42"/>
      <c r="F136" s="184"/>
      <c r="H136" s="184"/>
      <c r="I136" s="184"/>
      <c r="J136" s="237"/>
      <c r="K136" s="237"/>
      <c r="L136" s="123"/>
      <c r="M136" s="123"/>
      <c r="N136" s="160"/>
      <c r="O136" s="160"/>
      <c r="P136" s="123"/>
      <c r="Q136" s="123"/>
      <c r="R136" s="123"/>
      <c r="S136" s="123"/>
      <c r="T136" s="42"/>
      <c r="V136" s="184"/>
      <c r="Y136" s="184"/>
      <c r="Z136" s="237"/>
      <c r="AA136" s="123"/>
      <c r="AB136" s="123"/>
      <c r="AC136" s="160"/>
      <c r="AD136" s="160"/>
      <c r="AE136" s="123"/>
      <c r="AF136" s="123"/>
      <c r="AH136" s="160"/>
      <c r="AI136" s="123"/>
      <c r="AJ136" s="123"/>
      <c r="AL136" s="123"/>
      <c r="AM136" s="160"/>
      <c r="AN136" s="160"/>
    </row>
    <row r="137" spans="3:40" x14ac:dyDescent="0.3">
      <c r="C137" s="42"/>
      <c r="F137" s="184"/>
      <c r="H137" s="184"/>
      <c r="I137" s="184"/>
      <c r="J137" s="193"/>
      <c r="K137" s="193"/>
      <c r="L137" s="123"/>
      <c r="M137" s="123"/>
      <c r="N137" s="160"/>
      <c r="O137" s="160"/>
      <c r="P137" s="123"/>
      <c r="Q137" s="123"/>
      <c r="R137" s="123"/>
      <c r="T137" s="42"/>
      <c r="V137" s="184"/>
      <c r="Y137" s="123"/>
      <c r="Z137" s="193"/>
      <c r="AA137" s="123"/>
      <c r="AB137" s="123"/>
      <c r="AC137" s="160"/>
      <c r="AD137" s="160"/>
      <c r="AE137" s="123"/>
      <c r="AF137" s="123"/>
      <c r="AH137" s="236"/>
      <c r="AI137" s="123"/>
      <c r="AJ137" s="123"/>
      <c r="AL137" s="123"/>
      <c r="AM137" s="160"/>
      <c r="AN137" s="160"/>
    </row>
    <row r="138" spans="3:40" x14ac:dyDescent="0.3">
      <c r="C138" s="42"/>
      <c r="F138" s="184"/>
      <c r="H138" s="184"/>
      <c r="I138" s="184"/>
      <c r="J138" s="193"/>
      <c r="K138" s="193"/>
      <c r="L138" s="123"/>
      <c r="M138" s="123"/>
      <c r="N138" s="160"/>
      <c r="O138" s="160"/>
      <c r="P138" s="123"/>
      <c r="Q138" s="123"/>
      <c r="R138" s="123"/>
      <c r="T138" s="42"/>
      <c r="V138" s="184"/>
      <c r="Y138" s="123"/>
      <c r="Z138" s="193"/>
      <c r="AA138" s="123"/>
      <c r="AB138" s="123"/>
      <c r="AC138" s="160"/>
      <c r="AD138" s="160"/>
      <c r="AE138" s="123"/>
      <c r="AF138" s="123"/>
      <c r="AH138" s="236"/>
      <c r="AI138" s="123"/>
      <c r="AJ138" s="123"/>
      <c r="AL138" s="123"/>
      <c r="AM138" s="160"/>
      <c r="AN138" s="160"/>
    </row>
    <row r="139" spans="3:40" x14ac:dyDescent="0.3">
      <c r="F139" s="123"/>
      <c r="H139" s="210"/>
      <c r="I139" s="210"/>
      <c r="J139" s="213"/>
      <c r="K139" s="213"/>
      <c r="L139" s="210"/>
      <c r="M139" s="210"/>
      <c r="N139" s="210"/>
      <c r="O139" s="210"/>
      <c r="P139" s="210"/>
      <c r="Q139" s="210"/>
      <c r="R139" s="210"/>
      <c r="V139" s="123"/>
      <c r="Y139" s="210"/>
      <c r="Z139" s="213"/>
      <c r="AA139" s="210"/>
      <c r="AB139" s="210"/>
      <c r="AC139" s="210"/>
      <c r="AD139" s="210"/>
      <c r="AE139" s="210"/>
      <c r="AF139" s="210"/>
      <c r="AI139" s="210"/>
      <c r="AJ139" s="210"/>
      <c r="AK139" s="214"/>
      <c r="AL139" s="210"/>
      <c r="AM139" s="160"/>
      <c r="AN139" s="160"/>
    </row>
    <row r="140" spans="3:40" x14ac:dyDescent="0.3">
      <c r="C140" s="42"/>
      <c r="F140" s="123"/>
      <c r="H140" s="123"/>
      <c r="I140" s="123"/>
      <c r="J140" s="213"/>
      <c r="K140" s="213"/>
      <c r="L140" s="123"/>
      <c r="M140" s="123"/>
      <c r="N140" s="160"/>
      <c r="O140" s="160"/>
      <c r="P140" s="123"/>
      <c r="Q140" s="123"/>
      <c r="R140" s="123"/>
      <c r="T140" s="42"/>
      <c r="V140" s="123"/>
      <c r="Y140" s="123"/>
      <c r="Z140" s="213"/>
      <c r="AA140" s="123"/>
      <c r="AB140" s="123"/>
      <c r="AC140" s="160"/>
      <c r="AD140" s="160"/>
      <c r="AE140" s="123"/>
      <c r="AF140" s="123"/>
      <c r="AH140" s="236"/>
      <c r="AI140" s="123"/>
      <c r="AJ140" s="123"/>
      <c r="AL140" s="123"/>
      <c r="AM140" s="160"/>
      <c r="AN140" s="160"/>
    </row>
    <row r="141" spans="3:40" x14ac:dyDescent="0.3">
      <c r="F141" s="123"/>
      <c r="H141" s="210"/>
      <c r="I141" s="210"/>
      <c r="J141" s="213"/>
      <c r="K141" s="213"/>
      <c r="L141" s="210"/>
      <c r="M141" s="210"/>
      <c r="N141" s="210"/>
      <c r="O141" s="210"/>
      <c r="P141" s="210"/>
      <c r="Q141" s="210"/>
      <c r="R141" s="210"/>
      <c r="V141" s="123"/>
      <c r="Y141" s="210"/>
      <c r="Z141" s="213"/>
      <c r="AA141" s="210"/>
      <c r="AB141" s="210"/>
      <c r="AC141" s="210"/>
      <c r="AD141" s="210"/>
      <c r="AE141" s="210"/>
      <c r="AF141" s="210"/>
      <c r="AI141" s="210"/>
      <c r="AJ141" s="210"/>
      <c r="AK141" s="214"/>
      <c r="AL141" s="210"/>
      <c r="AM141" s="160"/>
      <c r="AN141" s="160"/>
    </row>
    <row r="142" spans="3:40" x14ac:dyDescent="0.3">
      <c r="C142" s="42"/>
      <c r="F142" s="123"/>
      <c r="H142" s="123"/>
      <c r="I142" s="123"/>
      <c r="J142" s="213"/>
      <c r="K142" s="213"/>
      <c r="L142" s="123"/>
      <c r="M142" s="123"/>
      <c r="N142" s="123"/>
      <c r="O142" s="123"/>
      <c r="P142" s="123"/>
      <c r="Q142" s="123"/>
      <c r="R142" s="123"/>
      <c r="T142" s="42"/>
      <c r="V142" s="123"/>
      <c r="Y142" s="123"/>
      <c r="Z142" s="213"/>
      <c r="AA142" s="123"/>
      <c r="AB142" s="123"/>
      <c r="AC142" s="123"/>
      <c r="AD142" s="123"/>
      <c r="AE142" s="123"/>
      <c r="AF142" s="123"/>
      <c r="AH142" s="236"/>
      <c r="AI142" s="123"/>
      <c r="AJ142" s="123"/>
      <c r="AL142" s="123"/>
      <c r="AM142" s="160"/>
      <c r="AN142" s="160"/>
    </row>
    <row r="143" spans="3:40" x14ac:dyDescent="0.3">
      <c r="C143" s="42"/>
      <c r="F143" s="123"/>
      <c r="H143" s="184"/>
      <c r="I143" s="184"/>
      <c r="J143" s="238"/>
      <c r="K143" s="238"/>
      <c r="L143" s="123"/>
      <c r="M143" s="123"/>
      <c r="N143" s="160"/>
      <c r="O143" s="160"/>
      <c r="P143" s="123"/>
      <c r="Q143" s="123"/>
      <c r="R143" s="123"/>
      <c r="T143" s="42"/>
      <c r="V143" s="123"/>
      <c r="Y143" s="123"/>
      <c r="Z143" s="238"/>
      <c r="AA143" s="123"/>
      <c r="AB143" s="123"/>
      <c r="AC143" s="160"/>
      <c r="AD143" s="160"/>
      <c r="AE143" s="123"/>
      <c r="AF143" s="123"/>
      <c r="AH143" s="236"/>
      <c r="AI143" s="123"/>
      <c r="AJ143" s="123"/>
      <c r="AL143" s="123"/>
      <c r="AM143" s="160"/>
      <c r="AN143" s="160"/>
    </row>
    <row r="144" spans="3:40" x14ac:dyDescent="0.3">
      <c r="C144" s="42"/>
      <c r="H144" s="184"/>
      <c r="I144" s="184"/>
      <c r="J144" s="238"/>
      <c r="K144" s="238"/>
      <c r="L144" s="123"/>
      <c r="M144" s="123"/>
      <c r="N144" s="160"/>
      <c r="O144" s="160"/>
      <c r="P144" s="123"/>
      <c r="Q144" s="123"/>
      <c r="R144" s="123"/>
      <c r="T144" s="42"/>
      <c r="Y144" s="123"/>
      <c r="Z144" s="238"/>
      <c r="AA144" s="123"/>
      <c r="AB144" s="123"/>
      <c r="AC144" s="160"/>
      <c r="AD144" s="160"/>
      <c r="AE144" s="123"/>
      <c r="AF144" s="123"/>
      <c r="AH144" s="236"/>
      <c r="AI144" s="123"/>
      <c r="AJ144" s="123"/>
      <c r="AL144" s="123"/>
      <c r="AM144" s="160"/>
      <c r="AN144" s="160"/>
    </row>
    <row r="145" spans="3:40" x14ac:dyDescent="0.3">
      <c r="F145" s="123"/>
      <c r="H145" s="123"/>
      <c r="I145" s="123"/>
      <c r="J145" s="213"/>
      <c r="K145" s="213"/>
      <c r="L145" s="210"/>
      <c r="M145" s="210"/>
      <c r="N145" s="210"/>
      <c r="O145" s="210"/>
      <c r="P145" s="210"/>
      <c r="Q145" s="210"/>
      <c r="R145" s="210"/>
      <c r="V145" s="123"/>
      <c r="Y145" s="123"/>
      <c r="Z145" s="213"/>
      <c r="AA145" s="210"/>
      <c r="AB145" s="210"/>
      <c r="AC145" s="210"/>
      <c r="AD145" s="210"/>
      <c r="AE145" s="210"/>
      <c r="AF145" s="210"/>
      <c r="AI145" s="210"/>
      <c r="AJ145" s="210"/>
      <c r="AK145" s="214"/>
      <c r="AL145" s="210"/>
      <c r="AM145" s="160"/>
      <c r="AN145" s="160"/>
    </row>
    <row r="146" spans="3:40" x14ac:dyDescent="0.3">
      <c r="C146" s="42"/>
      <c r="F146" s="123"/>
      <c r="H146" s="123"/>
      <c r="I146" s="123"/>
      <c r="J146" s="219"/>
      <c r="K146" s="219"/>
      <c r="L146" s="123"/>
      <c r="M146" s="123"/>
      <c r="N146" s="160"/>
      <c r="O146" s="160"/>
      <c r="P146" s="123"/>
      <c r="Q146" s="123"/>
      <c r="R146" s="123"/>
      <c r="T146" s="42"/>
      <c r="V146" s="123"/>
      <c r="Y146" s="123"/>
      <c r="Z146" s="219"/>
      <c r="AA146" s="123"/>
      <c r="AB146" s="123"/>
      <c r="AC146" s="160"/>
      <c r="AD146" s="160"/>
      <c r="AE146" s="123"/>
      <c r="AF146" s="123"/>
      <c r="AH146" s="236"/>
      <c r="AI146" s="123"/>
      <c r="AJ146" s="123"/>
      <c r="AL146" s="123"/>
      <c r="AM146" s="160"/>
      <c r="AN146" s="160"/>
    </row>
    <row r="147" spans="3:40" x14ac:dyDescent="0.3">
      <c r="F147" s="123"/>
      <c r="H147" s="123"/>
      <c r="I147" s="123"/>
      <c r="J147" s="213"/>
      <c r="K147" s="213"/>
      <c r="L147" s="210"/>
      <c r="M147" s="210"/>
      <c r="N147" s="210"/>
      <c r="O147" s="210"/>
      <c r="P147" s="210"/>
      <c r="Q147" s="210"/>
      <c r="R147" s="210"/>
      <c r="V147" s="123"/>
      <c r="Y147" s="123"/>
      <c r="Z147" s="213"/>
      <c r="AA147" s="210"/>
      <c r="AB147" s="210"/>
      <c r="AC147" s="210"/>
      <c r="AD147" s="210"/>
      <c r="AE147" s="210"/>
      <c r="AF147" s="210"/>
      <c r="AI147" s="210"/>
      <c r="AJ147" s="210"/>
      <c r="AK147" s="214"/>
      <c r="AL147" s="210"/>
      <c r="AM147" s="160"/>
      <c r="AN147" s="160"/>
    </row>
    <row r="148" spans="3:40" x14ac:dyDescent="0.3">
      <c r="C148" s="42"/>
      <c r="F148" s="123"/>
      <c r="H148" s="123"/>
      <c r="I148" s="123"/>
      <c r="J148" s="219"/>
      <c r="K148" s="219"/>
      <c r="L148" s="123"/>
      <c r="M148" s="123"/>
      <c r="N148" s="160"/>
      <c r="O148" s="160"/>
      <c r="P148" s="123"/>
      <c r="Q148" s="123"/>
      <c r="R148" s="123"/>
      <c r="T148" s="42"/>
      <c r="V148" s="123"/>
      <c r="Y148" s="123"/>
      <c r="Z148" s="219"/>
      <c r="AA148" s="123"/>
      <c r="AB148" s="123"/>
      <c r="AC148" s="160"/>
      <c r="AD148" s="160"/>
      <c r="AE148" s="123"/>
      <c r="AF148" s="123"/>
      <c r="AH148" s="236"/>
      <c r="AI148" s="123"/>
      <c r="AJ148" s="123"/>
      <c r="AL148" s="123"/>
      <c r="AM148" s="160"/>
      <c r="AN148" s="160"/>
    </row>
    <row r="149" spans="3:40" x14ac:dyDescent="0.3">
      <c r="C149" s="42"/>
      <c r="F149" s="123"/>
      <c r="H149" s="184"/>
      <c r="I149" s="184"/>
      <c r="J149" s="227"/>
      <c r="K149" s="227"/>
      <c r="L149" s="123"/>
      <c r="M149" s="123"/>
      <c r="N149" s="160"/>
      <c r="O149" s="160"/>
      <c r="P149" s="123"/>
      <c r="Q149" s="123"/>
      <c r="R149" s="123"/>
      <c r="T149" s="42"/>
      <c r="V149" s="184"/>
      <c r="Y149" s="123"/>
      <c r="Z149" s="227"/>
      <c r="AA149" s="123"/>
      <c r="AB149" s="123"/>
      <c r="AC149" s="160"/>
      <c r="AD149" s="160"/>
      <c r="AE149" s="123"/>
      <c r="AF149" s="123"/>
      <c r="AH149" s="236"/>
      <c r="AI149" s="123"/>
      <c r="AJ149" s="123"/>
      <c r="AL149" s="123"/>
      <c r="AM149" s="160"/>
      <c r="AN149" s="160"/>
    </row>
    <row r="150" spans="3:40" x14ac:dyDescent="0.3">
      <c r="F150" s="210"/>
      <c r="H150" s="210"/>
      <c r="I150" s="210"/>
      <c r="J150" s="213"/>
      <c r="K150" s="213"/>
      <c r="L150" s="210"/>
      <c r="M150" s="210"/>
      <c r="N150" s="210"/>
      <c r="O150" s="210"/>
      <c r="P150" s="210"/>
      <c r="Q150" s="210"/>
      <c r="R150" s="210"/>
      <c r="V150" s="210"/>
      <c r="Y150" s="210"/>
      <c r="Z150" s="213"/>
      <c r="AA150" s="210"/>
      <c r="AB150" s="210"/>
      <c r="AC150" s="210"/>
      <c r="AD150" s="210"/>
      <c r="AE150" s="210"/>
      <c r="AF150" s="210"/>
      <c r="AI150" s="210"/>
      <c r="AJ150" s="210"/>
      <c r="AK150" s="214"/>
      <c r="AL150" s="210"/>
      <c r="AM150" s="160"/>
      <c r="AN150" s="160"/>
    </row>
    <row r="151" spans="3:40" x14ac:dyDescent="0.3">
      <c r="C151" s="42"/>
      <c r="F151" s="123"/>
      <c r="H151" s="123"/>
      <c r="I151" s="123"/>
      <c r="J151" s="213"/>
      <c r="K151" s="213"/>
      <c r="L151" s="123"/>
      <c r="M151" s="123"/>
      <c r="N151" s="160"/>
      <c r="O151" s="160"/>
      <c r="P151" s="123"/>
      <c r="Q151" s="123"/>
      <c r="R151" s="123"/>
      <c r="S151" s="123"/>
      <c r="T151" s="42"/>
      <c r="V151" s="123"/>
      <c r="Y151" s="123"/>
      <c r="Z151" s="213"/>
      <c r="AA151" s="123"/>
      <c r="AB151" s="123"/>
      <c r="AC151" s="160"/>
      <c r="AD151" s="160"/>
      <c r="AE151" s="123"/>
      <c r="AF151" s="123"/>
      <c r="AH151" s="160"/>
      <c r="AI151" s="123"/>
      <c r="AJ151" s="123"/>
      <c r="AL151" s="123"/>
      <c r="AM151" s="160"/>
      <c r="AN151" s="160"/>
    </row>
    <row r="152" spans="3:40" x14ac:dyDescent="0.3">
      <c r="F152" s="210"/>
      <c r="H152" s="210"/>
      <c r="I152" s="210"/>
      <c r="J152" s="213"/>
      <c r="K152" s="213"/>
      <c r="L152" s="210"/>
      <c r="M152" s="210"/>
      <c r="N152" s="210"/>
      <c r="O152" s="210"/>
      <c r="P152" s="210"/>
      <c r="Q152" s="210"/>
      <c r="R152" s="210"/>
      <c r="S152" s="123"/>
      <c r="V152" s="210"/>
      <c r="Y152" s="210"/>
      <c r="Z152" s="213"/>
      <c r="AA152" s="210"/>
      <c r="AB152" s="210"/>
      <c r="AC152" s="210"/>
      <c r="AD152" s="210"/>
      <c r="AE152" s="210"/>
      <c r="AF152" s="210"/>
      <c r="AI152" s="210"/>
      <c r="AJ152" s="210"/>
      <c r="AK152" s="214"/>
      <c r="AL152" s="210"/>
      <c r="AM152" s="160"/>
      <c r="AN152" s="160"/>
    </row>
    <row r="153" spans="3:40" x14ac:dyDescent="0.3">
      <c r="C153" s="42"/>
      <c r="F153" s="184"/>
      <c r="H153" s="239"/>
      <c r="I153" s="239"/>
      <c r="J153" s="213"/>
      <c r="K153" s="213"/>
      <c r="L153" s="123"/>
      <c r="M153" s="123"/>
      <c r="N153" s="160"/>
      <c r="O153" s="160"/>
      <c r="P153" s="123"/>
      <c r="Q153" s="123"/>
      <c r="R153" s="123"/>
      <c r="S153" s="123"/>
      <c r="T153" s="42"/>
      <c r="V153" s="184"/>
      <c r="Y153" s="184"/>
      <c r="Z153" s="213"/>
      <c r="AA153" s="123"/>
      <c r="AB153" s="123"/>
      <c r="AC153" s="160"/>
      <c r="AD153" s="160"/>
      <c r="AE153" s="123"/>
      <c r="AF153" s="123"/>
      <c r="AI153" s="123"/>
      <c r="AJ153" s="123"/>
      <c r="AL153" s="123"/>
      <c r="AM153" s="160"/>
      <c r="AN153" s="160"/>
    </row>
    <row r="155" spans="3:40" x14ac:dyDescent="0.3">
      <c r="C155" s="42"/>
      <c r="T155" s="42"/>
    </row>
    <row r="156" spans="3:40" x14ac:dyDescent="0.3">
      <c r="C156" s="42"/>
      <c r="F156" s="184"/>
      <c r="H156" s="184"/>
      <c r="I156" s="184"/>
      <c r="J156" s="193"/>
      <c r="K156" s="193"/>
      <c r="L156" s="123"/>
      <c r="M156" s="123"/>
      <c r="N156" s="160"/>
      <c r="O156" s="160"/>
      <c r="R156" s="123"/>
      <c r="T156" s="42"/>
      <c r="V156" s="123"/>
      <c r="Y156" s="184"/>
      <c r="Z156" s="193"/>
      <c r="AA156" s="123"/>
      <c r="AB156" s="123"/>
      <c r="AC156" s="160"/>
      <c r="AD156" s="160"/>
      <c r="AE156" s="123"/>
      <c r="AF156" s="123"/>
      <c r="AG156" s="233"/>
      <c r="AH156" s="234"/>
      <c r="AL156" s="123"/>
      <c r="AM156" s="235"/>
      <c r="AN156" s="235"/>
    </row>
    <row r="157" spans="3:40" x14ac:dyDescent="0.3">
      <c r="C157" s="42"/>
      <c r="F157" s="184"/>
      <c r="H157" s="184"/>
      <c r="I157" s="184"/>
      <c r="J157" s="193"/>
      <c r="K157" s="193"/>
      <c r="L157" s="123"/>
      <c r="M157" s="123"/>
      <c r="N157" s="160"/>
      <c r="O157" s="160"/>
      <c r="R157" s="123"/>
      <c r="T157" s="42"/>
      <c r="V157" s="123"/>
      <c r="Y157" s="184"/>
      <c r="Z157" s="193"/>
      <c r="AA157" s="123"/>
      <c r="AB157" s="123"/>
      <c r="AC157" s="160"/>
      <c r="AD157" s="160"/>
      <c r="AE157" s="123"/>
      <c r="AF157" s="123"/>
      <c r="AH157" s="236"/>
      <c r="AL157" s="123"/>
      <c r="AM157" s="160"/>
      <c r="AN157" s="160"/>
    </row>
    <row r="158" spans="3:40" x14ac:dyDescent="0.3">
      <c r="C158" s="42"/>
      <c r="F158" s="184"/>
      <c r="H158" s="184"/>
      <c r="I158" s="184"/>
      <c r="J158" s="193"/>
      <c r="K158" s="193"/>
      <c r="L158" s="123"/>
      <c r="M158" s="123"/>
      <c r="N158" s="160"/>
      <c r="O158" s="160"/>
      <c r="R158" s="123"/>
      <c r="T158" s="42"/>
      <c r="V158" s="123"/>
      <c r="Y158" s="184"/>
      <c r="Z158" s="193"/>
      <c r="AA158" s="123"/>
      <c r="AB158" s="123"/>
      <c r="AC158" s="160"/>
      <c r="AD158" s="160"/>
      <c r="AE158" s="123"/>
      <c r="AF158" s="123"/>
      <c r="AH158" s="236"/>
      <c r="AL158" s="123"/>
      <c r="AM158" s="160"/>
      <c r="AN158" s="160"/>
    </row>
    <row r="159" spans="3:40" x14ac:dyDescent="0.3">
      <c r="F159" s="210"/>
      <c r="H159" s="123"/>
      <c r="I159" s="123"/>
      <c r="J159" s="213"/>
      <c r="K159" s="213"/>
      <c r="L159" s="210"/>
      <c r="M159" s="210"/>
      <c r="N159" s="210"/>
      <c r="O159" s="210"/>
      <c r="P159" s="210"/>
      <c r="Q159" s="210"/>
      <c r="R159" s="210"/>
      <c r="V159" s="210"/>
      <c r="Y159" s="123"/>
      <c r="Z159" s="213"/>
      <c r="AA159" s="210"/>
      <c r="AB159" s="210"/>
      <c r="AC159" s="210"/>
      <c r="AD159" s="210"/>
      <c r="AE159" s="210"/>
      <c r="AF159" s="210"/>
      <c r="AI159" s="210"/>
      <c r="AJ159" s="210"/>
      <c r="AK159" s="214"/>
      <c r="AL159" s="210"/>
      <c r="AM159" s="160"/>
      <c r="AN159" s="160"/>
    </row>
    <row r="160" spans="3:40" x14ac:dyDescent="0.3">
      <c r="C160" s="42"/>
      <c r="F160" s="123"/>
      <c r="H160" s="123"/>
      <c r="I160" s="123"/>
      <c r="J160" s="213"/>
      <c r="K160" s="213"/>
      <c r="L160" s="123"/>
      <c r="M160" s="123"/>
      <c r="N160" s="160"/>
      <c r="O160" s="160"/>
      <c r="P160" s="123"/>
      <c r="Q160" s="123"/>
      <c r="R160" s="123"/>
      <c r="T160" s="42"/>
      <c r="V160" s="123"/>
      <c r="Y160" s="123"/>
      <c r="Z160" s="213"/>
      <c r="AA160" s="123"/>
      <c r="AB160" s="123"/>
      <c r="AC160" s="160"/>
      <c r="AD160" s="160"/>
      <c r="AE160" s="123"/>
      <c r="AF160" s="123"/>
      <c r="AH160" s="236"/>
      <c r="AI160" s="123"/>
      <c r="AJ160" s="123"/>
      <c r="AL160" s="123"/>
      <c r="AM160" s="160"/>
      <c r="AN160" s="160"/>
    </row>
    <row r="161" spans="3:40" x14ac:dyDescent="0.3">
      <c r="F161" s="210"/>
      <c r="H161" s="123"/>
      <c r="I161" s="123"/>
      <c r="J161" s="213"/>
      <c r="K161" s="213"/>
      <c r="L161" s="210"/>
      <c r="M161" s="210"/>
      <c r="N161" s="210"/>
      <c r="O161" s="210"/>
      <c r="P161" s="210"/>
      <c r="Q161" s="210"/>
      <c r="R161" s="210"/>
      <c r="V161" s="210"/>
      <c r="Y161" s="123"/>
      <c r="Z161" s="213"/>
      <c r="AA161" s="210"/>
      <c r="AB161" s="210"/>
      <c r="AC161" s="210"/>
      <c r="AD161" s="210"/>
      <c r="AE161" s="210"/>
      <c r="AF161" s="210"/>
      <c r="AI161" s="210"/>
      <c r="AJ161" s="210"/>
      <c r="AK161" s="214"/>
      <c r="AL161" s="210"/>
      <c r="AM161" s="160"/>
      <c r="AN161" s="160"/>
    </row>
    <row r="162" spans="3:40" x14ac:dyDescent="0.3">
      <c r="C162" s="42"/>
      <c r="F162" s="184"/>
      <c r="H162" s="184"/>
      <c r="I162" s="184"/>
      <c r="J162" s="237"/>
      <c r="K162" s="237"/>
      <c r="L162" s="123"/>
      <c r="M162" s="123"/>
      <c r="N162" s="160"/>
      <c r="O162" s="160"/>
      <c r="P162" s="123"/>
      <c r="Q162" s="123"/>
      <c r="R162" s="123"/>
      <c r="S162" s="123"/>
      <c r="T162" s="42"/>
      <c r="V162" s="184"/>
      <c r="Y162" s="184"/>
      <c r="Z162" s="237"/>
      <c r="AA162" s="123"/>
      <c r="AB162" s="123"/>
      <c r="AC162" s="160"/>
      <c r="AD162" s="160"/>
      <c r="AE162" s="123"/>
      <c r="AF162" s="123"/>
      <c r="AH162" s="160"/>
      <c r="AI162" s="123"/>
      <c r="AJ162" s="123"/>
      <c r="AL162" s="123"/>
      <c r="AM162" s="160"/>
      <c r="AN162" s="160"/>
    </row>
    <row r="163" spans="3:40" x14ac:dyDescent="0.3">
      <c r="C163" s="42"/>
      <c r="F163" s="184"/>
      <c r="H163" s="184"/>
      <c r="I163" s="184"/>
      <c r="J163" s="193"/>
      <c r="K163" s="193"/>
      <c r="L163" s="123"/>
      <c r="M163" s="123"/>
      <c r="N163" s="160"/>
      <c r="O163" s="160"/>
      <c r="P163" s="123"/>
      <c r="Q163" s="123"/>
      <c r="R163" s="123"/>
      <c r="T163" s="42"/>
      <c r="V163" s="184"/>
      <c r="Y163" s="123"/>
      <c r="Z163" s="193"/>
      <c r="AA163" s="123"/>
      <c r="AB163" s="123"/>
      <c r="AC163" s="160"/>
      <c r="AD163" s="160"/>
      <c r="AE163" s="123"/>
      <c r="AF163" s="123"/>
      <c r="AH163" s="236"/>
      <c r="AI163" s="123"/>
      <c r="AJ163" s="123"/>
      <c r="AL163" s="123"/>
      <c r="AM163" s="160"/>
      <c r="AN163" s="160"/>
    </row>
    <row r="164" spans="3:40" x14ac:dyDescent="0.3">
      <c r="C164" s="42"/>
      <c r="F164" s="184"/>
      <c r="H164" s="184"/>
      <c r="I164" s="184"/>
      <c r="J164" s="193"/>
      <c r="K164" s="193"/>
      <c r="L164" s="123"/>
      <c r="M164" s="123"/>
      <c r="N164" s="160"/>
      <c r="O164" s="160"/>
      <c r="P164" s="123"/>
      <c r="Q164" s="123"/>
      <c r="R164" s="123"/>
      <c r="T164" s="42"/>
      <c r="V164" s="184"/>
      <c r="Y164" s="123"/>
      <c r="Z164" s="193"/>
      <c r="AA164" s="123"/>
      <c r="AB164" s="123"/>
      <c r="AC164" s="160"/>
      <c r="AD164" s="160"/>
      <c r="AE164" s="123"/>
      <c r="AF164" s="123"/>
      <c r="AH164" s="236"/>
      <c r="AI164" s="123"/>
      <c r="AJ164" s="123"/>
      <c r="AL164" s="123"/>
      <c r="AM164" s="160"/>
      <c r="AN164" s="160"/>
    </row>
    <row r="165" spans="3:40" x14ac:dyDescent="0.3">
      <c r="F165" s="123"/>
      <c r="H165" s="210"/>
      <c r="I165" s="210"/>
      <c r="J165" s="213"/>
      <c r="K165" s="213"/>
      <c r="L165" s="210"/>
      <c r="M165" s="210"/>
      <c r="N165" s="210"/>
      <c r="O165" s="210"/>
      <c r="P165" s="210"/>
      <c r="Q165" s="210"/>
      <c r="R165" s="210"/>
      <c r="V165" s="123"/>
      <c r="Y165" s="210"/>
      <c r="Z165" s="213"/>
      <c r="AA165" s="210"/>
      <c r="AB165" s="210"/>
      <c r="AC165" s="210"/>
      <c r="AD165" s="210"/>
      <c r="AE165" s="210"/>
      <c r="AF165" s="210"/>
      <c r="AI165" s="210"/>
      <c r="AJ165" s="210"/>
      <c r="AK165" s="214"/>
      <c r="AL165" s="210"/>
      <c r="AM165" s="160"/>
      <c r="AN165" s="160"/>
    </row>
    <row r="166" spans="3:40" x14ac:dyDescent="0.3">
      <c r="C166" s="42"/>
      <c r="F166" s="123"/>
      <c r="H166" s="123"/>
      <c r="I166" s="123"/>
      <c r="J166" s="213"/>
      <c r="K166" s="213"/>
      <c r="L166" s="123"/>
      <c r="M166" s="123"/>
      <c r="N166" s="160"/>
      <c r="O166" s="160"/>
      <c r="P166" s="123"/>
      <c r="Q166" s="123"/>
      <c r="R166" s="123"/>
      <c r="T166" s="42"/>
      <c r="V166" s="123"/>
      <c r="Y166" s="123"/>
      <c r="Z166" s="213"/>
      <c r="AA166" s="123"/>
      <c r="AB166" s="123"/>
      <c r="AC166" s="160"/>
      <c r="AD166" s="160"/>
      <c r="AE166" s="123"/>
      <c r="AF166" s="123"/>
      <c r="AH166" s="236"/>
      <c r="AI166" s="123"/>
      <c r="AJ166" s="123"/>
      <c r="AL166" s="123"/>
      <c r="AM166" s="160"/>
      <c r="AN166" s="160"/>
    </row>
    <row r="167" spans="3:40" x14ac:dyDescent="0.3">
      <c r="F167" s="123"/>
      <c r="H167" s="210"/>
      <c r="I167" s="210"/>
      <c r="J167" s="213"/>
      <c r="K167" s="213"/>
      <c r="L167" s="210"/>
      <c r="M167" s="210"/>
      <c r="N167" s="210"/>
      <c r="O167" s="210"/>
      <c r="P167" s="210"/>
      <c r="Q167" s="210"/>
      <c r="R167" s="210"/>
      <c r="V167" s="123"/>
      <c r="Y167" s="210"/>
      <c r="Z167" s="213"/>
      <c r="AA167" s="210"/>
      <c r="AB167" s="210"/>
      <c r="AC167" s="210"/>
      <c r="AD167" s="210"/>
      <c r="AE167" s="210"/>
      <c r="AF167" s="210"/>
      <c r="AI167" s="210"/>
      <c r="AJ167" s="210"/>
      <c r="AK167" s="214"/>
      <c r="AL167" s="210"/>
      <c r="AM167" s="160"/>
      <c r="AN167" s="160"/>
    </row>
    <row r="168" spans="3:40" x14ac:dyDescent="0.3">
      <c r="C168" s="42"/>
      <c r="F168" s="123"/>
      <c r="H168" s="123"/>
      <c r="I168" s="123"/>
      <c r="J168" s="213"/>
      <c r="K168" s="213"/>
      <c r="L168" s="123"/>
      <c r="M168" s="123"/>
      <c r="N168" s="123"/>
      <c r="O168" s="123"/>
      <c r="P168" s="123"/>
      <c r="Q168" s="123"/>
      <c r="R168" s="123"/>
      <c r="T168" s="42"/>
      <c r="V168" s="123"/>
      <c r="Y168" s="123"/>
      <c r="Z168" s="213"/>
      <c r="AA168" s="123"/>
      <c r="AB168" s="123"/>
      <c r="AC168" s="123"/>
      <c r="AD168" s="123"/>
      <c r="AE168" s="123"/>
      <c r="AF168" s="123"/>
      <c r="AH168" s="236"/>
      <c r="AI168" s="123"/>
      <c r="AJ168" s="123"/>
      <c r="AL168" s="123"/>
      <c r="AM168" s="160"/>
      <c r="AN168" s="160"/>
    </row>
    <row r="169" spans="3:40" x14ac:dyDescent="0.3">
      <c r="C169" s="42"/>
      <c r="F169" s="123"/>
      <c r="H169" s="184"/>
      <c r="I169" s="184"/>
      <c r="J169" s="238"/>
      <c r="K169" s="238"/>
      <c r="L169" s="123"/>
      <c r="M169" s="123"/>
      <c r="N169" s="160"/>
      <c r="O169" s="160"/>
      <c r="P169" s="123"/>
      <c r="Q169" s="123"/>
      <c r="R169" s="123"/>
      <c r="T169" s="42"/>
      <c r="V169" s="123"/>
      <c r="Y169" s="123"/>
      <c r="Z169" s="238"/>
      <c r="AA169" s="123"/>
      <c r="AB169" s="123"/>
      <c r="AC169" s="160"/>
      <c r="AD169" s="160"/>
      <c r="AE169" s="123"/>
      <c r="AF169" s="123"/>
      <c r="AH169" s="236"/>
      <c r="AI169" s="123"/>
      <c r="AJ169" s="123"/>
      <c r="AL169" s="123"/>
      <c r="AM169" s="160"/>
      <c r="AN169" s="160"/>
    </row>
    <row r="170" spans="3:40" x14ac:dyDescent="0.3">
      <c r="C170" s="42"/>
      <c r="H170" s="184"/>
      <c r="I170" s="184"/>
      <c r="J170" s="238"/>
      <c r="K170" s="238"/>
      <c r="L170" s="123"/>
      <c r="M170" s="123"/>
      <c r="N170" s="160"/>
      <c r="O170" s="160"/>
      <c r="P170" s="123"/>
      <c r="Q170" s="123"/>
      <c r="R170" s="123"/>
      <c r="T170" s="42"/>
      <c r="Y170" s="123"/>
      <c r="Z170" s="238"/>
      <c r="AA170" s="123"/>
      <c r="AB170" s="123"/>
      <c r="AC170" s="160"/>
      <c r="AD170" s="160"/>
      <c r="AE170" s="123"/>
      <c r="AF170" s="123"/>
      <c r="AH170" s="236"/>
      <c r="AI170" s="123"/>
      <c r="AJ170" s="123"/>
      <c r="AL170" s="123"/>
      <c r="AM170" s="160"/>
      <c r="AN170" s="160"/>
    </row>
    <row r="171" spans="3:40" x14ac:dyDescent="0.3">
      <c r="F171" s="123"/>
      <c r="H171" s="123"/>
      <c r="I171" s="123"/>
      <c r="J171" s="213"/>
      <c r="K171" s="213"/>
      <c r="L171" s="210"/>
      <c r="M171" s="210"/>
      <c r="N171" s="210"/>
      <c r="O171" s="210"/>
      <c r="P171" s="210"/>
      <c r="Q171" s="210"/>
      <c r="R171" s="210"/>
      <c r="V171" s="123"/>
      <c r="Y171" s="123"/>
      <c r="Z171" s="213"/>
      <c r="AA171" s="210"/>
      <c r="AB171" s="210"/>
      <c r="AC171" s="210"/>
      <c r="AD171" s="210"/>
      <c r="AE171" s="210"/>
      <c r="AF171" s="210"/>
      <c r="AI171" s="210"/>
      <c r="AJ171" s="210"/>
      <c r="AK171" s="214"/>
      <c r="AL171" s="210"/>
      <c r="AM171" s="160"/>
      <c r="AN171" s="160"/>
    </row>
    <row r="172" spans="3:40" x14ac:dyDescent="0.3">
      <c r="C172" s="42"/>
      <c r="F172" s="123"/>
      <c r="H172" s="123"/>
      <c r="I172" s="123"/>
      <c r="J172" s="219"/>
      <c r="K172" s="219"/>
      <c r="L172" s="123"/>
      <c r="M172" s="123"/>
      <c r="N172" s="160"/>
      <c r="O172" s="160"/>
      <c r="P172" s="123"/>
      <c r="Q172" s="123"/>
      <c r="R172" s="123"/>
      <c r="T172" s="42"/>
      <c r="V172" s="123"/>
      <c r="Y172" s="123"/>
      <c r="Z172" s="219"/>
      <c r="AA172" s="123"/>
      <c r="AB172" s="123"/>
      <c r="AC172" s="160"/>
      <c r="AD172" s="160"/>
      <c r="AE172" s="123"/>
      <c r="AF172" s="123"/>
      <c r="AH172" s="236"/>
      <c r="AI172" s="123"/>
      <c r="AJ172" s="123"/>
      <c r="AL172" s="123"/>
      <c r="AM172" s="160"/>
      <c r="AN172" s="160"/>
    </row>
    <row r="173" spans="3:40" x14ac:dyDescent="0.3">
      <c r="F173" s="123"/>
      <c r="H173" s="123"/>
      <c r="I173" s="123"/>
      <c r="J173" s="213"/>
      <c r="K173" s="213"/>
      <c r="L173" s="210"/>
      <c r="M173" s="210"/>
      <c r="N173" s="210"/>
      <c r="O173" s="210"/>
      <c r="P173" s="210"/>
      <c r="Q173" s="210"/>
      <c r="R173" s="210"/>
      <c r="V173" s="123"/>
      <c r="Y173" s="123"/>
      <c r="Z173" s="213"/>
      <c r="AA173" s="210"/>
      <c r="AB173" s="210"/>
      <c r="AC173" s="210"/>
      <c r="AD173" s="210"/>
      <c r="AE173" s="210"/>
      <c r="AF173" s="210"/>
      <c r="AI173" s="210"/>
      <c r="AJ173" s="210"/>
      <c r="AK173" s="214"/>
      <c r="AL173" s="210"/>
      <c r="AM173" s="160"/>
      <c r="AN173" s="160"/>
    </row>
    <row r="174" spans="3:40" x14ac:dyDescent="0.3">
      <c r="C174" s="42"/>
      <c r="F174" s="123"/>
      <c r="H174" s="123"/>
      <c r="I174" s="123"/>
      <c r="J174" s="219"/>
      <c r="K174" s="219"/>
      <c r="L174" s="123"/>
      <c r="M174" s="123"/>
      <c r="N174" s="160"/>
      <c r="O174" s="160"/>
      <c r="P174" s="123"/>
      <c r="Q174" s="123"/>
      <c r="R174" s="123"/>
      <c r="T174" s="42"/>
      <c r="V174" s="123"/>
      <c r="Y174" s="123"/>
      <c r="Z174" s="219"/>
      <c r="AA174" s="123"/>
      <c r="AB174" s="123"/>
      <c r="AC174" s="160"/>
      <c r="AD174" s="160"/>
      <c r="AE174" s="123"/>
      <c r="AF174" s="123"/>
      <c r="AH174" s="236"/>
      <c r="AI174" s="123"/>
      <c r="AJ174" s="123"/>
      <c r="AL174" s="123"/>
      <c r="AM174" s="160"/>
      <c r="AN174" s="160"/>
    </row>
    <row r="175" spans="3:40" x14ac:dyDescent="0.3">
      <c r="C175" s="42"/>
      <c r="F175" s="184"/>
      <c r="H175" s="184"/>
      <c r="I175" s="184"/>
      <c r="J175" s="227"/>
      <c r="K175" s="227"/>
      <c r="L175" s="123"/>
      <c r="M175" s="123"/>
      <c r="N175" s="160"/>
      <c r="O175" s="160"/>
      <c r="P175" s="123"/>
      <c r="Q175" s="123"/>
      <c r="R175" s="123"/>
      <c r="T175" s="42"/>
      <c r="V175" s="184"/>
      <c r="Y175" s="123"/>
      <c r="Z175" s="227"/>
      <c r="AA175" s="123"/>
      <c r="AB175" s="123"/>
      <c r="AC175" s="160"/>
      <c r="AD175" s="160"/>
      <c r="AE175" s="123"/>
      <c r="AF175" s="123"/>
      <c r="AH175" s="236"/>
      <c r="AI175" s="123"/>
      <c r="AJ175" s="123"/>
      <c r="AL175" s="123"/>
      <c r="AM175" s="160"/>
      <c r="AN175" s="160"/>
    </row>
    <row r="176" spans="3:40" x14ac:dyDescent="0.3">
      <c r="F176" s="210"/>
      <c r="H176" s="210"/>
      <c r="I176" s="210"/>
      <c r="J176" s="213"/>
      <c r="K176" s="213"/>
      <c r="L176" s="210"/>
      <c r="M176" s="210"/>
      <c r="N176" s="210"/>
      <c r="O176" s="210"/>
      <c r="P176" s="210"/>
      <c r="Q176" s="210"/>
      <c r="R176" s="210"/>
      <c r="V176" s="210"/>
      <c r="Y176" s="210"/>
      <c r="Z176" s="213"/>
      <c r="AA176" s="210"/>
      <c r="AB176" s="210"/>
      <c r="AC176" s="210"/>
      <c r="AD176" s="210"/>
      <c r="AE176" s="210"/>
      <c r="AF176" s="210"/>
      <c r="AI176" s="210"/>
      <c r="AJ176" s="210"/>
      <c r="AK176" s="214"/>
      <c r="AL176" s="210"/>
      <c r="AM176" s="160"/>
      <c r="AN176" s="160"/>
    </row>
    <row r="177" spans="1:40" x14ac:dyDescent="0.3">
      <c r="C177" s="42"/>
      <c r="F177" s="123"/>
      <c r="H177" s="123"/>
      <c r="I177" s="123"/>
      <c r="J177" s="213"/>
      <c r="K177" s="213"/>
      <c r="L177" s="123"/>
      <c r="M177" s="123"/>
      <c r="N177" s="160"/>
      <c r="O177" s="160"/>
      <c r="P177" s="123"/>
      <c r="Q177" s="123"/>
      <c r="R177" s="123"/>
      <c r="S177" s="123"/>
      <c r="T177" s="42"/>
      <c r="V177" s="123"/>
      <c r="Y177" s="123"/>
      <c r="Z177" s="213"/>
      <c r="AA177" s="123"/>
      <c r="AB177" s="123"/>
      <c r="AC177" s="160"/>
      <c r="AD177" s="160"/>
      <c r="AE177" s="123"/>
      <c r="AF177" s="123"/>
      <c r="AH177" s="160"/>
      <c r="AI177" s="123"/>
      <c r="AJ177" s="123"/>
      <c r="AL177" s="123"/>
      <c r="AM177" s="160"/>
      <c r="AN177" s="160"/>
    </row>
    <row r="178" spans="1:40" x14ac:dyDescent="0.3">
      <c r="F178" s="210"/>
      <c r="H178" s="210"/>
      <c r="I178" s="210"/>
      <c r="J178" s="213"/>
      <c r="K178" s="213"/>
      <c r="L178" s="210"/>
      <c r="M178" s="210"/>
      <c r="N178" s="210"/>
      <c r="O178" s="210"/>
      <c r="P178" s="210"/>
      <c r="Q178" s="210"/>
      <c r="R178" s="210"/>
      <c r="S178" s="123"/>
      <c r="V178" s="210"/>
      <c r="Y178" s="210"/>
      <c r="Z178" s="213"/>
      <c r="AA178" s="210"/>
      <c r="AB178" s="210"/>
      <c r="AC178" s="210"/>
      <c r="AD178" s="210"/>
      <c r="AE178" s="210"/>
      <c r="AF178" s="210"/>
      <c r="AI178" s="210"/>
      <c r="AJ178" s="210"/>
      <c r="AK178" s="214"/>
      <c r="AL178" s="210"/>
      <c r="AM178" s="160"/>
      <c r="AN178" s="160"/>
    </row>
    <row r="179" spans="1:40" x14ac:dyDescent="0.3">
      <c r="C179" s="42"/>
      <c r="T179" s="42"/>
    </row>
    <row r="180" spans="1:40" x14ac:dyDescent="0.3">
      <c r="C180" s="42"/>
      <c r="F180" s="123"/>
      <c r="H180" s="123"/>
      <c r="I180" s="123"/>
      <c r="L180" s="123"/>
      <c r="M180" s="123"/>
      <c r="N180" s="160"/>
      <c r="O180" s="160"/>
      <c r="P180" s="184"/>
      <c r="Q180" s="184"/>
      <c r="R180" s="123"/>
      <c r="T180" s="42"/>
      <c r="V180" s="123"/>
      <c r="Y180" s="123"/>
      <c r="AA180" s="123"/>
      <c r="AB180" s="123"/>
      <c r="AC180" s="160"/>
      <c r="AD180" s="160"/>
      <c r="AE180" s="123"/>
      <c r="AF180" s="123"/>
      <c r="AH180" s="160"/>
      <c r="AI180" s="184"/>
      <c r="AJ180" s="184"/>
      <c r="AL180" s="123"/>
      <c r="AM180" s="160"/>
      <c r="AN180" s="160"/>
    </row>
    <row r="181" spans="1:40" x14ac:dyDescent="0.3">
      <c r="F181" s="210"/>
      <c r="H181" s="210"/>
      <c r="I181" s="210"/>
      <c r="J181" s="213"/>
      <c r="K181" s="213"/>
      <c r="L181" s="210"/>
      <c r="M181" s="210"/>
      <c r="N181" s="210"/>
      <c r="O181" s="210"/>
      <c r="P181" s="210"/>
      <c r="Q181" s="210"/>
      <c r="R181" s="210"/>
      <c r="V181" s="210"/>
      <c r="Y181" s="210"/>
      <c r="Z181" s="213"/>
      <c r="AA181" s="210"/>
      <c r="AB181" s="210"/>
      <c r="AC181" s="210"/>
      <c r="AD181" s="210"/>
      <c r="AE181" s="210"/>
      <c r="AF181" s="210"/>
      <c r="AI181" s="210"/>
      <c r="AJ181" s="210"/>
      <c r="AK181" s="214"/>
      <c r="AL181" s="210"/>
    </row>
    <row r="183" spans="1:40" x14ac:dyDescent="0.3">
      <c r="C183" s="42"/>
      <c r="L183" s="123"/>
      <c r="M183" s="123"/>
      <c r="N183" s="123"/>
      <c r="O183" s="123"/>
      <c r="P183" s="123"/>
      <c r="Q183" s="123"/>
      <c r="R183" s="123"/>
      <c r="S183" s="123"/>
      <c r="T183" s="42"/>
      <c r="AA183" s="123"/>
      <c r="AB183" s="123"/>
      <c r="AC183" s="123"/>
      <c r="AD183" s="123"/>
      <c r="AI183" s="123"/>
      <c r="AJ183" s="123"/>
      <c r="AL183" s="123"/>
    </row>
    <row r="184" spans="1:40" x14ac:dyDescent="0.3">
      <c r="A184" s="42"/>
    </row>
    <row r="186" spans="1:40" x14ac:dyDescent="0.3">
      <c r="H186" s="42"/>
      <c r="I186" s="42"/>
      <c r="Y186" s="42"/>
    </row>
    <row r="188" spans="1:40" x14ac:dyDescent="0.3">
      <c r="L188" s="42"/>
      <c r="M188" s="42"/>
      <c r="AA188" s="42"/>
      <c r="AB188" s="42"/>
    </row>
    <row r="189" spans="1:40" x14ac:dyDescent="0.3">
      <c r="R189" s="42"/>
      <c r="AK189" s="206"/>
      <c r="AL189" s="42"/>
    </row>
    <row r="190" spans="1:40" x14ac:dyDescent="0.3">
      <c r="R190" s="42"/>
      <c r="AK190" s="206"/>
      <c r="AL190" s="42"/>
    </row>
    <row r="191" spans="1:40" x14ac:dyDescent="0.3">
      <c r="A191" s="42"/>
      <c r="R191" s="42"/>
      <c r="AK191" s="206"/>
      <c r="AL191" s="42"/>
    </row>
    <row r="192" spans="1:40" x14ac:dyDescent="0.3">
      <c r="L192" s="42"/>
      <c r="M192" s="42"/>
      <c r="AA192" s="42"/>
      <c r="AB192" s="42"/>
    </row>
    <row r="193" spans="1:40" x14ac:dyDescent="0.3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207"/>
      <c r="AH193" s="135"/>
      <c r="AI193" s="135"/>
      <c r="AJ193" s="135"/>
      <c r="AK193" s="207"/>
      <c r="AL193" s="135"/>
      <c r="AM193" s="135"/>
      <c r="AN193" s="135"/>
    </row>
    <row r="194" spans="1:40" x14ac:dyDescent="0.3">
      <c r="L194" s="44"/>
      <c r="M194" s="44"/>
      <c r="N194" s="44"/>
      <c r="O194" s="44"/>
      <c r="R194" s="44"/>
      <c r="AA194" s="44"/>
      <c r="AB194" s="44"/>
      <c r="AC194" s="44"/>
      <c r="AD194" s="44"/>
      <c r="AE194" s="44"/>
      <c r="AF194" s="44"/>
      <c r="AG194" s="168"/>
      <c r="AH194" s="44"/>
      <c r="AK194" s="168"/>
      <c r="AL194" s="44"/>
      <c r="AM194" s="44"/>
      <c r="AN194" s="44"/>
    </row>
    <row r="195" spans="1:40" x14ac:dyDescent="0.3">
      <c r="L195" s="44"/>
      <c r="M195" s="44"/>
      <c r="N195" s="44"/>
      <c r="O195" s="44"/>
      <c r="R195" s="44"/>
      <c r="Z195" s="44"/>
      <c r="AA195" s="44"/>
      <c r="AB195" s="44"/>
      <c r="AC195" s="44"/>
      <c r="AD195" s="44"/>
      <c r="AE195" s="44"/>
      <c r="AF195" s="44"/>
      <c r="AG195" s="168"/>
      <c r="AH195" s="44"/>
      <c r="AK195" s="168"/>
      <c r="AL195" s="44"/>
      <c r="AM195" s="44"/>
      <c r="AN195" s="44"/>
    </row>
    <row r="196" spans="1:40" x14ac:dyDescent="0.3">
      <c r="A196" s="44"/>
      <c r="C196" s="44"/>
      <c r="D196" s="44"/>
      <c r="E196" s="44"/>
      <c r="F196" s="44"/>
      <c r="J196" s="44"/>
      <c r="K196" s="44"/>
      <c r="L196" s="44"/>
      <c r="M196" s="44"/>
      <c r="N196" s="44"/>
      <c r="O196" s="44"/>
      <c r="P196" s="44"/>
      <c r="Q196" s="44"/>
      <c r="R196" s="44"/>
      <c r="T196" s="44"/>
      <c r="U196" s="44"/>
      <c r="V196" s="44"/>
      <c r="Z196" s="44"/>
      <c r="AA196" s="44"/>
      <c r="AB196" s="44"/>
      <c r="AC196" s="44"/>
      <c r="AD196" s="44"/>
      <c r="AE196" s="44"/>
      <c r="AF196" s="44"/>
      <c r="AG196" s="168"/>
      <c r="AH196" s="44"/>
      <c r="AI196" s="44"/>
      <c r="AJ196" s="44"/>
      <c r="AK196" s="168"/>
      <c r="AL196" s="44"/>
      <c r="AM196" s="44"/>
      <c r="AN196" s="44"/>
    </row>
    <row r="197" spans="1:40" x14ac:dyDescent="0.3">
      <c r="A197" s="44"/>
      <c r="C197" s="44"/>
      <c r="D197" s="44"/>
      <c r="E197" s="44"/>
      <c r="F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T197" s="44"/>
      <c r="U197" s="44"/>
      <c r="V197" s="44"/>
      <c r="Y197" s="44"/>
      <c r="Z197" s="44"/>
      <c r="AA197" s="44"/>
      <c r="AB197" s="44"/>
      <c r="AC197" s="44"/>
      <c r="AD197" s="44"/>
      <c r="AE197" s="44"/>
      <c r="AF197" s="44"/>
      <c r="AG197" s="168"/>
      <c r="AH197" s="44"/>
      <c r="AI197" s="44"/>
      <c r="AJ197" s="44"/>
      <c r="AK197" s="168"/>
      <c r="AL197" s="44"/>
      <c r="AM197" s="44"/>
      <c r="AN197" s="44"/>
    </row>
    <row r="198" spans="1:40" x14ac:dyDescent="0.3">
      <c r="C198" s="44"/>
      <c r="D198" s="44"/>
      <c r="E198" s="44"/>
      <c r="F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T198" s="44"/>
      <c r="U198" s="44"/>
      <c r="V198" s="44"/>
      <c r="Y198" s="44"/>
      <c r="Z198" s="44"/>
      <c r="AA198" s="44"/>
      <c r="AB198" s="44"/>
      <c r="AC198" s="44"/>
      <c r="AD198" s="44"/>
      <c r="AE198" s="44"/>
      <c r="AF198" s="44"/>
      <c r="AG198" s="168"/>
      <c r="AH198" s="44"/>
      <c r="AI198" s="44"/>
      <c r="AJ198" s="44"/>
      <c r="AK198" s="168"/>
      <c r="AL198" s="44"/>
      <c r="AM198" s="44"/>
      <c r="AN198" s="44"/>
    </row>
    <row r="199" spans="1:40" x14ac:dyDescent="0.3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207"/>
      <c r="AH199" s="135"/>
      <c r="AI199" s="135"/>
      <c r="AJ199" s="135"/>
      <c r="AK199" s="207"/>
      <c r="AL199" s="135"/>
      <c r="AM199" s="135"/>
      <c r="AN199" s="135"/>
    </row>
    <row r="200" spans="1:40" x14ac:dyDescent="0.3"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Y200" s="44"/>
      <c r="Z200" s="44"/>
      <c r="AA200" s="44"/>
      <c r="AB200" s="44"/>
      <c r="AC200" s="44"/>
      <c r="AD200" s="44"/>
      <c r="AE200" s="44"/>
      <c r="AF200" s="44"/>
      <c r="AG200" s="168"/>
      <c r="AH200" s="44"/>
      <c r="AI200" s="44"/>
      <c r="AJ200" s="44"/>
      <c r="AK200" s="168"/>
      <c r="AL200" s="44"/>
      <c r="AM200" s="44"/>
      <c r="AN200" s="44"/>
    </row>
    <row r="201" spans="1:40" x14ac:dyDescent="0.3">
      <c r="C201" s="42"/>
      <c r="D201" s="42"/>
      <c r="E201" s="42"/>
      <c r="T201" s="42"/>
      <c r="U201" s="42"/>
    </row>
    <row r="202" spans="1:40" x14ac:dyDescent="0.3">
      <c r="D202" s="42"/>
      <c r="E202" s="42"/>
      <c r="U202" s="42"/>
    </row>
    <row r="204" spans="1:40" x14ac:dyDescent="0.3">
      <c r="C204" s="42"/>
      <c r="F204" s="184"/>
      <c r="H204" s="184"/>
      <c r="I204" s="184"/>
      <c r="J204" s="193"/>
      <c r="K204" s="193"/>
      <c r="L204" s="123"/>
      <c r="M204" s="123"/>
      <c r="N204" s="160"/>
      <c r="O204" s="160"/>
      <c r="R204" s="123"/>
      <c r="T204" s="42"/>
      <c r="V204" s="123"/>
      <c r="Y204" s="184"/>
      <c r="Z204" s="193"/>
      <c r="AA204" s="123"/>
      <c r="AB204" s="123"/>
      <c r="AC204" s="160"/>
      <c r="AD204" s="160"/>
      <c r="AE204" s="123"/>
      <c r="AF204" s="123"/>
      <c r="AG204" s="233"/>
      <c r="AH204" s="234"/>
      <c r="AL204" s="123"/>
      <c r="AM204" s="235"/>
      <c r="AN204" s="235"/>
    </row>
    <row r="205" spans="1:40" x14ac:dyDescent="0.3">
      <c r="C205" s="42"/>
      <c r="F205" s="184"/>
      <c r="H205" s="184"/>
      <c r="I205" s="184"/>
      <c r="J205" s="193"/>
      <c r="K205" s="193"/>
      <c r="L205" s="123"/>
      <c r="M205" s="123"/>
      <c r="N205" s="160"/>
      <c r="O205" s="160"/>
      <c r="R205" s="123"/>
      <c r="T205" s="42"/>
      <c r="V205" s="123"/>
      <c r="Y205" s="184"/>
      <c r="Z205" s="193"/>
      <c r="AA205" s="123"/>
      <c r="AB205" s="123"/>
      <c r="AC205" s="160"/>
      <c r="AD205" s="160"/>
      <c r="AE205" s="123"/>
      <c r="AF205" s="123"/>
      <c r="AH205" s="236"/>
      <c r="AL205" s="123"/>
      <c r="AM205" s="160"/>
      <c r="AN205" s="160"/>
    </row>
    <row r="206" spans="1:40" x14ac:dyDescent="0.3">
      <c r="F206" s="210"/>
      <c r="H206" s="123"/>
      <c r="I206" s="123"/>
      <c r="J206" s="213"/>
      <c r="K206" s="213"/>
      <c r="L206" s="210"/>
      <c r="M206" s="210"/>
      <c r="N206" s="210"/>
      <c r="O206" s="210"/>
      <c r="P206" s="210"/>
      <c r="Q206" s="210"/>
      <c r="R206" s="210"/>
      <c r="V206" s="210"/>
      <c r="Y206" s="123"/>
      <c r="Z206" s="213"/>
      <c r="AA206" s="210"/>
      <c r="AB206" s="210"/>
      <c r="AC206" s="210"/>
      <c r="AD206" s="210"/>
      <c r="AE206" s="210"/>
      <c r="AF206" s="210"/>
      <c r="AI206" s="210"/>
      <c r="AJ206" s="210"/>
      <c r="AK206" s="214"/>
      <c r="AL206" s="210"/>
      <c r="AM206" s="160"/>
      <c r="AN206" s="160"/>
    </row>
    <row r="207" spans="1:40" x14ac:dyDescent="0.3">
      <c r="C207" s="42"/>
      <c r="F207" s="123"/>
      <c r="H207" s="123"/>
      <c r="I207" s="123"/>
      <c r="J207" s="213"/>
      <c r="K207" s="213"/>
      <c r="L207" s="123"/>
      <c r="M207" s="123"/>
      <c r="N207" s="160"/>
      <c r="O207" s="160"/>
      <c r="P207" s="123"/>
      <c r="Q207" s="123"/>
      <c r="R207" s="123"/>
      <c r="T207" s="42"/>
      <c r="V207" s="123"/>
      <c r="Y207" s="123"/>
      <c r="Z207" s="219"/>
      <c r="AA207" s="123"/>
      <c r="AB207" s="123"/>
      <c r="AC207" s="160"/>
      <c r="AD207" s="160"/>
      <c r="AE207" s="123"/>
      <c r="AF207" s="123"/>
      <c r="AH207" s="236"/>
      <c r="AI207" s="123"/>
      <c r="AJ207" s="123"/>
      <c r="AL207" s="123"/>
      <c r="AM207" s="160"/>
      <c r="AN207" s="160"/>
    </row>
    <row r="208" spans="1:40" x14ac:dyDescent="0.3">
      <c r="F208" s="210"/>
      <c r="H208" s="123"/>
      <c r="I208" s="123"/>
      <c r="J208" s="213"/>
      <c r="K208" s="213"/>
      <c r="L208" s="210"/>
      <c r="M208" s="210"/>
      <c r="N208" s="210"/>
      <c r="O208" s="210"/>
      <c r="P208" s="210"/>
      <c r="Q208" s="210"/>
      <c r="R208" s="210"/>
      <c r="V208" s="210"/>
      <c r="Y208" s="123"/>
      <c r="Z208" s="213"/>
      <c r="AA208" s="210"/>
      <c r="AB208" s="210"/>
      <c r="AC208" s="210"/>
      <c r="AD208" s="210"/>
      <c r="AE208" s="210"/>
      <c r="AF208" s="210"/>
      <c r="AI208" s="210"/>
      <c r="AJ208" s="210"/>
      <c r="AK208" s="214"/>
      <c r="AL208" s="210"/>
      <c r="AM208" s="160"/>
      <c r="AN208" s="160"/>
    </row>
    <row r="209" spans="3:40" x14ac:dyDescent="0.3">
      <c r="F209" s="123"/>
      <c r="H209" s="123"/>
      <c r="I209" s="123"/>
      <c r="J209" s="213"/>
      <c r="K209" s="213"/>
      <c r="L209" s="123"/>
      <c r="M209" s="123"/>
      <c r="N209" s="160"/>
      <c r="O209" s="160"/>
      <c r="P209" s="123"/>
      <c r="Q209" s="123"/>
      <c r="R209" s="123"/>
      <c r="V209" s="123"/>
      <c r="Y209" s="123"/>
      <c r="Z209" s="219"/>
      <c r="AA209" s="123"/>
      <c r="AB209" s="123"/>
      <c r="AC209" s="160"/>
      <c r="AD209" s="160"/>
      <c r="AE209" s="123"/>
      <c r="AF209" s="123"/>
      <c r="AH209" s="236"/>
      <c r="AI209" s="123"/>
      <c r="AJ209" s="123"/>
      <c r="AL209" s="123"/>
      <c r="AM209" s="160"/>
      <c r="AN209" s="160"/>
    </row>
    <row r="210" spans="3:40" x14ac:dyDescent="0.3">
      <c r="C210" s="42"/>
      <c r="F210" s="184"/>
      <c r="H210" s="184"/>
      <c r="I210" s="184"/>
      <c r="J210" s="193"/>
      <c r="K210" s="193"/>
      <c r="L210" s="123"/>
      <c r="M210" s="123"/>
      <c r="N210" s="160"/>
      <c r="O210" s="160"/>
      <c r="P210" s="123"/>
      <c r="Q210" s="123"/>
      <c r="R210" s="123"/>
      <c r="T210" s="42"/>
      <c r="V210" s="184"/>
      <c r="Y210" s="123"/>
      <c r="Z210" s="193"/>
      <c r="AA210" s="123"/>
      <c r="AB210" s="123"/>
      <c r="AC210" s="160"/>
      <c r="AD210" s="160"/>
      <c r="AE210" s="123"/>
      <c r="AF210" s="123"/>
      <c r="AG210" s="233"/>
      <c r="AH210" s="234"/>
      <c r="AI210" s="123"/>
      <c r="AJ210" s="123"/>
      <c r="AL210" s="123"/>
      <c r="AM210" s="235"/>
      <c r="AN210" s="235"/>
    </row>
    <row r="211" spans="3:40" x14ac:dyDescent="0.3">
      <c r="C211" s="42"/>
      <c r="F211" s="184"/>
      <c r="H211" s="184"/>
      <c r="I211" s="184"/>
      <c r="J211" s="193"/>
      <c r="K211" s="193"/>
      <c r="L211" s="123"/>
      <c r="M211" s="123"/>
      <c r="N211" s="160"/>
      <c r="O211" s="160"/>
      <c r="P211" s="123"/>
      <c r="Q211" s="123"/>
      <c r="R211" s="123"/>
      <c r="T211" s="42"/>
      <c r="V211" s="184"/>
      <c r="Y211" s="123"/>
      <c r="Z211" s="193"/>
      <c r="AA211" s="123"/>
      <c r="AB211" s="123"/>
      <c r="AC211" s="160"/>
      <c r="AD211" s="160"/>
      <c r="AE211" s="123"/>
      <c r="AF211" s="123"/>
      <c r="AH211" s="236"/>
      <c r="AI211" s="123"/>
      <c r="AJ211" s="123"/>
      <c r="AL211" s="123"/>
      <c r="AM211" s="160"/>
      <c r="AN211" s="160"/>
    </row>
    <row r="212" spans="3:40" x14ac:dyDescent="0.3">
      <c r="F212" s="123"/>
      <c r="H212" s="210"/>
      <c r="I212" s="210"/>
      <c r="J212" s="213"/>
      <c r="K212" s="213"/>
      <c r="L212" s="210"/>
      <c r="M212" s="210"/>
      <c r="N212" s="210"/>
      <c r="O212" s="210"/>
      <c r="P212" s="210"/>
      <c r="Q212" s="210"/>
      <c r="R212" s="210"/>
      <c r="V212" s="123"/>
      <c r="Y212" s="210"/>
      <c r="Z212" s="213"/>
      <c r="AA212" s="210"/>
      <c r="AB212" s="210"/>
      <c r="AC212" s="210"/>
      <c r="AD212" s="210"/>
      <c r="AE212" s="210"/>
      <c r="AF212" s="210"/>
      <c r="AI212" s="210"/>
      <c r="AJ212" s="210"/>
      <c r="AK212" s="214"/>
      <c r="AL212" s="210"/>
      <c r="AM212" s="160"/>
      <c r="AN212" s="160"/>
    </row>
    <row r="213" spans="3:40" x14ac:dyDescent="0.3">
      <c r="C213" s="42"/>
      <c r="F213" s="123"/>
      <c r="H213" s="123"/>
      <c r="I213" s="123"/>
      <c r="J213" s="213"/>
      <c r="K213" s="213"/>
      <c r="L213" s="123"/>
      <c r="M213" s="123"/>
      <c r="N213" s="160"/>
      <c r="O213" s="160"/>
      <c r="P213" s="123"/>
      <c r="Q213" s="123"/>
      <c r="R213" s="123"/>
      <c r="T213" s="42"/>
      <c r="V213" s="123"/>
      <c r="Y213" s="123"/>
      <c r="Z213" s="213"/>
      <c r="AA213" s="123"/>
      <c r="AB213" s="123"/>
      <c r="AC213" s="160"/>
      <c r="AD213" s="160"/>
      <c r="AE213" s="123"/>
      <c r="AF213" s="123"/>
      <c r="AH213" s="236"/>
      <c r="AI213" s="123"/>
      <c r="AJ213" s="123"/>
      <c r="AL213" s="123"/>
      <c r="AM213" s="160"/>
      <c r="AN213" s="160"/>
    </row>
    <row r="214" spans="3:40" x14ac:dyDescent="0.3">
      <c r="F214" s="123"/>
      <c r="H214" s="210"/>
      <c r="I214" s="210"/>
      <c r="J214" s="213"/>
      <c r="K214" s="213"/>
      <c r="L214" s="210"/>
      <c r="M214" s="210"/>
      <c r="N214" s="210"/>
      <c r="O214" s="210"/>
      <c r="P214" s="210"/>
      <c r="Q214" s="210"/>
      <c r="R214" s="210"/>
      <c r="V214" s="123"/>
      <c r="Y214" s="210"/>
      <c r="Z214" s="213"/>
      <c r="AA214" s="210"/>
      <c r="AB214" s="210"/>
      <c r="AC214" s="210"/>
      <c r="AD214" s="210"/>
      <c r="AE214" s="210"/>
      <c r="AF214" s="210"/>
      <c r="AI214" s="210"/>
      <c r="AJ214" s="210"/>
      <c r="AK214" s="214"/>
      <c r="AL214" s="210"/>
      <c r="AM214" s="160"/>
      <c r="AN214" s="160"/>
    </row>
    <row r="215" spans="3:40" x14ac:dyDescent="0.3">
      <c r="F215" s="123"/>
      <c r="H215" s="123"/>
      <c r="I215" s="123"/>
      <c r="J215" s="213"/>
      <c r="K215" s="213"/>
      <c r="L215" s="123"/>
      <c r="M215" s="123"/>
      <c r="N215" s="123"/>
      <c r="O215" s="123"/>
      <c r="P215" s="123"/>
      <c r="Q215" s="123"/>
      <c r="R215" s="123"/>
      <c r="V215" s="123"/>
      <c r="Y215" s="123"/>
      <c r="Z215" s="213"/>
      <c r="AA215" s="123"/>
      <c r="AB215" s="123"/>
      <c r="AC215" s="123"/>
      <c r="AD215" s="123"/>
      <c r="AE215" s="123"/>
      <c r="AF215" s="123"/>
      <c r="AH215" s="236"/>
      <c r="AI215" s="123"/>
      <c r="AJ215" s="123"/>
      <c r="AL215" s="123"/>
      <c r="AM215" s="160"/>
      <c r="AN215" s="160"/>
    </row>
    <row r="216" spans="3:40" x14ac:dyDescent="0.3">
      <c r="C216" s="42"/>
      <c r="F216" s="184"/>
      <c r="H216" s="184"/>
      <c r="I216" s="184"/>
      <c r="J216" s="227"/>
      <c r="K216" s="227"/>
      <c r="L216" s="123"/>
      <c r="M216" s="123"/>
      <c r="N216" s="160"/>
      <c r="O216" s="160"/>
      <c r="P216" s="184"/>
      <c r="Q216" s="184"/>
      <c r="R216" s="123"/>
      <c r="T216" s="42"/>
      <c r="V216" s="184"/>
      <c r="Y216" s="184"/>
      <c r="Z216" s="237"/>
      <c r="AA216" s="123"/>
      <c r="AB216" s="123"/>
      <c r="AC216" s="160"/>
      <c r="AD216" s="160"/>
      <c r="AE216" s="123"/>
      <c r="AF216" s="123"/>
      <c r="AH216" s="236"/>
      <c r="AI216" s="184"/>
      <c r="AJ216" s="184"/>
      <c r="AL216" s="123"/>
      <c r="AM216" s="160"/>
      <c r="AN216" s="160"/>
    </row>
    <row r="217" spans="3:40" x14ac:dyDescent="0.3">
      <c r="C217" s="42"/>
      <c r="F217" s="184"/>
      <c r="H217" s="184"/>
      <c r="I217" s="184"/>
      <c r="J217" s="227"/>
      <c r="K217" s="227"/>
      <c r="L217" s="123"/>
      <c r="M217" s="123"/>
      <c r="N217" s="160"/>
      <c r="O217" s="160"/>
      <c r="P217" s="184"/>
      <c r="Q217" s="184"/>
      <c r="R217" s="123"/>
      <c r="T217" s="42"/>
      <c r="V217" s="184"/>
      <c r="Y217" s="123"/>
      <c r="Z217" s="212"/>
      <c r="AA217" s="123"/>
      <c r="AB217" s="123"/>
      <c r="AC217" s="160"/>
      <c r="AD217" s="160"/>
      <c r="AE217" s="123"/>
      <c r="AF217" s="123"/>
      <c r="AH217" s="236"/>
      <c r="AI217" s="184"/>
      <c r="AJ217" s="184"/>
      <c r="AL217" s="123"/>
      <c r="AM217" s="160"/>
      <c r="AN217" s="160"/>
    </row>
    <row r="218" spans="3:40" x14ac:dyDescent="0.3">
      <c r="C218" s="42"/>
      <c r="F218" s="184"/>
      <c r="H218" s="184"/>
      <c r="I218" s="184"/>
      <c r="J218" s="227"/>
      <c r="K218" s="227"/>
      <c r="L218" s="123"/>
      <c r="M218" s="123"/>
      <c r="N218" s="160"/>
      <c r="O218" s="160"/>
      <c r="P218" s="184"/>
      <c r="Q218" s="184"/>
      <c r="R218" s="123"/>
      <c r="T218" s="42"/>
      <c r="V218" s="184"/>
      <c r="Y218" s="123"/>
      <c r="Z218" s="212"/>
      <c r="AA218" s="123"/>
      <c r="AB218" s="123"/>
      <c r="AC218" s="160"/>
      <c r="AD218" s="160"/>
      <c r="AE218" s="123"/>
      <c r="AF218" s="123"/>
      <c r="AH218" s="236"/>
      <c r="AI218" s="184"/>
      <c r="AJ218" s="184"/>
      <c r="AL218" s="123"/>
      <c r="AM218" s="160"/>
      <c r="AN218" s="160"/>
    </row>
    <row r="219" spans="3:40" x14ac:dyDescent="0.3">
      <c r="F219" s="210"/>
      <c r="H219" s="210"/>
      <c r="I219" s="210"/>
      <c r="J219" s="213"/>
      <c r="K219" s="213"/>
      <c r="L219" s="210"/>
      <c r="M219" s="210"/>
      <c r="N219" s="210"/>
      <c r="O219" s="210"/>
      <c r="P219" s="210"/>
      <c r="Q219" s="210"/>
      <c r="R219" s="210"/>
      <c r="V219" s="210"/>
      <c r="Y219" s="210"/>
      <c r="Z219" s="213"/>
      <c r="AA219" s="210"/>
      <c r="AB219" s="210"/>
      <c r="AC219" s="210"/>
      <c r="AD219" s="210"/>
      <c r="AE219" s="210"/>
      <c r="AF219" s="210"/>
      <c r="AI219" s="210"/>
      <c r="AJ219" s="210"/>
      <c r="AK219" s="214"/>
      <c r="AL219" s="210"/>
      <c r="AM219" s="160"/>
      <c r="AN219" s="160"/>
    </row>
    <row r="220" spans="3:40" x14ac:dyDescent="0.3">
      <c r="C220" s="42"/>
      <c r="F220" s="123"/>
      <c r="H220" s="123"/>
      <c r="I220" s="123"/>
      <c r="J220" s="219"/>
      <c r="K220" s="219"/>
      <c r="L220" s="123"/>
      <c r="M220" s="123"/>
      <c r="N220" s="160"/>
      <c r="O220" s="160"/>
      <c r="P220" s="123"/>
      <c r="Q220" s="123"/>
      <c r="R220" s="123"/>
      <c r="T220" s="42"/>
      <c r="V220" s="123"/>
      <c r="Y220" s="123"/>
      <c r="Z220" s="219"/>
      <c r="AA220" s="123"/>
      <c r="AB220" s="123"/>
      <c r="AC220" s="160"/>
      <c r="AD220" s="160"/>
      <c r="AE220" s="123"/>
      <c r="AF220" s="123"/>
      <c r="AH220" s="236"/>
      <c r="AI220" s="123"/>
      <c r="AJ220" s="123"/>
      <c r="AL220" s="123"/>
      <c r="AM220" s="160"/>
      <c r="AN220" s="160"/>
    </row>
    <row r="221" spans="3:40" x14ac:dyDescent="0.3">
      <c r="F221" s="210"/>
      <c r="H221" s="210"/>
      <c r="I221" s="210"/>
      <c r="J221" s="213"/>
      <c r="K221" s="213"/>
      <c r="L221" s="210"/>
      <c r="M221" s="210"/>
      <c r="N221" s="210"/>
      <c r="O221" s="210"/>
      <c r="P221" s="210"/>
      <c r="Q221" s="210"/>
      <c r="R221" s="210"/>
      <c r="V221" s="210"/>
      <c r="Y221" s="210"/>
      <c r="Z221" s="213"/>
      <c r="AA221" s="210"/>
      <c r="AB221" s="210"/>
      <c r="AC221" s="210"/>
      <c r="AD221" s="210"/>
      <c r="AE221" s="210"/>
      <c r="AF221" s="210"/>
      <c r="AI221" s="210"/>
      <c r="AJ221" s="210"/>
      <c r="AK221" s="214"/>
      <c r="AL221" s="210"/>
      <c r="AM221" s="160"/>
      <c r="AN221" s="160"/>
    </row>
    <row r="222" spans="3:40" x14ac:dyDescent="0.3">
      <c r="C222" s="42"/>
      <c r="F222" s="123"/>
      <c r="H222" s="123"/>
      <c r="I222" s="123"/>
      <c r="J222" s="219"/>
      <c r="K222" s="219"/>
      <c r="L222" s="123"/>
      <c r="M222" s="123"/>
      <c r="N222" s="160"/>
      <c r="O222" s="160"/>
      <c r="P222" s="123"/>
      <c r="Q222" s="123"/>
      <c r="R222" s="123"/>
      <c r="T222" s="42"/>
      <c r="V222" s="123"/>
      <c r="Y222" s="123"/>
      <c r="Z222" s="219"/>
      <c r="AA222" s="123"/>
      <c r="AB222" s="123"/>
      <c r="AC222" s="160"/>
      <c r="AD222" s="160"/>
      <c r="AE222" s="123"/>
      <c r="AF222" s="123"/>
      <c r="AH222" s="236"/>
      <c r="AI222" s="123"/>
      <c r="AJ222" s="123"/>
      <c r="AL222" s="123"/>
      <c r="AM222" s="160"/>
      <c r="AN222" s="160"/>
    </row>
    <row r="223" spans="3:40" x14ac:dyDescent="0.3">
      <c r="C223" s="42"/>
      <c r="F223" s="123"/>
      <c r="H223" s="123"/>
      <c r="I223" s="123"/>
      <c r="J223" s="219"/>
      <c r="K223" s="219"/>
      <c r="L223" s="123"/>
      <c r="M223" s="123"/>
      <c r="N223" s="160"/>
      <c r="O223" s="160"/>
      <c r="P223" s="123"/>
      <c r="Q223" s="123"/>
      <c r="R223" s="123"/>
      <c r="T223" s="42"/>
      <c r="V223" s="123"/>
      <c r="Y223" s="123"/>
      <c r="Z223" s="219"/>
      <c r="AA223" s="123"/>
      <c r="AB223" s="123"/>
      <c r="AC223" s="160"/>
      <c r="AD223" s="160"/>
      <c r="AE223" s="123"/>
      <c r="AF223" s="123"/>
      <c r="AH223" s="236"/>
      <c r="AI223" s="123"/>
      <c r="AJ223" s="123"/>
      <c r="AL223" s="123"/>
      <c r="AM223" s="160"/>
      <c r="AN223" s="160"/>
    </row>
    <row r="224" spans="3:40" x14ac:dyDescent="0.3">
      <c r="F224" s="210"/>
      <c r="H224" s="210"/>
      <c r="I224" s="210"/>
      <c r="J224" s="213"/>
      <c r="K224" s="213"/>
      <c r="L224" s="210"/>
      <c r="M224" s="210"/>
      <c r="N224" s="210"/>
      <c r="O224" s="210"/>
      <c r="P224" s="210"/>
      <c r="Q224" s="210"/>
      <c r="R224" s="210"/>
      <c r="V224" s="210"/>
      <c r="Y224" s="210"/>
      <c r="Z224" s="213"/>
      <c r="AA224" s="210"/>
      <c r="AB224" s="210"/>
      <c r="AC224" s="210"/>
      <c r="AD224" s="210"/>
      <c r="AE224" s="210"/>
      <c r="AF224" s="210"/>
      <c r="AI224" s="210"/>
      <c r="AJ224" s="210"/>
      <c r="AK224" s="214"/>
      <c r="AL224" s="210"/>
      <c r="AM224" s="123"/>
      <c r="AN224" s="123"/>
    </row>
    <row r="225" spans="1:40" x14ac:dyDescent="0.3">
      <c r="F225" s="123"/>
      <c r="H225" s="123"/>
      <c r="I225" s="123"/>
      <c r="J225" s="219"/>
      <c r="K225" s="219"/>
      <c r="L225" s="123"/>
      <c r="M225" s="123"/>
      <c r="N225" s="123"/>
      <c r="O225" s="123"/>
      <c r="P225" s="123"/>
      <c r="Q225" s="123"/>
      <c r="R225" s="123"/>
      <c r="V225" s="123"/>
      <c r="Y225" s="123"/>
      <c r="Z225" s="219"/>
      <c r="AA225" s="123"/>
      <c r="AB225" s="123"/>
      <c r="AC225" s="123"/>
      <c r="AD225" s="123"/>
    </row>
    <row r="226" spans="1:40" x14ac:dyDescent="0.3">
      <c r="C226" s="42"/>
      <c r="F226" s="123"/>
      <c r="H226" s="123"/>
      <c r="I226" s="123"/>
      <c r="J226" s="219"/>
      <c r="K226" s="219"/>
      <c r="L226" s="123"/>
      <c r="M226" s="123"/>
      <c r="N226" s="123"/>
      <c r="O226" s="123"/>
      <c r="P226" s="123"/>
      <c r="Q226" s="123"/>
      <c r="R226" s="123"/>
      <c r="T226" s="42"/>
      <c r="V226" s="123"/>
      <c r="Y226" s="123"/>
      <c r="Z226" s="219"/>
      <c r="AA226" s="123"/>
      <c r="AB226" s="123"/>
      <c r="AC226" s="123"/>
      <c r="AD226" s="123"/>
    </row>
    <row r="227" spans="1:40" x14ac:dyDescent="0.3">
      <c r="A227" s="42"/>
    </row>
    <row r="229" spans="1:40" x14ac:dyDescent="0.3">
      <c r="H229" s="42"/>
      <c r="I229" s="42"/>
      <c r="Y229" s="42"/>
    </row>
    <row r="231" spans="1:40" x14ac:dyDescent="0.3">
      <c r="L231" s="42"/>
      <c r="M231" s="42"/>
      <c r="AA231" s="42"/>
      <c r="AB231" s="42"/>
    </row>
    <row r="232" spans="1:40" x14ac:dyDescent="0.3">
      <c r="R232" s="42"/>
      <c r="AK232" s="206"/>
      <c r="AL232" s="42"/>
    </row>
    <row r="233" spans="1:40" x14ac:dyDescent="0.3">
      <c r="R233" s="42"/>
      <c r="AK233" s="206"/>
      <c r="AL233" s="42"/>
    </row>
    <row r="234" spans="1:40" x14ac:dyDescent="0.3">
      <c r="A234" s="42"/>
      <c r="R234" s="42"/>
      <c r="AK234" s="206"/>
      <c r="AL234" s="42"/>
    </row>
    <row r="235" spans="1:40" x14ac:dyDescent="0.3">
      <c r="L235" s="42"/>
      <c r="M235" s="42"/>
      <c r="AA235" s="42"/>
      <c r="AB235" s="42"/>
    </row>
    <row r="236" spans="1:40" x14ac:dyDescent="0.3">
      <c r="A236" s="135"/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207"/>
      <c r="AH236" s="135"/>
      <c r="AI236" s="135"/>
      <c r="AJ236" s="135"/>
      <c r="AK236" s="207"/>
      <c r="AL236" s="135"/>
      <c r="AM236" s="135"/>
      <c r="AN236" s="135"/>
    </row>
    <row r="237" spans="1:40" x14ac:dyDescent="0.3">
      <c r="L237" s="44"/>
      <c r="M237" s="44"/>
      <c r="N237" s="44"/>
      <c r="O237" s="44"/>
      <c r="R237" s="44"/>
      <c r="AA237" s="44"/>
      <c r="AB237" s="44"/>
      <c r="AC237" s="44"/>
      <c r="AD237" s="44"/>
      <c r="AE237" s="44"/>
      <c r="AF237" s="44"/>
      <c r="AG237" s="168"/>
      <c r="AH237" s="44"/>
      <c r="AK237" s="168"/>
      <c r="AL237" s="44"/>
      <c r="AM237" s="44"/>
      <c r="AN237" s="44"/>
    </row>
    <row r="238" spans="1:40" x14ac:dyDescent="0.3">
      <c r="L238" s="44"/>
      <c r="M238" s="44"/>
      <c r="N238" s="44"/>
      <c r="O238" s="44"/>
      <c r="R238" s="44"/>
      <c r="Z238" s="44"/>
      <c r="AA238" s="44"/>
      <c r="AB238" s="44"/>
      <c r="AC238" s="44"/>
      <c r="AD238" s="44"/>
      <c r="AE238" s="44"/>
      <c r="AF238" s="44"/>
      <c r="AG238" s="168"/>
      <c r="AH238" s="44"/>
      <c r="AK238" s="168"/>
      <c r="AL238" s="44"/>
      <c r="AM238" s="44"/>
      <c r="AN238" s="44"/>
    </row>
    <row r="239" spans="1:40" x14ac:dyDescent="0.3">
      <c r="A239" s="44"/>
      <c r="C239" s="44"/>
      <c r="D239" s="44"/>
      <c r="E239" s="44"/>
      <c r="F239" s="44"/>
      <c r="J239" s="44"/>
      <c r="K239" s="44"/>
      <c r="L239" s="44"/>
      <c r="M239" s="44"/>
      <c r="N239" s="44"/>
      <c r="O239" s="44"/>
      <c r="P239" s="44"/>
      <c r="Q239" s="44"/>
      <c r="R239" s="44"/>
      <c r="T239" s="44"/>
      <c r="U239" s="44"/>
      <c r="V239" s="44"/>
      <c r="Z239" s="44"/>
      <c r="AA239" s="44"/>
      <c r="AB239" s="44"/>
      <c r="AC239" s="44"/>
      <c r="AD239" s="44"/>
      <c r="AE239" s="44"/>
      <c r="AF239" s="44"/>
      <c r="AG239" s="168"/>
      <c r="AH239" s="44"/>
      <c r="AI239" s="44"/>
      <c r="AJ239" s="44"/>
      <c r="AK239" s="168"/>
      <c r="AL239" s="44"/>
      <c r="AM239" s="44"/>
      <c r="AN239" s="44"/>
    </row>
    <row r="240" spans="1:40" x14ac:dyDescent="0.3">
      <c r="A240" s="44"/>
      <c r="C240" s="44"/>
      <c r="D240" s="44"/>
      <c r="E240" s="44"/>
      <c r="F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T240" s="44"/>
      <c r="U240" s="44"/>
      <c r="V240" s="44"/>
      <c r="Y240" s="44"/>
      <c r="Z240" s="44"/>
      <c r="AA240" s="44"/>
      <c r="AB240" s="44"/>
      <c r="AC240" s="44"/>
      <c r="AD240" s="44"/>
      <c r="AE240" s="44"/>
      <c r="AF240" s="44"/>
      <c r="AG240" s="168"/>
      <c r="AH240" s="44"/>
      <c r="AI240" s="44"/>
      <c r="AJ240" s="44"/>
      <c r="AK240" s="168"/>
      <c r="AL240" s="44"/>
      <c r="AM240" s="44"/>
      <c r="AN240" s="44"/>
    </row>
    <row r="241" spans="1:40" x14ac:dyDescent="0.3"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T241" s="44"/>
      <c r="U241" s="44"/>
      <c r="V241" s="44"/>
      <c r="Y241" s="44"/>
      <c r="Z241" s="44"/>
      <c r="AA241" s="44"/>
      <c r="AB241" s="44"/>
      <c r="AC241" s="44"/>
      <c r="AD241" s="44"/>
      <c r="AE241" s="44"/>
      <c r="AF241" s="44"/>
      <c r="AG241" s="168"/>
      <c r="AH241" s="44"/>
      <c r="AI241" s="44"/>
      <c r="AJ241" s="44"/>
      <c r="AK241" s="168"/>
      <c r="AL241" s="44"/>
      <c r="AM241" s="44"/>
      <c r="AN241" s="44"/>
    </row>
    <row r="242" spans="1:40" x14ac:dyDescent="0.3">
      <c r="A242" s="135"/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207"/>
      <c r="AH242" s="135"/>
      <c r="AI242" s="135"/>
      <c r="AJ242" s="135"/>
      <c r="AK242" s="207"/>
      <c r="AL242" s="135"/>
      <c r="AM242" s="135"/>
      <c r="AN242" s="135"/>
    </row>
    <row r="243" spans="1:40" x14ac:dyDescent="0.3"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Y243" s="44"/>
      <c r="Z243" s="44"/>
      <c r="AA243" s="44"/>
      <c r="AB243" s="44"/>
      <c r="AC243" s="44"/>
      <c r="AD243" s="44"/>
      <c r="AE243" s="44"/>
      <c r="AF243" s="44"/>
      <c r="AG243" s="168"/>
      <c r="AH243" s="44"/>
      <c r="AI243" s="44"/>
      <c r="AJ243" s="44"/>
      <c r="AK243" s="168"/>
      <c r="AL243" s="44"/>
      <c r="AM243" s="44"/>
      <c r="AN243" s="44"/>
    </row>
    <row r="244" spans="1:40" x14ac:dyDescent="0.3">
      <c r="C244" s="42"/>
      <c r="D244" s="42"/>
      <c r="E244" s="42"/>
      <c r="T244" s="42"/>
      <c r="U244" s="42"/>
    </row>
    <row r="246" spans="1:40" x14ac:dyDescent="0.3">
      <c r="C246" s="42"/>
      <c r="F246" s="184"/>
      <c r="H246" s="222"/>
      <c r="I246" s="222"/>
      <c r="J246" s="193"/>
      <c r="K246" s="193"/>
      <c r="L246" s="123"/>
      <c r="M246" s="123"/>
      <c r="R246" s="123"/>
      <c r="T246" s="42"/>
      <c r="V246" s="123"/>
      <c r="Z246" s="193"/>
      <c r="AA246" s="123"/>
      <c r="AB246" s="123"/>
      <c r="AE246" s="123"/>
      <c r="AF246" s="123"/>
      <c r="AG246" s="233"/>
      <c r="AH246" s="234"/>
      <c r="AI246" s="123"/>
      <c r="AJ246" s="123"/>
      <c r="AL246" s="123"/>
      <c r="AM246" s="235"/>
      <c r="AN246" s="235"/>
    </row>
    <row r="247" spans="1:40" x14ac:dyDescent="0.3">
      <c r="F247" s="184"/>
      <c r="H247" s="222"/>
      <c r="I247" s="222"/>
      <c r="J247" s="222"/>
      <c r="K247" s="222"/>
      <c r="R247" s="123"/>
      <c r="V247" s="123"/>
      <c r="Z247" s="222"/>
    </row>
    <row r="248" spans="1:40" x14ac:dyDescent="0.3">
      <c r="C248" s="42"/>
      <c r="F248" s="184"/>
      <c r="H248" s="184"/>
      <c r="I248" s="184"/>
      <c r="J248" s="227"/>
      <c r="K248" s="227"/>
      <c r="L248" s="123"/>
      <c r="M248" s="123"/>
      <c r="N248" s="160"/>
      <c r="O248" s="160"/>
      <c r="P248" s="184"/>
      <c r="Q248" s="184"/>
      <c r="R248" s="123"/>
      <c r="T248" s="42"/>
      <c r="V248" s="123"/>
      <c r="Y248" s="123"/>
      <c r="Z248" s="212"/>
      <c r="AA248" s="123"/>
      <c r="AB248" s="123"/>
      <c r="AC248" s="160"/>
      <c r="AD248" s="160"/>
      <c r="AE248" s="123"/>
      <c r="AF248" s="123"/>
      <c r="AH248" s="236"/>
      <c r="AI248" s="184"/>
      <c r="AJ248" s="184"/>
      <c r="AL248" s="123"/>
      <c r="AM248" s="160"/>
      <c r="AN248" s="160"/>
    </row>
    <row r="249" spans="1:40" x14ac:dyDescent="0.3">
      <c r="F249" s="210"/>
      <c r="H249" s="210"/>
      <c r="I249" s="210"/>
      <c r="J249" s="213"/>
      <c r="K249" s="213"/>
      <c r="L249" s="210"/>
      <c r="M249" s="210"/>
      <c r="N249" s="210"/>
      <c r="O249" s="210"/>
      <c r="P249" s="210"/>
      <c r="Q249" s="210"/>
      <c r="R249" s="210"/>
      <c r="V249" s="210"/>
      <c r="Y249" s="210"/>
      <c r="Z249" s="213"/>
      <c r="AA249" s="210"/>
      <c r="AB249" s="210"/>
      <c r="AC249" s="210"/>
      <c r="AD249" s="210"/>
      <c r="AE249" s="210"/>
      <c r="AF249" s="210"/>
      <c r="AI249" s="210"/>
      <c r="AJ249" s="210"/>
      <c r="AK249" s="214"/>
      <c r="AL249" s="210"/>
    </row>
    <row r="250" spans="1:40" x14ac:dyDescent="0.3">
      <c r="D250" s="42"/>
      <c r="E250" s="42"/>
      <c r="F250" s="123"/>
      <c r="H250" s="123"/>
      <c r="I250" s="123"/>
      <c r="J250" s="219"/>
      <c r="K250" s="219"/>
      <c r="L250" s="123"/>
      <c r="M250" s="123"/>
      <c r="N250" s="160"/>
      <c r="O250" s="160"/>
      <c r="P250" s="123"/>
      <c r="Q250" s="123"/>
      <c r="R250" s="123"/>
      <c r="U250" s="42"/>
      <c r="V250" s="123"/>
      <c r="Y250" s="123"/>
      <c r="Z250" s="219"/>
      <c r="AA250" s="123"/>
      <c r="AB250" s="123"/>
      <c r="AC250" s="160"/>
      <c r="AD250" s="160"/>
      <c r="AE250" s="123"/>
      <c r="AF250" s="123"/>
      <c r="AH250" s="236"/>
      <c r="AI250" s="123"/>
      <c r="AJ250" s="123"/>
      <c r="AL250" s="123"/>
      <c r="AM250" s="160"/>
      <c r="AN250" s="160"/>
    </row>
    <row r="251" spans="1:40" x14ac:dyDescent="0.3">
      <c r="F251" s="210"/>
      <c r="H251" s="210"/>
      <c r="I251" s="210"/>
      <c r="J251" s="213"/>
      <c r="K251" s="213"/>
      <c r="L251" s="210"/>
      <c r="M251" s="210"/>
      <c r="N251" s="210"/>
      <c r="O251" s="210"/>
      <c r="P251" s="210"/>
      <c r="Q251" s="210"/>
      <c r="R251" s="210"/>
      <c r="V251" s="210"/>
      <c r="Y251" s="210"/>
      <c r="Z251" s="213"/>
      <c r="AA251" s="210"/>
      <c r="AB251" s="210"/>
      <c r="AC251" s="210"/>
      <c r="AD251" s="210"/>
      <c r="AE251" s="210"/>
      <c r="AF251" s="210"/>
      <c r="AI251" s="210"/>
      <c r="AJ251" s="210"/>
      <c r="AK251" s="214"/>
      <c r="AL251" s="210"/>
    </row>
    <row r="252" spans="1:40" x14ac:dyDescent="0.3">
      <c r="R252" s="123"/>
    </row>
    <row r="253" spans="1:40" x14ac:dyDescent="0.3">
      <c r="R253" s="123"/>
    </row>
    <row r="254" spans="1:40" x14ac:dyDescent="0.3">
      <c r="R254" s="123"/>
    </row>
    <row r="255" spans="1:40" x14ac:dyDescent="0.3">
      <c r="C255" s="42"/>
      <c r="D255" s="42"/>
      <c r="E255" s="42"/>
      <c r="H255" s="123"/>
      <c r="I255" s="123"/>
      <c r="J255" s="219"/>
      <c r="K255" s="219"/>
      <c r="L255" s="123"/>
      <c r="M255" s="123"/>
      <c r="N255" s="160"/>
      <c r="O255" s="160"/>
      <c r="P255" s="123"/>
      <c r="Q255" s="123"/>
      <c r="R255" s="123"/>
      <c r="T255" s="42"/>
      <c r="U255" s="42"/>
      <c r="Y255" s="123"/>
      <c r="Z255" s="219"/>
      <c r="AA255" s="123"/>
      <c r="AB255" s="123"/>
      <c r="AC255" s="160"/>
      <c r="AD255" s="160"/>
    </row>
    <row r="256" spans="1:40" x14ac:dyDescent="0.3">
      <c r="H256" s="123"/>
      <c r="I256" s="123"/>
      <c r="J256" s="219"/>
      <c r="K256" s="219"/>
      <c r="L256" s="123"/>
      <c r="M256" s="123"/>
      <c r="N256" s="160"/>
      <c r="O256" s="160"/>
      <c r="P256" s="123"/>
      <c r="Q256" s="123"/>
      <c r="R256" s="123"/>
      <c r="Y256" s="123"/>
      <c r="Z256" s="219"/>
      <c r="AA256" s="123"/>
      <c r="AB256" s="123"/>
      <c r="AC256" s="160"/>
      <c r="AD256" s="160"/>
    </row>
    <row r="257" spans="1:40" x14ac:dyDescent="0.3">
      <c r="C257" s="42"/>
      <c r="F257" s="184"/>
      <c r="H257" s="184"/>
      <c r="I257" s="184"/>
      <c r="J257" s="240"/>
      <c r="K257" s="240"/>
      <c r="L257" s="184"/>
      <c r="M257" s="184"/>
      <c r="N257" s="160"/>
      <c r="O257" s="160"/>
      <c r="P257" s="123"/>
      <c r="Q257" s="123"/>
      <c r="R257" s="123"/>
      <c r="T257" s="42"/>
      <c r="V257" s="123"/>
      <c r="Y257" s="123"/>
      <c r="Z257" s="240"/>
      <c r="AA257" s="123"/>
      <c r="AB257" s="123"/>
      <c r="AC257" s="160"/>
      <c r="AD257" s="160"/>
      <c r="AE257" s="123"/>
      <c r="AF257" s="123"/>
      <c r="AH257" s="236"/>
      <c r="AI257" s="123"/>
      <c r="AJ257" s="123"/>
      <c r="AL257" s="123"/>
      <c r="AM257" s="160"/>
      <c r="AN257" s="160"/>
    </row>
    <row r="258" spans="1:40" x14ac:dyDescent="0.3">
      <c r="F258" s="184"/>
      <c r="H258" s="222"/>
      <c r="I258" s="222"/>
      <c r="J258" s="222"/>
      <c r="K258" s="222"/>
      <c r="R258" s="123"/>
      <c r="V258" s="123"/>
      <c r="Z258" s="222"/>
    </row>
    <row r="259" spans="1:40" x14ac:dyDescent="0.3">
      <c r="C259" s="42"/>
      <c r="F259" s="184"/>
      <c r="H259" s="184"/>
      <c r="I259" s="184"/>
      <c r="J259" s="193"/>
      <c r="K259" s="193"/>
      <c r="L259" s="123"/>
      <c r="M259" s="123"/>
      <c r="N259" s="160"/>
      <c r="O259" s="160"/>
      <c r="P259" s="123"/>
      <c r="Q259" s="123"/>
      <c r="R259" s="123"/>
      <c r="T259" s="42"/>
      <c r="V259" s="123"/>
      <c r="Y259" s="123"/>
      <c r="Z259" s="193"/>
      <c r="AA259" s="123"/>
      <c r="AB259" s="123"/>
      <c r="AC259" s="160"/>
      <c r="AD259" s="160"/>
      <c r="AE259" s="123"/>
      <c r="AF259" s="123"/>
      <c r="AH259" s="236"/>
      <c r="AI259" s="123"/>
      <c r="AJ259" s="123"/>
      <c r="AL259" s="123"/>
      <c r="AM259" s="160"/>
      <c r="AN259" s="160"/>
    </row>
    <row r="260" spans="1:40" x14ac:dyDescent="0.3">
      <c r="F260" s="184"/>
      <c r="H260" s="222"/>
      <c r="I260" s="222"/>
      <c r="J260" s="222"/>
      <c r="K260" s="222"/>
      <c r="R260" s="123"/>
      <c r="V260" s="123"/>
      <c r="Z260" s="222"/>
    </row>
    <row r="261" spans="1:40" x14ac:dyDescent="0.3">
      <c r="C261" s="42"/>
      <c r="F261" s="184"/>
      <c r="H261" s="184"/>
      <c r="I261" s="184"/>
      <c r="J261" s="227"/>
      <c r="K261" s="227"/>
      <c r="L261" s="123"/>
      <c r="M261" s="123"/>
      <c r="N261" s="160"/>
      <c r="O261" s="160"/>
      <c r="P261" s="123"/>
      <c r="Q261" s="123"/>
      <c r="R261" s="123"/>
      <c r="T261" s="42"/>
      <c r="V261" s="123"/>
      <c r="Y261" s="123"/>
      <c r="Z261" s="212"/>
      <c r="AA261" s="123"/>
      <c r="AB261" s="123"/>
      <c r="AC261" s="160"/>
      <c r="AD261" s="160"/>
      <c r="AE261" s="123"/>
      <c r="AF261" s="123"/>
      <c r="AH261" s="236"/>
      <c r="AI261" s="123"/>
      <c r="AJ261" s="123"/>
      <c r="AL261" s="123"/>
      <c r="AM261" s="160"/>
      <c r="AN261" s="160"/>
    </row>
    <row r="262" spans="1:40" x14ac:dyDescent="0.3">
      <c r="F262" s="210"/>
      <c r="H262" s="210"/>
      <c r="I262" s="210"/>
      <c r="J262" s="213"/>
      <c r="K262" s="213"/>
      <c r="L262" s="210"/>
      <c r="M262" s="210"/>
      <c r="N262" s="210"/>
      <c r="O262" s="210"/>
      <c r="P262" s="210"/>
      <c r="Q262" s="210"/>
      <c r="R262" s="210"/>
      <c r="S262" s="123"/>
      <c r="V262" s="210"/>
      <c r="Y262" s="210"/>
      <c r="Z262" s="213"/>
      <c r="AA262" s="210"/>
      <c r="AB262" s="210"/>
      <c r="AC262" s="210"/>
      <c r="AD262" s="210"/>
      <c r="AE262" s="210"/>
      <c r="AF262" s="210"/>
      <c r="AI262" s="210"/>
      <c r="AJ262" s="210"/>
      <c r="AK262" s="214"/>
      <c r="AL262" s="210"/>
    </row>
    <row r="263" spans="1:40" x14ac:dyDescent="0.3">
      <c r="D263" s="42"/>
      <c r="E263" s="42"/>
      <c r="F263" s="123"/>
      <c r="H263" s="123"/>
      <c r="I263" s="123"/>
      <c r="J263" s="219"/>
      <c r="K263" s="219"/>
      <c r="L263" s="123"/>
      <c r="M263" s="123"/>
      <c r="N263" s="160"/>
      <c r="O263" s="160"/>
      <c r="P263" s="184"/>
      <c r="Q263" s="184"/>
      <c r="R263" s="123"/>
      <c r="S263" s="123"/>
      <c r="U263" s="42"/>
      <c r="V263" s="123"/>
      <c r="Y263" s="123"/>
      <c r="Z263" s="219"/>
      <c r="AA263" s="123"/>
      <c r="AB263" s="123"/>
      <c r="AC263" s="160"/>
      <c r="AD263" s="160"/>
      <c r="AE263" s="123"/>
      <c r="AF263" s="123"/>
      <c r="AH263" s="236"/>
      <c r="AI263" s="184"/>
      <c r="AJ263" s="184"/>
      <c r="AL263" s="123"/>
      <c r="AM263" s="160"/>
      <c r="AN263" s="160"/>
    </row>
    <row r="264" spans="1:40" x14ac:dyDescent="0.3">
      <c r="F264" s="210"/>
      <c r="H264" s="210"/>
      <c r="I264" s="210"/>
      <c r="J264" s="213"/>
      <c r="K264" s="213"/>
      <c r="L264" s="210"/>
      <c r="M264" s="210"/>
      <c r="N264" s="210"/>
      <c r="O264" s="210"/>
      <c r="P264" s="210"/>
      <c r="Q264" s="210"/>
      <c r="R264" s="210"/>
      <c r="S264" s="123"/>
      <c r="V264" s="210"/>
      <c r="Y264" s="210"/>
      <c r="Z264" s="213"/>
      <c r="AA264" s="210"/>
      <c r="AB264" s="210"/>
      <c r="AC264" s="210"/>
      <c r="AD264" s="210"/>
      <c r="AE264" s="210"/>
      <c r="AF264" s="210"/>
      <c r="AI264" s="210"/>
      <c r="AJ264" s="210"/>
      <c r="AK264" s="214"/>
      <c r="AL264" s="210"/>
    </row>
    <row r="265" spans="1:40" x14ac:dyDescent="0.3">
      <c r="R265" s="123"/>
    </row>
    <row r="266" spans="1:40" x14ac:dyDescent="0.3">
      <c r="F266" s="123"/>
      <c r="H266" s="123"/>
      <c r="I266" s="123"/>
      <c r="J266" s="219"/>
      <c r="K266" s="219"/>
      <c r="L266" s="123"/>
      <c r="M266" s="123"/>
      <c r="N266" s="123"/>
      <c r="O266" s="123"/>
      <c r="P266" s="123"/>
      <c r="Q266" s="123"/>
      <c r="R266" s="123"/>
      <c r="V266" s="123"/>
      <c r="Y266" s="123"/>
      <c r="Z266" s="219"/>
      <c r="AA266" s="123"/>
      <c r="AB266" s="123"/>
      <c r="AC266" s="123"/>
      <c r="AD266" s="123"/>
    </row>
    <row r="267" spans="1:40" x14ac:dyDescent="0.3">
      <c r="C267" s="42"/>
      <c r="F267" s="123"/>
      <c r="H267" s="123"/>
      <c r="I267" s="123"/>
      <c r="J267" s="219"/>
      <c r="K267" s="219"/>
      <c r="L267" s="123"/>
      <c r="M267" s="123"/>
      <c r="N267" s="123"/>
      <c r="O267" s="123"/>
      <c r="P267" s="123"/>
      <c r="Q267" s="123"/>
      <c r="R267" s="123"/>
      <c r="T267" s="42"/>
      <c r="V267" s="123"/>
      <c r="Y267" s="123"/>
      <c r="Z267" s="219"/>
      <c r="AA267" s="123"/>
      <c r="AB267" s="123"/>
      <c r="AC267" s="123"/>
      <c r="AD267" s="123"/>
    </row>
    <row r="268" spans="1:40" x14ac:dyDescent="0.3">
      <c r="C268" s="42"/>
      <c r="T268" s="42"/>
    </row>
    <row r="269" spans="1:40" x14ac:dyDescent="0.3">
      <c r="A269" s="42"/>
    </row>
    <row r="272" spans="1:40" x14ac:dyDescent="0.3">
      <c r="H272" s="42"/>
      <c r="I272" s="42"/>
      <c r="Y272" s="42"/>
    </row>
    <row r="274" spans="1:40" x14ac:dyDescent="0.3">
      <c r="L274" s="42"/>
      <c r="M274" s="42"/>
      <c r="AA274" s="42"/>
      <c r="AB274" s="42"/>
    </row>
    <row r="275" spans="1:40" x14ac:dyDescent="0.3">
      <c r="R275" s="42"/>
      <c r="AK275" s="206"/>
      <c r="AL275" s="42"/>
    </row>
    <row r="276" spans="1:40" x14ac:dyDescent="0.3">
      <c r="R276" s="42"/>
      <c r="AK276" s="206"/>
      <c r="AL276" s="42"/>
    </row>
    <row r="277" spans="1:40" x14ac:dyDescent="0.3">
      <c r="A277" s="42"/>
      <c r="R277" s="42"/>
      <c r="AK277" s="206"/>
      <c r="AL277" s="42"/>
    </row>
    <row r="278" spans="1:40" x14ac:dyDescent="0.3">
      <c r="L278" s="42"/>
      <c r="M278" s="42"/>
      <c r="AA278" s="42"/>
      <c r="AB278" s="42"/>
    </row>
    <row r="279" spans="1:40" x14ac:dyDescent="0.3">
      <c r="A279" s="135"/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207"/>
      <c r="AH279" s="135"/>
      <c r="AI279" s="135"/>
      <c r="AJ279" s="135"/>
      <c r="AK279" s="207"/>
      <c r="AL279" s="135"/>
      <c r="AM279" s="135"/>
      <c r="AN279" s="135"/>
    </row>
    <row r="280" spans="1:40" x14ac:dyDescent="0.3">
      <c r="L280" s="44"/>
      <c r="M280" s="44"/>
      <c r="N280" s="44"/>
      <c r="O280" s="44"/>
      <c r="R280" s="44"/>
      <c r="AA280" s="44"/>
      <c r="AB280" s="44"/>
      <c r="AC280" s="44"/>
      <c r="AD280" s="44"/>
      <c r="AE280" s="44"/>
      <c r="AF280" s="44"/>
      <c r="AG280" s="168"/>
      <c r="AH280" s="44"/>
      <c r="AK280" s="168"/>
      <c r="AL280" s="44"/>
      <c r="AM280" s="44"/>
      <c r="AN280" s="44"/>
    </row>
    <row r="281" spans="1:40" x14ac:dyDescent="0.3">
      <c r="L281" s="44"/>
      <c r="M281" s="44"/>
      <c r="N281" s="44"/>
      <c r="O281" s="44"/>
      <c r="R281" s="44"/>
      <c r="Z281" s="44"/>
      <c r="AA281" s="44"/>
      <c r="AB281" s="44"/>
      <c r="AC281" s="44"/>
      <c r="AD281" s="44"/>
      <c r="AE281" s="44"/>
      <c r="AF281" s="44"/>
      <c r="AG281" s="168"/>
      <c r="AH281" s="44"/>
      <c r="AK281" s="168"/>
      <c r="AL281" s="44"/>
      <c r="AM281" s="44"/>
      <c r="AN281" s="44"/>
    </row>
    <row r="282" spans="1:40" x14ac:dyDescent="0.3">
      <c r="A282" s="44"/>
      <c r="C282" s="44"/>
      <c r="D282" s="44"/>
      <c r="E282" s="44"/>
      <c r="F282" s="44"/>
      <c r="J282" s="44"/>
      <c r="K282" s="44"/>
      <c r="L282" s="44"/>
      <c r="M282" s="44"/>
      <c r="N282" s="44"/>
      <c r="O282" s="44"/>
      <c r="P282" s="44"/>
      <c r="Q282" s="44"/>
      <c r="R282" s="44"/>
      <c r="T282" s="44"/>
      <c r="U282" s="44"/>
      <c r="V282" s="44"/>
      <c r="Z282" s="44"/>
      <c r="AA282" s="44"/>
      <c r="AB282" s="44"/>
      <c r="AC282" s="44"/>
      <c r="AD282" s="44"/>
      <c r="AE282" s="44"/>
      <c r="AF282" s="44"/>
      <c r="AG282" s="168"/>
      <c r="AH282" s="44"/>
      <c r="AI282" s="44"/>
      <c r="AJ282" s="44"/>
      <c r="AK282" s="168"/>
      <c r="AL282" s="44"/>
      <c r="AM282" s="44"/>
      <c r="AN282" s="44"/>
    </row>
    <row r="283" spans="1:40" x14ac:dyDescent="0.3">
      <c r="A283" s="44"/>
      <c r="C283" s="44"/>
      <c r="D283" s="44"/>
      <c r="E283" s="44"/>
      <c r="F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T283" s="44"/>
      <c r="U283" s="44"/>
      <c r="V283" s="44"/>
      <c r="Y283" s="44"/>
      <c r="Z283" s="44"/>
      <c r="AA283" s="44"/>
      <c r="AB283" s="44"/>
      <c r="AC283" s="44"/>
      <c r="AD283" s="44"/>
      <c r="AE283" s="44"/>
      <c r="AF283" s="44"/>
      <c r="AG283" s="168"/>
      <c r="AH283" s="44"/>
      <c r="AI283" s="44"/>
      <c r="AJ283" s="44"/>
      <c r="AK283" s="168"/>
      <c r="AL283" s="44"/>
      <c r="AM283" s="44"/>
      <c r="AN283" s="44"/>
    </row>
    <row r="284" spans="1:40" x14ac:dyDescent="0.3">
      <c r="C284" s="44"/>
      <c r="D284" s="44"/>
      <c r="E284" s="44"/>
      <c r="F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T284" s="44"/>
      <c r="U284" s="44"/>
      <c r="V284" s="44"/>
      <c r="Y284" s="44"/>
      <c r="Z284" s="44"/>
      <c r="AA284" s="44"/>
      <c r="AB284" s="44"/>
      <c r="AC284" s="44"/>
      <c r="AD284" s="44"/>
      <c r="AE284" s="44"/>
      <c r="AF284" s="44"/>
      <c r="AG284" s="168"/>
      <c r="AH284" s="44"/>
      <c r="AI284" s="44"/>
      <c r="AJ284" s="44"/>
      <c r="AK284" s="168"/>
      <c r="AL284" s="44"/>
      <c r="AM284" s="44"/>
      <c r="AN284" s="44"/>
    </row>
    <row r="285" spans="1:40" x14ac:dyDescent="0.3">
      <c r="A285" s="135"/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207"/>
      <c r="AH285" s="135"/>
      <c r="AI285" s="135"/>
      <c r="AJ285" s="135"/>
      <c r="AK285" s="207"/>
      <c r="AL285" s="135"/>
      <c r="AM285" s="135"/>
      <c r="AN285" s="135"/>
    </row>
    <row r="286" spans="1:40" x14ac:dyDescent="0.3"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Y286" s="44"/>
      <c r="Z286" s="44"/>
      <c r="AA286" s="44"/>
      <c r="AB286" s="44"/>
      <c r="AC286" s="44"/>
      <c r="AD286" s="44"/>
      <c r="AE286" s="44"/>
      <c r="AF286" s="44"/>
      <c r="AG286" s="168"/>
      <c r="AH286" s="44"/>
      <c r="AI286" s="44"/>
      <c r="AJ286" s="44"/>
      <c r="AK286" s="168"/>
      <c r="AL286" s="44"/>
      <c r="AM286" s="44"/>
      <c r="AN286" s="44"/>
    </row>
    <row r="287" spans="1:40" x14ac:dyDescent="0.3">
      <c r="C287" s="42"/>
      <c r="D287" s="42"/>
      <c r="E287" s="42"/>
      <c r="T287" s="42"/>
      <c r="U287" s="42"/>
    </row>
    <row r="288" spans="1:40" x14ac:dyDescent="0.3">
      <c r="D288" s="42"/>
      <c r="E288" s="42"/>
      <c r="U288" s="42"/>
    </row>
    <row r="290" spans="3:40" x14ac:dyDescent="0.3">
      <c r="C290" s="42"/>
      <c r="F290" s="123"/>
      <c r="J290" s="209"/>
      <c r="K290" s="209"/>
      <c r="L290" s="123"/>
      <c r="M290" s="123"/>
      <c r="R290" s="123"/>
      <c r="T290" s="42"/>
      <c r="V290" s="123"/>
      <c r="Z290" s="209"/>
      <c r="AA290" s="123"/>
      <c r="AB290" s="123"/>
      <c r="AL290" s="123"/>
    </row>
    <row r="291" spans="3:40" x14ac:dyDescent="0.3">
      <c r="F291" s="123"/>
      <c r="R291" s="123"/>
      <c r="V291" s="123"/>
      <c r="AL291" s="123"/>
    </row>
    <row r="292" spans="3:40" x14ac:dyDescent="0.3">
      <c r="C292" s="42"/>
      <c r="F292" s="184"/>
      <c r="H292" s="184"/>
      <c r="I292" s="184"/>
      <c r="J292" s="193"/>
      <c r="K292" s="193"/>
      <c r="L292" s="123"/>
      <c r="M292" s="123"/>
      <c r="N292" s="160"/>
      <c r="O292" s="160"/>
      <c r="P292" s="123"/>
      <c r="Q292" s="123"/>
      <c r="R292" s="123"/>
      <c r="T292" s="42"/>
      <c r="V292" s="123"/>
      <c r="Y292" s="123"/>
      <c r="Z292" s="193"/>
      <c r="AA292" s="123"/>
      <c r="AB292" s="123"/>
      <c r="AC292" s="160"/>
      <c r="AD292" s="160"/>
      <c r="AE292" s="123"/>
      <c r="AF292" s="123"/>
      <c r="AH292" s="236"/>
      <c r="AI292" s="123"/>
      <c r="AJ292" s="123"/>
      <c r="AL292" s="123"/>
      <c r="AM292" s="160"/>
      <c r="AN292" s="160"/>
    </row>
    <row r="293" spans="3:40" x14ac:dyDescent="0.3">
      <c r="C293" s="42"/>
      <c r="F293" s="184"/>
      <c r="H293" s="222"/>
      <c r="I293" s="222"/>
      <c r="J293" s="193"/>
      <c r="K293" s="193"/>
      <c r="L293" s="123"/>
      <c r="M293" s="123"/>
      <c r="N293" s="160"/>
      <c r="O293" s="160"/>
      <c r="P293" s="123"/>
      <c r="Q293" s="123"/>
      <c r="R293" s="123"/>
      <c r="T293" s="42"/>
      <c r="V293" s="123"/>
      <c r="Y293" s="123"/>
      <c r="Z293" s="193"/>
      <c r="AA293" s="123"/>
      <c r="AB293" s="123"/>
      <c r="AC293" s="160"/>
      <c r="AD293" s="160"/>
      <c r="AE293" s="123"/>
      <c r="AF293" s="123"/>
      <c r="AH293" s="236"/>
      <c r="AI293" s="123"/>
      <c r="AJ293" s="123"/>
      <c r="AL293" s="123"/>
      <c r="AM293" s="160"/>
      <c r="AN293" s="160"/>
    </row>
    <row r="294" spans="3:40" x14ac:dyDescent="0.3">
      <c r="F294" s="210"/>
      <c r="H294" s="123"/>
      <c r="I294" s="123"/>
      <c r="J294" s="213"/>
      <c r="K294" s="213"/>
      <c r="L294" s="210"/>
      <c r="M294" s="210"/>
      <c r="N294" s="210"/>
      <c r="O294" s="210"/>
      <c r="P294" s="210"/>
      <c r="Q294" s="210"/>
      <c r="R294" s="210"/>
      <c r="V294" s="210"/>
      <c r="Y294" s="123"/>
      <c r="Z294" s="213"/>
      <c r="AA294" s="210"/>
      <c r="AB294" s="210"/>
      <c r="AC294" s="210"/>
      <c r="AD294" s="210"/>
      <c r="AE294" s="210"/>
      <c r="AF294" s="210"/>
      <c r="AI294" s="210"/>
      <c r="AJ294" s="210"/>
      <c r="AK294" s="214"/>
      <c r="AL294" s="210"/>
    </row>
    <row r="295" spans="3:40" x14ac:dyDescent="0.3">
      <c r="C295" s="42"/>
      <c r="F295" s="123"/>
      <c r="H295" s="123"/>
      <c r="I295" s="123"/>
      <c r="J295" s="219"/>
      <c r="K295" s="219"/>
      <c r="L295" s="123"/>
      <c r="M295" s="123"/>
      <c r="N295" s="160"/>
      <c r="O295" s="160"/>
      <c r="P295" s="123"/>
      <c r="Q295" s="123"/>
      <c r="R295" s="123"/>
      <c r="T295" s="42"/>
      <c r="V295" s="123"/>
      <c r="Y295" s="123"/>
      <c r="Z295" s="219"/>
      <c r="AA295" s="123"/>
      <c r="AB295" s="123"/>
      <c r="AC295" s="160"/>
      <c r="AD295" s="160"/>
      <c r="AE295" s="123"/>
      <c r="AF295" s="123"/>
      <c r="AH295" s="236"/>
      <c r="AI295" s="123"/>
      <c r="AJ295" s="123"/>
      <c r="AL295" s="123"/>
      <c r="AM295" s="160"/>
      <c r="AN295" s="160"/>
    </row>
    <row r="296" spans="3:40" x14ac:dyDescent="0.3">
      <c r="F296" s="210"/>
      <c r="H296" s="123"/>
      <c r="I296" s="123"/>
      <c r="J296" s="213"/>
      <c r="K296" s="213"/>
      <c r="L296" s="210"/>
      <c r="M296" s="210"/>
      <c r="N296" s="210"/>
      <c r="O296" s="210"/>
      <c r="P296" s="210"/>
      <c r="Q296" s="210"/>
      <c r="R296" s="210"/>
      <c r="V296" s="210"/>
      <c r="Y296" s="123"/>
      <c r="Z296" s="213"/>
      <c r="AA296" s="210"/>
      <c r="AB296" s="210"/>
      <c r="AC296" s="210"/>
      <c r="AD296" s="210"/>
      <c r="AE296" s="210"/>
      <c r="AF296" s="210"/>
      <c r="AI296" s="210"/>
      <c r="AJ296" s="210"/>
      <c r="AK296" s="214"/>
      <c r="AL296" s="210"/>
    </row>
    <row r="297" spans="3:40" x14ac:dyDescent="0.3">
      <c r="F297" s="123"/>
      <c r="R297" s="123"/>
      <c r="V297" s="123"/>
      <c r="AL297" s="123"/>
    </row>
    <row r="298" spans="3:40" x14ac:dyDescent="0.3">
      <c r="C298" s="42"/>
      <c r="F298" s="123"/>
      <c r="R298" s="123"/>
      <c r="T298" s="42"/>
      <c r="V298" s="123"/>
      <c r="AL298" s="123"/>
    </row>
    <row r="299" spans="3:40" x14ac:dyDescent="0.3">
      <c r="F299" s="123"/>
      <c r="R299" s="123"/>
      <c r="V299" s="123"/>
      <c r="AL299" s="123"/>
    </row>
    <row r="300" spans="3:40" x14ac:dyDescent="0.3">
      <c r="C300" s="42"/>
      <c r="F300" s="123"/>
      <c r="H300" s="184"/>
      <c r="I300" s="184"/>
      <c r="J300" s="227"/>
      <c r="K300" s="227"/>
      <c r="L300" s="123"/>
      <c r="M300" s="123"/>
      <c r="N300" s="160"/>
      <c r="O300" s="160"/>
      <c r="P300" s="184"/>
      <c r="Q300" s="184"/>
      <c r="R300" s="123"/>
      <c r="T300" s="42"/>
      <c r="V300" s="123"/>
      <c r="Y300" s="123"/>
      <c r="Z300" s="212"/>
      <c r="AA300" s="123"/>
      <c r="AB300" s="123"/>
      <c r="AC300" s="160"/>
      <c r="AD300" s="160"/>
      <c r="AE300" s="123"/>
      <c r="AF300" s="123"/>
      <c r="AH300" s="236"/>
      <c r="AI300" s="184"/>
      <c r="AJ300" s="184"/>
      <c r="AL300" s="123"/>
      <c r="AM300" s="160"/>
      <c r="AN300" s="160"/>
    </row>
    <row r="301" spans="3:40" x14ac:dyDescent="0.3">
      <c r="F301" s="210"/>
      <c r="H301" s="210"/>
      <c r="I301" s="210"/>
      <c r="J301" s="213"/>
      <c r="K301" s="213"/>
      <c r="L301" s="210"/>
      <c r="M301" s="210"/>
      <c r="N301" s="210"/>
      <c r="O301" s="210"/>
      <c r="P301" s="210"/>
      <c r="Q301" s="210"/>
      <c r="R301" s="210"/>
      <c r="V301" s="210"/>
      <c r="Y301" s="210"/>
      <c r="Z301" s="213"/>
      <c r="AA301" s="210"/>
      <c r="AB301" s="210"/>
      <c r="AC301" s="210"/>
      <c r="AD301" s="210"/>
      <c r="AE301" s="210"/>
      <c r="AF301" s="210"/>
      <c r="AI301" s="210"/>
      <c r="AJ301" s="210"/>
      <c r="AK301" s="214"/>
      <c r="AL301" s="210"/>
    </row>
    <row r="303" spans="3:40" x14ac:dyDescent="0.3">
      <c r="C303" s="42"/>
      <c r="F303" s="123"/>
      <c r="H303" s="123"/>
      <c r="I303" s="123"/>
      <c r="J303" s="209"/>
      <c r="K303" s="209"/>
      <c r="L303" s="123"/>
      <c r="M303" s="123"/>
      <c r="N303" s="160"/>
      <c r="O303" s="160"/>
      <c r="P303" s="123"/>
      <c r="Q303" s="123"/>
      <c r="R303" s="123"/>
      <c r="T303" s="42"/>
      <c r="V303" s="123"/>
      <c r="Y303" s="123"/>
      <c r="Z303" s="209"/>
      <c r="AA303" s="123"/>
      <c r="AB303" s="123"/>
      <c r="AC303" s="160"/>
      <c r="AD303" s="160"/>
      <c r="AE303" s="123"/>
      <c r="AF303" s="123"/>
      <c r="AH303" s="236"/>
      <c r="AI303" s="123"/>
      <c r="AJ303" s="123"/>
      <c r="AL303" s="123"/>
      <c r="AM303" s="160"/>
      <c r="AN303" s="160"/>
    </row>
    <row r="304" spans="3:40" x14ac:dyDescent="0.3">
      <c r="F304" s="210"/>
      <c r="H304" s="210"/>
      <c r="I304" s="210"/>
      <c r="J304" s="213"/>
      <c r="K304" s="213"/>
      <c r="L304" s="210"/>
      <c r="M304" s="210"/>
      <c r="N304" s="210"/>
      <c r="O304" s="210"/>
      <c r="P304" s="210"/>
      <c r="Q304" s="210"/>
      <c r="R304" s="210"/>
      <c r="V304" s="210"/>
      <c r="Y304" s="210"/>
      <c r="Z304" s="213"/>
      <c r="AA304" s="210"/>
      <c r="AB304" s="210"/>
      <c r="AC304" s="210"/>
      <c r="AD304" s="210"/>
      <c r="AE304" s="210"/>
      <c r="AF304" s="210"/>
      <c r="AI304" s="210"/>
      <c r="AJ304" s="210"/>
      <c r="AK304" s="214"/>
      <c r="AL304" s="210"/>
    </row>
    <row r="305" spans="1:40" x14ac:dyDescent="0.3">
      <c r="R305" s="123"/>
      <c r="AH305" s="123"/>
    </row>
    <row r="306" spans="1:40" x14ac:dyDescent="0.3">
      <c r="F306" s="123"/>
      <c r="H306" s="123"/>
      <c r="I306" s="123"/>
      <c r="J306" s="219"/>
      <c r="K306" s="219"/>
      <c r="L306" s="123"/>
      <c r="M306" s="123"/>
      <c r="N306" s="123"/>
      <c r="O306" s="123"/>
      <c r="P306" s="123"/>
      <c r="Q306" s="123"/>
      <c r="R306" s="123"/>
      <c r="V306" s="123"/>
      <c r="Y306" s="123"/>
      <c r="Z306" s="219"/>
      <c r="AA306" s="123"/>
      <c r="AB306" s="123"/>
      <c r="AC306" s="123"/>
      <c r="AD306" s="123"/>
      <c r="AE306" s="123"/>
      <c r="AF306" s="123"/>
      <c r="AH306" s="123"/>
    </row>
    <row r="307" spans="1:40" x14ac:dyDescent="0.3">
      <c r="C307" s="42"/>
      <c r="F307" s="123"/>
      <c r="H307" s="123"/>
      <c r="I307" s="123"/>
      <c r="J307" s="219"/>
      <c r="K307" s="219"/>
      <c r="L307" s="123"/>
      <c r="M307" s="123"/>
      <c r="N307" s="123"/>
      <c r="O307" s="123"/>
      <c r="P307" s="123"/>
      <c r="Q307" s="123"/>
      <c r="R307" s="123"/>
      <c r="T307" s="42"/>
      <c r="V307" s="123"/>
      <c r="Y307" s="123"/>
      <c r="Z307" s="219"/>
      <c r="AA307" s="123"/>
      <c r="AB307" s="123"/>
      <c r="AC307" s="123"/>
      <c r="AD307" s="123"/>
      <c r="AE307" s="123"/>
      <c r="AF307" s="123"/>
      <c r="AH307" s="123"/>
    </row>
    <row r="308" spans="1:40" x14ac:dyDescent="0.3">
      <c r="A308" s="42"/>
    </row>
    <row r="311" spans="1:40" x14ac:dyDescent="0.3">
      <c r="H311" s="42"/>
      <c r="I311" s="42"/>
      <c r="Y311" s="42"/>
    </row>
    <row r="313" spans="1:40" x14ac:dyDescent="0.3">
      <c r="L313" s="42"/>
      <c r="M313" s="42"/>
      <c r="AA313" s="42"/>
      <c r="AB313" s="42"/>
    </row>
    <row r="314" spans="1:40" x14ac:dyDescent="0.3">
      <c r="R314" s="42"/>
      <c r="AK314" s="206"/>
      <c r="AL314" s="42"/>
    </row>
    <row r="315" spans="1:40" x14ac:dyDescent="0.3">
      <c r="R315" s="42"/>
      <c r="AK315" s="206"/>
      <c r="AL315" s="42"/>
    </row>
    <row r="316" spans="1:40" x14ac:dyDescent="0.3">
      <c r="A316" s="42"/>
      <c r="R316" s="42"/>
      <c r="AK316" s="206"/>
      <c r="AL316" s="42"/>
    </row>
    <row r="317" spans="1:40" x14ac:dyDescent="0.3">
      <c r="L317" s="42"/>
      <c r="M317" s="42"/>
      <c r="AA317" s="42"/>
      <c r="AB317" s="42"/>
    </row>
    <row r="318" spans="1:40" x14ac:dyDescent="0.3">
      <c r="A318" s="135"/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207"/>
      <c r="AH318" s="135"/>
      <c r="AI318" s="135"/>
      <c r="AJ318" s="135"/>
      <c r="AK318" s="207"/>
      <c r="AL318" s="135"/>
      <c r="AM318" s="135"/>
      <c r="AN318" s="135"/>
    </row>
    <row r="319" spans="1:40" x14ac:dyDescent="0.3">
      <c r="L319" s="44"/>
      <c r="M319" s="44"/>
      <c r="N319" s="44"/>
      <c r="O319" s="44"/>
      <c r="R319" s="44"/>
      <c r="AA319" s="44"/>
      <c r="AB319" s="44"/>
      <c r="AC319" s="44"/>
      <c r="AD319" s="44"/>
      <c r="AE319" s="44"/>
      <c r="AF319" s="44"/>
      <c r="AG319" s="168"/>
      <c r="AH319" s="44"/>
      <c r="AK319" s="168"/>
      <c r="AL319" s="44"/>
      <c r="AM319" s="44"/>
      <c r="AN319" s="44"/>
    </row>
    <row r="320" spans="1:40" x14ac:dyDescent="0.3">
      <c r="L320" s="44"/>
      <c r="M320" s="44"/>
      <c r="N320" s="44"/>
      <c r="O320" s="44"/>
      <c r="R320" s="44"/>
      <c r="Z320" s="44"/>
      <c r="AA320" s="44"/>
      <c r="AB320" s="44"/>
      <c r="AC320" s="44"/>
      <c r="AD320" s="44"/>
      <c r="AE320" s="44"/>
      <c r="AF320" s="44"/>
      <c r="AG320" s="168"/>
      <c r="AH320" s="44"/>
      <c r="AK320" s="168"/>
      <c r="AL320" s="44"/>
      <c r="AM320" s="44"/>
      <c r="AN320" s="44"/>
    </row>
    <row r="321" spans="1:40" x14ac:dyDescent="0.3">
      <c r="A321" s="44"/>
      <c r="C321" s="44"/>
      <c r="D321" s="44"/>
      <c r="E321" s="44"/>
      <c r="F321" s="44"/>
      <c r="J321" s="44"/>
      <c r="K321" s="44"/>
      <c r="L321" s="44"/>
      <c r="M321" s="44"/>
      <c r="N321" s="44"/>
      <c r="O321" s="44"/>
      <c r="P321" s="44"/>
      <c r="Q321" s="44"/>
      <c r="R321" s="44"/>
      <c r="T321" s="44"/>
      <c r="U321" s="44"/>
      <c r="V321" s="44"/>
      <c r="Z321" s="44"/>
      <c r="AA321" s="44"/>
      <c r="AB321" s="44"/>
      <c r="AC321" s="44"/>
      <c r="AD321" s="44"/>
      <c r="AE321" s="44"/>
      <c r="AF321" s="44"/>
      <c r="AG321" s="168"/>
      <c r="AH321" s="44"/>
      <c r="AI321" s="44"/>
      <c r="AJ321" s="44"/>
      <c r="AK321" s="168"/>
      <c r="AL321" s="44"/>
      <c r="AM321" s="44"/>
      <c r="AN321" s="44"/>
    </row>
    <row r="322" spans="1:40" x14ac:dyDescent="0.3">
      <c r="A322" s="44"/>
      <c r="C322" s="44"/>
      <c r="D322" s="44"/>
      <c r="E322" s="44"/>
      <c r="F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T322" s="44"/>
      <c r="U322" s="44"/>
      <c r="V322" s="44"/>
      <c r="Y322" s="44"/>
      <c r="Z322" s="44"/>
      <c r="AA322" s="44"/>
      <c r="AB322" s="44"/>
      <c r="AC322" s="44"/>
      <c r="AD322" s="44"/>
      <c r="AE322" s="44"/>
      <c r="AF322" s="44"/>
      <c r="AG322" s="168"/>
      <c r="AH322" s="44"/>
      <c r="AI322" s="44"/>
      <c r="AJ322" s="44"/>
      <c r="AK322" s="168"/>
      <c r="AL322" s="44"/>
      <c r="AM322" s="44"/>
      <c r="AN322" s="44"/>
    </row>
    <row r="323" spans="1:40" x14ac:dyDescent="0.3">
      <c r="C323" s="44"/>
      <c r="D323" s="44"/>
      <c r="E323" s="44"/>
      <c r="F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T323" s="44"/>
      <c r="U323" s="44"/>
      <c r="V323" s="44"/>
      <c r="Y323" s="44"/>
      <c r="Z323" s="44"/>
      <c r="AA323" s="44"/>
      <c r="AB323" s="44"/>
      <c r="AC323" s="44"/>
      <c r="AD323" s="44"/>
      <c r="AE323" s="44"/>
      <c r="AF323" s="44"/>
      <c r="AG323" s="168"/>
      <c r="AH323" s="44"/>
      <c r="AI323" s="44"/>
      <c r="AJ323" s="44"/>
      <c r="AK323" s="168"/>
      <c r="AL323" s="44"/>
      <c r="AM323" s="44"/>
      <c r="AN323" s="44"/>
    </row>
    <row r="324" spans="1:40" x14ac:dyDescent="0.3">
      <c r="A324" s="135"/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207"/>
      <c r="AH324" s="135"/>
      <c r="AI324" s="135"/>
      <c r="AJ324" s="135"/>
      <c r="AK324" s="207"/>
      <c r="AL324" s="135"/>
      <c r="AM324" s="135"/>
      <c r="AN324" s="135"/>
    </row>
    <row r="325" spans="1:40" x14ac:dyDescent="0.3"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Y325" s="44"/>
      <c r="Z325" s="44"/>
      <c r="AA325" s="44"/>
      <c r="AB325" s="44"/>
      <c r="AC325" s="44"/>
      <c r="AD325" s="44"/>
      <c r="AE325" s="44"/>
      <c r="AF325" s="44"/>
      <c r="AG325" s="168"/>
      <c r="AH325" s="44"/>
      <c r="AI325" s="44"/>
      <c r="AJ325" s="44"/>
      <c r="AK325" s="168"/>
      <c r="AL325" s="44"/>
      <c r="AM325" s="44"/>
      <c r="AN325" s="44"/>
    </row>
    <row r="326" spans="1:40" x14ac:dyDescent="0.3">
      <c r="C326" s="42"/>
      <c r="D326" s="42"/>
      <c r="E326" s="42"/>
      <c r="T326" s="42"/>
      <c r="U326" s="42"/>
    </row>
    <row r="327" spans="1:40" x14ac:dyDescent="0.3">
      <c r="C327" s="42"/>
      <c r="T327" s="42"/>
    </row>
    <row r="329" spans="1:40" x14ac:dyDescent="0.3">
      <c r="C329" s="42"/>
      <c r="F329" s="184"/>
      <c r="H329" s="184"/>
      <c r="I329" s="184"/>
      <c r="J329" s="193"/>
      <c r="K329" s="193"/>
      <c r="L329" s="123"/>
      <c r="M329" s="123"/>
      <c r="N329" s="160"/>
      <c r="O329" s="160"/>
      <c r="R329" s="123"/>
      <c r="T329" s="42"/>
      <c r="V329" s="123"/>
      <c r="Y329" s="184"/>
      <c r="Z329" s="193"/>
      <c r="AA329" s="123"/>
      <c r="AB329" s="123"/>
      <c r="AC329" s="160"/>
      <c r="AD329" s="160"/>
      <c r="AE329" s="123"/>
      <c r="AF329" s="123"/>
      <c r="AH329" s="236"/>
      <c r="AL329" s="123"/>
      <c r="AM329" s="160"/>
      <c r="AN329" s="160"/>
    </row>
    <row r="330" spans="1:40" x14ac:dyDescent="0.3">
      <c r="F330" s="210"/>
      <c r="H330" s="123"/>
      <c r="I330" s="123"/>
      <c r="J330" s="213"/>
      <c r="K330" s="213"/>
      <c r="L330" s="210"/>
      <c r="M330" s="210"/>
      <c r="N330" s="210"/>
      <c r="O330" s="210"/>
      <c r="P330" s="210"/>
      <c r="Q330" s="210"/>
      <c r="R330" s="210"/>
      <c r="V330" s="210"/>
      <c r="Y330" s="123"/>
      <c r="Z330" s="213"/>
      <c r="AA330" s="210"/>
      <c r="AB330" s="210"/>
      <c r="AC330" s="210"/>
      <c r="AD330" s="210"/>
      <c r="AE330" s="210"/>
      <c r="AF330" s="210"/>
      <c r="AI330" s="210"/>
      <c r="AJ330" s="210"/>
      <c r="AK330" s="214"/>
      <c r="AL330" s="210"/>
      <c r="AM330" s="160"/>
      <c r="AN330" s="160"/>
    </row>
    <row r="331" spans="1:40" x14ac:dyDescent="0.3">
      <c r="C331" s="42"/>
      <c r="F331" s="184"/>
      <c r="H331" s="184"/>
      <c r="I331" s="184"/>
      <c r="J331" s="237"/>
      <c r="K331" s="237"/>
      <c r="L331" s="123"/>
      <c r="M331" s="123"/>
      <c r="N331" s="160"/>
      <c r="O331" s="160"/>
      <c r="P331" s="123"/>
      <c r="Q331" s="123"/>
      <c r="R331" s="123"/>
      <c r="S331" s="123"/>
      <c r="T331" s="42"/>
      <c r="V331" s="184"/>
      <c r="Y331" s="184"/>
      <c r="Z331" s="237"/>
      <c r="AA331" s="123"/>
      <c r="AB331" s="123"/>
      <c r="AC331" s="160"/>
      <c r="AD331" s="160"/>
      <c r="AE331" s="123"/>
      <c r="AF331" s="123"/>
      <c r="AH331" s="160"/>
      <c r="AI331" s="123"/>
      <c r="AJ331" s="123"/>
      <c r="AL331" s="123"/>
      <c r="AM331" s="160"/>
      <c r="AN331" s="160"/>
    </row>
    <row r="332" spans="1:40" x14ac:dyDescent="0.3">
      <c r="C332" s="42"/>
      <c r="F332" s="184"/>
      <c r="H332" s="184"/>
      <c r="I332" s="184"/>
      <c r="J332" s="193"/>
      <c r="K332" s="193"/>
      <c r="L332" s="123"/>
      <c r="M332" s="123"/>
      <c r="N332" s="160"/>
      <c r="O332" s="160"/>
      <c r="P332" s="123"/>
      <c r="Q332" s="123"/>
      <c r="R332" s="123"/>
      <c r="T332" s="42"/>
      <c r="V332" s="184"/>
      <c r="Y332" s="123"/>
      <c r="Z332" s="193"/>
      <c r="AA332" s="123"/>
      <c r="AB332" s="123"/>
      <c r="AC332" s="160"/>
      <c r="AD332" s="160"/>
      <c r="AE332" s="123"/>
      <c r="AF332" s="123"/>
      <c r="AH332" s="236"/>
      <c r="AI332" s="123"/>
      <c r="AJ332" s="123"/>
      <c r="AL332" s="123"/>
      <c r="AM332" s="160"/>
      <c r="AN332" s="160"/>
    </row>
    <row r="333" spans="1:40" x14ac:dyDescent="0.3">
      <c r="C333" s="42"/>
      <c r="F333" s="184"/>
      <c r="H333" s="184"/>
      <c r="I333" s="184"/>
      <c r="J333" s="193"/>
      <c r="K333" s="193"/>
      <c r="L333" s="123"/>
      <c r="M333" s="123"/>
      <c r="N333" s="160"/>
      <c r="O333" s="160"/>
      <c r="P333" s="123"/>
      <c r="Q333" s="123"/>
      <c r="R333" s="123"/>
      <c r="T333" s="42"/>
      <c r="V333" s="184"/>
      <c r="Y333" s="123"/>
      <c r="Z333" s="193"/>
      <c r="AA333" s="123"/>
      <c r="AB333" s="123"/>
      <c r="AC333" s="160"/>
      <c r="AD333" s="160"/>
      <c r="AE333" s="123"/>
      <c r="AF333" s="123"/>
      <c r="AH333" s="236"/>
      <c r="AI333" s="123"/>
      <c r="AJ333" s="123"/>
      <c r="AL333" s="123"/>
      <c r="AM333" s="160"/>
      <c r="AN333" s="160"/>
    </row>
    <row r="334" spans="1:40" x14ac:dyDescent="0.3">
      <c r="F334" s="210"/>
      <c r="H334" s="210"/>
      <c r="I334" s="210"/>
      <c r="J334" s="213"/>
      <c r="K334" s="213"/>
      <c r="L334" s="210"/>
      <c r="M334" s="210"/>
      <c r="N334" s="210"/>
      <c r="O334" s="210"/>
      <c r="P334" s="210"/>
      <c r="Q334" s="210"/>
      <c r="R334" s="210"/>
      <c r="V334" s="210"/>
      <c r="Y334" s="210"/>
      <c r="Z334" s="213"/>
      <c r="AA334" s="210"/>
      <c r="AB334" s="210"/>
      <c r="AC334" s="210"/>
      <c r="AD334" s="210"/>
      <c r="AE334" s="210"/>
      <c r="AF334" s="210"/>
      <c r="AI334" s="210"/>
      <c r="AJ334" s="210"/>
      <c r="AK334" s="214"/>
      <c r="AL334" s="210"/>
      <c r="AM334" s="160"/>
      <c r="AN334" s="160"/>
    </row>
    <row r="335" spans="1:40" x14ac:dyDescent="0.3">
      <c r="C335" s="42"/>
      <c r="F335" s="123"/>
      <c r="H335" s="123"/>
      <c r="I335" s="123"/>
      <c r="J335" s="219"/>
      <c r="K335" s="219"/>
      <c r="L335" s="123"/>
      <c r="M335" s="123"/>
      <c r="N335" s="160"/>
      <c r="O335" s="160"/>
      <c r="P335" s="123"/>
      <c r="Q335" s="123"/>
      <c r="R335" s="123"/>
      <c r="T335" s="42"/>
      <c r="V335" s="123"/>
      <c r="Y335" s="123"/>
      <c r="Z335" s="219"/>
      <c r="AA335" s="123"/>
      <c r="AB335" s="123"/>
      <c r="AC335" s="160"/>
      <c r="AD335" s="160"/>
      <c r="AE335" s="123"/>
      <c r="AF335" s="123"/>
      <c r="AH335" s="236"/>
      <c r="AI335" s="123"/>
      <c r="AJ335" s="123"/>
      <c r="AL335" s="123"/>
      <c r="AM335" s="160"/>
      <c r="AN335" s="160"/>
    </row>
    <row r="336" spans="1:40" x14ac:dyDescent="0.3">
      <c r="F336" s="210"/>
      <c r="H336" s="210"/>
      <c r="I336" s="210"/>
      <c r="J336" s="213"/>
      <c r="K336" s="213"/>
      <c r="L336" s="210"/>
      <c r="M336" s="210"/>
      <c r="N336" s="210"/>
      <c r="O336" s="210"/>
      <c r="P336" s="210"/>
      <c r="Q336" s="210"/>
      <c r="R336" s="210"/>
      <c r="V336" s="210"/>
      <c r="Y336" s="210"/>
      <c r="Z336" s="213"/>
      <c r="AA336" s="210"/>
      <c r="AB336" s="210"/>
      <c r="AC336" s="210"/>
      <c r="AD336" s="210"/>
      <c r="AE336" s="210"/>
      <c r="AF336" s="210"/>
      <c r="AI336" s="210"/>
      <c r="AJ336" s="210"/>
      <c r="AK336" s="214"/>
      <c r="AL336" s="210"/>
      <c r="AM336" s="160"/>
      <c r="AN336" s="160"/>
    </row>
    <row r="337" spans="3:40" x14ac:dyDescent="0.3">
      <c r="C337" s="42"/>
      <c r="F337" s="123"/>
      <c r="H337" s="123"/>
      <c r="I337" s="123"/>
      <c r="J337" s="219"/>
      <c r="K337" s="219"/>
      <c r="L337" s="123"/>
      <c r="M337" s="123"/>
      <c r="N337" s="160"/>
      <c r="O337" s="160"/>
      <c r="P337" s="123"/>
      <c r="Q337" s="123"/>
      <c r="R337" s="123"/>
      <c r="T337" s="42"/>
      <c r="V337" s="123"/>
      <c r="Y337" s="123"/>
      <c r="Z337" s="219"/>
      <c r="AA337" s="123"/>
      <c r="AB337" s="123"/>
      <c r="AC337" s="160"/>
      <c r="AD337" s="160"/>
      <c r="AE337" s="123"/>
      <c r="AF337" s="123"/>
      <c r="AH337" s="236"/>
      <c r="AI337" s="123"/>
      <c r="AJ337" s="123"/>
      <c r="AL337" s="123"/>
      <c r="AM337" s="160"/>
      <c r="AN337" s="160"/>
    </row>
    <row r="338" spans="3:40" x14ac:dyDescent="0.3">
      <c r="C338" s="42"/>
      <c r="F338" s="123"/>
      <c r="H338" s="184"/>
      <c r="I338" s="184"/>
      <c r="J338" s="227"/>
      <c r="K338" s="227"/>
      <c r="L338" s="123"/>
      <c r="M338" s="123"/>
      <c r="N338" s="160"/>
      <c r="O338" s="160"/>
      <c r="P338" s="123"/>
      <c r="Q338" s="123"/>
      <c r="R338" s="123"/>
      <c r="T338" s="42"/>
      <c r="V338" s="123"/>
      <c r="Y338" s="123"/>
      <c r="Z338" s="212"/>
      <c r="AA338" s="123"/>
      <c r="AB338" s="123"/>
      <c r="AC338" s="160"/>
      <c r="AD338" s="160"/>
      <c r="AE338" s="123"/>
      <c r="AF338" s="123"/>
      <c r="AH338" s="236"/>
      <c r="AI338" s="123"/>
      <c r="AJ338" s="123"/>
      <c r="AL338" s="123"/>
      <c r="AM338" s="160"/>
      <c r="AN338" s="160"/>
    </row>
    <row r="339" spans="3:40" x14ac:dyDescent="0.3">
      <c r="F339" s="210"/>
      <c r="H339" s="210"/>
      <c r="I339" s="210"/>
      <c r="J339" s="213"/>
      <c r="K339" s="213"/>
      <c r="L339" s="210"/>
      <c r="M339" s="210"/>
      <c r="N339" s="210"/>
      <c r="O339" s="210"/>
      <c r="P339" s="210"/>
      <c r="Q339" s="210"/>
      <c r="R339" s="210"/>
      <c r="V339" s="210"/>
      <c r="Y339" s="210"/>
      <c r="Z339" s="213"/>
      <c r="AA339" s="210"/>
      <c r="AB339" s="210"/>
      <c r="AC339" s="210"/>
      <c r="AD339" s="210"/>
      <c r="AE339" s="210"/>
      <c r="AF339" s="210"/>
      <c r="AI339" s="210"/>
      <c r="AJ339" s="210"/>
      <c r="AK339" s="214"/>
      <c r="AL339" s="210"/>
      <c r="AM339" s="160"/>
      <c r="AN339" s="160"/>
    </row>
    <row r="341" spans="3:40" x14ac:dyDescent="0.3">
      <c r="C341" s="42"/>
      <c r="F341" s="123"/>
      <c r="H341" s="123"/>
      <c r="I341" s="123"/>
      <c r="J341" s="213"/>
      <c r="K341" s="213"/>
      <c r="L341" s="123"/>
      <c r="M341" s="123"/>
      <c r="N341" s="160"/>
      <c r="O341" s="160"/>
      <c r="P341" s="123"/>
      <c r="Q341" s="123"/>
      <c r="R341" s="123"/>
      <c r="S341" s="123"/>
      <c r="T341" s="42"/>
      <c r="V341" s="123"/>
      <c r="Y341" s="123"/>
      <c r="Z341" s="213"/>
      <c r="AA341" s="123"/>
      <c r="AB341" s="123"/>
      <c r="AC341" s="160"/>
      <c r="AD341" s="160"/>
      <c r="AE341" s="123"/>
      <c r="AF341" s="123"/>
      <c r="AH341" s="160"/>
      <c r="AI341" s="123"/>
      <c r="AJ341" s="123"/>
      <c r="AL341" s="123"/>
      <c r="AM341" s="160"/>
      <c r="AN341" s="160"/>
    </row>
    <row r="342" spans="3:40" x14ac:dyDescent="0.3">
      <c r="F342" s="210"/>
      <c r="H342" s="210"/>
      <c r="I342" s="210"/>
      <c r="J342" s="213"/>
      <c r="K342" s="213"/>
      <c r="L342" s="210"/>
      <c r="M342" s="210"/>
      <c r="N342" s="210"/>
      <c r="O342" s="210"/>
      <c r="P342" s="210"/>
      <c r="Q342" s="210"/>
      <c r="R342" s="210"/>
      <c r="S342" s="123"/>
      <c r="V342" s="210"/>
      <c r="Y342" s="210"/>
      <c r="Z342" s="213"/>
      <c r="AA342" s="210"/>
      <c r="AB342" s="210"/>
      <c r="AC342" s="210"/>
      <c r="AD342" s="210"/>
      <c r="AE342" s="210"/>
      <c r="AF342" s="210"/>
      <c r="AI342" s="210"/>
      <c r="AJ342" s="210"/>
      <c r="AK342" s="214"/>
      <c r="AL342" s="210"/>
      <c r="AM342" s="160"/>
      <c r="AN342" s="160"/>
    </row>
    <row r="343" spans="3:40" x14ac:dyDescent="0.3">
      <c r="C343" s="42"/>
      <c r="F343" s="184"/>
      <c r="H343" s="184"/>
      <c r="I343" s="184"/>
      <c r="J343" s="213"/>
      <c r="K343" s="213"/>
      <c r="L343" s="123"/>
      <c r="M343" s="123"/>
      <c r="N343" s="160"/>
      <c r="O343" s="160"/>
      <c r="P343" s="123"/>
      <c r="Q343" s="123"/>
      <c r="R343" s="123"/>
      <c r="S343" s="123"/>
      <c r="T343" s="42"/>
      <c r="V343" s="184"/>
      <c r="Y343" s="184"/>
      <c r="Z343" s="213"/>
      <c r="AA343" s="123"/>
      <c r="AB343" s="123"/>
      <c r="AC343" s="160"/>
      <c r="AD343" s="160"/>
      <c r="AE343" s="123"/>
      <c r="AF343" s="123"/>
      <c r="AI343" s="123"/>
      <c r="AJ343" s="123"/>
      <c r="AL343" s="123"/>
      <c r="AM343" s="160"/>
      <c r="AN343" s="160"/>
    </row>
    <row r="345" spans="3:40" x14ac:dyDescent="0.3">
      <c r="C345" s="42"/>
      <c r="F345" s="184"/>
      <c r="H345" s="184"/>
      <c r="I345" s="184"/>
      <c r="J345" s="193"/>
      <c r="K345" s="193"/>
      <c r="L345" s="123"/>
      <c r="M345" s="123"/>
      <c r="N345" s="160"/>
      <c r="O345" s="160"/>
      <c r="R345" s="123"/>
      <c r="T345" s="42"/>
      <c r="V345" s="123"/>
      <c r="Y345" s="184"/>
      <c r="Z345" s="193"/>
      <c r="AA345" s="123"/>
      <c r="AB345" s="123"/>
      <c r="AC345" s="160"/>
      <c r="AD345" s="160"/>
      <c r="AE345" s="123"/>
      <c r="AF345" s="123"/>
      <c r="AH345" s="236"/>
      <c r="AL345" s="123"/>
      <c r="AM345" s="160"/>
      <c r="AN345" s="160"/>
    </row>
    <row r="346" spans="3:40" x14ac:dyDescent="0.3">
      <c r="F346" s="210"/>
      <c r="H346" s="123"/>
      <c r="I346" s="123"/>
      <c r="J346" s="213"/>
      <c r="K346" s="213"/>
      <c r="L346" s="210"/>
      <c r="M346" s="210"/>
      <c r="N346" s="210"/>
      <c r="O346" s="210"/>
      <c r="P346" s="210"/>
      <c r="Q346" s="210"/>
      <c r="R346" s="210"/>
      <c r="V346" s="210"/>
      <c r="Y346" s="123"/>
      <c r="Z346" s="213"/>
      <c r="AA346" s="210"/>
      <c r="AB346" s="210"/>
      <c r="AC346" s="210"/>
      <c r="AD346" s="210"/>
      <c r="AE346" s="210"/>
      <c r="AF346" s="210"/>
      <c r="AI346" s="210"/>
      <c r="AJ346" s="210"/>
      <c r="AK346" s="214"/>
      <c r="AL346" s="210"/>
      <c r="AM346" s="160"/>
      <c r="AN346" s="160"/>
    </row>
    <row r="347" spans="3:40" x14ac:dyDescent="0.3">
      <c r="C347" s="42"/>
      <c r="F347" s="184"/>
      <c r="H347" s="184"/>
      <c r="I347" s="184"/>
      <c r="J347" s="237"/>
      <c r="K347" s="237"/>
      <c r="L347" s="123"/>
      <c r="M347" s="123"/>
      <c r="N347" s="160"/>
      <c r="O347" s="160"/>
      <c r="P347" s="123"/>
      <c r="Q347" s="123"/>
      <c r="R347" s="123"/>
      <c r="S347" s="123"/>
      <c r="T347" s="42"/>
      <c r="V347" s="184"/>
      <c r="Y347" s="184"/>
      <c r="Z347" s="237"/>
      <c r="AA347" s="123"/>
      <c r="AB347" s="123"/>
      <c r="AC347" s="160"/>
      <c r="AD347" s="160"/>
      <c r="AE347" s="123"/>
      <c r="AF347" s="123"/>
      <c r="AH347" s="160"/>
      <c r="AI347" s="123"/>
      <c r="AJ347" s="123"/>
      <c r="AL347" s="123"/>
      <c r="AM347" s="160"/>
      <c r="AN347" s="160"/>
    </row>
    <row r="348" spans="3:40" x14ac:dyDescent="0.3">
      <c r="C348" s="42"/>
      <c r="F348" s="184"/>
      <c r="H348" s="184"/>
      <c r="I348" s="184"/>
      <c r="J348" s="193"/>
      <c r="K348" s="193"/>
      <c r="L348" s="123"/>
      <c r="M348" s="123"/>
      <c r="N348" s="160"/>
      <c r="O348" s="160"/>
      <c r="P348" s="123"/>
      <c r="Q348" s="123"/>
      <c r="R348" s="123"/>
      <c r="T348" s="42"/>
      <c r="V348" s="184"/>
      <c r="Y348" s="123"/>
      <c r="Z348" s="193"/>
      <c r="AA348" s="123"/>
      <c r="AB348" s="123"/>
      <c r="AC348" s="160"/>
      <c r="AD348" s="160"/>
      <c r="AE348" s="123"/>
      <c r="AF348" s="123"/>
      <c r="AH348" s="236"/>
      <c r="AI348" s="123"/>
      <c r="AJ348" s="123"/>
      <c r="AL348" s="123"/>
      <c r="AM348" s="160"/>
      <c r="AN348" s="160"/>
    </row>
    <row r="349" spans="3:40" x14ac:dyDescent="0.3">
      <c r="C349" s="42"/>
      <c r="F349" s="184"/>
      <c r="H349" s="184"/>
      <c r="I349" s="184"/>
      <c r="J349" s="193"/>
      <c r="K349" s="193"/>
      <c r="L349" s="123"/>
      <c r="M349" s="123"/>
      <c r="N349" s="160"/>
      <c r="O349" s="160"/>
      <c r="P349" s="123"/>
      <c r="Q349" s="123"/>
      <c r="R349" s="123"/>
      <c r="T349" s="42"/>
      <c r="V349" s="184"/>
      <c r="Y349" s="123"/>
      <c r="Z349" s="193"/>
      <c r="AA349" s="123"/>
      <c r="AB349" s="123"/>
      <c r="AC349" s="160"/>
      <c r="AD349" s="160"/>
      <c r="AE349" s="123"/>
      <c r="AF349" s="123"/>
      <c r="AH349" s="236"/>
      <c r="AI349" s="123"/>
      <c r="AJ349" s="123"/>
      <c r="AL349" s="123"/>
      <c r="AM349" s="160"/>
      <c r="AN349" s="160"/>
    </row>
    <row r="350" spans="3:40" x14ac:dyDescent="0.3">
      <c r="F350" s="210"/>
      <c r="H350" s="210"/>
      <c r="I350" s="210"/>
      <c r="J350" s="213"/>
      <c r="K350" s="213"/>
      <c r="L350" s="210"/>
      <c r="M350" s="210"/>
      <c r="N350" s="210"/>
      <c r="O350" s="210"/>
      <c r="P350" s="210"/>
      <c r="Q350" s="210"/>
      <c r="R350" s="210"/>
      <c r="V350" s="210"/>
      <c r="Y350" s="210"/>
      <c r="Z350" s="213"/>
      <c r="AA350" s="210"/>
      <c r="AB350" s="210"/>
      <c r="AC350" s="210"/>
      <c r="AD350" s="210"/>
      <c r="AE350" s="210"/>
      <c r="AF350" s="210"/>
      <c r="AI350" s="210"/>
      <c r="AJ350" s="210"/>
      <c r="AK350" s="214"/>
      <c r="AL350" s="210"/>
      <c r="AM350" s="160"/>
      <c r="AN350" s="160"/>
    </row>
    <row r="351" spans="3:40" x14ac:dyDescent="0.3">
      <c r="C351" s="42"/>
      <c r="F351" s="123"/>
      <c r="H351" s="123"/>
      <c r="I351" s="123"/>
      <c r="J351" s="219"/>
      <c r="K351" s="219"/>
      <c r="L351" s="123"/>
      <c r="M351" s="123"/>
      <c r="N351" s="160"/>
      <c r="O351" s="160"/>
      <c r="P351" s="123"/>
      <c r="Q351" s="123"/>
      <c r="R351" s="123"/>
      <c r="T351" s="42"/>
      <c r="V351" s="123"/>
      <c r="Y351" s="123"/>
      <c r="Z351" s="219"/>
      <c r="AA351" s="123"/>
      <c r="AB351" s="123"/>
      <c r="AC351" s="160"/>
      <c r="AD351" s="160"/>
      <c r="AE351" s="123"/>
      <c r="AF351" s="123"/>
      <c r="AH351" s="236"/>
      <c r="AI351" s="123"/>
      <c r="AJ351" s="123"/>
      <c r="AL351" s="123"/>
      <c r="AM351" s="160"/>
      <c r="AN351" s="160"/>
    </row>
    <row r="352" spans="3:40" x14ac:dyDescent="0.3">
      <c r="F352" s="210"/>
      <c r="H352" s="210"/>
      <c r="I352" s="210"/>
      <c r="J352" s="213"/>
      <c r="K352" s="213"/>
      <c r="L352" s="210"/>
      <c r="M352" s="210"/>
      <c r="N352" s="210"/>
      <c r="O352" s="210"/>
      <c r="P352" s="210"/>
      <c r="Q352" s="210"/>
      <c r="R352" s="210"/>
      <c r="V352" s="210"/>
      <c r="Y352" s="210"/>
      <c r="Z352" s="213"/>
      <c r="AA352" s="210"/>
      <c r="AB352" s="210"/>
      <c r="AC352" s="210"/>
      <c r="AD352" s="210"/>
      <c r="AE352" s="210"/>
      <c r="AF352" s="210"/>
      <c r="AI352" s="210"/>
      <c r="AJ352" s="210"/>
      <c r="AK352" s="214"/>
      <c r="AL352" s="210"/>
      <c r="AM352" s="160"/>
      <c r="AN352" s="160"/>
    </row>
    <row r="353" spans="1:40" x14ac:dyDescent="0.3">
      <c r="C353" s="42"/>
      <c r="F353" s="123"/>
      <c r="H353" s="123"/>
      <c r="I353" s="123"/>
      <c r="J353" s="219"/>
      <c r="K353" s="219"/>
      <c r="L353" s="123"/>
      <c r="M353" s="123"/>
      <c r="N353" s="160"/>
      <c r="O353" s="160"/>
      <c r="P353" s="123"/>
      <c r="Q353" s="123"/>
      <c r="R353" s="123"/>
      <c r="T353" s="42"/>
      <c r="V353" s="123"/>
      <c r="Y353" s="123"/>
      <c r="Z353" s="219"/>
      <c r="AA353" s="123"/>
      <c r="AB353" s="123"/>
      <c r="AC353" s="160"/>
      <c r="AD353" s="160"/>
      <c r="AE353" s="123"/>
      <c r="AF353" s="123"/>
      <c r="AH353" s="236"/>
      <c r="AI353" s="123"/>
      <c r="AJ353" s="123"/>
      <c r="AL353" s="123"/>
      <c r="AM353" s="160"/>
      <c r="AN353" s="160"/>
    </row>
    <row r="354" spans="1:40" x14ac:dyDescent="0.3">
      <c r="C354" s="42"/>
      <c r="F354" s="123"/>
      <c r="H354" s="184"/>
      <c r="I354" s="184"/>
      <c r="J354" s="227"/>
      <c r="K354" s="227"/>
      <c r="L354" s="123"/>
      <c r="M354" s="123"/>
      <c r="N354" s="160"/>
      <c r="O354" s="160"/>
      <c r="P354" s="123"/>
      <c r="Q354" s="123"/>
      <c r="R354" s="123"/>
      <c r="T354" s="42"/>
      <c r="V354" s="123"/>
      <c r="Y354" s="123"/>
      <c r="Z354" s="212"/>
      <c r="AA354" s="123"/>
      <c r="AB354" s="123"/>
      <c r="AC354" s="160"/>
      <c r="AD354" s="160"/>
      <c r="AE354" s="123"/>
      <c r="AF354" s="123"/>
      <c r="AH354" s="236"/>
      <c r="AI354" s="123"/>
      <c r="AJ354" s="123"/>
      <c r="AL354" s="123"/>
      <c r="AM354" s="160"/>
      <c r="AN354" s="160"/>
    </row>
    <row r="355" spans="1:40" x14ac:dyDescent="0.3">
      <c r="F355" s="210"/>
      <c r="H355" s="210"/>
      <c r="I355" s="210"/>
      <c r="J355" s="213"/>
      <c r="K355" s="213"/>
      <c r="L355" s="210"/>
      <c r="M355" s="210"/>
      <c r="N355" s="210"/>
      <c r="O355" s="210"/>
      <c r="P355" s="210"/>
      <c r="Q355" s="210"/>
      <c r="R355" s="210"/>
      <c r="V355" s="210"/>
      <c r="Y355" s="210"/>
      <c r="Z355" s="213"/>
      <c r="AA355" s="210"/>
      <c r="AB355" s="210"/>
      <c r="AC355" s="210"/>
      <c r="AD355" s="210"/>
      <c r="AE355" s="210"/>
      <c r="AF355" s="210"/>
      <c r="AI355" s="210"/>
      <c r="AJ355" s="210"/>
      <c r="AK355" s="214"/>
      <c r="AL355" s="210"/>
      <c r="AM355" s="160"/>
      <c r="AN355" s="160"/>
    </row>
    <row r="357" spans="1:40" x14ac:dyDescent="0.3">
      <c r="C357" s="42"/>
      <c r="F357" s="123"/>
      <c r="H357" s="123"/>
      <c r="I357" s="123"/>
      <c r="J357" s="213"/>
      <c r="K357" s="213"/>
      <c r="L357" s="123"/>
      <c r="M357" s="123"/>
      <c r="N357" s="160"/>
      <c r="O357" s="160"/>
      <c r="P357" s="123"/>
      <c r="Q357" s="123"/>
      <c r="R357" s="123"/>
      <c r="S357" s="123"/>
      <c r="T357" s="42"/>
      <c r="V357" s="123"/>
      <c r="Y357" s="123"/>
      <c r="Z357" s="213"/>
      <c r="AA357" s="123"/>
      <c r="AB357" s="123"/>
      <c r="AC357" s="160"/>
      <c r="AD357" s="160"/>
      <c r="AE357" s="123"/>
      <c r="AF357" s="123"/>
      <c r="AH357" s="160"/>
      <c r="AI357" s="123"/>
      <c r="AJ357" s="123"/>
      <c r="AL357" s="123"/>
      <c r="AM357" s="160"/>
      <c r="AN357" s="160"/>
    </row>
    <row r="358" spans="1:40" x14ac:dyDescent="0.3">
      <c r="F358" s="210"/>
      <c r="H358" s="210"/>
      <c r="I358" s="210"/>
      <c r="J358" s="213"/>
      <c r="K358" s="213"/>
      <c r="L358" s="210"/>
      <c r="M358" s="210"/>
      <c r="N358" s="210"/>
      <c r="O358" s="210"/>
      <c r="P358" s="210"/>
      <c r="Q358" s="210"/>
      <c r="R358" s="210"/>
      <c r="S358" s="123"/>
      <c r="V358" s="210"/>
      <c r="Y358" s="210"/>
      <c r="Z358" s="213"/>
      <c r="AA358" s="210"/>
      <c r="AB358" s="210"/>
      <c r="AC358" s="210"/>
      <c r="AD358" s="210"/>
      <c r="AE358" s="210"/>
      <c r="AF358" s="210"/>
      <c r="AI358" s="210"/>
      <c r="AJ358" s="210"/>
      <c r="AK358" s="214"/>
      <c r="AL358" s="210"/>
      <c r="AM358" s="160"/>
      <c r="AN358" s="160"/>
    </row>
    <row r="359" spans="1:40" x14ac:dyDescent="0.3">
      <c r="C359" s="42"/>
      <c r="T359" s="42"/>
    </row>
    <row r="360" spans="1:40" x14ac:dyDescent="0.3">
      <c r="C360" s="42"/>
      <c r="F360" s="123"/>
      <c r="H360" s="123"/>
      <c r="I360" s="123"/>
      <c r="L360" s="123"/>
      <c r="M360" s="123"/>
      <c r="N360" s="160"/>
      <c r="O360" s="160"/>
      <c r="P360" s="184"/>
      <c r="Q360" s="184"/>
      <c r="R360" s="123"/>
      <c r="T360" s="42"/>
      <c r="V360" s="123"/>
      <c r="Y360" s="123"/>
      <c r="AA360" s="123"/>
      <c r="AB360" s="123"/>
      <c r="AC360" s="160"/>
      <c r="AD360" s="160"/>
      <c r="AE360" s="123"/>
      <c r="AF360" s="123"/>
      <c r="AH360" s="160"/>
      <c r="AI360" s="184"/>
      <c r="AJ360" s="184"/>
      <c r="AL360" s="123"/>
      <c r="AM360" s="160"/>
      <c r="AN360" s="160"/>
    </row>
    <row r="361" spans="1:40" x14ac:dyDescent="0.3">
      <c r="F361" s="210"/>
      <c r="H361" s="210"/>
      <c r="I361" s="210"/>
      <c r="J361" s="213"/>
      <c r="K361" s="213"/>
      <c r="L361" s="210"/>
      <c r="M361" s="210"/>
      <c r="N361" s="210"/>
      <c r="O361" s="210"/>
      <c r="P361" s="210"/>
      <c r="Q361" s="210"/>
      <c r="R361" s="210"/>
      <c r="V361" s="210"/>
      <c r="Y361" s="210"/>
      <c r="Z361" s="213"/>
      <c r="AA361" s="210"/>
      <c r="AB361" s="210"/>
      <c r="AC361" s="210"/>
      <c r="AD361" s="210"/>
      <c r="AE361" s="210"/>
      <c r="AF361" s="210"/>
      <c r="AI361" s="210"/>
      <c r="AJ361" s="210"/>
      <c r="AK361" s="214"/>
      <c r="AL361" s="210"/>
    </row>
    <row r="363" spans="1:40" x14ac:dyDescent="0.3">
      <c r="C363" s="42"/>
      <c r="L363" s="123"/>
      <c r="M363" s="123"/>
      <c r="N363" s="123"/>
      <c r="O363" s="123"/>
      <c r="P363" s="123"/>
      <c r="Q363" s="123"/>
      <c r="R363" s="123"/>
      <c r="S363" s="123"/>
      <c r="T363" s="42"/>
      <c r="AA363" s="123"/>
      <c r="AB363" s="123"/>
      <c r="AC363" s="123"/>
      <c r="AD363" s="123"/>
      <c r="AI363" s="123"/>
      <c r="AJ363" s="123"/>
      <c r="AL363" s="123"/>
    </row>
    <row r="364" spans="1:40" x14ac:dyDescent="0.3">
      <c r="A364" s="42"/>
    </row>
    <row r="366" spans="1:40" x14ac:dyDescent="0.3">
      <c r="H366" s="42"/>
      <c r="I366" s="42"/>
      <c r="Y366" s="42"/>
    </row>
    <row r="368" spans="1:40" x14ac:dyDescent="0.3">
      <c r="L368" s="42"/>
      <c r="M368" s="42"/>
      <c r="AA368" s="42"/>
      <c r="AB368" s="42"/>
    </row>
    <row r="369" spans="1:40" x14ac:dyDescent="0.3">
      <c r="R369" s="42"/>
      <c r="AK369" s="206"/>
      <c r="AL369" s="42"/>
    </row>
    <row r="370" spans="1:40" x14ac:dyDescent="0.3">
      <c r="R370" s="42"/>
      <c r="AK370" s="206"/>
      <c r="AL370" s="42"/>
    </row>
    <row r="371" spans="1:40" x14ac:dyDescent="0.3">
      <c r="A371" s="42"/>
      <c r="R371" s="42"/>
      <c r="AK371" s="206"/>
      <c r="AL371" s="42"/>
    </row>
    <row r="372" spans="1:40" x14ac:dyDescent="0.3">
      <c r="L372" s="42"/>
      <c r="M372" s="42"/>
      <c r="AA372" s="42"/>
      <c r="AB372" s="42"/>
    </row>
    <row r="373" spans="1:40" x14ac:dyDescent="0.3">
      <c r="A373" s="135"/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207"/>
      <c r="AH373" s="135"/>
      <c r="AI373" s="135"/>
      <c r="AJ373" s="135"/>
      <c r="AK373" s="207"/>
      <c r="AL373" s="135"/>
      <c r="AM373" s="135"/>
      <c r="AN373" s="135"/>
    </row>
    <row r="374" spans="1:40" x14ac:dyDescent="0.3">
      <c r="L374" s="44"/>
      <c r="M374" s="44"/>
      <c r="N374" s="44"/>
      <c r="O374" s="44"/>
      <c r="R374" s="44"/>
      <c r="AA374" s="44"/>
      <c r="AB374" s="44"/>
      <c r="AC374" s="44"/>
      <c r="AD374" s="44"/>
      <c r="AE374" s="44"/>
      <c r="AF374" s="44"/>
      <c r="AG374" s="168"/>
      <c r="AH374" s="44"/>
      <c r="AK374" s="168"/>
      <c r="AL374" s="44"/>
      <c r="AM374" s="44"/>
      <c r="AN374" s="44"/>
    </row>
    <row r="375" spans="1:40" x14ac:dyDescent="0.3">
      <c r="L375" s="44"/>
      <c r="M375" s="44"/>
      <c r="N375" s="44"/>
      <c r="O375" s="44"/>
      <c r="R375" s="44"/>
      <c r="Z375" s="44"/>
      <c r="AA375" s="44"/>
      <c r="AB375" s="44"/>
      <c r="AC375" s="44"/>
      <c r="AD375" s="44"/>
      <c r="AE375" s="44"/>
      <c r="AF375" s="44"/>
      <c r="AG375" s="168"/>
      <c r="AH375" s="44"/>
      <c r="AK375" s="168"/>
      <c r="AL375" s="44"/>
      <c r="AM375" s="44"/>
      <c r="AN375" s="44"/>
    </row>
    <row r="376" spans="1:40" x14ac:dyDescent="0.3">
      <c r="A376" s="44"/>
      <c r="C376" s="44"/>
      <c r="D376" s="44"/>
      <c r="E376" s="44"/>
      <c r="F376" s="44"/>
      <c r="J376" s="44"/>
      <c r="K376" s="44"/>
      <c r="L376" s="44"/>
      <c r="M376" s="44"/>
      <c r="N376" s="44"/>
      <c r="O376" s="44"/>
      <c r="P376" s="44"/>
      <c r="Q376" s="44"/>
      <c r="R376" s="44"/>
      <c r="T376" s="44"/>
      <c r="U376" s="44"/>
      <c r="V376" s="44"/>
      <c r="Z376" s="44"/>
      <c r="AA376" s="44"/>
      <c r="AB376" s="44"/>
      <c r="AC376" s="44"/>
      <c r="AD376" s="44"/>
      <c r="AE376" s="44"/>
      <c r="AF376" s="44"/>
      <c r="AG376" s="168"/>
      <c r="AH376" s="44"/>
      <c r="AI376" s="44"/>
      <c r="AJ376" s="44"/>
      <c r="AK376" s="168"/>
      <c r="AL376" s="44"/>
      <c r="AM376" s="44"/>
      <c r="AN376" s="44"/>
    </row>
    <row r="377" spans="1:40" x14ac:dyDescent="0.3">
      <c r="A377" s="44"/>
      <c r="C377" s="44"/>
      <c r="D377" s="44"/>
      <c r="E377" s="44"/>
      <c r="F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T377" s="44"/>
      <c r="U377" s="44"/>
      <c r="V377" s="44"/>
      <c r="Y377" s="44"/>
      <c r="Z377" s="44"/>
      <c r="AA377" s="44"/>
      <c r="AB377" s="44"/>
      <c r="AC377" s="44"/>
      <c r="AD377" s="44"/>
      <c r="AE377" s="44"/>
      <c r="AF377" s="44"/>
      <c r="AG377" s="168"/>
      <c r="AH377" s="44"/>
      <c r="AI377" s="44"/>
      <c r="AJ377" s="44"/>
      <c r="AK377" s="168"/>
      <c r="AL377" s="44"/>
      <c r="AM377" s="44"/>
      <c r="AN377" s="44"/>
    </row>
    <row r="378" spans="1:40" x14ac:dyDescent="0.3">
      <c r="C378" s="44"/>
      <c r="D378" s="44"/>
      <c r="E378" s="44"/>
      <c r="F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T378" s="44"/>
      <c r="U378" s="44"/>
      <c r="V378" s="44"/>
      <c r="Y378" s="44"/>
      <c r="Z378" s="44"/>
      <c r="AA378" s="44"/>
      <c r="AB378" s="44"/>
      <c r="AC378" s="44"/>
      <c r="AD378" s="44"/>
      <c r="AE378" s="44"/>
      <c r="AF378" s="44"/>
      <c r="AG378" s="168"/>
      <c r="AH378" s="44"/>
      <c r="AI378" s="44"/>
      <c r="AJ378" s="44"/>
      <c r="AK378" s="168"/>
      <c r="AL378" s="44"/>
      <c r="AM378" s="44"/>
      <c r="AN378" s="44"/>
    </row>
    <row r="379" spans="1:40" x14ac:dyDescent="0.3">
      <c r="A379" s="135"/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207"/>
      <c r="AH379" s="135"/>
      <c r="AI379" s="135"/>
      <c r="AJ379" s="135"/>
      <c r="AK379" s="207"/>
      <c r="AL379" s="135"/>
      <c r="AM379" s="135"/>
      <c r="AN379" s="135"/>
    </row>
    <row r="380" spans="1:40" x14ac:dyDescent="0.3"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Y380" s="44"/>
      <c r="Z380" s="44"/>
      <c r="AA380" s="44"/>
      <c r="AB380" s="44"/>
      <c r="AC380" s="44"/>
      <c r="AD380" s="44"/>
      <c r="AE380" s="44"/>
      <c r="AF380" s="44"/>
      <c r="AG380" s="168"/>
      <c r="AH380" s="44"/>
      <c r="AI380" s="44"/>
      <c r="AJ380" s="44"/>
      <c r="AK380" s="168"/>
      <c r="AL380" s="44"/>
      <c r="AM380" s="44"/>
      <c r="AN380" s="44"/>
    </row>
    <row r="381" spans="1:40" x14ac:dyDescent="0.3">
      <c r="C381" s="42"/>
      <c r="D381" s="42"/>
      <c r="E381" s="42"/>
      <c r="T381" s="42"/>
      <c r="U381" s="42"/>
    </row>
    <row r="382" spans="1:40" x14ac:dyDescent="0.3">
      <c r="D382" s="42"/>
      <c r="E382" s="42"/>
      <c r="U382" s="42"/>
    </row>
    <row r="384" spans="1:40" x14ac:dyDescent="0.3">
      <c r="C384" s="42"/>
      <c r="T384" s="42"/>
    </row>
    <row r="385" spans="3:40" x14ac:dyDescent="0.3">
      <c r="C385" s="42"/>
      <c r="F385" s="184"/>
      <c r="H385" s="184"/>
      <c r="I385" s="184"/>
      <c r="J385" s="238"/>
      <c r="K385" s="238"/>
      <c r="L385" s="123"/>
      <c r="M385" s="123"/>
      <c r="N385" s="160"/>
      <c r="O385" s="160"/>
      <c r="P385" s="123"/>
      <c r="Q385" s="123"/>
      <c r="R385" s="123"/>
      <c r="T385" s="42"/>
      <c r="V385" s="184"/>
      <c r="W385" s="123"/>
      <c r="X385" s="123"/>
      <c r="Y385" s="184"/>
      <c r="Z385" s="238"/>
      <c r="AA385" s="123"/>
      <c r="AB385" s="123"/>
      <c r="AC385" s="160"/>
      <c r="AD385" s="160"/>
      <c r="AE385" s="123"/>
      <c r="AF385" s="123"/>
      <c r="AH385" s="236"/>
      <c r="AI385" s="123"/>
      <c r="AJ385" s="123"/>
      <c r="AL385" s="123"/>
      <c r="AM385" s="160"/>
      <c r="AN385" s="160"/>
    </row>
    <row r="386" spans="3:40" x14ac:dyDescent="0.3">
      <c r="C386" s="42"/>
      <c r="F386" s="123"/>
      <c r="H386" s="123"/>
      <c r="I386" s="123"/>
      <c r="J386" s="213"/>
      <c r="K386" s="213"/>
      <c r="L386" s="123"/>
      <c r="M386" s="123"/>
      <c r="N386" s="160"/>
      <c r="O386" s="160"/>
      <c r="P386" s="123"/>
      <c r="Q386" s="123"/>
      <c r="R386" s="123"/>
      <c r="T386" s="42"/>
      <c r="V386" s="184"/>
      <c r="W386" s="123"/>
      <c r="X386" s="123"/>
      <c r="Y386" s="184"/>
      <c r="Z386" s="213"/>
      <c r="AA386" s="123"/>
      <c r="AB386" s="123"/>
      <c r="AC386" s="160"/>
      <c r="AD386" s="160"/>
      <c r="AE386" s="123"/>
      <c r="AF386" s="123"/>
      <c r="AH386" s="236"/>
      <c r="AI386" s="123"/>
      <c r="AJ386" s="123"/>
      <c r="AL386" s="123"/>
      <c r="AM386" s="160"/>
      <c r="AN386" s="160"/>
    </row>
    <row r="387" spans="3:40" x14ac:dyDescent="0.3">
      <c r="C387" s="42"/>
      <c r="F387" s="184"/>
      <c r="H387" s="184"/>
      <c r="I387" s="184"/>
      <c r="J387" s="238"/>
      <c r="K387" s="238"/>
      <c r="L387" s="123"/>
      <c r="M387" s="123"/>
      <c r="N387" s="160"/>
      <c r="O387" s="160"/>
      <c r="P387" s="123"/>
      <c r="Q387" s="123"/>
      <c r="R387" s="123"/>
      <c r="T387" s="42"/>
      <c r="V387" s="184"/>
      <c r="W387" s="123"/>
      <c r="X387" s="123"/>
      <c r="Y387" s="184"/>
      <c r="Z387" s="238"/>
      <c r="AA387" s="123"/>
      <c r="AB387" s="123"/>
      <c r="AC387" s="160"/>
      <c r="AD387" s="160"/>
      <c r="AE387" s="123"/>
      <c r="AF387" s="123"/>
      <c r="AH387" s="236"/>
      <c r="AI387" s="123"/>
      <c r="AJ387" s="123"/>
      <c r="AL387" s="123"/>
      <c r="AM387" s="160"/>
      <c r="AN387" s="160"/>
    </row>
    <row r="388" spans="3:40" x14ac:dyDescent="0.3">
      <c r="C388" s="42"/>
      <c r="F388" s="184"/>
      <c r="H388" s="184"/>
      <c r="I388" s="184"/>
      <c r="J388" s="238"/>
      <c r="K388" s="238"/>
      <c r="L388" s="123"/>
      <c r="M388" s="123"/>
      <c r="N388" s="160"/>
      <c r="O388" s="160"/>
      <c r="P388" s="123"/>
      <c r="Q388" s="123"/>
      <c r="R388" s="123"/>
      <c r="T388" s="42"/>
      <c r="V388" s="184"/>
      <c r="W388" s="123"/>
      <c r="X388" s="123"/>
      <c r="Y388" s="184"/>
      <c r="Z388" s="238"/>
      <c r="AA388" s="123"/>
      <c r="AB388" s="123"/>
      <c r="AC388" s="160"/>
      <c r="AD388" s="160"/>
      <c r="AE388" s="123"/>
      <c r="AF388" s="123"/>
      <c r="AH388" s="236"/>
      <c r="AI388" s="123"/>
      <c r="AJ388" s="123"/>
      <c r="AL388" s="123"/>
      <c r="AM388" s="160"/>
      <c r="AN388" s="160"/>
    </row>
    <row r="389" spans="3:40" x14ac:dyDescent="0.3">
      <c r="C389" s="42"/>
      <c r="F389" s="184"/>
      <c r="H389" s="184"/>
      <c r="I389" s="184"/>
      <c r="J389" s="238"/>
      <c r="K389" s="238"/>
      <c r="L389" s="123"/>
      <c r="M389" s="123"/>
      <c r="N389" s="160"/>
      <c r="O389" s="160"/>
      <c r="P389" s="123"/>
      <c r="Q389" s="123"/>
      <c r="R389" s="123"/>
      <c r="T389" s="42"/>
      <c r="V389" s="184"/>
      <c r="W389" s="123"/>
      <c r="X389" s="123"/>
      <c r="Y389" s="184"/>
      <c r="Z389" s="238"/>
      <c r="AA389" s="123"/>
      <c r="AB389" s="123"/>
      <c r="AC389" s="160"/>
      <c r="AD389" s="160"/>
      <c r="AE389" s="123"/>
      <c r="AF389" s="123"/>
      <c r="AH389" s="236"/>
      <c r="AI389" s="123"/>
      <c r="AJ389" s="123"/>
      <c r="AL389" s="123"/>
      <c r="AM389" s="160"/>
      <c r="AN389" s="160"/>
    </row>
    <row r="390" spans="3:40" x14ac:dyDescent="0.3">
      <c r="C390" s="42"/>
      <c r="F390" s="123"/>
      <c r="H390" s="123"/>
      <c r="I390" s="123"/>
      <c r="J390" s="238"/>
      <c r="K390" s="238"/>
      <c r="L390" s="123"/>
      <c r="M390" s="123"/>
      <c r="N390" s="160"/>
      <c r="O390" s="160"/>
      <c r="P390" s="123"/>
      <c r="Q390" s="123"/>
      <c r="R390" s="123"/>
      <c r="T390" s="42"/>
      <c r="V390" s="184"/>
      <c r="W390" s="123"/>
      <c r="X390" s="123"/>
      <c r="Y390" s="184"/>
      <c r="Z390" s="238"/>
      <c r="AA390" s="123"/>
      <c r="AB390" s="123"/>
      <c r="AC390" s="160"/>
      <c r="AD390" s="160"/>
      <c r="AE390" s="123"/>
      <c r="AF390" s="123"/>
      <c r="AH390" s="236"/>
      <c r="AI390" s="123"/>
      <c r="AJ390" s="123"/>
      <c r="AL390" s="123"/>
      <c r="AM390" s="160"/>
      <c r="AN390" s="160"/>
    </row>
    <row r="391" spans="3:40" x14ac:dyDescent="0.3">
      <c r="C391" s="42"/>
      <c r="F391" s="123"/>
      <c r="H391" s="123"/>
      <c r="I391" s="123"/>
      <c r="J391" s="238"/>
      <c r="K391" s="238"/>
      <c r="L391" s="123"/>
      <c r="M391" s="123"/>
      <c r="N391" s="160"/>
      <c r="O391" s="160"/>
      <c r="P391" s="123"/>
      <c r="Q391" s="123"/>
      <c r="R391" s="123"/>
      <c r="T391" s="42"/>
      <c r="V391" s="184"/>
      <c r="W391" s="123"/>
      <c r="X391" s="123"/>
      <c r="Y391" s="184"/>
      <c r="Z391" s="238"/>
      <c r="AA391" s="123"/>
      <c r="AB391" s="123"/>
      <c r="AC391" s="160"/>
      <c r="AD391" s="160"/>
      <c r="AE391" s="123"/>
      <c r="AF391" s="123"/>
      <c r="AH391" s="236"/>
      <c r="AI391" s="123"/>
      <c r="AJ391" s="123"/>
      <c r="AL391" s="123"/>
      <c r="AM391" s="160"/>
      <c r="AN391" s="160"/>
    </row>
    <row r="392" spans="3:40" x14ac:dyDescent="0.3">
      <c r="F392" s="241"/>
      <c r="H392" s="242"/>
      <c r="I392" s="242"/>
      <c r="J392" s="238"/>
      <c r="K392" s="238"/>
      <c r="L392" s="241"/>
      <c r="M392" s="241"/>
      <c r="N392" s="210"/>
      <c r="O392" s="210"/>
      <c r="P392" s="241"/>
      <c r="Q392" s="241"/>
      <c r="R392" s="241"/>
      <c r="V392" s="241"/>
      <c r="W392" s="123"/>
      <c r="X392" s="123"/>
      <c r="Y392" s="241"/>
      <c r="Z392" s="238"/>
      <c r="AA392" s="241"/>
      <c r="AB392" s="241"/>
      <c r="AC392" s="243"/>
      <c r="AD392" s="243"/>
      <c r="AE392" s="241"/>
      <c r="AF392" s="241"/>
      <c r="AH392" s="236"/>
      <c r="AI392" s="241"/>
      <c r="AJ392" s="241"/>
      <c r="AK392" s="207"/>
      <c r="AL392" s="241"/>
      <c r="AM392" s="160"/>
      <c r="AN392" s="160"/>
    </row>
    <row r="393" spans="3:40" x14ac:dyDescent="0.3">
      <c r="C393" s="42"/>
      <c r="F393" s="123"/>
      <c r="H393" s="123"/>
      <c r="I393" s="123"/>
      <c r="J393" s="238"/>
      <c r="K393" s="238"/>
      <c r="L393" s="123"/>
      <c r="M393" s="123"/>
      <c r="N393" s="236"/>
      <c r="O393" s="236"/>
      <c r="P393" s="123"/>
      <c r="Q393" s="123"/>
      <c r="R393" s="123"/>
      <c r="T393" s="44"/>
      <c r="V393" s="123"/>
      <c r="W393" s="123"/>
      <c r="X393" s="123"/>
      <c r="Y393" s="123"/>
      <c r="Z393" s="238"/>
      <c r="AA393" s="123"/>
      <c r="AB393" s="123"/>
      <c r="AC393" s="236"/>
      <c r="AD393" s="236"/>
      <c r="AE393" s="123"/>
      <c r="AF393" s="123"/>
      <c r="AH393" s="236"/>
      <c r="AI393" s="123"/>
      <c r="AJ393" s="123"/>
      <c r="AL393" s="123"/>
      <c r="AM393" s="160"/>
      <c r="AN393" s="160"/>
    </row>
    <row r="394" spans="3:40" x14ac:dyDescent="0.3">
      <c r="F394" s="135"/>
      <c r="H394" s="135"/>
      <c r="I394" s="135"/>
      <c r="L394" s="135"/>
      <c r="M394" s="135"/>
      <c r="N394" s="243"/>
      <c r="O394" s="243"/>
      <c r="P394" s="241"/>
      <c r="Q394" s="241"/>
      <c r="R394" s="241"/>
      <c r="V394" s="241"/>
      <c r="Y394" s="241"/>
      <c r="Z394" s="213"/>
      <c r="AA394" s="241"/>
      <c r="AB394" s="241"/>
      <c r="AC394" s="241"/>
      <c r="AD394" s="241"/>
      <c r="AE394" s="241"/>
      <c r="AF394" s="241"/>
      <c r="AI394" s="241"/>
      <c r="AJ394" s="241"/>
      <c r="AK394" s="207"/>
      <c r="AL394" s="241"/>
      <c r="AM394" s="243"/>
      <c r="AN394" s="243"/>
    </row>
    <row r="399" spans="3:40" x14ac:dyDescent="0.3">
      <c r="N399" s="123"/>
      <c r="O399" s="123"/>
      <c r="P399" s="123"/>
      <c r="Q399" s="123"/>
      <c r="R399" s="123"/>
      <c r="V399" s="123"/>
      <c r="Y399" s="123"/>
      <c r="Z399" s="219"/>
      <c r="AA399" s="123"/>
      <c r="AB399" s="123"/>
      <c r="AC399" s="160"/>
      <c r="AD399" s="160"/>
      <c r="AE399" s="123"/>
      <c r="AF399" s="123"/>
      <c r="AH399" s="236"/>
      <c r="AI399" s="123"/>
      <c r="AJ399" s="123"/>
      <c r="AL399" s="123"/>
      <c r="AM399" s="160"/>
      <c r="AN399" s="160"/>
    </row>
    <row r="400" spans="3:40" x14ac:dyDescent="0.3">
      <c r="C400" s="42"/>
      <c r="D400" s="42"/>
      <c r="E400" s="42"/>
      <c r="J400" s="188"/>
      <c r="K400" s="188"/>
      <c r="T400" s="42"/>
      <c r="U400" s="42"/>
      <c r="Z400" s="188"/>
      <c r="AE400" s="123"/>
      <c r="AF400" s="123"/>
      <c r="AI400" s="123"/>
      <c r="AJ400" s="123"/>
      <c r="AL400" s="123"/>
      <c r="AM400" s="160"/>
      <c r="AN400" s="160"/>
    </row>
    <row r="401" spans="1:40" x14ac:dyDescent="0.3">
      <c r="D401" s="42"/>
      <c r="E401" s="42"/>
      <c r="F401" s="123"/>
      <c r="H401" s="123"/>
      <c r="I401" s="123"/>
      <c r="J401" s="238"/>
      <c r="K401" s="238"/>
      <c r="L401" s="123"/>
      <c r="M401" s="123"/>
      <c r="N401" s="160"/>
      <c r="O401" s="160"/>
      <c r="P401" s="123"/>
      <c r="Q401" s="123"/>
      <c r="R401" s="123"/>
      <c r="U401" s="42"/>
      <c r="V401" s="123"/>
      <c r="Y401" s="123"/>
      <c r="Z401" s="238"/>
      <c r="AA401" s="123"/>
      <c r="AB401" s="123"/>
      <c r="AC401" s="160"/>
      <c r="AD401" s="160"/>
      <c r="AE401" s="123"/>
      <c r="AF401" s="123"/>
      <c r="AH401" s="236"/>
      <c r="AI401" s="123"/>
      <c r="AJ401" s="123"/>
      <c r="AL401" s="123"/>
      <c r="AM401" s="160"/>
      <c r="AN401" s="160"/>
    </row>
    <row r="402" spans="1:40" x14ac:dyDescent="0.3">
      <c r="F402" s="123"/>
      <c r="H402" s="123"/>
      <c r="I402" s="123"/>
      <c r="J402" s="213"/>
      <c r="K402" s="213"/>
      <c r="L402" s="123"/>
      <c r="M402" s="123"/>
      <c r="N402" s="123"/>
      <c r="O402" s="123"/>
      <c r="P402" s="123"/>
      <c r="Q402" s="123"/>
      <c r="R402" s="123"/>
      <c r="V402" s="123"/>
      <c r="Y402" s="123"/>
      <c r="Z402" s="213"/>
      <c r="AA402" s="123"/>
      <c r="AB402" s="123"/>
      <c r="AC402" s="123"/>
      <c r="AD402" s="123"/>
      <c r="AE402" s="123"/>
      <c r="AF402" s="123"/>
      <c r="AH402" s="236"/>
      <c r="AI402" s="184"/>
      <c r="AJ402" s="184"/>
      <c r="AL402" s="123"/>
      <c r="AM402" s="160"/>
      <c r="AN402" s="160"/>
    </row>
    <row r="403" spans="1:40" x14ac:dyDescent="0.3">
      <c r="C403" s="42"/>
      <c r="F403" s="184"/>
      <c r="H403" s="184"/>
      <c r="I403" s="184"/>
      <c r="J403" s="212"/>
      <c r="K403" s="212"/>
      <c r="L403" s="123"/>
      <c r="M403" s="123"/>
      <c r="N403" s="160"/>
      <c r="O403" s="160"/>
      <c r="P403" s="123"/>
      <c r="Q403" s="123"/>
      <c r="R403" s="123"/>
      <c r="T403" s="42"/>
      <c r="V403" s="184"/>
      <c r="Y403" s="184"/>
      <c r="Z403" s="212"/>
      <c r="AA403" s="123"/>
      <c r="AB403" s="123"/>
      <c r="AC403" s="160"/>
      <c r="AD403" s="160"/>
      <c r="AE403" s="123"/>
      <c r="AF403" s="123"/>
      <c r="AH403" s="236"/>
      <c r="AI403" s="123"/>
      <c r="AJ403" s="123"/>
      <c r="AL403" s="123"/>
      <c r="AM403" s="160"/>
      <c r="AN403" s="160"/>
    </row>
    <row r="404" spans="1:40" x14ac:dyDescent="0.3">
      <c r="F404" s="135"/>
      <c r="H404" s="135"/>
      <c r="I404" s="135"/>
      <c r="L404" s="135"/>
      <c r="M404" s="135"/>
      <c r="N404" s="135"/>
      <c r="O404" s="135"/>
      <c r="P404" s="135"/>
      <c r="Q404" s="135"/>
      <c r="R404" s="135"/>
      <c r="V404" s="135"/>
      <c r="Y404" s="135"/>
      <c r="AA404" s="135"/>
      <c r="AB404" s="135"/>
      <c r="AC404" s="135"/>
      <c r="AD404" s="135"/>
      <c r="AE404" s="135"/>
      <c r="AF404" s="135"/>
      <c r="AG404" s="207"/>
      <c r="AH404" s="135"/>
      <c r="AI404" s="135"/>
      <c r="AJ404" s="135"/>
      <c r="AK404" s="207"/>
      <c r="AL404" s="135"/>
      <c r="AM404" s="135"/>
      <c r="AN404" s="135"/>
    </row>
    <row r="405" spans="1:40" x14ac:dyDescent="0.3">
      <c r="C405" s="44"/>
      <c r="F405" s="184"/>
      <c r="H405" s="184"/>
      <c r="I405" s="184"/>
      <c r="J405" s="193"/>
      <c r="K405" s="193"/>
      <c r="L405" s="184"/>
      <c r="M405" s="184"/>
      <c r="N405" s="160"/>
      <c r="O405" s="160"/>
      <c r="P405" s="184"/>
      <c r="Q405" s="184"/>
      <c r="R405" s="184"/>
      <c r="T405" s="44"/>
      <c r="V405" s="123"/>
      <c r="Y405" s="123"/>
      <c r="Z405" s="219"/>
      <c r="AA405" s="123"/>
      <c r="AB405" s="123"/>
      <c r="AC405" s="160"/>
      <c r="AD405" s="160"/>
      <c r="AH405" s="236"/>
      <c r="AI405" s="123"/>
      <c r="AJ405" s="123"/>
      <c r="AL405" s="123"/>
      <c r="AM405" s="160"/>
      <c r="AN405" s="160"/>
    </row>
    <row r="406" spans="1:40" x14ac:dyDescent="0.3">
      <c r="F406" s="241"/>
      <c r="H406" s="241"/>
      <c r="I406" s="241"/>
      <c r="J406" s="213"/>
      <c r="K406" s="213"/>
      <c r="L406" s="241"/>
      <c r="M406" s="241"/>
      <c r="N406" s="241"/>
      <c r="O406" s="241"/>
      <c r="P406" s="241"/>
      <c r="Q406" s="241"/>
      <c r="R406" s="241"/>
      <c r="V406" s="135"/>
      <c r="Y406" s="135"/>
      <c r="AA406" s="135"/>
      <c r="AB406" s="135"/>
      <c r="AC406" s="135"/>
      <c r="AD406" s="135"/>
      <c r="AE406" s="135"/>
      <c r="AF406" s="135"/>
      <c r="AG406" s="207"/>
      <c r="AH406" s="135"/>
      <c r="AI406" s="135"/>
      <c r="AJ406" s="135"/>
      <c r="AK406" s="207"/>
      <c r="AL406" s="135"/>
      <c r="AM406" s="135"/>
      <c r="AN406" s="135"/>
    </row>
    <row r="407" spans="1:40" x14ac:dyDescent="0.3">
      <c r="F407" s="184"/>
      <c r="H407" s="184"/>
      <c r="I407" s="184"/>
      <c r="J407" s="237"/>
      <c r="K407" s="237"/>
      <c r="L407" s="123"/>
      <c r="M407" s="123"/>
      <c r="N407" s="160"/>
      <c r="O407" s="160"/>
      <c r="P407" s="123"/>
      <c r="Q407" s="123"/>
      <c r="R407" s="123"/>
    </row>
    <row r="408" spans="1:40" x14ac:dyDescent="0.3">
      <c r="A408" s="42"/>
      <c r="F408" s="184"/>
      <c r="H408" s="184"/>
      <c r="I408" s="184"/>
      <c r="J408" s="193"/>
      <c r="K408" s="193"/>
      <c r="L408" s="123"/>
      <c r="M408" s="123"/>
      <c r="N408" s="160"/>
      <c r="O408" s="160"/>
      <c r="P408" s="123"/>
      <c r="Q408" s="123"/>
      <c r="R408" s="123"/>
    </row>
    <row r="409" spans="1:40" x14ac:dyDescent="0.3">
      <c r="F409" s="184"/>
      <c r="H409" s="184"/>
      <c r="I409" s="184"/>
      <c r="J409" s="193"/>
      <c r="K409" s="193"/>
      <c r="L409" s="123"/>
      <c r="M409" s="123"/>
      <c r="N409" s="160"/>
      <c r="O409" s="160"/>
      <c r="P409" s="123"/>
      <c r="Q409" s="123"/>
      <c r="R409" s="123"/>
    </row>
    <row r="410" spans="1:40" x14ac:dyDescent="0.3">
      <c r="A410" s="42"/>
    </row>
    <row r="413" spans="1:40" x14ac:dyDescent="0.3">
      <c r="H413" s="42"/>
      <c r="I413" s="42"/>
      <c r="Y413" s="42"/>
    </row>
    <row r="415" spans="1:40" x14ac:dyDescent="0.3">
      <c r="L415" s="42"/>
      <c r="M415" s="42"/>
      <c r="AA415" s="42"/>
      <c r="AB415" s="42"/>
    </row>
    <row r="416" spans="1:40" x14ac:dyDescent="0.3">
      <c r="R416" s="42"/>
      <c r="AK416" s="206"/>
      <c r="AL416" s="42"/>
    </row>
    <row r="417" spans="1:40" x14ac:dyDescent="0.3">
      <c r="R417" s="42"/>
      <c r="AK417" s="206"/>
      <c r="AL417" s="42"/>
    </row>
    <row r="418" spans="1:40" x14ac:dyDescent="0.3">
      <c r="A418" s="42"/>
      <c r="R418" s="42"/>
      <c r="AK418" s="206"/>
      <c r="AL418" s="42"/>
    </row>
    <row r="419" spans="1:40" x14ac:dyDescent="0.3">
      <c r="L419" s="42"/>
      <c r="M419" s="42"/>
      <c r="AA419" s="42"/>
      <c r="AB419" s="42"/>
    </row>
    <row r="420" spans="1:40" x14ac:dyDescent="0.3">
      <c r="A420" s="135"/>
      <c r="B420" s="135"/>
      <c r="C420" s="135"/>
      <c r="D420" s="135"/>
      <c r="E420" s="135"/>
      <c r="F420" s="135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207"/>
      <c r="AH420" s="135"/>
      <c r="AI420" s="135"/>
      <c r="AJ420" s="135"/>
      <c r="AK420" s="207"/>
      <c r="AL420" s="135"/>
      <c r="AM420" s="135"/>
      <c r="AN420" s="135"/>
    </row>
    <row r="421" spans="1:40" x14ac:dyDescent="0.3">
      <c r="L421" s="44"/>
      <c r="M421" s="44"/>
      <c r="N421" s="44"/>
      <c r="O421" s="44"/>
      <c r="R421" s="44"/>
      <c r="AA421" s="44"/>
      <c r="AB421" s="44"/>
      <c r="AC421" s="44"/>
      <c r="AD421" s="44"/>
      <c r="AE421" s="44"/>
      <c r="AF421" s="44"/>
      <c r="AG421" s="168"/>
      <c r="AH421" s="44"/>
      <c r="AK421" s="168"/>
      <c r="AL421" s="44"/>
      <c r="AM421" s="44"/>
      <c r="AN421" s="44"/>
    </row>
    <row r="422" spans="1:40" x14ac:dyDescent="0.3">
      <c r="L422" s="44"/>
      <c r="M422" s="44"/>
      <c r="N422" s="44"/>
      <c r="O422" s="44"/>
      <c r="R422" s="44"/>
      <c r="Z422" s="44"/>
      <c r="AA422" s="44"/>
      <c r="AB422" s="44"/>
      <c r="AC422" s="44"/>
      <c r="AD422" s="44"/>
      <c r="AE422" s="44"/>
      <c r="AF422" s="44"/>
      <c r="AG422" s="168"/>
      <c r="AH422" s="44"/>
      <c r="AK422" s="168"/>
      <c r="AL422" s="44"/>
      <c r="AM422" s="44"/>
      <c r="AN422" s="44"/>
    </row>
    <row r="423" spans="1:40" x14ac:dyDescent="0.3">
      <c r="A423" s="44"/>
      <c r="C423" s="44"/>
      <c r="D423" s="44"/>
      <c r="E423" s="44"/>
      <c r="F423" s="44"/>
      <c r="J423" s="44"/>
      <c r="K423" s="44"/>
      <c r="L423" s="44"/>
      <c r="M423" s="44"/>
      <c r="N423" s="44"/>
      <c r="O423" s="44"/>
      <c r="P423" s="44"/>
      <c r="Q423" s="44"/>
      <c r="R423" s="44"/>
      <c r="T423" s="44"/>
      <c r="U423" s="44"/>
      <c r="V423" s="44"/>
      <c r="Z423" s="44"/>
      <c r="AA423" s="44"/>
      <c r="AB423" s="44"/>
      <c r="AC423" s="44"/>
      <c r="AD423" s="44"/>
      <c r="AE423" s="44"/>
      <c r="AF423" s="44"/>
      <c r="AG423" s="168"/>
      <c r="AH423" s="44"/>
      <c r="AI423" s="44"/>
      <c r="AJ423" s="44"/>
      <c r="AK423" s="168"/>
      <c r="AL423" s="44"/>
      <c r="AM423" s="44"/>
      <c r="AN423" s="44"/>
    </row>
    <row r="424" spans="1:40" x14ac:dyDescent="0.3">
      <c r="A424" s="44"/>
      <c r="C424" s="44"/>
      <c r="D424" s="44"/>
      <c r="E424" s="44"/>
      <c r="F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T424" s="44"/>
      <c r="U424" s="44"/>
      <c r="V424" s="44"/>
      <c r="Y424" s="44"/>
      <c r="Z424" s="44"/>
      <c r="AA424" s="44"/>
      <c r="AB424" s="44"/>
      <c r="AC424" s="44"/>
      <c r="AD424" s="44"/>
      <c r="AE424" s="44"/>
      <c r="AF424" s="44"/>
      <c r="AG424" s="168"/>
      <c r="AH424" s="44"/>
      <c r="AI424" s="44"/>
      <c r="AJ424" s="44"/>
      <c r="AK424" s="168"/>
      <c r="AL424" s="44"/>
      <c r="AM424" s="44"/>
      <c r="AN424" s="44"/>
    </row>
    <row r="425" spans="1:40" x14ac:dyDescent="0.3">
      <c r="C425" s="44"/>
      <c r="D425" s="44"/>
      <c r="E425" s="44"/>
      <c r="F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T425" s="44"/>
      <c r="U425" s="44"/>
      <c r="V425" s="44"/>
      <c r="Y425" s="44"/>
      <c r="Z425" s="44"/>
      <c r="AA425" s="44"/>
      <c r="AB425" s="44"/>
      <c r="AC425" s="44"/>
      <c r="AD425" s="44"/>
      <c r="AE425" s="44"/>
      <c r="AF425" s="44"/>
      <c r="AG425" s="168"/>
      <c r="AH425" s="44"/>
      <c r="AI425" s="44"/>
      <c r="AJ425" s="44"/>
      <c r="AK425" s="168"/>
      <c r="AL425" s="44"/>
      <c r="AM425" s="44"/>
      <c r="AN425" s="44"/>
    </row>
    <row r="426" spans="1:40" x14ac:dyDescent="0.3">
      <c r="A426" s="135"/>
      <c r="B426" s="135"/>
      <c r="C426" s="135"/>
      <c r="D426" s="135"/>
      <c r="E426" s="135"/>
      <c r="F426" s="135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207"/>
      <c r="AH426" s="135"/>
      <c r="AI426" s="135"/>
      <c r="AJ426" s="135"/>
      <c r="AK426" s="207"/>
      <c r="AL426" s="135"/>
      <c r="AM426" s="135"/>
      <c r="AN426" s="135"/>
    </row>
    <row r="427" spans="1:40" x14ac:dyDescent="0.3"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Y427" s="44"/>
      <c r="Z427" s="44"/>
      <c r="AA427" s="44"/>
      <c r="AB427" s="44"/>
      <c r="AC427" s="44"/>
      <c r="AD427" s="44"/>
      <c r="AE427" s="44"/>
      <c r="AF427" s="44"/>
      <c r="AG427" s="168"/>
      <c r="AH427" s="44"/>
      <c r="AI427" s="44"/>
      <c r="AJ427" s="44"/>
      <c r="AK427" s="168"/>
      <c r="AL427" s="44"/>
      <c r="AM427" s="44"/>
      <c r="AN427" s="44"/>
    </row>
    <row r="428" spans="1:40" x14ac:dyDescent="0.3">
      <c r="C428" s="42"/>
      <c r="D428" s="42"/>
      <c r="E428" s="42"/>
      <c r="T428" s="42"/>
      <c r="U428" s="42"/>
    </row>
    <row r="430" spans="1:40" x14ac:dyDescent="0.3">
      <c r="C430" s="42"/>
      <c r="T430" s="42"/>
    </row>
    <row r="431" spans="1:40" x14ac:dyDescent="0.3">
      <c r="C431" s="42"/>
      <c r="F431" s="184"/>
      <c r="H431" s="184"/>
      <c r="I431" s="184"/>
      <c r="J431" s="213"/>
      <c r="K431" s="213"/>
      <c r="L431" s="123"/>
      <c r="M431" s="123"/>
      <c r="N431" s="160"/>
      <c r="O431" s="160"/>
      <c r="P431" s="123"/>
      <c r="Q431" s="123"/>
      <c r="R431" s="123"/>
      <c r="T431" s="42"/>
      <c r="V431" s="184"/>
      <c r="Y431" s="184"/>
      <c r="Z431" s="213"/>
      <c r="AA431" s="123"/>
      <c r="AB431" s="123"/>
      <c r="AC431" s="160"/>
      <c r="AD431" s="160"/>
      <c r="AE431" s="123"/>
      <c r="AF431" s="123"/>
      <c r="AH431" s="236"/>
      <c r="AI431" s="123"/>
      <c r="AJ431" s="123"/>
      <c r="AL431" s="123"/>
      <c r="AM431" s="160"/>
      <c r="AN431" s="160"/>
    </row>
    <row r="432" spans="1:40" x14ac:dyDescent="0.3">
      <c r="C432" s="42"/>
      <c r="T432" s="42"/>
    </row>
    <row r="433" spans="3:40" x14ac:dyDescent="0.3">
      <c r="C433" s="42"/>
      <c r="F433" s="184"/>
      <c r="H433" s="184"/>
      <c r="I433" s="184"/>
      <c r="J433" s="238"/>
      <c r="K433" s="238"/>
      <c r="L433" s="123"/>
      <c r="M433" s="123"/>
      <c r="N433" s="160"/>
      <c r="O433" s="160"/>
      <c r="P433" s="123"/>
      <c r="Q433" s="123"/>
      <c r="R433" s="123"/>
      <c r="T433" s="42"/>
      <c r="V433" s="123"/>
      <c r="Y433" s="123"/>
      <c r="Z433" s="238"/>
      <c r="AA433" s="123"/>
      <c r="AB433" s="123"/>
      <c r="AC433" s="160"/>
      <c r="AD433" s="160"/>
      <c r="AE433" s="123"/>
      <c r="AF433" s="123"/>
      <c r="AH433" s="236"/>
      <c r="AI433" s="123"/>
      <c r="AJ433" s="123"/>
      <c r="AL433" s="123"/>
      <c r="AM433" s="160"/>
      <c r="AN433" s="160"/>
    </row>
    <row r="434" spans="3:40" x14ac:dyDescent="0.3">
      <c r="C434" s="42"/>
      <c r="F434" s="184"/>
      <c r="H434" s="184"/>
      <c r="I434" s="184"/>
      <c r="J434" s="238"/>
      <c r="K434" s="238"/>
      <c r="L434" s="123"/>
      <c r="M434" s="123"/>
      <c r="N434" s="160"/>
      <c r="O434" s="160"/>
      <c r="P434" s="123"/>
      <c r="Q434" s="123"/>
      <c r="R434" s="123"/>
      <c r="T434" s="42"/>
      <c r="V434" s="123"/>
      <c r="Y434" s="123"/>
      <c r="Z434" s="238"/>
      <c r="AA434" s="123"/>
      <c r="AB434" s="123"/>
      <c r="AC434" s="160"/>
      <c r="AD434" s="160"/>
      <c r="AE434" s="123"/>
      <c r="AF434" s="123"/>
      <c r="AH434" s="236"/>
      <c r="AI434" s="123"/>
      <c r="AJ434" s="123"/>
      <c r="AL434" s="123"/>
      <c r="AM434" s="160"/>
      <c r="AN434" s="160"/>
    </row>
    <row r="435" spans="3:40" x14ac:dyDescent="0.3">
      <c r="C435" s="42"/>
      <c r="F435" s="184"/>
      <c r="H435" s="184"/>
      <c r="I435" s="184"/>
      <c r="J435" s="238"/>
      <c r="K435" s="238"/>
      <c r="L435" s="123"/>
      <c r="M435" s="123"/>
      <c r="N435" s="160"/>
      <c r="O435" s="160"/>
      <c r="P435" s="123"/>
      <c r="Q435" s="123"/>
      <c r="R435" s="123"/>
      <c r="T435" s="42"/>
      <c r="V435" s="123"/>
      <c r="Y435" s="123"/>
      <c r="Z435" s="238"/>
      <c r="AA435" s="123"/>
      <c r="AB435" s="123"/>
      <c r="AC435" s="160"/>
      <c r="AD435" s="160"/>
      <c r="AE435" s="123"/>
      <c r="AF435" s="123"/>
      <c r="AH435" s="236"/>
      <c r="AI435" s="123"/>
      <c r="AJ435" s="123"/>
      <c r="AL435" s="123"/>
      <c r="AM435" s="160"/>
      <c r="AN435" s="160"/>
    </row>
    <row r="436" spans="3:40" x14ac:dyDescent="0.3">
      <c r="C436" s="42"/>
      <c r="F436" s="184"/>
      <c r="H436" s="184"/>
      <c r="I436" s="184"/>
      <c r="J436" s="238"/>
      <c r="K436" s="238"/>
      <c r="L436" s="123"/>
      <c r="M436" s="123"/>
      <c r="N436" s="160"/>
      <c r="O436" s="160"/>
      <c r="P436" s="123"/>
      <c r="Q436" s="123"/>
      <c r="R436" s="123"/>
      <c r="T436" s="42"/>
      <c r="V436" s="123"/>
      <c r="Y436" s="123"/>
      <c r="Z436" s="238"/>
      <c r="AA436" s="123"/>
      <c r="AB436" s="123"/>
      <c r="AC436" s="160"/>
      <c r="AD436" s="160"/>
      <c r="AE436" s="123"/>
      <c r="AF436" s="123"/>
      <c r="AH436" s="236"/>
      <c r="AI436" s="123"/>
      <c r="AJ436" s="123"/>
      <c r="AL436" s="123"/>
      <c r="AM436" s="160"/>
      <c r="AN436" s="160"/>
    </row>
    <row r="437" spans="3:40" x14ac:dyDescent="0.3">
      <c r="C437" s="42"/>
      <c r="J437" s="188"/>
      <c r="K437" s="188"/>
      <c r="T437" s="42"/>
      <c r="Z437" s="188"/>
    </row>
    <row r="438" spans="3:40" x14ac:dyDescent="0.3">
      <c r="C438" s="42"/>
      <c r="F438" s="184"/>
      <c r="H438" s="184"/>
      <c r="I438" s="184"/>
      <c r="J438" s="238"/>
      <c r="K438" s="238"/>
      <c r="L438" s="123"/>
      <c r="M438" s="123"/>
      <c r="N438" s="160"/>
      <c r="O438" s="160"/>
      <c r="P438" s="123"/>
      <c r="Q438" s="123"/>
      <c r="R438" s="123"/>
      <c r="T438" s="42"/>
      <c r="V438" s="123"/>
      <c r="Y438" s="123"/>
      <c r="Z438" s="238"/>
      <c r="AA438" s="123"/>
      <c r="AB438" s="123"/>
      <c r="AC438" s="160"/>
      <c r="AD438" s="160"/>
      <c r="AE438" s="123"/>
      <c r="AF438" s="123"/>
      <c r="AH438" s="236"/>
      <c r="AI438" s="123"/>
      <c r="AJ438" s="123"/>
      <c r="AL438" s="123"/>
      <c r="AM438" s="160"/>
      <c r="AN438" s="160"/>
    </row>
    <row r="439" spans="3:40" x14ac:dyDescent="0.3">
      <c r="C439" s="42"/>
      <c r="F439" s="184"/>
      <c r="H439" s="184"/>
      <c r="I439" s="184"/>
      <c r="J439" s="238"/>
      <c r="K439" s="238"/>
      <c r="L439" s="123"/>
      <c r="M439" s="123"/>
      <c r="N439" s="160"/>
      <c r="O439" s="160"/>
      <c r="P439" s="123"/>
      <c r="Q439" s="123"/>
      <c r="R439" s="123"/>
      <c r="T439" s="42"/>
      <c r="V439" s="123"/>
      <c r="Y439" s="123"/>
      <c r="Z439" s="238"/>
      <c r="AA439" s="123"/>
      <c r="AB439" s="123"/>
      <c r="AC439" s="160"/>
      <c r="AD439" s="160"/>
      <c r="AE439" s="123"/>
      <c r="AF439" s="123"/>
      <c r="AH439" s="236"/>
      <c r="AI439" s="123"/>
      <c r="AJ439" s="123"/>
      <c r="AL439" s="123"/>
      <c r="AM439" s="160"/>
      <c r="AN439" s="160"/>
    </row>
    <row r="440" spans="3:40" x14ac:dyDescent="0.3">
      <c r="C440" s="42"/>
      <c r="F440" s="184"/>
      <c r="H440" s="184"/>
      <c r="I440" s="184"/>
      <c r="J440" s="238"/>
      <c r="K440" s="238"/>
      <c r="L440" s="123"/>
      <c r="M440" s="123"/>
      <c r="N440" s="160"/>
      <c r="O440" s="160"/>
      <c r="P440" s="123"/>
      <c r="Q440" s="123"/>
      <c r="R440" s="123"/>
      <c r="T440" s="42"/>
      <c r="V440" s="123"/>
      <c r="Y440" s="123"/>
      <c r="Z440" s="238"/>
      <c r="AA440" s="123"/>
      <c r="AB440" s="123"/>
      <c r="AC440" s="160"/>
      <c r="AD440" s="160"/>
      <c r="AE440" s="123"/>
      <c r="AF440" s="123"/>
      <c r="AH440" s="236"/>
      <c r="AI440" s="123"/>
      <c r="AJ440" s="123"/>
      <c r="AL440" s="123"/>
      <c r="AM440" s="160"/>
      <c r="AN440" s="160"/>
    </row>
    <row r="441" spans="3:40" x14ac:dyDescent="0.3">
      <c r="C441" s="42"/>
      <c r="J441" s="188"/>
      <c r="K441" s="188"/>
      <c r="T441" s="42"/>
      <c r="Z441" s="188"/>
    </row>
    <row r="442" spans="3:40" x14ac:dyDescent="0.3">
      <c r="C442" s="42"/>
      <c r="F442" s="184"/>
      <c r="H442" s="184"/>
      <c r="I442" s="184"/>
      <c r="J442" s="238"/>
      <c r="K442" s="238"/>
      <c r="L442" s="123"/>
      <c r="M442" s="123"/>
      <c r="N442" s="160"/>
      <c r="O442" s="160"/>
      <c r="P442" s="123"/>
      <c r="Q442" s="123"/>
      <c r="R442" s="123"/>
      <c r="T442" s="42"/>
      <c r="V442" s="123"/>
      <c r="Y442" s="123"/>
      <c r="Z442" s="238"/>
      <c r="AA442" s="123"/>
      <c r="AB442" s="123"/>
      <c r="AC442" s="160"/>
      <c r="AD442" s="160"/>
      <c r="AE442" s="123"/>
      <c r="AF442" s="123"/>
      <c r="AH442" s="236"/>
      <c r="AI442" s="123"/>
      <c r="AJ442" s="123"/>
      <c r="AL442" s="123"/>
      <c r="AM442" s="160"/>
      <c r="AN442" s="160"/>
    </row>
    <row r="443" spans="3:40" x14ac:dyDescent="0.3">
      <c r="C443" s="42"/>
      <c r="F443" s="184"/>
      <c r="H443" s="184"/>
      <c r="I443" s="184"/>
      <c r="J443" s="238"/>
      <c r="K443" s="238"/>
      <c r="L443" s="123"/>
      <c r="M443" s="123"/>
      <c r="N443" s="160"/>
      <c r="O443" s="160"/>
      <c r="P443" s="123"/>
      <c r="Q443" s="123"/>
      <c r="R443" s="123"/>
      <c r="T443" s="42"/>
      <c r="V443" s="123"/>
      <c r="Y443" s="123"/>
      <c r="Z443" s="238"/>
      <c r="AA443" s="123"/>
      <c r="AB443" s="123"/>
      <c r="AC443" s="160"/>
      <c r="AD443" s="160"/>
      <c r="AE443" s="123"/>
      <c r="AF443" s="123"/>
      <c r="AH443" s="236"/>
      <c r="AI443" s="123"/>
      <c r="AJ443" s="123"/>
      <c r="AL443" s="123"/>
      <c r="AM443" s="160"/>
      <c r="AN443" s="160"/>
    </row>
    <row r="444" spans="3:40" x14ac:dyDescent="0.3">
      <c r="C444" s="42"/>
      <c r="J444" s="188"/>
      <c r="K444" s="188"/>
      <c r="T444" s="42"/>
      <c r="Z444" s="188"/>
    </row>
    <row r="445" spans="3:40" x14ac:dyDescent="0.3">
      <c r="C445" s="42"/>
      <c r="F445" s="184"/>
      <c r="H445" s="184"/>
      <c r="I445" s="184"/>
      <c r="J445" s="238"/>
      <c r="K445" s="238"/>
      <c r="L445" s="123"/>
      <c r="M445" s="123"/>
      <c r="N445" s="160"/>
      <c r="O445" s="160"/>
      <c r="P445" s="123"/>
      <c r="Q445" s="123"/>
      <c r="R445" s="123"/>
      <c r="T445" s="42"/>
      <c r="V445" s="123"/>
      <c r="Y445" s="123"/>
      <c r="Z445" s="238"/>
      <c r="AA445" s="123"/>
      <c r="AB445" s="123"/>
      <c r="AC445" s="160"/>
      <c r="AD445" s="160"/>
      <c r="AE445" s="123"/>
      <c r="AF445" s="123"/>
      <c r="AH445" s="236"/>
      <c r="AI445" s="123"/>
      <c r="AJ445" s="123"/>
      <c r="AL445" s="123"/>
      <c r="AM445" s="160"/>
      <c r="AN445" s="160"/>
    </row>
    <row r="446" spans="3:40" x14ac:dyDescent="0.3">
      <c r="C446" s="42"/>
      <c r="F446" s="184"/>
      <c r="H446" s="184"/>
      <c r="I446" s="184"/>
      <c r="J446" s="238"/>
      <c r="K446" s="238"/>
      <c r="L446" s="123"/>
      <c r="M446" s="123"/>
      <c r="N446" s="160"/>
      <c r="O446" s="160"/>
      <c r="P446" s="123"/>
      <c r="Q446" s="123"/>
      <c r="R446" s="123"/>
      <c r="T446" s="42"/>
      <c r="V446" s="123"/>
      <c r="Y446" s="123"/>
      <c r="Z446" s="238"/>
      <c r="AA446" s="123"/>
      <c r="AB446" s="123"/>
      <c r="AC446" s="160"/>
      <c r="AD446" s="160"/>
      <c r="AE446" s="123"/>
      <c r="AF446" s="123"/>
      <c r="AH446" s="236"/>
      <c r="AI446" s="123"/>
      <c r="AJ446" s="123"/>
      <c r="AL446" s="123"/>
      <c r="AM446" s="160"/>
      <c r="AN446" s="160"/>
    </row>
    <row r="447" spans="3:40" x14ac:dyDescent="0.3">
      <c r="C447" s="42"/>
      <c r="F447" s="184"/>
      <c r="H447" s="184"/>
      <c r="I447" s="184"/>
      <c r="J447" s="238"/>
      <c r="K447" s="238"/>
      <c r="L447" s="123"/>
      <c r="M447" s="123"/>
      <c r="N447" s="160"/>
      <c r="O447" s="160"/>
      <c r="P447" s="123"/>
      <c r="Q447" s="123"/>
      <c r="R447" s="123"/>
      <c r="T447" s="42"/>
      <c r="V447" s="123"/>
      <c r="Y447" s="123"/>
      <c r="Z447" s="238"/>
      <c r="AA447" s="123"/>
      <c r="AB447" s="123"/>
      <c r="AC447" s="160"/>
      <c r="AD447" s="160"/>
      <c r="AE447" s="123"/>
      <c r="AF447" s="123"/>
      <c r="AH447" s="236"/>
      <c r="AI447" s="123"/>
      <c r="AJ447" s="123"/>
      <c r="AL447" s="123"/>
      <c r="AM447" s="160"/>
      <c r="AN447" s="160"/>
    </row>
    <row r="448" spans="3:40" x14ac:dyDescent="0.3">
      <c r="F448" s="210"/>
      <c r="H448" s="210"/>
      <c r="I448" s="210"/>
      <c r="J448" s="238"/>
      <c r="K448" s="238"/>
      <c r="L448" s="210"/>
      <c r="M448" s="210"/>
      <c r="N448" s="210"/>
      <c r="O448" s="210"/>
      <c r="P448" s="210"/>
      <c r="Q448" s="210"/>
      <c r="R448" s="210"/>
      <c r="V448" s="210"/>
      <c r="Y448" s="210"/>
      <c r="Z448" s="238"/>
      <c r="AA448" s="210"/>
      <c r="AB448" s="210"/>
      <c r="AC448" s="210"/>
      <c r="AD448" s="210"/>
      <c r="AE448" s="210"/>
      <c r="AF448" s="210"/>
      <c r="AI448" s="210"/>
      <c r="AJ448" s="210"/>
      <c r="AK448" s="214"/>
      <c r="AL448" s="210"/>
    </row>
    <row r="449" spans="3:40" x14ac:dyDescent="0.3">
      <c r="C449" s="44"/>
      <c r="F449" s="123"/>
      <c r="H449" s="123"/>
      <c r="I449" s="123"/>
      <c r="J449" s="188"/>
      <c r="K449" s="188"/>
      <c r="L449" s="123"/>
      <c r="M449" s="123"/>
      <c r="N449" s="236"/>
      <c r="O449" s="236"/>
      <c r="P449" s="123"/>
      <c r="Q449" s="123"/>
      <c r="R449" s="123"/>
      <c r="T449" s="44"/>
      <c r="V449" s="123"/>
      <c r="Y449" s="123"/>
      <c r="Z449" s="188"/>
      <c r="AA449" s="123"/>
      <c r="AB449" s="123"/>
      <c r="AC449" s="123"/>
      <c r="AD449" s="123"/>
      <c r="AE449" s="123"/>
      <c r="AF449" s="123"/>
      <c r="AH449" s="236"/>
      <c r="AI449" s="123"/>
      <c r="AJ449" s="123"/>
      <c r="AL449" s="123"/>
      <c r="AM449" s="160"/>
      <c r="AN449" s="160"/>
    </row>
    <row r="450" spans="3:40" x14ac:dyDescent="0.3">
      <c r="F450" s="210"/>
      <c r="H450" s="210"/>
      <c r="I450" s="210"/>
      <c r="J450" s="238"/>
      <c r="K450" s="238"/>
      <c r="L450" s="210"/>
      <c r="M450" s="210"/>
      <c r="N450" s="210"/>
      <c r="O450" s="210"/>
      <c r="P450" s="210"/>
      <c r="Q450" s="210"/>
      <c r="R450" s="210"/>
      <c r="V450" s="210"/>
      <c r="Y450" s="210"/>
      <c r="Z450" s="238"/>
      <c r="AA450" s="210"/>
      <c r="AB450" s="210"/>
      <c r="AC450" s="210"/>
      <c r="AD450" s="210"/>
      <c r="AE450" s="210"/>
      <c r="AF450" s="210"/>
      <c r="AI450" s="210"/>
      <c r="AJ450" s="210"/>
      <c r="AK450" s="214"/>
      <c r="AL450" s="210"/>
    </row>
    <row r="451" spans="3:40" x14ac:dyDescent="0.3">
      <c r="C451" s="42"/>
      <c r="J451" s="188"/>
      <c r="K451" s="188"/>
      <c r="T451" s="42"/>
      <c r="Z451" s="188"/>
    </row>
    <row r="452" spans="3:40" x14ac:dyDescent="0.3">
      <c r="C452" s="42"/>
      <c r="J452" s="188"/>
      <c r="K452" s="188"/>
      <c r="T452" s="42"/>
      <c r="Z452" s="188"/>
    </row>
    <row r="453" spans="3:40" x14ac:dyDescent="0.3">
      <c r="C453" s="42"/>
      <c r="F453" s="184"/>
      <c r="H453" s="184"/>
      <c r="I453" s="184"/>
      <c r="J453" s="238"/>
      <c r="K453" s="238"/>
      <c r="L453" s="123"/>
      <c r="M453" s="123"/>
      <c r="N453" s="160"/>
      <c r="O453" s="160"/>
      <c r="P453" s="123"/>
      <c r="Q453" s="123"/>
      <c r="R453" s="123"/>
      <c r="T453" s="42"/>
      <c r="V453" s="123"/>
      <c r="Y453" s="123"/>
      <c r="Z453" s="238"/>
      <c r="AA453" s="123"/>
      <c r="AB453" s="123"/>
      <c r="AC453" s="160"/>
      <c r="AD453" s="160"/>
      <c r="AE453" s="123"/>
      <c r="AF453" s="123"/>
      <c r="AH453" s="236"/>
      <c r="AI453" s="123"/>
      <c r="AJ453" s="123"/>
      <c r="AL453" s="123"/>
      <c r="AM453" s="160"/>
      <c r="AN453" s="160"/>
    </row>
    <row r="454" spans="3:40" x14ac:dyDescent="0.3">
      <c r="C454" s="42"/>
      <c r="F454" s="184"/>
      <c r="H454" s="184"/>
      <c r="I454" s="184"/>
      <c r="J454" s="238"/>
      <c r="K454" s="238"/>
      <c r="L454" s="123"/>
      <c r="M454" s="123"/>
      <c r="N454" s="160"/>
      <c r="O454" s="160"/>
      <c r="P454" s="123"/>
      <c r="Q454" s="123"/>
      <c r="R454" s="123"/>
      <c r="T454" s="42"/>
      <c r="V454" s="123"/>
      <c r="Y454" s="123"/>
      <c r="Z454" s="238"/>
      <c r="AA454" s="123"/>
      <c r="AB454" s="123"/>
      <c r="AC454" s="160"/>
      <c r="AD454" s="160"/>
      <c r="AE454" s="123"/>
      <c r="AF454" s="123"/>
      <c r="AH454" s="236"/>
      <c r="AI454" s="123"/>
      <c r="AJ454" s="123"/>
      <c r="AL454" s="123"/>
      <c r="AM454" s="160"/>
      <c r="AN454" s="160"/>
    </row>
    <row r="455" spans="3:40" x14ac:dyDescent="0.3">
      <c r="C455" s="42"/>
      <c r="F455" s="184"/>
      <c r="H455" s="184"/>
      <c r="I455" s="184"/>
      <c r="J455" s="238"/>
      <c r="K455" s="238"/>
      <c r="L455" s="123"/>
      <c r="M455" s="123"/>
      <c r="N455" s="160"/>
      <c r="O455" s="160"/>
      <c r="P455" s="123"/>
      <c r="Q455" s="123"/>
      <c r="R455" s="123"/>
      <c r="T455" s="42"/>
      <c r="V455" s="123"/>
      <c r="Y455" s="123"/>
      <c r="Z455" s="238"/>
      <c r="AA455" s="123"/>
      <c r="AB455" s="123"/>
      <c r="AC455" s="160"/>
      <c r="AD455" s="160"/>
      <c r="AE455" s="123"/>
      <c r="AF455" s="123"/>
      <c r="AH455" s="236"/>
      <c r="AI455" s="123"/>
      <c r="AJ455" s="123"/>
      <c r="AL455" s="123"/>
      <c r="AM455" s="160"/>
      <c r="AN455" s="160"/>
    </row>
    <row r="456" spans="3:40" x14ac:dyDescent="0.3">
      <c r="C456" s="42"/>
      <c r="F456" s="184"/>
      <c r="H456" s="184"/>
      <c r="I456" s="184"/>
      <c r="J456" s="238"/>
      <c r="K456" s="238"/>
      <c r="L456" s="123"/>
      <c r="M456" s="123"/>
      <c r="N456" s="160"/>
      <c r="O456" s="160"/>
      <c r="P456" s="123"/>
      <c r="Q456" s="123"/>
      <c r="R456" s="123"/>
      <c r="T456" s="42"/>
      <c r="V456" s="123"/>
      <c r="Y456" s="123"/>
      <c r="Z456" s="238"/>
      <c r="AA456" s="123"/>
      <c r="AB456" s="123"/>
      <c r="AC456" s="160"/>
      <c r="AD456" s="160"/>
      <c r="AE456" s="123"/>
      <c r="AF456" s="123"/>
      <c r="AH456" s="236"/>
      <c r="AI456" s="123"/>
      <c r="AJ456" s="123"/>
      <c r="AL456" s="123"/>
      <c r="AM456" s="160"/>
      <c r="AN456" s="160"/>
    </row>
    <row r="457" spans="3:40" x14ac:dyDescent="0.3">
      <c r="C457" s="42"/>
      <c r="F457" s="184"/>
      <c r="H457" s="184"/>
      <c r="I457" s="184"/>
      <c r="J457" s="238"/>
      <c r="K457" s="238"/>
      <c r="L457" s="123"/>
      <c r="M457" s="123"/>
      <c r="N457" s="160"/>
      <c r="O457" s="160"/>
      <c r="P457" s="123"/>
      <c r="Q457" s="123"/>
      <c r="R457" s="123"/>
      <c r="T457" s="42"/>
      <c r="V457" s="123"/>
      <c r="Y457" s="123"/>
      <c r="Z457" s="238"/>
      <c r="AA457" s="123"/>
      <c r="AB457" s="123"/>
      <c r="AC457" s="160"/>
      <c r="AD457" s="160"/>
      <c r="AE457" s="123"/>
      <c r="AF457" s="123"/>
      <c r="AH457" s="236"/>
      <c r="AI457" s="123"/>
      <c r="AJ457" s="123"/>
      <c r="AL457" s="123"/>
      <c r="AM457" s="160"/>
      <c r="AN457" s="160"/>
    </row>
    <row r="458" spans="3:40" x14ac:dyDescent="0.3">
      <c r="C458" s="42"/>
      <c r="F458" s="184"/>
      <c r="H458" s="184"/>
      <c r="I458" s="184"/>
      <c r="J458" s="238"/>
      <c r="K458" s="238"/>
      <c r="L458" s="123"/>
      <c r="M458" s="123"/>
      <c r="N458" s="160"/>
      <c r="O458" s="160"/>
      <c r="P458" s="123"/>
      <c r="Q458" s="123"/>
      <c r="R458" s="123"/>
      <c r="T458" s="42"/>
      <c r="V458" s="123"/>
      <c r="Y458" s="123"/>
      <c r="Z458" s="238"/>
      <c r="AA458" s="123"/>
      <c r="AB458" s="123"/>
      <c r="AC458" s="160"/>
      <c r="AD458" s="160"/>
      <c r="AE458" s="123"/>
      <c r="AF458" s="123"/>
      <c r="AH458" s="236"/>
      <c r="AI458" s="123"/>
      <c r="AJ458" s="123"/>
      <c r="AL458" s="123"/>
      <c r="AM458" s="160"/>
      <c r="AN458" s="160"/>
    </row>
    <row r="459" spans="3:40" x14ac:dyDescent="0.3">
      <c r="C459" s="42"/>
      <c r="F459" s="184"/>
      <c r="H459" s="184"/>
      <c r="I459" s="184"/>
      <c r="J459" s="238"/>
      <c r="K459" s="238"/>
      <c r="L459" s="123"/>
      <c r="M459" s="123"/>
      <c r="N459" s="160"/>
      <c r="O459" s="160"/>
      <c r="P459" s="123"/>
      <c r="Q459" s="123"/>
      <c r="R459" s="123"/>
      <c r="T459" s="42"/>
      <c r="V459" s="123"/>
      <c r="Y459" s="123"/>
      <c r="Z459" s="238"/>
      <c r="AA459" s="123"/>
      <c r="AB459" s="123"/>
      <c r="AC459" s="160"/>
      <c r="AD459" s="160"/>
      <c r="AE459" s="123"/>
      <c r="AF459" s="123"/>
      <c r="AH459" s="236"/>
      <c r="AI459" s="123"/>
      <c r="AJ459" s="123"/>
      <c r="AL459" s="123"/>
      <c r="AM459" s="160"/>
      <c r="AN459" s="160"/>
    </row>
    <row r="460" spans="3:40" x14ac:dyDescent="0.3">
      <c r="C460" s="42"/>
      <c r="J460" s="188"/>
      <c r="K460" s="188"/>
      <c r="T460" s="42"/>
      <c r="Z460" s="188"/>
    </row>
    <row r="461" spans="3:40" x14ac:dyDescent="0.3">
      <c r="C461" s="42"/>
      <c r="F461" s="184"/>
      <c r="H461" s="184"/>
      <c r="I461" s="184"/>
      <c r="J461" s="238"/>
      <c r="K461" s="238"/>
      <c r="L461" s="123"/>
      <c r="M461" s="123"/>
      <c r="N461" s="160"/>
      <c r="O461" s="160"/>
      <c r="P461" s="123"/>
      <c r="Q461" s="123"/>
      <c r="R461" s="123"/>
      <c r="T461" s="42"/>
      <c r="V461" s="123"/>
      <c r="Y461" s="123"/>
      <c r="Z461" s="238"/>
      <c r="AA461" s="123"/>
      <c r="AB461" s="123"/>
      <c r="AC461" s="160"/>
      <c r="AD461" s="160"/>
      <c r="AE461" s="123"/>
      <c r="AF461" s="123"/>
      <c r="AH461" s="236"/>
      <c r="AI461" s="123"/>
      <c r="AJ461" s="123"/>
      <c r="AL461" s="123"/>
      <c r="AM461" s="160"/>
      <c r="AN461" s="160"/>
    </row>
    <row r="462" spans="3:40" x14ac:dyDescent="0.3">
      <c r="C462" s="42"/>
      <c r="F462" s="184"/>
      <c r="H462" s="184"/>
      <c r="I462" s="184"/>
      <c r="J462" s="238"/>
      <c r="K462" s="238"/>
      <c r="L462" s="123"/>
      <c r="M462" s="123"/>
      <c r="N462" s="160"/>
      <c r="O462" s="160"/>
      <c r="P462" s="123"/>
      <c r="Q462" s="123"/>
      <c r="R462" s="123"/>
      <c r="T462" s="42"/>
      <c r="V462" s="123"/>
      <c r="Y462" s="123"/>
      <c r="Z462" s="238"/>
      <c r="AA462" s="123"/>
      <c r="AB462" s="123"/>
      <c r="AC462" s="160"/>
      <c r="AD462" s="160"/>
      <c r="AE462" s="123"/>
      <c r="AF462" s="123"/>
      <c r="AH462" s="236"/>
      <c r="AI462" s="123"/>
      <c r="AJ462" s="123"/>
      <c r="AL462" s="123"/>
      <c r="AM462" s="160"/>
      <c r="AN462" s="160"/>
    </row>
    <row r="463" spans="3:40" x14ac:dyDescent="0.3">
      <c r="C463" s="42"/>
      <c r="F463" s="184"/>
      <c r="H463" s="184"/>
      <c r="I463" s="184"/>
      <c r="J463" s="238"/>
      <c r="K463" s="238"/>
      <c r="L463" s="123"/>
      <c r="M463" s="123"/>
      <c r="N463" s="160"/>
      <c r="O463" s="160"/>
      <c r="P463" s="123"/>
      <c r="Q463" s="123"/>
      <c r="R463" s="123"/>
      <c r="T463" s="42"/>
      <c r="V463" s="123"/>
      <c r="Y463" s="123"/>
      <c r="Z463" s="238"/>
      <c r="AA463" s="123"/>
      <c r="AB463" s="123"/>
      <c r="AC463" s="160"/>
      <c r="AD463" s="160"/>
      <c r="AE463" s="123"/>
      <c r="AF463" s="123"/>
      <c r="AH463" s="236"/>
      <c r="AI463" s="123"/>
      <c r="AJ463" s="123"/>
      <c r="AL463" s="123"/>
      <c r="AM463" s="160"/>
      <c r="AN463" s="160"/>
    </row>
    <row r="464" spans="3:40" x14ac:dyDescent="0.3">
      <c r="C464" s="42"/>
      <c r="F464" s="184"/>
      <c r="H464" s="184"/>
      <c r="I464" s="184"/>
      <c r="J464" s="238"/>
      <c r="K464" s="238"/>
      <c r="L464" s="123"/>
      <c r="M464" s="123"/>
      <c r="N464" s="160"/>
      <c r="O464" s="160"/>
      <c r="P464" s="123"/>
      <c r="Q464" s="123"/>
      <c r="R464" s="123"/>
      <c r="T464" s="42"/>
      <c r="V464" s="123"/>
      <c r="Y464" s="123"/>
      <c r="Z464" s="238"/>
      <c r="AA464" s="123"/>
      <c r="AB464" s="123"/>
      <c r="AC464" s="160"/>
      <c r="AD464" s="160"/>
      <c r="AE464" s="123"/>
      <c r="AF464" s="123"/>
      <c r="AH464" s="236"/>
      <c r="AI464" s="123"/>
      <c r="AJ464" s="123"/>
      <c r="AL464" s="123"/>
      <c r="AM464" s="160"/>
      <c r="AN464" s="160"/>
    </row>
    <row r="465" spans="3:40" x14ac:dyDescent="0.3">
      <c r="C465" s="42"/>
      <c r="J465" s="188"/>
      <c r="K465" s="188"/>
      <c r="T465" s="42"/>
      <c r="Z465" s="188"/>
    </row>
    <row r="466" spans="3:40" x14ac:dyDescent="0.3">
      <c r="C466" s="42"/>
      <c r="F466" s="184"/>
      <c r="H466" s="184"/>
      <c r="I466" s="184"/>
      <c r="J466" s="238"/>
      <c r="K466" s="238"/>
      <c r="L466" s="123"/>
      <c r="M466" s="123"/>
      <c r="N466" s="160"/>
      <c r="O466" s="160"/>
      <c r="P466" s="123"/>
      <c r="Q466" s="123"/>
      <c r="R466" s="123"/>
      <c r="T466" s="42"/>
      <c r="V466" s="123"/>
      <c r="Y466" s="123"/>
      <c r="Z466" s="238"/>
      <c r="AA466" s="123"/>
      <c r="AB466" s="123"/>
      <c r="AC466" s="160"/>
      <c r="AD466" s="160"/>
      <c r="AE466" s="123"/>
      <c r="AF466" s="123"/>
      <c r="AH466" s="236"/>
      <c r="AI466" s="123"/>
      <c r="AJ466" s="123"/>
      <c r="AL466" s="123"/>
      <c r="AM466" s="160"/>
      <c r="AN466" s="160"/>
    </row>
    <row r="467" spans="3:40" x14ac:dyDescent="0.3">
      <c r="C467" s="42"/>
      <c r="F467" s="184"/>
      <c r="H467" s="184"/>
      <c r="I467" s="184"/>
      <c r="J467" s="238"/>
      <c r="K467" s="238"/>
      <c r="L467" s="123"/>
      <c r="M467" s="123"/>
      <c r="N467" s="160"/>
      <c r="O467" s="160"/>
      <c r="P467" s="123"/>
      <c r="Q467" s="123"/>
      <c r="R467" s="123"/>
      <c r="T467" s="42"/>
      <c r="V467" s="123"/>
      <c r="Y467" s="123"/>
      <c r="Z467" s="238"/>
      <c r="AA467" s="123"/>
      <c r="AB467" s="123"/>
      <c r="AC467" s="160"/>
      <c r="AD467" s="160"/>
      <c r="AE467" s="123"/>
      <c r="AF467" s="123"/>
      <c r="AH467" s="236"/>
      <c r="AI467" s="123"/>
      <c r="AJ467" s="123"/>
      <c r="AL467" s="123"/>
      <c r="AM467" s="160"/>
      <c r="AN467" s="160"/>
    </row>
    <row r="468" spans="3:40" x14ac:dyDescent="0.3">
      <c r="C468" s="42"/>
      <c r="F468" s="184"/>
      <c r="H468" s="184"/>
      <c r="I468" s="184"/>
      <c r="J468" s="238"/>
      <c r="K468" s="238"/>
      <c r="L468" s="123"/>
      <c r="M468" s="123"/>
      <c r="N468" s="160"/>
      <c r="O468" s="160"/>
      <c r="P468" s="123"/>
      <c r="Q468" s="123"/>
      <c r="R468" s="123"/>
      <c r="T468" s="42"/>
      <c r="V468" s="123"/>
      <c r="Y468" s="123"/>
      <c r="Z468" s="238"/>
      <c r="AA468" s="123"/>
      <c r="AB468" s="123"/>
      <c r="AC468" s="160"/>
      <c r="AD468" s="160"/>
      <c r="AE468" s="123"/>
      <c r="AF468" s="123"/>
      <c r="AH468" s="236"/>
      <c r="AI468" s="123"/>
      <c r="AJ468" s="123"/>
      <c r="AL468" s="123"/>
      <c r="AM468" s="160"/>
      <c r="AN468" s="160"/>
    </row>
    <row r="469" spans="3:40" x14ac:dyDescent="0.3">
      <c r="C469" s="42"/>
      <c r="F469" s="184"/>
      <c r="H469" s="184"/>
      <c r="I469" s="184"/>
      <c r="J469" s="238"/>
      <c r="K469" s="238"/>
      <c r="L469" s="123"/>
      <c r="M469" s="123"/>
      <c r="N469" s="160"/>
      <c r="O469" s="160"/>
      <c r="P469" s="123"/>
      <c r="Q469" s="123"/>
      <c r="R469" s="123"/>
      <c r="T469" s="42"/>
      <c r="V469" s="123"/>
      <c r="Y469" s="123"/>
      <c r="Z469" s="238"/>
      <c r="AA469" s="123"/>
      <c r="AB469" s="123"/>
      <c r="AC469" s="160"/>
      <c r="AD469" s="160"/>
      <c r="AE469" s="123"/>
      <c r="AF469" s="123"/>
      <c r="AH469" s="236"/>
      <c r="AI469" s="123"/>
      <c r="AJ469" s="123"/>
      <c r="AL469" s="123"/>
      <c r="AM469" s="160"/>
      <c r="AN469" s="160"/>
    </row>
    <row r="470" spans="3:40" x14ac:dyDescent="0.3">
      <c r="C470" s="42"/>
      <c r="F470" s="184"/>
      <c r="H470" s="184"/>
      <c r="I470" s="184"/>
      <c r="J470" s="238"/>
      <c r="K470" s="238"/>
      <c r="L470" s="123"/>
      <c r="M470" s="123"/>
      <c r="N470" s="160"/>
      <c r="O470" s="160"/>
      <c r="P470" s="123"/>
      <c r="Q470" s="123"/>
      <c r="R470" s="123"/>
      <c r="T470" s="42"/>
      <c r="V470" s="123"/>
      <c r="Y470" s="123"/>
      <c r="Z470" s="238"/>
      <c r="AA470" s="123"/>
      <c r="AB470" s="123"/>
      <c r="AC470" s="160"/>
      <c r="AD470" s="160"/>
      <c r="AE470" s="123"/>
      <c r="AF470" s="123"/>
      <c r="AH470" s="236"/>
      <c r="AI470" s="123"/>
      <c r="AJ470" s="123"/>
      <c r="AL470" s="123"/>
      <c r="AM470" s="160"/>
      <c r="AN470" s="160"/>
    </row>
    <row r="471" spans="3:40" x14ac:dyDescent="0.3">
      <c r="F471" s="210"/>
      <c r="H471" s="210"/>
      <c r="I471" s="210"/>
      <c r="J471" s="213"/>
      <c r="K471" s="213"/>
      <c r="L471" s="210"/>
      <c r="M471" s="210"/>
      <c r="N471" s="210"/>
      <c r="O471" s="210"/>
      <c r="P471" s="210"/>
      <c r="Q471" s="210"/>
      <c r="R471" s="210"/>
      <c r="V471" s="210"/>
      <c r="Y471" s="210"/>
      <c r="Z471" s="238"/>
      <c r="AA471" s="210"/>
      <c r="AB471" s="210"/>
      <c r="AC471" s="210"/>
      <c r="AD471" s="210"/>
      <c r="AE471" s="210"/>
      <c r="AF471" s="210"/>
      <c r="AI471" s="210"/>
      <c r="AJ471" s="210"/>
      <c r="AK471" s="214"/>
      <c r="AL471" s="210"/>
    </row>
    <row r="472" spans="3:40" x14ac:dyDescent="0.3">
      <c r="C472" s="42"/>
      <c r="F472" s="123"/>
      <c r="H472" s="123"/>
      <c r="I472" s="123"/>
      <c r="L472" s="123"/>
      <c r="M472" s="123"/>
      <c r="N472" s="236"/>
      <c r="O472" s="236"/>
      <c r="P472" s="123"/>
      <c r="Q472" s="123"/>
      <c r="R472" s="123"/>
      <c r="T472" s="42"/>
      <c r="V472" s="123"/>
      <c r="Y472" s="123"/>
      <c r="AA472" s="123"/>
      <c r="AB472" s="123"/>
      <c r="AC472" s="160"/>
      <c r="AD472" s="160"/>
      <c r="AE472" s="123"/>
      <c r="AF472" s="123"/>
      <c r="AH472" s="236"/>
      <c r="AI472" s="123"/>
      <c r="AJ472" s="123"/>
      <c r="AL472" s="123"/>
      <c r="AM472" s="160"/>
      <c r="AN472" s="160"/>
    </row>
    <row r="473" spans="3:40" x14ac:dyDescent="0.3">
      <c r="F473" s="210"/>
      <c r="H473" s="210"/>
      <c r="I473" s="210"/>
      <c r="J473" s="213"/>
      <c r="K473" s="213"/>
      <c r="L473" s="210"/>
      <c r="M473" s="210"/>
      <c r="N473" s="210"/>
      <c r="O473" s="210"/>
      <c r="P473" s="210"/>
      <c r="Q473" s="210"/>
      <c r="R473" s="210"/>
      <c r="V473" s="210"/>
      <c r="Y473" s="210"/>
      <c r="Z473" s="213"/>
      <c r="AA473" s="210"/>
      <c r="AB473" s="210"/>
      <c r="AC473" s="210"/>
      <c r="AD473" s="210"/>
      <c r="AE473" s="210"/>
      <c r="AF473" s="210"/>
      <c r="AI473" s="210"/>
      <c r="AJ473" s="210"/>
      <c r="AK473" s="214"/>
      <c r="AL473" s="210"/>
    </row>
    <row r="474" spans="3:40" x14ac:dyDescent="0.3">
      <c r="C474" s="42"/>
      <c r="T474" s="42"/>
    </row>
    <row r="475" spans="3:40" x14ac:dyDescent="0.3">
      <c r="C475" s="42"/>
      <c r="F475" s="184"/>
      <c r="H475" s="184"/>
      <c r="I475" s="184"/>
      <c r="J475" s="193"/>
      <c r="K475" s="193"/>
      <c r="L475" s="123"/>
      <c r="M475" s="123"/>
      <c r="N475" s="160"/>
      <c r="O475" s="160"/>
      <c r="P475" s="123"/>
      <c r="Q475" s="123"/>
      <c r="R475" s="123"/>
      <c r="T475" s="42"/>
      <c r="V475" s="123"/>
      <c r="Y475" s="123"/>
      <c r="Z475" s="193"/>
      <c r="AA475" s="123"/>
      <c r="AB475" s="123"/>
      <c r="AC475" s="160"/>
      <c r="AD475" s="160"/>
      <c r="AE475" s="123"/>
      <c r="AF475" s="123"/>
      <c r="AH475" s="236"/>
      <c r="AI475" s="123"/>
      <c r="AJ475" s="123"/>
      <c r="AL475" s="123"/>
      <c r="AM475" s="160"/>
      <c r="AN475" s="160"/>
    </row>
    <row r="476" spans="3:40" x14ac:dyDescent="0.3">
      <c r="C476" s="42"/>
      <c r="F476" s="184"/>
      <c r="H476" s="184"/>
      <c r="I476" s="184"/>
      <c r="J476" s="193"/>
      <c r="K476" s="193"/>
      <c r="L476" s="123"/>
      <c r="M476" s="123"/>
      <c r="N476" s="160"/>
      <c r="O476" s="160"/>
      <c r="P476" s="123"/>
      <c r="Q476" s="123"/>
      <c r="R476" s="123"/>
      <c r="T476" s="42"/>
      <c r="V476" s="123"/>
      <c r="Y476" s="123"/>
      <c r="Z476" s="193"/>
      <c r="AA476" s="123"/>
      <c r="AB476" s="123"/>
      <c r="AC476" s="160"/>
      <c r="AD476" s="160"/>
      <c r="AE476" s="123"/>
      <c r="AF476" s="123"/>
      <c r="AH476" s="236"/>
      <c r="AI476" s="123"/>
      <c r="AJ476" s="123"/>
      <c r="AL476" s="123"/>
      <c r="AM476" s="160"/>
      <c r="AN476" s="160"/>
    </row>
    <row r="477" spans="3:40" x14ac:dyDescent="0.3">
      <c r="F477" s="210"/>
      <c r="H477" s="123"/>
      <c r="I477" s="123"/>
      <c r="J477" s="213"/>
      <c r="K477" s="213"/>
      <c r="L477" s="210"/>
      <c r="M477" s="210"/>
      <c r="N477" s="210"/>
      <c r="O477" s="210"/>
      <c r="P477" s="210"/>
      <c r="Q477" s="210"/>
      <c r="R477" s="210"/>
      <c r="V477" s="210"/>
      <c r="Y477" s="123"/>
      <c r="Z477" s="213"/>
      <c r="AA477" s="210"/>
      <c r="AB477" s="210"/>
      <c r="AC477" s="210"/>
      <c r="AD477" s="210"/>
      <c r="AE477" s="210"/>
      <c r="AF477" s="210"/>
      <c r="AI477" s="210"/>
      <c r="AJ477" s="210"/>
      <c r="AK477" s="214"/>
      <c r="AL477" s="210"/>
    </row>
    <row r="478" spans="3:40" x14ac:dyDescent="0.3">
      <c r="F478" s="123"/>
      <c r="H478" s="123"/>
      <c r="I478" s="123"/>
      <c r="J478" s="213"/>
      <c r="K478" s="213"/>
      <c r="L478" s="123"/>
      <c r="M478" s="123"/>
      <c r="N478" s="123"/>
      <c r="O478" s="123"/>
      <c r="P478" s="123"/>
      <c r="Q478" s="123"/>
      <c r="R478" s="123"/>
      <c r="V478" s="123"/>
      <c r="Y478" s="123"/>
      <c r="Z478" s="213"/>
      <c r="AA478" s="123"/>
      <c r="AB478" s="123"/>
      <c r="AC478" s="123"/>
      <c r="AD478" s="123"/>
      <c r="AE478" s="123"/>
      <c r="AF478" s="123"/>
      <c r="AI478" s="123"/>
      <c r="AJ478" s="123"/>
      <c r="AL478" s="123"/>
    </row>
    <row r="479" spans="3:40" x14ac:dyDescent="0.3">
      <c r="C479" s="42"/>
      <c r="F479" s="123"/>
      <c r="H479" s="123"/>
      <c r="I479" s="123"/>
      <c r="L479" s="123"/>
      <c r="M479" s="123"/>
      <c r="N479" s="160"/>
      <c r="O479" s="160"/>
      <c r="P479" s="123"/>
      <c r="Q479" s="123"/>
      <c r="R479" s="123"/>
      <c r="T479" s="42"/>
      <c r="V479" s="123"/>
      <c r="Y479" s="123"/>
      <c r="AA479" s="123"/>
      <c r="AB479" s="123"/>
      <c r="AC479" s="160"/>
      <c r="AD479" s="160"/>
      <c r="AE479" s="123"/>
      <c r="AF479" s="123"/>
      <c r="AH479" s="236"/>
      <c r="AI479" s="184"/>
      <c r="AJ479" s="184"/>
      <c r="AL479" s="123"/>
      <c r="AM479" s="160"/>
      <c r="AN479" s="160"/>
    </row>
    <row r="480" spans="3:40" x14ac:dyDescent="0.3">
      <c r="F480" s="210"/>
      <c r="H480" s="210"/>
      <c r="I480" s="210"/>
      <c r="J480" s="213"/>
      <c r="K480" s="213"/>
      <c r="L480" s="210"/>
      <c r="M480" s="210"/>
      <c r="N480" s="210"/>
      <c r="O480" s="210"/>
      <c r="P480" s="210"/>
      <c r="Q480" s="210"/>
      <c r="R480" s="210"/>
      <c r="V480" s="210"/>
      <c r="Y480" s="210"/>
      <c r="Z480" s="213"/>
      <c r="AA480" s="210"/>
      <c r="AB480" s="210"/>
      <c r="AC480" s="210"/>
      <c r="AD480" s="210"/>
      <c r="AE480" s="210"/>
      <c r="AF480" s="210"/>
      <c r="AI480" s="210"/>
      <c r="AJ480" s="210"/>
      <c r="AK480" s="214"/>
      <c r="AL480" s="210"/>
    </row>
    <row r="482" spans="1:28" x14ac:dyDescent="0.3">
      <c r="A482" s="42"/>
      <c r="T482" s="42"/>
    </row>
    <row r="483" spans="1:28" x14ac:dyDescent="0.3">
      <c r="A483" s="42"/>
      <c r="T483" s="42"/>
    </row>
    <row r="484" spans="1:28" x14ac:dyDescent="0.3">
      <c r="A484" s="42"/>
      <c r="T484" s="42"/>
    </row>
    <row r="485" spans="1:28" x14ac:dyDescent="0.3">
      <c r="A485" s="42"/>
      <c r="T485" s="42"/>
    </row>
    <row r="486" spans="1:28" x14ac:dyDescent="0.3">
      <c r="A486" s="42"/>
      <c r="T486" s="42"/>
    </row>
    <row r="487" spans="1:28" x14ac:dyDescent="0.3">
      <c r="A487" s="42"/>
      <c r="T487" s="42"/>
    </row>
    <row r="488" spans="1:28" x14ac:dyDescent="0.3">
      <c r="A488" s="42"/>
      <c r="T488" s="42"/>
    </row>
    <row r="489" spans="1:28" x14ac:dyDescent="0.3">
      <c r="A489" s="42"/>
      <c r="T489" s="42"/>
    </row>
    <row r="490" spans="1:28" x14ac:dyDescent="0.3">
      <c r="A490" s="42"/>
      <c r="T490" s="42"/>
    </row>
    <row r="492" spans="1:28" x14ac:dyDescent="0.3">
      <c r="A492" s="42"/>
    </row>
    <row r="494" spans="1:28" x14ac:dyDescent="0.3">
      <c r="H494" s="42"/>
      <c r="I494" s="42"/>
      <c r="Y494" s="42"/>
    </row>
    <row r="496" spans="1:28" x14ac:dyDescent="0.3">
      <c r="L496" s="42"/>
      <c r="M496" s="42"/>
      <c r="AA496" s="42"/>
      <c r="AB496" s="42"/>
    </row>
    <row r="497" spans="1:40" x14ac:dyDescent="0.3">
      <c r="R497" s="42"/>
      <c r="AK497" s="206"/>
      <c r="AL497" s="42"/>
    </row>
    <row r="498" spans="1:40" x14ac:dyDescent="0.3">
      <c r="R498" s="42"/>
      <c r="AK498" s="206"/>
      <c r="AL498" s="42"/>
    </row>
    <row r="499" spans="1:40" x14ac:dyDescent="0.3">
      <c r="A499" s="42"/>
      <c r="R499" s="42"/>
      <c r="AK499" s="206"/>
      <c r="AL499" s="42"/>
    </row>
    <row r="500" spans="1:40" x14ac:dyDescent="0.3">
      <c r="L500" s="42"/>
      <c r="M500" s="42"/>
      <c r="AA500" s="42"/>
      <c r="AB500" s="42"/>
    </row>
    <row r="501" spans="1:40" x14ac:dyDescent="0.3">
      <c r="A501" s="135"/>
      <c r="B501" s="135"/>
      <c r="C501" s="135"/>
      <c r="D501" s="135"/>
      <c r="E501" s="135"/>
      <c r="F501" s="135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207"/>
      <c r="AH501" s="135"/>
      <c r="AI501" s="135"/>
      <c r="AJ501" s="135"/>
      <c r="AK501" s="207"/>
      <c r="AL501" s="135"/>
      <c r="AM501" s="135"/>
      <c r="AN501" s="135"/>
    </row>
    <row r="502" spans="1:40" x14ac:dyDescent="0.3">
      <c r="L502" s="44"/>
      <c r="M502" s="44"/>
      <c r="N502" s="44"/>
      <c r="O502" s="44"/>
      <c r="R502" s="44"/>
      <c r="AA502" s="44"/>
      <c r="AB502" s="44"/>
      <c r="AC502" s="44"/>
      <c r="AD502" s="44"/>
      <c r="AE502" s="44"/>
      <c r="AF502" s="44"/>
      <c r="AG502" s="168"/>
      <c r="AH502" s="44"/>
      <c r="AK502" s="168"/>
      <c r="AL502" s="44"/>
      <c r="AM502" s="44"/>
      <c r="AN502" s="44"/>
    </row>
    <row r="503" spans="1:40" x14ac:dyDescent="0.3">
      <c r="L503" s="44"/>
      <c r="M503" s="44"/>
      <c r="N503" s="44"/>
      <c r="O503" s="44"/>
      <c r="R503" s="44"/>
      <c r="Z503" s="44"/>
      <c r="AA503" s="44"/>
      <c r="AB503" s="44"/>
      <c r="AC503" s="44"/>
      <c r="AD503" s="44"/>
      <c r="AE503" s="44"/>
      <c r="AF503" s="44"/>
      <c r="AG503" s="168"/>
      <c r="AH503" s="44"/>
      <c r="AK503" s="168"/>
      <c r="AL503" s="44"/>
      <c r="AM503" s="44"/>
      <c r="AN503" s="44"/>
    </row>
    <row r="504" spans="1:40" x14ac:dyDescent="0.3">
      <c r="A504" s="44"/>
      <c r="C504" s="44"/>
      <c r="D504" s="44"/>
      <c r="E504" s="44"/>
      <c r="F504" s="44"/>
      <c r="J504" s="44"/>
      <c r="K504" s="44"/>
      <c r="L504" s="44"/>
      <c r="M504" s="44"/>
      <c r="N504" s="44"/>
      <c r="O504" s="44"/>
      <c r="P504" s="44"/>
      <c r="Q504" s="44"/>
      <c r="R504" s="44"/>
      <c r="T504" s="44"/>
      <c r="U504" s="44"/>
      <c r="V504" s="44"/>
      <c r="Z504" s="44"/>
      <c r="AA504" s="44"/>
      <c r="AB504" s="44"/>
      <c r="AC504" s="44"/>
      <c r="AD504" s="44"/>
      <c r="AE504" s="44"/>
      <c r="AF504" s="44"/>
      <c r="AG504" s="168"/>
      <c r="AH504" s="44"/>
      <c r="AI504" s="44"/>
      <c r="AJ504" s="44"/>
      <c r="AK504" s="168"/>
      <c r="AL504" s="44"/>
      <c r="AM504" s="44"/>
      <c r="AN504" s="44"/>
    </row>
    <row r="505" spans="1:40" x14ac:dyDescent="0.3">
      <c r="A505" s="44"/>
      <c r="C505" s="44"/>
      <c r="D505" s="44"/>
      <c r="E505" s="44"/>
      <c r="F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T505" s="44"/>
      <c r="U505" s="44"/>
      <c r="V505" s="44"/>
      <c r="Y505" s="44"/>
      <c r="Z505" s="44"/>
      <c r="AA505" s="44"/>
      <c r="AB505" s="44"/>
      <c r="AC505" s="44"/>
      <c r="AD505" s="44"/>
      <c r="AE505" s="44"/>
      <c r="AF505" s="44"/>
      <c r="AG505" s="168"/>
      <c r="AH505" s="44"/>
      <c r="AI505" s="44"/>
      <c r="AJ505" s="44"/>
      <c r="AK505" s="168"/>
      <c r="AL505" s="44"/>
      <c r="AM505" s="44"/>
      <c r="AN505" s="44"/>
    </row>
    <row r="506" spans="1:40" x14ac:dyDescent="0.3">
      <c r="C506" s="44"/>
      <c r="D506" s="44"/>
      <c r="E506" s="44"/>
      <c r="F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T506" s="44"/>
      <c r="U506" s="44"/>
      <c r="V506" s="44"/>
      <c r="Y506" s="44"/>
      <c r="Z506" s="44"/>
      <c r="AA506" s="44"/>
      <c r="AB506" s="44"/>
      <c r="AC506" s="44"/>
      <c r="AD506" s="44"/>
      <c r="AE506" s="44"/>
      <c r="AF506" s="44"/>
      <c r="AG506" s="168"/>
      <c r="AH506" s="44"/>
      <c r="AI506" s="44"/>
      <c r="AJ506" s="44"/>
      <c r="AK506" s="168"/>
      <c r="AL506" s="44"/>
      <c r="AM506" s="44"/>
      <c r="AN506" s="44"/>
    </row>
    <row r="507" spans="1:40" x14ac:dyDescent="0.3">
      <c r="A507" s="135"/>
      <c r="B507" s="135"/>
      <c r="C507" s="135"/>
      <c r="D507" s="135"/>
      <c r="E507" s="135"/>
      <c r="F507" s="135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207"/>
      <c r="AH507" s="135"/>
      <c r="AI507" s="135"/>
      <c r="AJ507" s="135"/>
      <c r="AK507" s="207"/>
      <c r="AL507" s="135"/>
      <c r="AM507" s="135"/>
      <c r="AN507" s="135"/>
    </row>
    <row r="508" spans="1:40" x14ac:dyDescent="0.3"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Y508" s="44"/>
      <c r="Z508" s="44"/>
      <c r="AA508" s="44"/>
      <c r="AB508" s="44"/>
      <c r="AC508" s="44"/>
      <c r="AD508" s="44"/>
      <c r="AE508" s="44"/>
      <c r="AF508" s="44"/>
      <c r="AG508" s="168"/>
      <c r="AH508" s="44"/>
      <c r="AI508" s="44"/>
      <c r="AJ508" s="44"/>
      <c r="AK508" s="168"/>
      <c r="AL508" s="44"/>
      <c r="AM508" s="44"/>
      <c r="AN508" s="44"/>
    </row>
    <row r="509" spans="1:40" x14ac:dyDescent="0.3">
      <c r="C509" s="42"/>
      <c r="D509" s="42"/>
      <c r="E509" s="42"/>
      <c r="T509" s="42"/>
      <c r="U509" s="42"/>
    </row>
    <row r="510" spans="1:40" x14ac:dyDescent="0.3">
      <c r="D510" s="42"/>
      <c r="E510" s="42"/>
      <c r="U510" s="42"/>
    </row>
    <row r="512" spans="1:40" x14ac:dyDescent="0.3">
      <c r="C512" s="42"/>
      <c r="F512" s="123"/>
      <c r="J512" s="209"/>
      <c r="K512" s="209"/>
      <c r="L512" s="123"/>
      <c r="M512" s="123"/>
      <c r="R512" s="123"/>
      <c r="T512" s="42"/>
      <c r="V512" s="123"/>
      <c r="Z512" s="209"/>
      <c r="AA512" s="123"/>
      <c r="AB512" s="123"/>
      <c r="AH512" s="123"/>
      <c r="AL512" s="123"/>
    </row>
    <row r="513" spans="3:40" x14ac:dyDescent="0.3">
      <c r="C513" s="42"/>
      <c r="F513" s="123"/>
      <c r="R513" s="123"/>
      <c r="T513" s="42"/>
      <c r="V513" s="123"/>
      <c r="AH513" s="123"/>
      <c r="AL513" s="123"/>
    </row>
    <row r="514" spans="3:40" x14ac:dyDescent="0.3">
      <c r="AI514" s="123"/>
      <c r="AJ514" s="123"/>
      <c r="AL514" s="123"/>
      <c r="AM514" s="160"/>
      <c r="AN514" s="160"/>
    </row>
    <row r="515" spans="3:40" x14ac:dyDescent="0.3">
      <c r="C515" s="42"/>
      <c r="F515" s="184"/>
      <c r="H515" s="184"/>
      <c r="I515" s="184"/>
      <c r="J515" s="237"/>
      <c r="K515" s="237"/>
      <c r="L515" s="123"/>
      <c r="M515" s="123"/>
      <c r="N515" s="160"/>
      <c r="O515" s="160"/>
      <c r="P515" s="123"/>
      <c r="Q515" s="123"/>
      <c r="R515" s="123"/>
      <c r="T515" s="42"/>
      <c r="V515" s="123"/>
      <c r="Y515" s="123"/>
      <c r="Z515" s="237"/>
      <c r="AA515" s="123"/>
      <c r="AB515" s="123"/>
      <c r="AC515" s="160"/>
      <c r="AD515" s="160"/>
      <c r="AE515" s="123"/>
      <c r="AF515" s="123"/>
      <c r="AH515" s="236"/>
      <c r="AI515" s="123"/>
      <c r="AJ515" s="123"/>
      <c r="AL515" s="123"/>
      <c r="AM515" s="160"/>
      <c r="AN515" s="160"/>
    </row>
    <row r="516" spans="3:40" x14ac:dyDescent="0.3">
      <c r="F516" s="123"/>
      <c r="H516" s="123"/>
      <c r="I516" s="123"/>
      <c r="J516" s="219"/>
      <c r="K516" s="219"/>
      <c r="L516" s="123"/>
      <c r="M516" s="123"/>
      <c r="P516" s="123"/>
      <c r="Q516" s="123"/>
      <c r="R516" s="123"/>
      <c r="V516" s="123"/>
      <c r="Y516" s="123"/>
      <c r="Z516" s="219"/>
      <c r="AA516" s="123"/>
      <c r="AB516" s="123"/>
      <c r="AI516" s="123"/>
      <c r="AJ516" s="123"/>
      <c r="AL516" s="123"/>
      <c r="AM516" s="160"/>
      <c r="AN516" s="160"/>
    </row>
    <row r="517" spans="3:40" x14ac:dyDescent="0.3">
      <c r="F517" s="123"/>
      <c r="R517" s="123"/>
      <c r="V517" s="123"/>
      <c r="AL517" s="123"/>
      <c r="AM517" s="160"/>
      <c r="AN517" s="160"/>
    </row>
    <row r="518" spans="3:40" x14ac:dyDescent="0.3">
      <c r="C518" s="42"/>
      <c r="F518" s="123"/>
      <c r="J518" s="209"/>
      <c r="K518" s="209"/>
      <c r="L518" s="123"/>
      <c r="M518" s="123"/>
      <c r="N518" s="160"/>
      <c r="O518" s="160"/>
      <c r="R518" s="123"/>
      <c r="T518" s="42"/>
      <c r="V518" s="123"/>
      <c r="Z518" s="209"/>
      <c r="AA518" s="123"/>
      <c r="AB518" s="123"/>
      <c r="AC518" s="160"/>
      <c r="AD518" s="160"/>
      <c r="AL518" s="123"/>
      <c r="AM518" s="160"/>
      <c r="AN518" s="160"/>
    </row>
    <row r="519" spans="3:40" x14ac:dyDescent="0.3">
      <c r="C519" s="42"/>
      <c r="F519" s="123"/>
      <c r="H519" s="123"/>
      <c r="I519" s="123"/>
      <c r="J519" s="209"/>
      <c r="K519" s="209"/>
      <c r="L519" s="123"/>
      <c r="M519" s="123"/>
      <c r="N519" s="160"/>
      <c r="O519" s="160"/>
      <c r="P519" s="123"/>
      <c r="Q519" s="123"/>
      <c r="R519" s="123"/>
      <c r="T519" s="42"/>
      <c r="V519" s="123"/>
      <c r="Y519" s="123"/>
      <c r="Z519" s="209"/>
      <c r="AA519" s="123"/>
      <c r="AB519" s="123"/>
      <c r="AC519" s="160"/>
      <c r="AD519" s="160"/>
      <c r="AI519" s="123"/>
      <c r="AJ519" s="123"/>
      <c r="AL519" s="123"/>
      <c r="AM519" s="160"/>
      <c r="AN519" s="160"/>
    </row>
    <row r="520" spans="3:40" x14ac:dyDescent="0.3">
      <c r="C520" s="42"/>
      <c r="T520" s="42"/>
      <c r="AM520" s="160"/>
      <c r="AN520" s="160"/>
    </row>
    <row r="521" spans="3:40" x14ac:dyDescent="0.3">
      <c r="C521" s="42"/>
      <c r="T521" s="42"/>
      <c r="AM521" s="160"/>
      <c r="AN521" s="160"/>
    </row>
    <row r="522" spans="3:40" x14ac:dyDescent="0.3">
      <c r="AM522" s="160"/>
      <c r="AN522" s="160"/>
    </row>
    <row r="523" spans="3:40" x14ac:dyDescent="0.3">
      <c r="C523" s="42"/>
      <c r="F523" s="184"/>
      <c r="H523" s="184"/>
      <c r="I523" s="184"/>
      <c r="J523" s="237"/>
      <c r="K523" s="237"/>
      <c r="L523" s="123"/>
      <c r="M523" s="123"/>
      <c r="N523" s="160"/>
      <c r="O523" s="160"/>
      <c r="P523" s="123"/>
      <c r="Q523" s="123"/>
      <c r="R523" s="123"/>
      <c r="T523" s="42"/>
      <c r="V523" s="123"/>
      <c r="Y523" s="123"/>
      <c r="Z523" s="237"/>
      <c r="AA523" s="123"/>
      <c r="AB523" s="123"/>
      <c r="AC523" s="160"/>
      <c r="AD523" s="160"/>
      <c r="AE523" s="123"/>
      <c r="AF523" s="123"/>
      <c r="AH523" s="236"/>
      <c r="AI523" s="123"/>
      <c r="AJ523" s="123"/>
      <c r="AL523" s="123"/>
      <c r="AM523" s="160"/>
      <c r="AN523" s="160"/>
    </row>
    <row r="524" spans="3:40" x14ac:dyDescent="0.3">
      <c r="F524" s="210"/>
      <c r="H524" s="210"/>
      <c r="I524" s="210"/>
      <c r="J524" s="213"/>
      <c r="K524" s="213"/>
      <c r="L524" s="210"/>
      <c r="M524" s="210"/>
      <c r="N524" s="210"/>
      <c r="O524" s="210"/>
      <c r="P524" s="210"/>
      <c r="Q524" s="210"/>
      <c r="R524" s="210"/>
      <c r="V524" s="210"/>
      <c r="Y524" s="210"/>
      <c r="Z524" s="213"/>
      <c r="AA524" s="210"/>
      <c r="AB524" s="210"/>
      <c r="AC524" s="210"/>
      <c r="AD524" s="210"/>
      <c r="AE524" s="210"/>
      <c r="AF524" s="210"/>
      <c r="AI524" s="210"/>
      <c r="AJ524" s="210"/>
      <c r="AK524" s="214"/>
      <c r="AL524" s="210"/>
      <c r="AM524" s="160"/>
      <c r="AN524" s="160"/>
    </row>
    <row r="525" spans="3:40" x14ac:dyDescent="0.3">
      <c r="H525" s="123"/>
      <c r="I525" s="123"/>
      <c r="Y525" s="123"/>
      <c r="AM525" s="160"/>
      <c r="AN525" s="160"/>
    </row>
    <row r="526" spans="3:40" x14ac:dyDescent="0.3">
      <c r="C526" s="42"/>
      <c r="F526" s="123"/>
      <c r="H526" s="123"/>
      <c r="I526" s="123"/>
      <c r="L526" s="123"/>
      <c r="M526" s="123"/>
      <c r="N526" s="160"/>
      <c r="O526" s="160"/>
      <c r="P526" s="184"/>
      <c r="Q526" s="184"/>
      <c r="R526" s="123"/>
      <c r="T526" s="42"/>
      <c r="V526" s="123"/>
      <c r="Y526" s="123"/>
      <c r="AA526" s="123"/>
      <c r="AB526" s="123"/>
      <c r="AC526" s="160"/>
      <c r="AD526" s="160"/>
      <c r="AE526" s="123"/>
      <c r="AF526" s="123"/>
      <c r="AH526" s="236"/>
      <c r="AI526" s="184"/>
      <c r="AJ526" s="184"/>
      <c r="AL526" s="123"/>
      <c r="AM526" s="160"/>
      <c r="AN526" s="160"/>
    </row>
    <row r="527" spans="3:40" x14ac:dyDescent="0.3">
      <c r="F527" s="210"/>
      <c r="H527" s="210"/>
      <c r="I527" s="210"/>
      <c r="J527" s="213"/>
      <c r="K527" s="213"/>
      <c r="L527" s="210"/>
      <c r="M527" s="210"/>
      <c r="N527" s="210"/>
      <c r="O527" s="210"/>
      <c r="P527" s="210"/>
      <c r="Q527" s="210"/>
      <c r="R527" s="210"/>
      <c r="V527" s="210"/>
      <c r="Y527" s="210"/>
      <c r="Z527" s="213"/>
      <c r="AA527" s="210"/>
      <c r="AB527" s="210"/>
      <c r="AC527" s="210"/>
      <c r="AD527" s="210"/>
      <c r="AE527" s="210"/>
      <c r="AF527" s="210"/>
      <c r="AI527" s="210"/>
      <c r="AJ527" s="210"/>
      <c r="AK527" s="214"/>
      <c r="AL527" s="210"/>
      <c r="AM527" s="160"/>
      <c r="AN527" s="160"/>
    </row>
    <row r="529" spans="1:40" x14ac:dyDescent="0.3">
      <c r="F529" s="123"/>
      <c r="H529" s="123"/>
      <c r="I529" s="123"/>
      <c r="J529" s="219"/>
      <c r="K529" s="219"/>
      <c r="L529" s="123"/>
      <c r="M529" s="123"/>
      <c r="N529" s="123"/>
      <c r="O529" s="123"/>
      <c r="P529" s="123"/>
      <c r="Q529" s="123"/>
      <c r="R529" s="123"/>
      <c r="V529" s="123"/>
      <c r="Y529" s="123"/>
      <c r="Z529" s="219"/>
      <c r="AA529" s="123"/>
      <c r="AB529" s="123"/>
      <c r="AC529" s="123"/>
      <c r="AD529" s="123"/>
      <c r="AE529" s="123"/>
      <c r="AF529" s="123"/>
      <c r="AH529" s="123"/>
      <c r="AI529" s="123"/>
      <c r="AJ529" s="123"/>
      <c r="AL529" s="123"/>
    </row>
    <row r="530" spans="1:40" x14ac:dyDescent="0.3">
      <c r="A530" s="42"/>
    </row>
    <row r="532" spans="1:40" x14ac:dyDescent="0.3">
      <c r="H532" s="42"/>
      <c r="I532" s="42"/>
      <c r="Y532" s="42"/>
    </row>
    <row r="534" spans="1:40" x14ac:dyDescent="0.3">
      <c r="L534" s="42"/>
      <c r="M534" s="42"/>
      <c r="AA534" s="42"/>
      <c r="AB534" s="42"/>
    </row>
    <row r="535" spans="1:40" x14ac:dyDescent="0.3">
      <c r="R535" s="42"/>
      <c r="AK535" s="206"/>
      <c r="AL535" s="42"/>
    </row>
    <row r="536" spans="1:40" x14ac:dyDescent="0.3">
      <c r="R536" s="42"/>
      <c r="AK536" s="206"/>
      <c r="AL536" s="42"/>
    </row>
    <row r="537" spans="1:40" x14ac:dyDescent="0.3">
      <c r="A537" s="42"/>
      <c r="R537" s="42"/>
      <c r="AK537" s="206"/>
      <c r="AL537" s="42"/>
    </row>
    <row r="538" spans="1:40" x14ac:dyDescent="0.3">
      <c r="L538" s="42"/>
      <c r="M538" s="42"/>
      <c r="AA538" s="42"/>
      <c r="AB538" s="42"/>
    </row>
    <row r="539" spans="1:40" x14ac:dyDescent="0.3">
      <c r="A539" s="135"/>
      <c r="B539" s="135"/>
      <c r="C539" s="135"/>
      <c r="D539" s="135"/>
      <c r="E539" s="135"/>
      <c r="F539" s="135"/>
      <c r="G539" s="135"/>
      <c r="H539" s="135"/>
      <c r="I539" s="135"/>
      <c r="J539" s="135"/>
      <c r="K539" s="135"/>
      <c r="L539" s="135"/>
      <c r="M539" s="135"/>
      <c r="N539" s="135"/>
      <c r="O539" s="135"/>
      <c r="P539" s="135"/>
      <c r="Q539" s="135"/>
      <c r="R539" s="135"/>
      <c r="T539" s="135"/>
      <c r="U539" s="135"/>
      <c r="V539" s="135"/>
      <c r="W539" s="135"/>
      <c r="X539" s="135"/>
      <c r="Y539" s="135"/>
      <c r="Z539" s="135"/>
      <c r="AA539" s="135"/>
      <c r="AB539" s="135"/>
      <c r="AC539" s="135"/>
      <c r="AD539" s="135"/>
      <c r="AE539" s="135"/>
      <c r="AF539" s="135"/>
      <c r="AG539" s="207"/>
      <c r="AH539" s="135"/>
      <c r="AI539" s="135"/>
      <c r="AJ539" s="135"/>
      <c r="AK539" s="207"/>
      <c r="AL539" s="135"/>
      <c r="AM539" s="135"/>
      <c r="AN539" s="135"/>
    </row>
    <row r="540" spans="1:40" x14ac:dyDescent="0.3">
      <c r="L540" s="44"/>
      <c r="M540" s="44"/>
      <c r="N540" s="44"/>
      <c r="O540" s="44"/>
      <c r="R540" s="44"/>
      <c r="AA540" s="44"/>
      <c r="AB540" s="44"/>
      <c r="AC540" s="44"/>
      <c r="AD540" s="44"/>
      <c r="AE540" s="44"/>
      <c r="AF540" s="44"/>
      <c r="AG540" s="168"/>
      <c r="AH540" s="44"/>
      <c r="AK540" s="168"/>
      <c r="AL540" s="44"/>
      <c r="AM540" s="44"/>
      <c r="AN540" s="44"/>
    </row>
    <row r="541" spans="1:40" x14ac:dyDescent="0.3">
      <c r="L541" s="44"/>
      <c r="M541" s="44"/>
      <c r="N541" s="44"/>
      <c r="O541" s="44"/>
      <c r="R541" s="44"/>
      <c r="Z541" s="44"/>
      <c r="AA541" s="44"/>
      <c r="AB541" s="44"/>
      <c r="AC541" s="44"/>
      <c r="AD541" s="44"/>
      <c r="AE541" s="44"/>
      <c r="AF541" s="44"/>
      <c r="AG541" s="168"/>
      <c r="AH541" s="44"/>
      <c r="AK541" s="168"/>
      <c r="AL541" s="44"/>
      <c r="AM541" s="44"/>
      <c r="AN541" s="44"/>
    </row>
    <row r="542" spans="1:40" x14ac:dyDescent="0.3">
      <c r="A542" s="44"/>
      <c r="C542" s="44"/>
      <c r="D542" s="44"/>
      <c r="E542" s="44"/>
      <c r="F542" s="44"/>
      <c r="J542" s="44"/>
      <c r="K542" s="44"/>
      <c r="L542" s="44"/>
      <c r="M542" s="44"/>
      <c r="N542" s="44"/>
      <c r="O542" s="44"/>
      <c r="P542" s="44"/>
      <c r="Q542" s="44"/>
      <c r="R542" s="44"/>
      <c r="T542" s="44"/>
      <c r="U542" s="44"/>
      <c r="V542" s="44"/>
      <c r="Z542" s="44"/>
      <c r="AA542" s="44"/>
      <c r="AB542" s="44"/>
      <c r="AC542" s="44"/>
      <c r="AD542" s="44"/>
      <c r="AE542" s="44"/>
      <c r="AF542" s="44"/>
      <c r="AG542" s="168"/>
      <c r="AH542" s="44"/>
      <c r="AI542" s="44"/>
      <c r="AJ542" s="44"/>
      <c r="AK542" s="168"/>
      <c r="AL542" s="44"/>
      <c r="AM542" s="44"/>
      <c r="AN542" s="44"/>
    </row>
    <row r="543" spans="1:40" x14ac:dyDescent="0.3">
      <c r="A543" s="44"/>
      <c r="C543" s="44"/>
      <c r="D543" s="44"/>
      <c r="E543" s="44"/>
      <c r="F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T543" s="44"/>
      <c r="U543" s="44"/>
      <c r="V543" s="44"/>
      <c r="Y543" s="44"/>
      <c r="Z543" s="44"/>
      <c r="AA543" s="44"/>
      <c r="AB543" s="44"/>
      <c r="AC543" s="44"/>
      <c r="AD543" s="44"/>
      <c r="AE543" s="44"/>
      <c r="AF543" s="44"/>
      <c r="AG543" s="168"/>
      <c r="AH543" s="44"/>
      <c r="AI543" s="44"/>
      <c r="AJ543" s="44"/>
      <c r="AK543" s="168"/>
      <c r="AL543" s="44"/>
      <c r="AM543" s="44"/>
      <c r="AN543" s="44"/>
    </row>
    <row r="544" spans="1:40" x14ac:dyDescent="0.3">
      <c r="C544" s="44"/>
      <c r="D544" s="44"/>
      <c r="E544" s="44"/>
      <c r="F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T544" s="44"/>
      <c r="U544" s="44"/>
      <c r="V544" s="44"/>
      <c r="Y544" s="44"/>
      <c r="Z544" s="44"/>
      <c r="AA544" s="44"/>
      <c r="AB544" s="44"/>
      <c r="AC544" s="44"/>
      <c r="AD544" s="44"/>
      <c r="AE544" s="44"/>
      <c r="AF544" s="44"/>
      <c r="AG544" s="168"/>
      <c r="AH544" s="44"/>
      <c r="AI544" s="44"/>
      <c r="AJ544" s="44"/>
      <c r="AK544" s="168"/>
      <c r="AL544" s="44"/>
      <c r="AM544" s="44"/>
      <c r="AN544" s="44"/>
    </row>
    <row r="545" spans="1:40" x14ac:dyDescent="0.3">
      <c r="A545" s="135"/>
      <c r="B545" s="135"/>
      <c r="C545" s="135"/>
      <c r="D545" s="135"/>
      <c r="E545" s="135"/>
      <c r="F545" s="135"/>
      <c r="G545" s="135"/>
      <c r="H545" s="135"/>
      <c r="I545" s="135"/>
      <c r="J545" s="135"/>
      <c r="K545" s="135"/>
      <c r="L545" s="135"/>
      <c r="M545" s="135"/>
      <c r="N545" s="135"/>
      <c r="O545" s="135"/>
      <c r="P545" s="135"/>
      <c r="Q545" s="135"/>
      <c r="R545" s="135"/>
      <c r="T545" s="135"/>
      <c r="U545" s="135"/>
      <c r="V545" s="135"/>
      <c r="W545" s="135"/>
      <c r="X545" s="135"/>
      <c r="Y545" s="135"/>
      <c r="Z545" s="135"/>
      <c r="AA545" s="135"/>
      <c r="AB545" s="135"/>
      <c r="AC545" s="135"/>
      <c r="AD545" s="135"/>
      <c r="AE545" s="135"/>
      <c r="AF545" s="135"/>
      <c r="AG545" s="207"/>
      <c r="AH545" s="135"/>
      <c r="AI545" s="135"/>
      <c r="AJ545" s="135"/>
      <c r="AK545" s="207"/>
      <c r="AL545" s="135"/>
      <c r="AM545" s="135"/>
      <c r="AN545" s="135"/>
    </row>
    <row r="546" spans="1:40" x14ac:dyDescent="0.3"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Y546" s="44"/>
      <c r="Z546" s="44"/>
      <c r="AA546" s="44"/>
      <c r="AB546" s="44"/>
      <c r="AC546" s="44"/>
      <c r="AD546" s="44"/>
      <c r="AE546" s="44"/>
      <c r="AF546" s="44"/>
      <c r="AG546" s="168"/>
      <c r="AH546" s="44"/>
      <c r="AI546" s="44"/>
      <c r="AJ546" s="44"/>
      <c r="AK546" s="168"/>
      <c r="AL546" s="44"/>
      <c r="AM546" s="44"/>
      <c r="AN546" s="44"/>
    </row>
    <row r="547" spans="1:40" x14ac:dyDescent="0.3">
      <c r="C547" s="42"/>
      <c r="D547" s="42"/>
      <c r="E547" s="42"/>
      <c r="T547" s="42"/>
      <c r="U547" s="42"/>
      <c r="V547" s="123"/>
      <c r="W547" s="123"/>
      <c r="X547" s="123"/>
      <c r="Y547" s="123"/>
      <c r="Z547" s="237"/>
    </row>
    <row r="549" spans="1:40" x14ac:dyDescent="0.3">
      <c r="C549" s="42"/>
      <c r="T549" s="42"/>
      <c r="V549" s="123"/>
      <c r="W549" s="123"/>
      <c r="X549" s="123"/>
      <c r="Y549" s="123"/>
      <c r="Z549" s="237"/>
    </row>
    <row r="550" spans="1:40" x14ac:dyDescent="0.3">
      <c r="C550" s="42"/>
      <c r="F550" s="184"/>
      <c r="H550" s="184"/>
      <c r="I550" s="184"/>
      <c r="J550" s="238"/>
      <c r="K550" s="238"/>
      <c r="L550" s="123"/>
      <c r="M550" s="123"/>
      <c r="N550" s="160"/>
      <c r="O550" s="160"/>
      <c r="P550" s="123"/>
      <c r="Q550" s="123"/>
      <c r="R550" s="123"/>
      <c r="T550" s="42"/>
      <c r="V550" s="123"/>
      <c r="W550" s="123"/>
      <c r="X550" s="123"/>
      <c r="Y550" s="123"/>
      <c r="Z550" s="238"/>
      <c r="AA550" s="123"/>
      <c r="AB550" s="123"/>
      <c r="AC550" s="160"/>
      <c r="AD550" s="160"/>
      <c r="AE550" s="123"/>
      <c r="AF550" s="123"/>
      <c r="AH550" s="236"/>
      <c r="AI550" s="123"/>
      <c r="AJ550" s="123"/>
      <c r="AL550" s="123"/>
      <c r="AM550" s="160"/>
      <c r="AN550" s="160"/>
    </row>
    <row r="551" spans="1:40" x14ac:dyDescent="0.3">
      <c r="C551" s="42"/>
      <c r="F551" s="184"/>
      <c r="H551" s="184"/>
      <c r="I551" s="184"/>
      <c r="J551" s="238"/>
      <c r="K551" s="238"/>
      <c r="L551" s="123"/>
      <c r="M551" s="123"/>
      <c r="N551" s="160"/>
      <c r="O551" s="160"/>
      <c r="P551" s="123"/>
      <c r="Q551" s="123"/>
      <c r="R551" s="123"/>
      <c r="T551" s="42"/>
      <c r="V551" s="123"/>
      <c r="W551" s="123"/>
      <c r="X551" s="123"/>
      <c r="Y551" s="123"/>
      <c r="Z551" s="238"/>
      <c r="AA551" s="123"/>
      <c r="AB551" s="123"/>
      <c r="AC551" s="160"/>
      <c r="AD551" s="160"/>
      <c r="AE551" s="123"/>
      <c r="AF551" s="123"/>
      <c r="AH551" s="236"/>
      <c r="AI551" s="123"/>
      <c r="AJ551" s="123"/>
      <c r="AL551" s="123"/>
      <c r="AM551" s="160"/>
      <c r="AN551" s="160"/>
    </row>
    <row r="552" spans="1:40" x14ac:dyDescent="0.3">
      <c r="C552" s="42"/>
      <c r="F552" s="184"/>
      <c r="H552" s="184"/>
      <c r="I552" s="184"/>
      <c r="J552" s="238"/>
      <c r="K552" s="238"/>
      <c r="L552" s="123"/>
      <c r="M552" s="123"/>
      <c r="N552" s="160"/>
      <c r="O552" s="160"/>
      <c r="P552" s="123"/>
      <c r="Q552" s="123"/>
      <c r="R552" s="123"/>
      <c r="T552" s="42"/>
      <c r="V552" s="123"/>
      <c r="W552" s="123"/>
      <c r="X552" s="123"/>
      <c r="Y552" s="123"/>
      <c r="Z552" s="238"/>
      <c r="AA552" s="123"/>
      <c r="AB552" s="123"/>
      <c r="AC552" s="160"/>
      <c r="AD552" s="160"/>
      <c r="AE552" s="123"/>
      <c r="AF552" s="123"/>
      <c r="AH552" s="236"/>
      <c r="AI552" s="123"/>
      <c r="AJ552" s="123"/>
      <c r="AL552" s="123"/>
      <c r="AM552" s="160"/>
      <c r="AN552" s="160"/>
    </row>
    <row r="553" spans="1:40" x14ac:dyDescent="0.3">
      <c r="C553" s="42"/>
      <c r="F553" s="184"/>
      <c r="H553" s="184"/>
      <c r="I553" s="184"/>
      <c r="J553" s="238"/>
      <c r="K553" s="238"/>
      <c r="L553" s="123"/>
      <c r="M553" s="123"/>
      <c r="N553" s="160"/>
      <c r="O553" s="160"/>
      <c r="P553" s="123"/>
      <c r="Q553" s="123"/>
      <c r="R553" s="123"/>
      <c r="T553" s="42"/>
      <c r="V553" s="123"/>
      <c r="W553" s="123"/>
      <c r="X553" s="123"/>
      <c r="Y553" s="123"/>
      <c r="Z553" s="238"/>
      <c r="AA553" s="123"/>
      <c r="AB553" s="123"/>
      <c r="AC553" s="160"/>
      <c r="AD553" s="160"/>
      <c r="AE553" s="123"/>
      <c r="AF553" s="123"/>
      <c r="AH553" s="236"/>
      <c r="AI553" s="123"/>
      <c r="AJ553" s="123"/>
      <c r="AL553" s="123"/>
      <c r="AM553" s="160"/>
      <c r="AN553" s="160"/>
    </row>
    <row r="554" spans="1:40" x14ac:dyDescent="0.3">
      <c r="J554" s="188"/>
      <c r="K554" s="188"/>
      <c r="V554" s="123"/>
      <c r="W554" s="123"/>
      <c r="X554" s="123"/>
      <c r="Y554" s="123"/>
      <c r="Z554" s="238"/>
    </row>
    <row r="555" spans="1:40" x14ac:dyDescent="0.3">
      <c r="C555" s="42"/>
      <c r="F555" s="184"/>
      <c r="H555" s="184"/>
      <c r="I555" s="184"/>
      <c r="J555" s="238"/>
      <c r="K555" s="238"/>
      <c r="L555" s="123"/>
      <c r="M555" s="123"/>
      <c r="N555" s="160"/>
      <c r="O555" s="160"/>
      <c r="P555" s="123"/>
      <c r="Q555" s="123"/>
      <c r="R555" s="123"/>
      <c r="T555" s="42"/>
      <c r="V555" s="123"/>
      <c r="W555" s="123"/>
      <c r="X555" s="123"/>
      <c r="Y555" s="123"/>
      <c r="Z555" s="238"/>
      <c r="AA555" s="123"/>
      <c r="AB555" s="123"/>
      <c r="AC555" s="160"/>
      <c r="AD555" s="160"/>
      <c r="AE555" s="123"/>
      <c r="AF555" s="123"/>
      <c r="AH555" s="236"/>
      <c r="AI555" s="123"/>
      <c r="AJ555" s="123"/>
      <c r="AL555" s="123"/>
      <c r="AM555" s="236"/>
      <c r="AN555" s="236"/>
    </row>
    <row r="556" spans="1:40" x14ac:dyDescent="0.3">
      <c r="C556" s="42"/>
      <c r="J556" s="188"/>
      <c r="K556" s="188"/>
      <c r="T556" s="42"/>
      <c r="V556" s="123"/>
      <c r="W556" s="123"/>
      <c r="X556" s="123"/>
      <c r="Y556" s="123"/>
      <c r="Z556" s="238"/>
    </row>
    <row r="557" spans="1:40" x14ac:dyDescent="0.3">
      <c r="C557" s="42"/>
      <c r="F557" s="184"/>
      <c r="H557" s="184"/>
      <c r="I557" s="184"/>
      <c r="J557" s="238"/>
      <c r="K557" s="238"/>
      <c r="L557" s="123"/>
      <c r="M557" s="123"/>
      <c r="N557" s="160"/>
      <c r="O557" s="160"/>
      <c r="P557" s="123"/>
      <c r="Q557" s="123"/>
      <c r="R557" s="123"/>
      <c r="T557" s="42"/>
      <c r="V557" s="123"/>
      <c r="W557" s="123"/>
      <c r="X557" s="123"/>
      <c r="Y557" s="123"/>
      <c r="Z557" s="238"/>
      <c r="AA557" s="123"/>
      <c r="AB557" s="123"/>
      <c r="AC557" s="160"/>
      <c r="AD557" s="160"/>
      <c r="AE557" s="123"/>
      <c r="AF557" s="123"/>
      <c r="AH557" s="236"/>
      <c r="AI557" s="123"/>
      <c r="AJ557" s="123"/>
      <c r="AL557" s="123"/>
      <c r="AM557" s="236"/>
      <c r="AN557" s="236"/>
    </row>
    <row r="558" spans="1:40" x14ac:dyDescent="0.3">
      <c r="J558" s="188"/>
      <c r="K558" s="188"/>
      <c r="Z558" s="188"/>
    </row>
    <row r="559" spans="1:40" x14ac:dyDescent="0.3">
      <c r="C559" s="42"/>
      <c r="J559" s="188"/>
      <c r="K559" s="188"/>
      <c r="T559" s="42"/>
      <c r="V559" s="123"/>
      <c r="W559" s="123"/>
      <c r="X559" s="123"/>
      <c r="Y559" s="123"/>
      <c r="Z559" s="238"/>
    </row>
    <row r="560" spans="1:40" x14ac:dyDescent="0.3">
      <c r="C560" s="42"/>
      <c r="F560" s="184"/>
      <c r="H560" s="184"/>
      <c r="I560" s="184"/>
      <c r="J560" s="238"/>
      <c r="K560" s="238"/>
      <c r="L560" s="123"/>
      <c r="M560" s="123"/>
      <c r="N560" s="160"/>
      <c r="O560" s="160"/>
      <c r="P560" s="123"/>
      <c r="Q560" s="123"/>
      <c r="R560" s="123"/>
      <c r="T560" s="42"/>
      <c r="V560" s="123"/>
      <c r="W560" s="123"/>
      <c r="X560" s="123"/>
      <c r="Y560" s="123"/>
      <c r="Z560" s="238"/>
      <c r="AA560" s="123"/>
      <c r="AB560" s="123"/>
      <c r="AC560" s="160"/>
      <c r="AD560" s="160"/>
      <c r="AE560" s="123"/>
      <c r="AF560" s="123"/>
      <c r="AH560" s="236"/>
      <c r="AI560" s="123"/>
      <c r="AJ560" s="123"/>
      <c r="AL560" s="123"/>
      <c r="AM560" s="236"/>
      <c r="AN560" s="236"/>
    </row>
    <row r="561" spans="1:40" x14ac:dyDescent="0.3">
      <c r="C561" s="42"/>
      <c r="F561" s="184"/>
      <c r="H561" s="184"/>
      <c r="I561" s="184"/>
      <c r="J561" s="238"/>
      <c r="K561" s="238"/>
      <c r="L561" s="123"/>
      <c r="M561" s="123"/>
      <c r="N561" s="160"/>
      <c r="O561" s="160"/>
      <c r="P561" s="123"/>
      <c r="Q561" s="123"/>
      <c r="R561" s="123"/>
      <c r="T561" s="42"/>
      <c r="V561" s="123"/>
      <c r="W561" s="123"/>
      <c r="X561" s="123"/>
      <c r="Y561" s="123"/>
      <c r="Z561" s="238"/>
      <c r="AA561" s="123"/>
      <c r="AB561" s="123"/>
      <c r="AC561" s="160"/>
      <c r="AD561" s="160"/>
      <c r="AE561" s="123"/>
      <c r="AF561" s="123"/>
      <c r="AH561" s="236"/>
      <c r="AI561" s="123"/>
      <c r="AJ561" s="123"/>
      <c r="AL561" s="123"/>
      <c r="AM561" s="236"/>
      <c r="AN561" s="236"/>
    </row>
    <row r="562" spans="1:40" x14ac:dyDescent="0.3">
      <c r="F562" s="210"/>
      <c r="H562" s="210"/>
      <c r="I562" s="210"/>
      <c r="J562" s="238"/>
      <c r="K562" s="238"/>
      <c r="L562" s="210"/>
      <c r="M562" s="210"/>
      <c r="N562" s="210"/>
      <c r="O562" s="210"/>
      <c r="P562" s="210"/>
      <c r="Q562" s="210"/>
      <c r="R562" s="210"/>
      <c r="V562" s="210"/>
      <c r="Y562" s="210"/>
      <c r="Z562" s="213"/>
      <c r="AA562" s="210"/>
      <c r="AB562" s="210"/>
      <c r="AC562" s="210"/>
      <c r="AD562" s="210"/>
      <c r="AE562" s="210"/>
      <c r="AF562" s="210"/>
      <c r="AI562" s="210"/>
      <c r="AJ562" s="210"/>
      <c r="AK562" s="214"/>
      <c r="AL562" s="210"/>
    </row>
    <row r="563" spans="1:40" x14ac:dyDescent="0.3">
      <c r="C563" s="42"/>
      <c r="F563" s="123"/>
      <c r="H563" s="123"/>
      <c r="I563" s="123"/>
      <c r="L563" s="123"/>
      <c r="M563" s="123"/>
      <c r="N563" s="160"/>
      <c r="O563" s="160"/>
      <c r="P563" s="184"/>
      <c r="Q563" s="184"/>
      <c r="R563" s="123"/>
      <c r="T563" s="42"/>
      <c r="V563" s="123"/>
      <c r="W563" s="123"/>
      <c r="X563" s="123"/>
      <c r="Y563" s="123"/>
      <c r="Z563" s="237"/>
      <c r="AA563" s="123"/>
      <c r="AB563" s="123"/>
      <c r="AC563" s="160"/>
      <c r="AD563" s="160"/>
      <c r="AE563" s="123"/>
      <c r="AF563" s="123"/>
      <c r="AH563" s="236"/>
      <c r="AI563" s="184"/>
      <c r="AJ563" s="184"/>
      <c r="AL563" s="123"/>
      <c r="AM563" s="236"/>
      <c r="AN563" s="236"/>
    </row>
    <row r="564" spans="1:40" x14ac:dyDescent="0.3">
      <c r="F564" s="210"/>
      <c r="H564" s="210"/>
      <c r="I564" s="210"/>
      <c r="J564" s="213"/>
      <c r="K564" s="213"/>
      <c r="L564" s="210"/>
      <c r="M564" s="210"/>
      <c r="N564" s="210"/>
      <c r="O564" s="210"/>
      <c r="P564" s="210"/>
      <c r="Q564" s="210"/>
      <c r="R564" s="210"/>
      <c r="V564" s="210"/>
      <c r="Y564" s="210"/>
      <c r="Z564" s="213"/>
      <c r="AA564" s="210"/>
      <c r="AB564" s="210"/>
      <c r="AC564" s="210"/>
      <c r="AD564" s="210"/>
      <c r="AE564" s="210"/>
      <c r="AF564" s="210"/>
      <c r="AI564" s="210"/>
      <c r="AJ564" s="210"/>
      <c r="AK564" s="214"/>
      <c r="AL564" s="210"/>
    </row>
    <row r="567" spans="1:40" x14ac:dyDescent="0.3">
      <c r="A567" s="42"/>
    </row>
    <row r="569" spans="1:40" x14ac:dyDescent="0.3">
      <c r="H569" s="42"/>
      <c r="I569" s="42"/>
      <c r="Y569" s="42"/>
    </row>
    <row r="571" spans="1:40" x14ac:dyDescent="0.3">
      <c r="L571" s="42"/>
      <c r="M571" s="42"/>
      <c r="AA571" s="42"/>
      <c r="AB571" s="42"/>
    </row>
    <row r="572" spans="1:40" x14ac:dyDescent="0.3">
      <c r="R572" s="42"/>
      <c r="AK572" s="206"/>
      <c r="AL572" s="42"/>
    </row>
    <row r="573" spans="1:40" x14ac:dyDescent="0.3">
      <c r="R573" s="42"/>
      <c r="AK573" s="206"/>
      <c r="AL573" s="42"/>
    </row>
    <row r="574" spans="1:40" x14ac:dyDescent="0.3">
      <c r="A574" s="42"/>
      <c r="R574" s="42"/>
      <c r="AK574" s="206"/>
      <c r="AL574" s="42"/>
    </row>
    <row r="575" spans="1:40" x14ac:dyDescent="0.3">
      <c r="L575" s="42"/>
      <c r="M575" s="42"/>
      <c r="AA575" s="42"/>
      <c r="AB575" s="42"/>
    </row>
    <row r="576" spans="1:40" x14ac:dyDescent="0.3">
      <c r="A576" s="135"/>
      <c r="B576" s="135"/>
      <c r="C576" s="135"/>
      <c r="D576" s="135"/>
      <c r="E576" s="135"/>
      <c r="F576" s="135"/>
      <c r="G576" s="135"/>
      <c r="H576" s="135"/>
      <c r="I576" s="135"/>
      <c r="J576" s="135"/>
      <c r="K576" s="135"/>
      <c r="L576" s="135"/>
      <c r="M576" s="135"/>
      <c r="N576" s="135"/>
      <c r="O576" s="135"/>
      <c r="P576" s="135"/>
      <c r="Q576" s="135"/>
      <c r="R576" s="135"/>
      <c r="T576" s="135"/>
      <c r="U576" s="135"/>
      <c r="V576" s="135"/>
      <c r="W576" s="135"/>
      <c r="X576" s="135"/>
      <c r="Y576" s="135"/>
      <c r="Z576" s="135"/>
      <c r="AA576" s="135"/>
      <c r="AB576" s="135"/>
      <c r="AC576" s="135"/>
      <c r="AD576" s="135"/>
      <c r="AE576" s="135"/>
      <c r="AF576" s="135"/>
      <c r="AG576" s="207"/>
      <c r="AH576" s="135"/>
      <c r="AI576" s="135"/>
      <c r="AJ576" s="135"/>
      <c r="AK576" s="207"/>
      <c r="AL576" s="135"/>
      <c r="AM576" s="135"/>
      <c r="AN576" s="135"/>
    </row>
    <row r="577" spans="1:40" x14ac:dyDescent="0.3">
      <c r="L577" s="44"/>
      <c r="M577" s="44"/>
      <c r="N577" s="44"/>
      <c r="O577" s="44"/>
      <c r="R577" s="44"/>
      <c r="AA577" s="44"/>
      <c r="AB577" s="44"/>
      <c r="AC577" s="44"/>
      <c r="AD577" s="44"/>
      <c r="AE577" s="44"/>
      <c r="AF577" s="44"/>
      <c r="AG577" s="168"/>
      <c r="AH577" s="44"/>
      <c r="AK577" s="168"/>
      <c r="AL577" s="44"/>
      <c r="AM577" s="44"/>
      <c r="AN577" s="44"/>
    </row>
    <row r="578" spans="1:40" x14ac:dyDescent="0.3">
      <c r="L578" s="44"/>
      <c r="M578" s="44"/>
      <c r="N578" s="44"/>
      <c r="O578" s="44"/>
      <c r="R578" s="44"/>
      <c r="Z578" s="44"/>
      <c r="AA578" s="44"/>
      <c r="AB578" s="44"/>
      <c r="AC578" s="44"/>
      <c r="AD578" s="44"/>
      <c r="AE578" s="44"/>
      <c r="AF578" s="44"/>
      <c r="AG578" s="168"/>
      <c r="AH578" s="44"/>
      <c r="AK578" s="168"/>
      <c r="AL578" s="44"/>
      <c r="AM578" s="44"/>
      <c r="AN578" s="44"/>
    </row>
    <row r="579" spans="1:40" x14ac:dyDescent="0.3">
      <c r="A579" s="44"/>
      <c r="C579" s="44"/>
      <c r="D579" s="44"/>
      <c r="E579" s="44"/>
      <c r="F579" s="44"/>
      <c r="J579" s="44"/>
      <c r="K579" s="44"/>
      <c r="L579" s="44"/>
      <c r="M579" s="44"/>
      <c r="N579" s="44"/>
      <c r="O579" s="44"/>
      <c r="P579" s="44"/>
      <c r="Q579" s="44"/>
      <c r="R579" s="44"/>
      <c r="T579" s="44"/>
      <c r="U579" s="44"/>
      <c r="V579" s="44"/>
      <c r="Z579" s="44"/>
      <c r="AA579" s="44"/>
      <c r="AB579" s="44"/>
      <c r="AC579" s="44"/>
      <c r="AD579" s="44"/>
      <c r="AE579" s="44"/>
      <c r="AF579" s="44"/>
      <c r="AG579" s="168"/>
      <c r="AH579" s="44"/>
      <c r="AI579" s="44"/>
      <c r="AJ579" s="44"/>
      <c r="AK579" s="168"/>
      <c r="AL579" s="44"/>
      <c r="AM579" s="44"/>
      <c r="AN579" s="44"/>
    </row>
    <row r="580" spans="1:40" x14ac:dyDescent="0.3">
      <c r="A580" s="44"/>
      <c r="C580" s="44"/>
      <c r="D580" s="44"/>
      <c r="E580" s="44"/>
      <c r="F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T580" s="44"/>
      <c r="U580" s="44"/>
      <c r="V580" s="44"/>
      <c r="Y580" s="44"/>
      <c r="Z580" s="44"/>
      <c r="AA580" s="44"/>
      <c r="AB580" s="44"/>
      <c r="AC580" s="44"/>
      <c r="AD580" s="44"/>
      <c r="AE580" s="44"/>
      <c r="AF580" s="44"/>
      <c r="AG580" s="168"/>
      <c r="AH580" s="44"/>
      <c r="AI580" s="44"/>
      <c r="AJ580" s="44"/>
      <c r="AK580" s="168"/>
      <c r="AL580" s="44"/>
      <c r="AM580" s="44"/>
      <c r="AN580" s="44"/>
    </row>
    <row r="581" spans="1:40" x14ac:dyDescent="0.3">
      <c r="C581" s="44"/>
      <c r="D581" s="44"/>
      <c r="E581" s="44"/>
      <c r="F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T581" s="44"/>
      <c r="U581" s="44"/>
      <c r="V581" s="44"/>
      <c r="Y581" s="44"/>
      <c r="Z581" s="44"/>
      <c r="AA581" s="44"/>
      <c r="AB581" s="44"/>
      <c r="AC581" s="44"/>
      <c r="AD581" s="44"/>
      <c r="AE581" s="44"/>
      <c r="AF581" s="44"/>
      <c r="AG581" s="168"/>
      <c r="AH581" s="44"/>
      <c r="AI581" s="44"/>
      <c r="AJ581" s="44"/>
      <c r="AK581" s="168"/>
      <c r="AL581" s="44"/>
      <c r="AM581" s="44"/>
      <c r="AN581" s="44"/>
    </row>
    <row r="582" spans="1:40" x14ac:dyDescent="0.3">
      <c r="A582" s="135"/>
      <c r="B582" s="135"/>
      <c r="C582" s="135"/>
      <c r="D582" s="135"/>
      <c r="E582" s="135"/>
      <c r="F582" s="135"/>
      <c r="G582" s="135"/>
      <c r="H582" s="135"/>
      <c r="I582" s="135"/>
      <c r="J582" s="135"/>
      <c r="K582" s="135"/>
      <c r="L582" s="135"/>
      <c r="M582" s="135"/>
      <c r="N582" s="135"/>
      <c r="O582" s="135"/>
      <c r="P582" s="135"/>
      <c r="Q582" s="135"/>
      <c r="R582" s="135"/>
      <c r="T582" s="135"/>
      <c r="U582" s="135"/>
      <c r="V582" s="135"/>
      <c r="W582" s="135"/>
      <c r="X582" s="135"/>
      <c r="Y582" s="135"/>
      <c r="Z582" s="135"/>
      <c r="AA582" s="135"/>
      <c r="AB582" s="135"/>
      <c r="AC582" s="135"/>
      <c r="AD582" s="135"/>
      <c r="AE582" s="135"/>
      <c r="AF582" s="135"/>
      <c r="AG582" s="207"/>
      <c r="AH582" s="135"/>
      <c r="AI582" s="135"/>
      <c r="AJ582" s="135"/>
      <c r="AK582" s="207"/>
      <c r="AL582" s="135"/>
      <c r="AM582" s="135"/>
      <c r="AN582" s="135"/>
    </row>
    <row r="583" spans="1:40" x14ac:dyDescent="0.3"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Y583" s="44"/>
      <c r="Z583" s="44"/>
      <c r="AA583" s="44"/>
      <c r="AB583" s="44"/>
      <c r="AC583" s="44"/>
      <c r="AD583" s="44"/>
      <c r="AE583" s="44"/>
      <c r="AF583" s="44"/>
      <c r="AG583" s="168"/>
      <c r="AH583" s="44"/>
      <c r="AI583" s="44"/>
      <c r="AJ583" s="44"/>
      <c r="AK583" s="168"/>
      <c r="AL583" s="44"/>
      <c r="AM583" s="44"/>
      <c r="AN583" s="44"/>
    </row>
    <row r="584" spans="1:40" x14ac:dyDescent="0.3">
      <c r="C584" s="42"/>
      <c r="D584" s="42"/>
      <c r="E584" s="42"/>
      <c r="T584" s="42"/>
      <c r="U584" s="42"/>
    </row>
    <row r="586" spans="1:40" x14ac:dyDescent="0.3">
      <c r="C586" s="42"/>
      <c r="T586" s="42"/>
    </row>
    <row r="587" spans="1:40" x14ac:dyDescent="0.3">
      <c r="C587" s="42"/>
      <c r="T587" s="42"/>
    </row>
    <row r="588" spans="1:40" x14ac:dyDescent="0.3">
      <c r="C588" s="42"/>
      <c r="F588" s="184"/>
      <c r="H588" s="184"/>
      <c r="I588" s="184"/>
      <c r="J588" s="238"/>
      <c r="K588" s="238"/>
      <c r="L588" s="123"/>
      <c r="M588" s="123"/>
      <c r="N588" s="160"/>
      <c r="O588" s="160"/>
      <c r="P588" s="123"/>
      <c r="Q588" s="123"/>
      <c r="R588" s="123"/>
      <c r="T588" s="42"/>
      <c r="V588" s="123"/>
      <c r="W588" s="123"/>
      <c r="X588" s="123"/>
      <c r="Y588" s="123"/>
      <c r="Z588" s="238"/>
      <c r="AA588" s="123"/>
      <c r="AB588" s="123"/>
      <c r="AC588" s="160"/>
      <c r="AD588" s="160"/>
      <c r="AE588" s="123"/>
      <c r="AF588" s="123"/>
      <c r="AH588" s="236"/>
      <c r="AI588" s="123"/>
      <c r="AJ588" s="123"/>
      <c r="AL588" s="123"/>
      <c r="AM588" s="236"/>
      <c r="AN588" s="236"/>
    </row>
    <row r="589" spans="1:40" x14ac:dyDescent="0.3">
      <c r="C589" s="42"/>
      <c r="F589" s="123"/>
      <c r="H589" s="123"/>
      <c r="I589" s="123"/>
      <c r="J589" s="188"/>
      <c r="K589" s="188"/>
      <c r="L589" s="123"/>
      <c r="M589" s="123"/>
      <c r="N589" s="160"/>
      <c r="O589" s="160"/>
      <c r="P589" s="123"/>
      <c r="Q589" s="123"/>
      <c r="R589" s="123"/>
      <c r="T589" s="42"/>
      <c r="V589" s="123"/>
      <c r="W589" s="123"/>
      <c r="X589" s="123"/>
      <c r="Y589" s="123"/>
      <c r="Z589" s="188"/>
      <c r="AA589" s="123"/>
      <c r="AB589" s="123"/>
      <c r="AC589" s="160"/>
      <c r="AD589" s="160"/>
      <c r="AE589" s="123"/>
      <c r="AF589" s="123"/>
      <c r="AH589" s="236"/>
      <c r="AI589" s="123"/>
      <c r="AJ589" s="123"/>
      <c r="AL589" s="123"/>
      <c r="AM589" s="236"/>
      <c r="AN589" s="236"/>
    </row>
    <row r="590" spans="1:40" x14ac:dyDescent="0.3">
      <c r="C590" s="42"/>
      <c r="F590" s="123"/>
      <c r="H590" s="123"/>
      <c r="I590" s="123"/>
      <c r="J590" s="188"/>
      <c r="K590" s="188"/>
      <c r="L590" s="123"/>
      <c r="M590" s="123"/>
      <c r="N590" s="160"/>
      <c r="O590" s="160"/>
      <c r="P590" s="123"/>
      <c r="Q590" s="123"/>
      <c r="R590" s="123"/>
      <c r="T590" s="42"/>
      <c r="V590" s="123"/>
      <c r="W590" s="123"/>
      <c r="X590" s="123"/>
      <c r="Y590" s="123"/>
      <c r="Z590" s="188"/>
      <c r="AA590" s="123"/>
      <c r="AB590" s="123"/>
      <c r="AC590" s="160"/>
      <c r="AD590" s="160"/>
      <c r="AE590" s="123"/>
      <c r="AF590" s="123"/>
      <c r="AH590" s="236"/>
      <c r="AI590" s="123"/>
      <c r="AJ590" s="123"/>
      <c r="AL590" s="123"/>
      <c r="AM590" s="236"/>
      <c r="AN590" s="236"/>
    </row>
    <row r="591" spans="1:40" x14ac:dyDescent="0.3">
      <c r="C591" s="42"/>
      <c r="F591" s="123"/>
      <c r="H591" s="123"/>
      <c r="I591" s="123"/>
      <c r="J591" s="188"/>
      <c r="K591" s="188"/>
      <c r="T591" s="42"/>
      <c r="V591" s="123"/>
      <c r="Z591" s="188"/>
    </row>
    <row r="592" spans="1:40" x14ac:dyDescent="0.3">
      <c r="C592" s="42"/>
      <c r="F592" s="184"/>
      <c r="H592" s="184"/>
      <c r="I592" s="184"/>
      <c r="J592" s="238"/>
      <c r="K592" s="238"/>
      <c r="L592" s="123"/>
      <c r="M592" s="123"/>
      <c r="N592" s="160"/>
      <c r="O592" s="160"/>
      <c r="P592" s="123"/>
      <c r="Q592" s="123"/>
      <c r="R592" s="123"/>
      <c r="T592" s="42"/>
      <c r="V592" s="123"/>
      <c r="W592" s="123"/>
      <c r="X592" s="123"/>
      <c r="Y592" s="123"/>
      <c r="Z592" s="238"/>
      <c r="AA592" s="123"/>
      <c r="AB592" s="123"/>
      <c r="AC592" s="160"/>
      <c r="AD592" s="160"/>
      <c r="AE592" s="123"/>
      <c r="AF592" s="123"/>
      <c r="AH592" s="236"/>
      <c r="AI592" s="123"/>
      <c r="AJ592" s="123"/>
      <c r="AL592" s="123"/>
      <c r="AM592" s="236"/>
      <c r="AN592" s="236"/>
    </row>
    <row r="593" spans="3:40" x14ac:dyDescent="0.3">
      <c r="C593" s="42"/>
      <c r="F593" s="123"/>
      <c r="H593" s="123"/>
      <c r="I593" s="123"/>
      <c r="J593" s="188"/>
      <c r="K593" s="188"/>
      <c r="T593" s="42"/>
      <c r="V593" s="123"/>
      <c r="W593" s="123"/>
      <c r="X593" s="123"/>
      <c r="Y593" s="123"/>
      <c r="Z593" s="188"/>
      <c r="AC593" s="160"/>
      <c r="AD593" s="160"/>
      <c r="AE593" s="123"/>
      <c r="AF593" s="123"/>
      <c r="AH593" s="236"/>
      <c r="AI593" s="123"/>
      <c r="AJ593" s="123"/>
      <c r="AL593" s="123"/>
      <c r="AM593" s="236"/>
      <c r="AN593" s="236"/>
    </row>
    <row r="594" spans="3:40" x14ac:dyDescent="0.3">
      <c r="C594" s="42"/>
      <c r="F594" s="184"/>
      <c r="H594" s="184"/>
      <c r="I594" s="184"/>
      <c r="J594" s="238"/>
      <c r="K594" s="238"/>
      <c r="L594" s="123"/>
      <c r="M594" s="123"/>
      <c r="N594" s="160"/>
      <c r="O594" s="160"/>
      <c r="P594" s="123"/>
      <c r="Q594" s="123"/>
      <c r="R594" s="123"/>
      <c r="T594" s="42"/>
      <c r="V594" s="123"/>
      <c r="W594" s="123"/>
      <c r="X594" s="123"/>
      <c r="Y594" s="123"/>
      <c r="Z594" s="238"/>
      <c r="AA594" s="123"/>
      <c r="AB594" s="123"/>
      <c r="AC594" s="160"/>
      <c r="AD594" s="160"/>
      <c r="AE594" s="123"/>
      <c r="AF594" s="123"/>
      <c r="AH594" s="236"/>
      <c r="AI594" s="123"/>
      <c r="AJ594" s="123"/>
      <c r="AL594" s="123"/>
      <c r="AM594" s="236"/>
      <c r="AN594" s="236"/>
    </row>
    <row r="595" spans="3:40" x14ac:dyDescent="0.3">
      <c r="C595" s="42"/>
      <c r="F595" s="123"/>
      <c r="H595" s="123"/>
      <c r="I595" s="123"/>
      <c r="J595" s="188"/>
      <c r="K595" s="188"/>
      <c r="L595" s="123"/>
      <c r="M595" s="123"/>
      <c r="N595" s="160"/>
      <c r="O595" s="160"/>
      <c r="P595" s="123"/>
      <c r="Q595" s="123"/>
      <c r="R595" s="123"/>
      <c r="T595" s="42"/>
      <c r="V595" s="123"/>
      <c r="W595" s="123"/>
      <c r="X595" s="123"/>
      <c r="Y595" s="123"/>
      <c r="Z595" s="188"/>
      <c r="AA595" s="123"/>
      <c r="AB595" s="123"/>
      <c r="AC595" s="160"/>
      <c r="AD595" s="160"/>
      <c r="AE595" s="123"/>
      <c r="AF595" s="123"/>
      <c r="AH595" s="236"/>
      <c r="AI595" s="123"/>
      <c r="AJ595" s="123"/>
      <c r="AL595" s="123"/>
      <c r="AM595" s="236"/>
      <c r="AN595" s="236"/>
    </row>
    <row r="596" spans="3:40" x14ac:dyDescent="0.3">
      <c r="F596" s="123"/>
      <c r="H596" s="123"/>
      <c r="I596" s="123"/>
      <c r="J596" s="188"/>
      <c r="K596" s="188"/>
      <c r="Z596" s="188"/>
    </row>
    <row r="597" spans="3:40" x14ac:dyDescent="0.3">
      <c r="C597" s="42"/>
      <c r="F597" s="123"/>
      <c r="H597" s="184"/>
      <c r="I597" s="184"/>
      <c r="J597" s="238"/>
      <c r="K597" s="238"/>
      <c r="L597" s="123"/>
      <c r="M597" s="123"/>
      <c r="N597" s="160"/>
      <c r="O597" s="160"/>
      <c r="P597" s="123"/>
      <c r="Q597" s="123"/>
      <c r="R597" s="123"/>
      <c r="T597" s="42"/>
      <c r="V597" s="123"/>
      <c r="W597" s="123"/>
      <c r="X597" s="123"/>
      <c r="Y597" s="123"/>
      <c r="Z597" s="238"/>
      <c r="AA597" s="123"/>
      <c r="AB597" s="123"/>
      <c r="AC597" s="160"/>
      <c r="AD597" s="160"/>
      <c r="AE597" s="123"/>
      <c r="AF597" s="123"/>
      <c r="AH597" s="236"/>
      <c r="AI597" s="123"/>
      <c r="AJ597" s="123"/>
      <c r="AL597" s="123"/>
      <c r="AM597" s="236"/>
      <c r="AN597" s="236"/>
    </row>
    <row r="598" spans="3:40" x14ac:dyDescent="0.3">
      <c r="F598" s="210"/>
      <c r="H598" s="210"/>
      <c r="I598" s="210"/>
      <c r="J598" s="238"/>
      <c r="K598" s="238"/>
      <c r="L598" s="210"/>
      <c r="M598" s="210"/>
      <c r="N598" s="210"/>
      <c r="O598" s="210"/>
      <c r="P598" s="210"/>
      <c r="Q598" s="210"/>
      <c r="R598" s="210"/>
      <c r="V598" s="210"/>
      <c r="Y598" s="210"/>
      <c r="Z598" s="238"/>
      <c r="AA598" s="210"/>
      <c r="AB598" s="210"/>
      <c r="AC598" s="210"/>
      <c r="AD598" s="210"/>
      <c r="AE598" s="210"/>
      <c r="AF598" s="210"/>
      <c r="AI598" s="210"/>
      <c r="AJ598" s="210"/>
      <c r="AK598" s="214"/>
      <c r="AL598" s="210"/>
    </row>
    <row r="599" spans="3:40" x14ac:dyDescent="0.3">
      <c r="C599" s="42"/>
      <c r="F599" s="123"/>
      <c r="H599" s="123"/>
      <c r="I599" s="123"/>
      <c r="J599" s="188"/>
      <c r="K599" s="188"/>
      <c r="L599" s="123"/>
      <c r="M599" s="123"/>
      <c r="P599" s="123"/>
      <c r="Q599" s="123"/>
      <c r="R599" s="123"/>
      <c r="T599" s="42"/>
      <c r="V599" s="123"/>
      <c r="Y599" s="123"/>
      <c r="Z599" s="188"/>
      <c r="AA599" s="123"/>
      <c r="AB599" s="123"/>
      <c r="AC599" s="236"/>
      <c r="AD599" s="236"/>
      <c r="AE599" s="123"/>
      <c r="AF599" s="123"/>
      <c r="AH599" s="236"/>
      <c r="AI599" s="123"/>
      <c r="AJ599" s="123"/>
      <c r="AL599" s="123"/>
      <c r="AM599" s="236"/>
      <c r="AN599" s="236"/>
    </row>
    <row r="600" spans="3:40" x14ac:dyDescent="0.3">
      <c r="F600" s="210"/>
      <c r="H600" s="210"/>
      <c r="I600" s="210"/>
      <c r="J600" s="238"/>
      <c r="K600" s="238"/>
      <c r="L600" s="210"/>
      <c r="M600" s="210"/>
      <c r="N600" s="210"/>
      <c r="O600" s="210"/>
      <c r="P600" s="210"/>
      <c r="Q600" s="210"/>
      <c r="R600" s="210"/>
      <c r="V600" s="210"/>
      <c r="Y600" s="210"/>
      <c r="Z600" s="238"/>
      <c r="AA600" s="210"/>
      <c r="AB600" s="210"/>
      <c r="AC600" s="210"/>
      <c r="AD600" s="210"/>
      <c r="AE600" s="210"/>
      <c r="AF600" s="210"/>
      <c r="AI600" s="210"/>
      <c r="AJ600" s="210"/>
      <c r="AK600" s="214"/>
      <c r="AL600" s="210"/>
    </row>
    <row r="601" spans="3:40" x14ac:dyDescent="0.3">
      <c r="J601" s="188"/>
      <c r="K601" s="188"/>
      <c r="Z601" s="188"/>
    </row>
    <row r="602" spans="3:40" x14ac:dyDescent="0.3">
      <c r="C602" s="42"/>
      <c r="J602" s="188"/>
      <c r="K602" s="188"/>
      <c r="T602" s="42"/>
      <c r="Z602" s="188"/>
    </row>
    <row r="603" spans="3:40" x14ac:dyDescent="0.3">
      <c r="C603" s="42"/>
      <c r="J603" s="188"/>
      <c r="K603" s="188"/>
      <c r="T603" s="42"/>
      <c r="Z603" s="188"/>
    </row>
    <row r="604" spans="3:40" x14ac:dyDescent="0.3">
      <c r="C604" s="42"/>
      <c r="F604" s="184"/>
      <c r="H604" s="184"/>
      <c r="I604" s="184"/>
      <c r="J604" s="238"/>
      <c r="K604" s="238"/>
      <c r="L604" s="123"/>
      <c r="M604" s="123"/>
      <c r="N604" s="160"/>
      <c r="O604" s="160"/>
      <c r="P604" s="123"/>
      <c r="Q604" s="123"/>
      <c r="R604" s="123"/>
      <c r="T604" s="42"/>
      <c r="V604" s="123"/>
      <c r="W604" s="123"/>
      <c r="X604" s="123"/>
      <c r="Y604" s="123"/>
      <c r="Z604" s="238"/>
      <c r="AA604" s="123"/>
      <c r="AB604" s="123"/>
      <c r="AC604" s="160"/>
      <c r="AD604" s="160"/>
      <c r="AE604" s="123"/>
      <c r="AF604" s="123"/>
      <c r="AH604" s="236"/>
      <c r="AI604" s="123"/>
      <c r="AJ604" s="123"/>
      <c r="AL604" s="123"/>
      <c r="AM604" s="236"/>
      <c r="AN604" s="236"/>
    </row>
    <row r="605" spans="3:40" x14ac:dyDescent="0.3">
      <c r="C605" s="42"/>
      <c r="J605" s="188"/>
      <c r="K605" s="188"/>
      <c r="T605" s="42"/>
      <c r="Z605" s="188"/>
    </row>
    <row r="606" spans="3:40" x14ac:dyDescent="0.3">
      <c r="C606" s="42"/>
      <c r="F606" s="184"/>
      <c r="H606" s="184"/>
      <c r="I606" s="184"/>
      <c r="J606" s="238"/>
      <c r="K606" s="238"/>
      <c r="L606" s="123"/>
      <c r="M606" s="123"/>
      <c r="N606" s="160"/>
      <c r="O606" s="160"/>
      <c r="P606" s="123"/>
      <c r="Q606" s="123"/>
      <c r="R606" s="123"/>
      <c r="T606" s="42"/>
      <c r="V606" s="123"/>
      <c r="W606" s="123"/>
      <c r="X606" s="123"/>
      <c r="Y606" s="123"/>
      <c r="Z606" s="238"/>
      <c r="AA606" s="123"/>
      <c r="AB606" s="123"/>
      <c r="AC606" s="160"/>
      <c r="AD606" s="160"/>
      <c r="AE606" s="123"/>
      <c r="AF606" s="123"/>
      <c r="AH606" s="236"/>
      <c r="AI606" s="123"/>
      <c r="AJ606" s="123"/>
      <c r="AL606" s="123"/>
      <c r="AM606" s="236"/>
      <c r="AN606" s="236"/>
    </row>
    <row r="607" spans="3:40" x14ac:dyDescent="0.3">
      <c r="F607" s="210"/>
      <c r="H607" s="210"/>
      <c r="I607" s="210"/>
      <c r="J607" s="238"/>
      <c r="K607" s="238"/>
      <c r="L607" s="210"/>
      <c r="M607" s="210"/>
      <c r="N607" s="210"/>
      <c r="O607" s="210"/>
      <c r="P607" s="210"/>
      <c r="Q607" s="210"/>
      <c r="R607" s="210"/>
      <c r="V607" s="210"/>
      <c r="Y607" s="210"/>
      <c r="Z607" s="238"/>
      <c r="AA607" s="210"/>
      <c r="AB607" s="210"/>
      <c r="AC607" s="210"/>
      <c r="AD607" s="210"/>
      <c r="AE607" s="210"/>
      <c r="AF607" s="210"/>
      <c r="AI607" s="210"/>
      <c r="AJ607" s="210"/>
      <c r="AK607" s="214"/>
      <c r="AL607" s="210"/>
    </row>
    <row r="608" spans="3:40" x14ac:dyDescent="0.3">
      <c r="C608" s="42"/>
      <c r="F608" s="123"/>
      <c r="H608" s="123"/>
      <c r="I608" s="123"/>
      <c r="J608" s="188"/>
      <c r="K608" s="188"/>
      <c r="L608" s="123"/>
      <c r="M608" s="123"/>
      <c r="N608" s="236"/>
      <c r="O608" s="236"/>
      <c r="P608" s="123"/>
      <c r="Q608" s="123"/>
      <c r="R608" s="123"/>
      <c r="T608" s="42"/>
      <c r="V608" s="123"/>
      <c r="Y608" s="123"/>
      <c r="Z608" s="188"/>
      <c r="AA608" s="123"/>
      <c r="AB608" s="123"/>
      <c r="AC608" s="236"/>
      <c r="AD608" s="236"/>
      <c r="AE608" s="123"/>
      <c r="AF608" s="123"/>
      <c r="AH608" s="236"/>
      <c r="AI608" s="123"/>
      <c r="AJ608" s="123"/>
      <c r="AL608" s="123"/>
      <c r="AM608" s="236"/>
      <c r="AN608" s="236"/>
    </row>
    <row r="609" spans="1:40" x14ac:dyDescent="0.3">
      <c r="F609" s="210"/>
      <c r="H609" s="210"/>
      <c r="I609" s="210"/>
      <c r="J609" s="238"/>
      <c r="K609" s="238"/>
      <c r="L609" s="210"/>
      <c r="M609" s="210"/>
      <c r="N609" s="210"/>
      <c r="O609" s="210"/>
      <c r="P609" s="210"/>
      <c r="Q609" s="210"/>
      <c r="R609" s="210"/>
      <c r="V609" s="210"/>
      <c r="Y609" s="210"/>
      <c r="Z609" s="213"/>
      <c r="AA609" s="210"/>
      <c r="AB609" s="210"/>
      <c r="AC609" s="210"/>
      <c r="AD609" s="210"/>
      <c r="AE609" s="210"/>
      <c r="AF609" s="210"/>
      <c r="AI609" s="210"/>
      <c r="AJ609" s="210"/>
      <c r="AK609" s="214"/>
      <c r="AL609" s="210"/>
    </row>
    <row r="610" spans="1:40" x14ac:dyDescent="0.3">
      <c r="J610" s="188"/>
      <c r="K610" s="188"/>
    </row>
    <row r="611" spans="1:40" x14ac:dyDescent="0.3">
      <c r="C611" s="42"/>
      <c r="F611" s="123"/>
      <c r="H611" s="123"/>
      <c r="I611" s="123"/>
      <c r="J611" s="188"/>
      <c r="K611" s="188"/>
      <c r="L611" s="123"/>
      <c r="M611" s="123"/>
      <c r="N611" s="160"/>
      <c r="O611" s="160"/>
      <c r="P611" s="184"/>
      <c r="Q611" s="184"/>
      <c r="R611" s="123"/>
      <c r="T611" s="42"/>
      <c r="V611" s="123"/>
      <c r="Y611" s="123"/>
      <c r="AA611" s="123"/>
      <c r="AB611" s="123"/>
      <c r="AC611" s="236"/>
      <c r="AD611" s="236"/>
      <c r="AE611" s="123"/>
      <c r="AF611" s="123"/>
      <c r="AH611" s="236"/>
      <c r="AI611" s="184"/>
      <c r="AJ611" s="184"/>
      <c r="AL611" s="123"/>
      <c r="AM611" s="236"/>
      <c r="AN611" s="236"/>
    </row>
    <row r="612" spans="1:40" x14ac:dyDescent="0.3">
      <c r="F612" s="210"/>
      <c r="H612" s="210"/>
      <c r="I612" s="210"/>
      <c r="J612" s="238"/>
      <c r="K612" s="238"/>
      <c r="L612" s="210"/>
      <c r="M612" s="210"/>
      <c r="N612" s="210"/>
      <c r="O612" s="210"/>
      <c r="P612" s="210"/>
      <c r="Q612" s="210"/>
      <c r="R612" s="210"/>
      <c r="V612" s="210"/>
      <c r="Y612" s="210"/>
      <c r="Z612" s="213"/>
      <c r="AA612" s="210"/>
      <c r="AB612" s="210"/>
      <c r="AC612" s="210"/>
      <c r="AD612" s="210"/>
      <c r="AE612" s="210"/>
      <c r="AF612" s="210"/>
      <c r="AI612" s="210"/>
      <c r="AJ612" s="210"/>
      <c r="AK612" s="214"/>
      <c r="AL612" s="210"/>
    </row>
    <row r="615" spans="1:40" x14ac:dyDescent="0.3">
      <c r="A615" s="42"/>
    </row>
    <row r="617" spans="1:40" x14ac:dyDescent="0.3">
      <c r="H617" s="42"/>
      <c r="I617" s="42"/>
      <c r="Y617" s="42"/>
    </row>
    <row r="619" spans="1:40" x14ac:dyDescent="0.3">
      <c r="L619" s="42"/>
      <c r="M619" s="42"/>
      <c r="AA619" s="42"/>
      <c r="AB619" s="42"/>
    </row>
    <row r="620" spans="1:40" x14ac:dyDescent="0.3">
      <c r="R620" s="42"/>
      <c r="AK620" s="206"/>
      <c r="AL620" s="42"/>
    </row>
    <row r="621" spans="1:40" x14ac:dyDescent="0.3">
      <c r="R621" s="42"/>
      <c r="AK621" s="206"/>
      <c r="AL621" s="42"/>
    </row>
    <row r="622" spans="1:40" x14ac:dyDescent="0.3">
      <c r="A622" s="42"/>
      <c r="R622" s="42"/>
      <c r="AK622" s="206"/>
      <c r="AL622" s="42"/>
    </row>
    <row r="623" spans="1:40" x14ac:dyDescent="0.3">
      <c r="L623" s="42"/>
      <c r="M623" s="42"/>
      <c r="AA623" s="42"/>
      <c r="AB623" s="42"/>
    </row>
    <row r="624" spans="1:40" x14ac:dyDescent="0.3">
      <c r="A624" s="135"/>
      <c r="B624" s="135"/>
      <c r="C624" s="135"/>
      <c r="D624" s="135"/>
      <c r="E624" s="135"/>
      <c r="F624" s="135"/>
      <c r="G624" s="135"/>
      <c r="H624" s="135"/>
      <c r="I624" s="135"/>
      <c r="J624" s="135"/>
      <c r="K624" s="135"/>
      <c r="L624" s="135"/>
      <c r="M624" s="135"/>
      <c r="N624" s="135"/>
      <c r="O624" s="135"/>
      <c r="P624" s="135"/>
      <c r="Q624" s="135"/>
      <c r="R624" s="135"/>
      <c r="T624" s="135"/>
      <c r="U624" s="135"/>
      <c r="V624" s="135"/>
      <c r="W624" s="135"/>
      <c r="X624" s="135"/>
      <c r="Y624" s="135"/>
      <c r="Z624" s="135"/>
      <c r="AA624" s="135"/>
      <c r="AB624" s="135"/>
      <c r="AC624" s="135"/>
      <c r="AD624" s="135"/>
      <c r="AE624" s="135"/>
      <c r="AF624" s="135"/>
      <c r="AG624" s="207"/>
      <c r="AH624" s="135"/>
      <c r="AI624" s="135"/>
      <c r="AJ624" s="135"/>
      <c r="AK624" s="207"/>
      <c r="AL624" s="135"/>
      <c r="AM624" s="135"/>
      <c r="AN624" s="135"/>
    </row>
    <row r="625" spans="1:40" x14ac:dyDescent="0.3">
      <c r="L625" s="44"/>
      <c r="M625" s="44"/>
      <c r="N625" s="44"/>
      <c r="O625" s="44"/>
      <c r="R625" s="44"/>
      <c r="AA625" s="44"/>
      <c r="AB625" s="44"/>
      <c r="AC625" s="44"/>
      <c r="AD625" s="44"/>
      <c r="AE625" s="44"/>
      <c r="AF625" s="44"/>
      <c r="AG625" s="168"/>
      <c r="AH625" s="44"/>
      <c r="AK625" s="168"/>
      <c r="AL625" s="44"/>
      <c r="AM625" s="44"/>
      <c r="AN625" s="44"/>
    </row>
    <row r="626" spans="1:40" x14ac:dyDescent="0.3">
      <c r="L626" s="44"/>
      <c r="M626" s="44"/>
      <c r="N626" s="44"/>
      <c r="O626" s="44"/>
      <c r="R626" s="44"/>
      <c r="Z626" s="44"/>
      <c r="AA626" s="44"/>
      <c r="AB626" s="44"/>
      <c r="AC626" s="44"/>
      <c r="AD626" s="44"/>
      <c r="AE626" s="44"/>
      <c r="AF626" s="44"/>
      <c r="AG626" s="168"/>
      <c r="AH626" s="44"/>
      <c r="AK626" s="168"/>
      <c r="AL626" s="44"/>
      <c r="AM626" s="44"/>
      <c r="AN626" s="44"/>
    </row>
    <row r="627" spans="1:40" x14ac:dyDescent="0.3">
      <c r="A627" s="44"/>
      <c r="C627" s="44"/>
      <c r="D627" s="44"/>
      <c r="E627" s="44"/>
      <c r="F627" s="44"/>
      <c r="J627" s="44"/>
      <c r="K627" s="44"/>
      <c r="L627" s="44"/>
      <c r="M627" s="44"/>
      <c r="N627" s="44"/>
      <c r="O627" s="44"/>
      <c r="P627" s="44"/>
      <c r="Q627" s="44"/>
      <c r="R627" s="44"/>
      <c r="T627" s="44"/>
      <c r="U627" s="44"/>
      <c r="V627" s="44"/>
      <c r="Z627" s="44"/>
      <c r="AA627" s="44"/>
      <c r="AB627" s="44"/>
      <c r="AC627" s="44"/>
      <c r="AD627" s="44"/>
      <c r="AE627" s="44"/>
      <c r="AF627" s="44"/>
      <c r="AG627" s="168"/>
      <c r="AH627" s="44"/>
      <c r="AI627" s="44"/>
      <c r="AJ627" s="44"/>
      <c r="AK627" s="168"/>
      <c r="AL627" s="44"/>
      <c r="AM627" s="44"/>
      <c r="AN627" s="44"/>
    </row>
    <row r="628" spans="1:40" x14ac:dyDescent="0.3">
      <c r="A628" s="44"/>
      <c r="C628" s="44"/>
      <c r="D628" s="44"/>
      <c r="E628" s="44"/>
      <c r="F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T628" s="44"/>
      <c r="U628" s="44"/>
      <c r="V628" s="44"/>
      <c r="Y628" s="44"/>
      <c r="Z628" s="44"/>
      <c r="AA628" s="44"/>
      <c r="AB628" s="44"/>
      <c r="AC628" s="44"/>
      <c r="AD628" s="44"/>
      <c r="AE628" s="44"/>
      <c r="AF628" s="44"/>
      <c r="AG628" s="168"/>
      <c r="AH628" s="44"/>
      <c r="AI628" s="44"/>
      <c r="AJ628" s="44"/>
      <c r="AK628" s="168"/>
      <c r="AL628" s="44"/>
      <c r="AM628" s="44"/>
      <c r="AN628" s="44"/>
    </row>
    <row r="629" spans="1:40" x14ac:dyDescent="0.3">
      <c r="C629" s="44"/>
      <c r="D629" s="44"/>
      <c r="E629" s="44"/>
      <c r="F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T629" s="44"/>
      <c r="U629" s="44"/>
      <c r="V629" s="44"/>
      <c r="Y629" s="44"/>
      <c r="Z629" s="44"/>
      <c r="AA629" s="44"/>
      <c r="AB629" s="44"/>
      <c r="AC629" s="44"/>
      <c r="AD629" s="44"/>
      <c r="AE629" s="44"/>
      <c r="AF629" s="44"/>
      <c r="AG629" s="168"/>
      <c r="AH629" s="44"/>
      <c r="AI629" s="44"/>
      <c r="AJ629" s="44"/>
      <c r="AK629" s="168"/>
      <c r="AL629" s="44"/>
      <c r="AM629" s="44"/>
      <c r="AN629" s="44"/>
    </row>
    <row r="630" spans="1:40" x14ac:dyDescent="0.3">
      <c r="A630" s="135"/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  <c r="T630" s="135"/>
      <c r="U630" s="135"/>
      <c r="V630" s="135"/>
      <c r="W630" s="135"/>
      <c r="X630" s="135"/>
      <c r="Y630" s="135"/>
      <c r="Z630" s="135"/>
      <c r="AA630" s="135"/>
      <c r="AB630" s="135"/>
      <c r="AC630" s="135"/>
      <c r="AD630" s="135"/>
      <c r="AE630" s="135"/>
      <c r="AF630" s="135"/>
      <c r="AG630" s="207"/>
      <c r="AH630" s="135"/>
      <c r="AI630" s="135"/>
      <c r="AJ630" s="135"/>
      <c r="AK630" s="207"/>
      <c r="AL630" s="135"/>
      <c r="AM630" s="135"/>
      <c r="AN630" s="135"/>
    </row>
    <row r="631" spans="1:40" x14ac:dyDescent="0.3"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Y631" s="44"/>
      <c r="Z631" s="44"/>
      <c r="AA631" s="44"/>
      <c r="AB631" s="44"/>
      <c r="AC631" s="44"/>
      <c r="AD631" s="44"/>
      <c r="AE631" s="44"/>
      <c r="AF631" s="44"/>
      <c r="AG631" s="168"/>
      <c r="AH631" s="44"/>
      <c r="AI631" s="44"/>
      <c r="AJ631" s="44"/>
      <c r="AK631" s="168"/>
      <c r="AL631" s="44"/>
      <c r="AM631" s="44"/>
      <c r="AN631" s="44"/>
    </row>
    <row r="632" spans="1:40" x14ac:dyDescent="0.3">
      <c r="C632" s="42"/>
      <c r="D632" s="42"/>
      <c r="E632" s="42"/>
      <c r="T632" s="42"/>
      <c r="U632" s="42"/>
    </row>
    <row r="634" spans="1:40" x14ac:dyDescent="0.3">
      <c r="C634" s="42"/>
      <c r="D634" s="42"/>
      <c r="E634" s="42"/>
      <c r="T634" s="42"/>
      <c r="U634" s="42"/>
    </row>
    <row r="635" spans="1:40" x14ac:dyDescent="0.3">
      <c r="C635" s="42"/>
      <c r="T635" s="42"/>
    </row>
    <row r="636" spans="1:40" x14ac:dyDescent="0.3">
      <c r="C636" s="42"/>
      <c r="T636" s="42"/>
    </row>
    <row r="637" spans="1:40" x14ac:dyDescent="0.3">
      <c r="C637" s="42"/>
      <c r="F637" s="184"/>
      <c r="H637" s="184"/>
      <c r="I637" s="184"/>
      <c r="J637" s="238"/>
      <c r="K637" s="238"/>
      <c r="L637" s="123"/>
      <c r="M637" s="123"/>
      <c r="N637" s="160"/>
      <c r="O637" s="160"/>
      <c r="P637" s="123"/>
      <c r="Q637" s="123"/>
      <c r="R637" s="123"/>
      <c r="T637" s="42"/>
      <c r="V637" s="123"/>
      <c r="W637" s="123"/>
      <c r="X637" s="123"/>
      <c r="Y637" s="123"/>
      <c r="Z637" s="238"/>
      <c r="AA637" s="123"/>
      <c r="AB637" s="123"/>
      <c r="AC637" s="160"/>
      <c r="AD637" s="160"/>
      <c r="AE637" s="123"/>
      <c r="AF637" s="123"/>
      <c r="AH637" s="236"/>
      <c r="AI637" s="123"/>
      <c r="AJ637" s="123"/>
      <c r="AL637" s="123"/>
      <c r="AM637" s="160"/>
      <c r="AN637" s="160"/>
    </row>
    <row r="638" spans="1:40" x14ac:dyDescent="0.3">
      <c r="C638" s="42"/>
      <c r="J638" s="188"/>
      <c r="K638" s="188"/>
      <c r="T638" s="42"/>
      <c r="V638" s="123"/>
      <c r="W638" s="123"/>
      <c r="X638" s="123"/>
      <c r="Y638" s="123"/>
      <c r="Z638" s="238"/>
    </row>
    <row r="639" spans="1:40" x14ac:dyDescent="0.3">
      <c r="C639" s="42"/>
      <c r="F639" s="184"/>
      <c r="H639" s="184"/>
      <c r="I639" s="184"/>
      <c r="J639" s="238"/>
      <c r="K639" s="238"/>
      <c r="L639" s="123"/>
      <c r="M639" s="123"/>
      <c r="N639" s="160"/>
      <c r="O639" s="160"/>
      <c r="P639" s="123"/>
      <c r="Q639" s="123"/>
      <c r="R639" s="123"/>
      <c r="T639" s="42"/>
      <c r="V639" s="123"/>
      <c r="W639" s="123"/>
      <c r="X639" s="123"/>
      <c r="Y639" s="123"/>
      <c r="Z639" s="238"/>
      <c r="AA639" s="123"/>
      <c r="AB639" s="123"/>
      <c r="AC639" s="160"/>
      <c r="AD639" s="160"/>
      <c r="AE639" s="123"/>
      <c r="AF639" s="123"/>
      <c r="AH639" s="236"/>
      <c r="AI639" s="123"/>
      <c r="AJ639" s="123"/>
      <c r="AL639" s="123"/>
      <c r="AM639" s="160"/>
      <c r="AN639" s="160"/>
    </row>
    <row r="640" spans="1:40" x14ac:dyDescent="0.3">
      <c r="C640" s="42"/>
      <c r="J640" s="188"/>
      <c r="K640" s="188"/>
      <c r="T640" s="42"/>
      <c r="V640" s="123"/>
      <c r="W640" s="123"/>
      <c r="X640" s="123"/>
      <c r="Y640" s="123"/>
      <c r="Z640" s="238"/>
    </row>
    <row r="641" spans="3:40" x14ac:dyDescent="0.3">
      <c r="C641" s="42"/>
      <c r="F641" s="184"/>
      <c r="H641" s="184"/>
      <c r="I641" s="184"/>
      <c r="J641" s="238"/>
      <c r="K641" s="238"/>
      <c r="L641" s="123"/>
      <c r="M641" s="123"/>
      <c r="N641" s="160"/>
      <c r="O641" s="160"/>
      <c r="P641" s="123"/>
      <c r="Q641" s="123"/>
      <c r="R641" s="123"/>
      <c r="T641" s="42"/>
      <c r="V641" s="123"/>
      <c r="W641" s="123"/>
      <c r="X641" s="123"/>
      <c r="Y641" s="123"/>
      <c r="Z641" s="238"/>
      <c r="AA641" s="123"/>
      <c r="AB641" s="123"/>
      <c r="AC641" s="160"/>
      <c r="AD641" s="160"/>
      <c r="AE641" s="123"/>
      <c r="AF641" s="123"/>
      <c r="AH641" s="236"/>
      <c r="AI641" s="123"/>
      <c r="AJ641" s="123"/>
      <c r="AL641" s="123"/>
      <c r="AM641" s="160"/>
      <c r="AN641" s="160"/>
    </row>
    <row r="642" spans="3:40" x14ac:dyDescent="0.3">
      <c r="C642" s="42"/>
      <c r="J642" s="188"/>
      <c r="K642" s="188"/>
      <c r="T642" s="42"/>
      <c r="V642" s="123"/>
      <c r="W642" s="123"/>
      <c r="X642" s="123"/>
      <c r="Y642" s="123"/>
      <c r="Z642" s="238"/>
    </row>
    <row r="643" spans="3:40" x14ac:dyDescent="0.3">
      <c r="C643" s="42"/>
      <c r="F643" s="184"/>
      <c r="H643" s="184"/>
      <c r="I643" s="184"/>
      <c r="J643" s="238"/>
      <c r="K643" s="238"/>
      <c r="L643" s="123"/>
      <c r="M643" s="123"/>
      <c r="N643" s="160"/>
      <c r="O643" s="160"/>
      <c r="P643" s="123"/>
      <c r="Q643" s="123"/>
      <c r="R643" s="123"/>
      <c r="T643" s="42"/>
      <c r="V643" s="123"/>
      <c r="W643" s="123"/>
      <c r="X643" s="123"/>
      <c r="Y643" s="123"/>
      <c r="Z643" s="238"/>
      <c r="AA643" s="123"/>
      <c r="AB643" s="123"/>
      <c r="AC643" s="160"/>
      <c r="AD643" s="160"/>
      <c r="AE643" s="123"/>
      <c r="AF643" s="123"/>
      <c r="AH643" s="236"/>
      <c r="AI643" s="123"/>
      <c r="AJ643" s="123"/>
      <c r="AL643" s="123"/>
      <c r="AM643" s="160"/>
      <c r="AN643" s="160"/>
    </row>
    <row r="644" spans="3:40" x14ac:dyDescent="0.3">
      <c r="C644" s="42"/>
      <c r="J644" s="188"/>
      <c r="K644" s="188"/>
      <c r="T644" s="42"/>
      <c r="V644" s="123"/>
      <c r="W644" s="123"/>
      <c r="X644" s="123"/>
      <c r="Y644" s="123"/>
      <c r="Z644" s="238"/>
    </row>
    <row r="645" spans="3:40" x14ac:dyDescent="0.3">
      <c r="C645" s="42"/>
      <c r="F645" s="184"/>
      <c r="H645" s="184"/>
      <c r="I645" s="184"/>
      <c r="J645" s="238"/>
      <c r="K645" s="238"/>
      <c r="L645" s="123"/>
      <c r="M645" s="123"/>
      <c r="N645" s="160"/>
      <c r="O645" s="160"/>
      <c r="P645" s="123"/>
      <c r="Q645" s="123"/>
      <c r="R645" s="123"/>
      <c r="T645" s="42"/>
      <c r="V645" s="123"/>
      <c r="W645" s="123"/>
      <c r="X645" s="123"/>
      <c r="Y645" s="123"/>
      <c r="Z645" s="238"/>
      <c r="AA645" s="123"/>
      <c r="AB645" s="123"/>
      <c r="AC645" s="160"/>
      <c r="AD645" s="160"/>
      <c r="AE645" s="123"/>
      <c r="AF645" s="123"/>
      <c r="AH645" s="236"/>
      <c r="AI645" s="123"/>
      <c r="AJ645" s="123"/>
      <c r="AL645" s="123"/>
      <c r="AM645" s="160"/>
      <c r="AN645" s="160"/>
    </row>
    <row r="646" spans="3:40" x14ac:dyDescent="0.3">
      <c r="C646" s="42"/>
      <c r="J646" s="188"/>
      <c r="K646" s="188"/>
      <c r="T646" s="42"/>
      <c r="V646" s="123"/>
      <c r="W646" s="123"/>
      <c r="X646" s="123"/>
      <c r="Y646" s="123"/>
      <c r="Z646" s="238"/>
    </row>
    <row r="647" spans="3:40" x14ac:dyDescent="0.3">
      <c r="C647" s="42"/>
      <c r="F647" s="184"/>
      <c r="H647" s="184"/>
      <c r="I647" s="184"/>
      <c r="J647" s="238"/>
      <c r="K647" s="238"/>
      <c r="L647" s="123"/>
      <c r="M647" s="123"/>
      <c r="N647" s="160"/>
      <c r="O647" s="160"/>
      <c r="P647" s="123"/>
      <c r="Q647" s="123"/>
      <c r="R647" s="123"/>
      <c r="T647" s="42"/>
      <c r="V647" s="123"/>
      <c r="W647" s="123"/>
      <c r="X647" s="123"/>
      <c r="Y647" s="123"/>
      <c r="Z647" s="238"/>
      <c r="AA647" s="123"/>
      <c r="AB647" s="123"/>
      <c r="AC647" s="160"/>
      <c r="AD647" s="160"/>
      <c r="AE647" s="123"/>
      <c r="AF647" s="123"/>
      <c r="AH647" s="236"/>
      <c r="AI647" s="123"/>
      <c r="AJ647" s="123"/>
      <c r="AL647" s="123"/>
      <c r="AM647" s="160"/>
      <c r="AN647" s="160"/>
    </row>
    <row r="648" spans="3:40" x14ac:dyDescent="0.3">
      <c r="F648" s="210"/>
      <c r="H648" s="210"/>
      <c r="I648" s="210"/>
      <c r="J648" s="238"/>
      <c r="K648" s="238"/>
      <c r="L648" s="210"/>
      <c r="M648" s="210"/>
      <c r="N648" s="210"/>
      <c r="O648" s="210"/>
      <c r="P648" s="210"/>
      <c r="Q648" s="210"/>
      <c r="R648" s="210"/>
      <c r="V648" s="210"/>
      <c r="Y648" s="210"/>
      <c r="Z648" s="238"/>
      <c r="AA648" s="210"/>
      <c r="AB648" s="210"/>
      <c r="AC648" s="210"/>
      <c r="AD648" s="210"/>
      <c r="AE648" s="210"/>
      <c r="AF648" s="210"/>
      <c r="AI648" s="210"/>
      <c r="AJ648" s="210"/>
      <c r="AK648" s="214"/>
      <c r="AL648" s="210"/>
      <c r="AM648" s="160"/>
      <c r="AN648" s="160"/>
    </row>
    <row r="649" spans="3:40" x14ac:dyDescent="0.3">
      <c r="C649" s="42"/>
      <c r="F649" s="123"/>
      <c r="H649" s="123"/>
      <c r="I649" s="123"/>
      <c r="J649" s="188"/>
      <c r="K649" s="188"/>
      <c r="L649" s="123"/>
      <c r="M649" s="123"/>
      <c r="N649" s="160"/>
      <c r="O649" s="160"/>
      <c r="P649" s="184"/>
      <c r="Q649" s="184"/>
      <c r="R649" s="123"/>
      <c r="T649" s="42"/>
      <c r="V649" s="123"/>
      <c r="W649" s="123"/>
      <c r="X649" s="123"/>
      <c r="Y649" s="123"/>
      <c r="Z649" s="238"/>
      <c r="AA649" s="123"/>
      <c r="AB649" s="123"/>
      <c r="AC649" s="160"/>
      <c r="AD649" s="160"/>
      <c r="AE649" s="123"/>
      <c r="AF649" s="123"/>
      <c r="AH649" s="236"/>
      <c r="AI649" s="184"/>
      <c r="AJ649" s="184"/>
      <c r="AL649" s="123"/>
      <c r="AM649" s="160"/>
      <c r="AN649" s="160"/>
    </row>
    <row r="650" spans="3:40" x14ac:dyDescent="0.3">
      <c r="F650" s="210"/>
      <c r="H650" s="210"/>
      <c r="I650" s="210"/>
      <c r="J650" s="238"/>
      <c r="K650" s="238"/>
      <c r="L650" s="210"/>
      <c r="M650" s="210"/>
      <c r="N650" s="210"/>
      <c r="O650" s="210"/>
      <c r="P650" s="210"/>
      <c r="Q650" s="210"/>
      <c r="R650" s="210"/>
      <c r="V650" s="210"/>
      <c r="Y650" s="210"/>
      <c r="Z650" s="238"/>
      <c r="AA650" s="210"/>
      <c r="AB650" s="210"/>
      <c r="AC650" s="210"/>
      <c r="AD650" s="210"/>
      <c r="AE650" s="210"/>
      <c r="AF650" s="210"/>
      <c r="AI650" s="210"/>
      <c r="AJ650" s="210"/>
      <c r="AK650" s="214"/>
      <c r="AL650" s="210"/>
    </row>
    <row r="651" spans="3:40" x14ac:dyDescent="0.3">
      <c r="C651" s="42"/>
      <c r="D651" s="42"/>
      <c r="E651" s="42"/>
      <c r="J651" s="188"/>
      <c r="K651" s="188"/>
      <c r="T651" s="42"/>
      <c r="U651" s="42"/>
      <c r="V651" s="123"/>
      <c r="W651" s="123"/>
      <c r="X651" s="123"/>
      <c r="Y651" s="123"/>
      <c r="Z651" s="238"/>
    </row>
    <row r="652" spans="3:40" x14ac:dyDescent="0.3">
      <c r="C652" s="42"/>
      <c r="J652" s="188"/>
      <c r="K652" s="188"/>
      <c r="T652" s="42"/>
      <c r="V652" s="123"/>
      <c r="W652" s="123"/>
      <c r="X652" s="123"/>
      <c r="Y652" s="123"/>
      <c r="Z652" s="238"/>
    </row>
    <row r="653" spans="3:40" x14ac:dyDescent="0.3">
      <c r="C653" s="42"/>
      <c r="J653" s="188"/>
      <c r="K653" s="188"/>
      <c r="T653" s="42"/>
      <c r="V653" s="123"/>
      <c r="W653" s="123"/>
      <c r="X653" s="123"/>
      <c r="Y653" s="123"/>
      <c r="Z653" s="238"/>
    </row>
    <row r="654" spans="3:40" x14ac:dyDescent="0.3">
      <c r="C654" s="42"/>
      <c r="F654" s="184"/>
      <c r="H654" s="184"/>
      <c r="I654" s="184"/>
      <c r="J654" s="238"/>
      <c r="K654" s="238"/>
      <c r="L654" s="123"/>
      <c r="M654" s="123"/>
      <c r="N654" s="160"/>
      <c r="O654" s="160"/>
      <c r="P654" s="123"/>
      <c r="Q654" s="123"/>
      <c r="R654" s="123"/>
      <c r="T654" s="42"/>
      <c r="V654" s="123"/>
      <c r="W654" s="123"/>
      <c r="X654" s="123"/>
      <c r="Y654" s="123"/>
      <c r="Z654" s="238"/>
      <c r="AA654" s="123"/>
      <c r="AB654" s="123"/>
      <c r="AC654" s="160"/>
      <c r="AD654" s="160"/>
      <c r="AE654" s="123"/>
      <c r="AF654" s="123"/>
      <c r="AH654" s="236"/>
      <c r="AI654" s="123"/>
      <c r="AJ654" s="123"/>
      <c r="AL654" s="123"/>
      <c r="AM654" s="160"/>
      <c r="AN654" s="160"/>
    </row>
    <row r="655" spans="3:40" x14ac:dyDescent="0.3">
      <c r="C655" s="42"/>
      <c r="J655" s="188"/>
      <c r="K655" s="188"/>
      <c r="T655" s="42"/>
      <c r="V655" s="123"/>
      <c r="W655" s="123"/>
      <c r="X655" s="123"/>
      <c r="Y655" s="123"/>
      <c r="Z655" s="238"/>
    </row>
    <row r="656" spans="3:40" x14ac:dyDescent="0.3">
      <c r="C656" s="42"/>
      <c r="F656" s="184"/>
      <c r="H656" s="184"/>
      <c r="I656" s="184"/>
      <c r="J656" s="238"/>
      <c r="K656" s="238"/>
      <c r="L656" s="123"/>
      <c r="M656" s="123"/>
      <c r="N656" s="160"/>
      <c r="O656" s="160"/>
      <c r="P656" s="123"/>
      <c r="Q656" s="123"/>
      <c r="R656" s="123"/>
      <c r="T656" s="42"/>
      <c r="V656" s="123"/>
      <c r="W656" s="123"/>
      <c r="X656" s="123"/>
      <c r="Y656" s="123"/>
      <c r="Z656" s="238"/>
      <c r="AA656" s="123"/>
      <c r="AB656" s="123"/>
      <c r="AC656" s="160"/>
      <c r="AD656" s="160"/>
      <c r="AE656" s="123"/>
      <c r="AF656" s="123"/>
      <c r="AH656" s="236"/>
      <c r="AI656" s="123"/>
      <c r="AJ656" s="123"/>
      <c r="AL656" s="123"/>
      <c r="AM656" s="160"/>
      <c r="AN656" s="160"/>
    </row>
    <row r="657" spans="3:40" x14ac:dyDescent="0.3">
      <c r="F657" s="210"/>
      <c r="H657" s="210"/>
      <c r="I657" s="210"/>
      <c r="J657" s="238"/>
      <c r="K657" s="238"/>
      <c r="L657" s="210"/>
      <c r="M657" s="210"/>
      <c r="N657" s="210"/>
      <c r="O657" s="210"/>
      <c r="P657" s="210"/>
      <c r="Q657" s="210"/>
      <c r="R657" s="210"/>
      <c r="V657" s="210"/>
      <c r="Y657" s="210"/>
      <c r="Z657" s="213"/>
      <c r="AA657" s="210"/>
      <c r="AB657" s="210"/>
      <c r="AC657" s="210"/>
      <c r="AD657" s="210"/>
      <c r="AE657" s="210"/>
      <c r="AF657" s="210"/>
      <c r="AI657" s="210"/>
      <c r="AJ657" s="210"/>
      <c r="AK657" s="214"/>
      <c r="AL657" s="210"/>
    </row>
    <row r="658" spans="3:40" x14ac:dyDescent="0.3">
      <c r="C658" s="42"/>
      <c r="F658" s="123"/>
      <c r="H658" s="123"/>
      <c r="I658" s="123"/>
      <c r="L658" s="123"/>
      <c r="M658" s="123"/>
      <c r="N658" s="160"/>
      <c r="O658" s="160"/>
      <c r="P658" s="184"/>
      <c r="Q658" s="184"/>
      <c r="R658" s="123"/>
      <c r="T658" s="42"/>
      <c r="V658" s="123"/>
      <c r="W658" s="123"/>
      <c r="X658" s="123"/>
      <c r="Y658" s="123"/>
      <c r="Z658" s="237"/>
      <c r="AA658" s="123"/>
      <c r="AB658" s="123"/>
      <c r="AC658" s="160"/>
      <c r="AD658" s="160"/>
      <c r="AE658" s="123"/>
      <c r="AF658" s="123"/>
      <c r="AH658" s="236"/>
      <c r="AI658" s="184"/>
      <c r="AJ658" s="184"/>
      <c r="AL658" s="123"/>
      <c r="AM658" s="160"/>
      <c r="AN658" s="160"/>
    </row>
    <row r="659" spans="3:40" x14ac:dyDescent="0.3">
      <c r="F659" s="210"/>
      <c r="H659" s="210"/>
      <c r="I659" s="210"/>
      <c r="J659" s="213"/>
      <c r="K659" s="213"/>
      <c r="L659" s="210"/>
      <c r="M659" s="210"/>
      <c r="N659" s="210"/>
      <c r="O659" s="210"/>
      <c r="P659" s="210"/>
      <c r="Q659" s="210"/>
      <c r="R659" s="210"/>
      <c r="V659" s="210"/>
      <c r="Y659" s="210"/>
      <c r="Z659" s="213"/>
      <c r="AA659" s="210"/>
      <c r="AB659" s="210"/>
      <c r="AC659" s="210"/>
      <c r="AD659" s="210"/>
      <c r="AE659" s="210"/>
      <c r="AF659" s="210"/>
      <c r="AI659" s="210"/>
      <c r="AJ659" s="210"/>
      <c r="AK659" s="214"/>
      <c r="AL659" s="210"/>
    </row>
    <row r="660" spans="3:40" x14ac:dyDescent="0.3">
      <c r="C660" s="42"/>
      <c r="D660" s="42"/>
      <c r="E660" s="42"/>
      <c r="T660" s="42"/>
      <c r="U660" s="42"/>
      <c r="V660" s="123"/>
      <c r="W660" s="123"/>
      <c r="X660" s="123"/>
      <c r="Y660" s="123"/>
      <c r="Z660" s="237"/>
    </row>
    <row r="661" spans="3:40" x14ac:dyDescent="0.3">
      <c r="C661" s="42"/>
      <c r="T661" s="42"/>
      <c r="V661" s="123"/>
      <c r="W661" s="123"/>
      <c r="X661" s="123"/>
      <c r="Y661" s="123"/>
      <c r="Z661" s="237"/>
    </row>
    <row r="662" spans="3:40" x14ac:dyDescent="0.3">
      <c r="C662" s="42"/>
      <c r="F662" s="184"/>
      <c r="H662" s="184"/>
      <c r="I662" s="184"/>
      <c r="J662" s="237"/>
      <c r="K662" s="237"/>
      <c r="L662" s="123"/>
      <c r="M662" s="123"/>
      <c r="N662" s="160"/>
      <c r="O662" s="160"/>
      <c r="P662" s="123"/>
      <c r="Q662" s="123"/>
      <c r="R662" s="123"/>
      <c r="T662" s="42"/>
      <c r="V662" s="123"/>
      <c r="W662" s="123"/>
      <c r="X662" s="123"/>
      <c r="Y662" s="123"/>
      <c r="Z662" s="237"/>
      <c r="AA662" s="123"/>
      <c r="AB662" s="123"/>
      <c r="AC662" s="160"/>
      <c r="AD662" s="160"/>
      <c r="AE662" s="123"/>
      <c r="AF662" s="123"/>
      <c r="AH662" s="236"/>
      <c r="AI662" s="123"/>
      <c r="AJ662" s="123"/>
      <c r="AL662" s="123"/>
      <c r="AM662" s="160"/>
      <c r="AN662" s="160"/>
    </row>
    <row r="663" spans="3:40" x14ac:dyDescent="0.3">
      <c r="C663" s="42"/>
      <c r="T663" s="42"/>
      <c r="V663" s="123"/>
      <c r="W663" s="123"/>
      <c r="X663" s="123"/>
      <c r="Y663" s="123"/>
      <c r="Z663" s="237"/>
    </row>
    <row r="664" spans="3:40" x14ac:dyDescent="0.3">
      <c r="C664" s="42"/>
      <c r="F664" s="184"/>
      <c r="H664" s="184"/>
      <c r="I664" s="184"/>
      <c r="J664" s="237"/>
      <c r="K664" s="237"/>
      <c r="L664" s="123"/>
      <c r="M664" s="123"/>
      <c r="N664" s="160"/>
      <c r="O664" s="160"/>
      <c r="P664" s="123"/>
      <c r="Q664" s="123"/>
      <c r="R664" s="123"/>
      <c r="T664" s="42"/>
      <c r="V664" s="123"/>
      <c r="W664" s="123"/>
      <c r="X664" s="123"/>
      <c r="Y664" s="123"/>
      <c r="Z664" s="237"/>
      <c r="AA664" s="123"/>
      <c r="AB664" s="123"/>
      <c r="AC664" s="160"/>
      <c r="AD664" s="160"/>
      <c r="AE664" s="123"/>
      <c r="AF664" s="123"/>
      <c r="AH664" s="236"/>
      <c r="AI664" s="123"/>
      <c r="AJ664" s="123"/>
      <c r="AL664" s="123"/>
      <c r="AM664" s="160"/>
      <c r="AN664" s="160"/>
    </row>
    <row r="665" spans="3:40" x14ac:dyDescent="0.3">
      <c r="C665" s="42"/>
      <c r="T665" s="42"/>
      <c r="V665" s="123"/>
      <c r="W665" s="123"/>
      <c r="X665" s="123"/>
      <c r="Y665" s="123"/>
      <c r="Z665" s="237"/>
    </row>
    <row r="666" spans="3:40" x14ac:dyDescent="0.3">
      <c r="C666" s="42"/>
      <c r="F666" s="184"/>
      <c r="H666" s="184"/>
      <c r="I666" s="184"/>
      <c r="J666" s="237"/>
      <c r="K666" s="237"/>
      <c r="L666" s="123"/>
      <c r="M666" s="123"/>
      <c r="N666" s="160"/>
      <c r="O666" s="160"/>
      <c r="P666" s="123"/>
      <c r="Q666" s="123"/>
      <c r="R666" s="123"/>
      <c r="T666" s="42"/>
      <c r="V666" s="123"/>
      <c r="W666" s="123"/>
      <c r="X666" s="123"/>
      <c r="Y666" s="123"/>
      <c r="Z666" s="237"/>
      <c r="AA666" s="123"/>
      <c r="AB666" s="123"/>
      <c r="AC666" s="160"/>
      <c r="AD666" s="160"/>
      <c r="AE666" s="123"/>
      <c r="AF666" s="123"/>
      <c r="AH666" s="236"/>
      <c r="AI666" s="123"/>
      <c r="AJ666" s="123"/>
      <c r="AL666" s="123"/>
      <c r="AM666" s="160"/>
      <c r="AN666" s="160"/>
    </row>
    <row r="667" spans="3:40" x14ac:dyDescent="0.3">
      <c r="C667" s="42"/>
      <c r="T667" s="42"/>
      <c r="V667" s="123"/>
      <c r="W667" s="123"/>
      <c r="X667" s="123"/>
      <c r="Y667" s="123"/>
      <c r="Z667" s="237"/>
    </row>
    <row r="668" spans="3:40" x14ac:dyDescent="0.3">
      <c r="C668" s="42"/>
      <c r="F668" s="184"/>
      <c r="H668" s="184"/>
      <c r="I668" s="184"/>
      <c r="J668" s="237"/>
      <c r="K668" s="237"/>
      <c r="L668" s="123"/>
      <c r="M668" s="123"/>
      <c r="N668" s="160"/>
      <c r="O668" s="160"/>
      <c r="P668" s="123"/>
      <c r="Q668" s="123"/>
      <c r="R668" s="123"/>
      <c r="T668" s="42"/>
      <c r="V668" s="123"/>
      <c r="W668" s="123"/>
      <c r="X668" s="123"/>
      <c r="Y668" s="123"/>
      <c r="Z668" s="237"/>
      <c r="AA668" s="123"/>
      <c r="AB668" s="123"/>
      <c r="AC668" s="160"/>
      <c r="AD668" s="160"/>
      <c r="AE668" s="123"/>
      <c r="AF668" s="123"/>
      <c r="AH668" s="236"/>
      <c r="AI668" s="123"/>
      <c r="AJ668" s="123"/>
      <c r="AL668" s="123"/>
      <c r="AM668" s="160"/>
      <c r="AN668" s="160"/>
    </row>
    <row r="669" spans="3:40" x14ac:dyDescent="0.3">
      <c r="F669" s="210"/>
      <c r="H669" s="210"/>
      <c r="I669" s="210"/>
      <c r="J669" s="213"/>
      <c r="K669" s="213"/>
      <c r="L669" s="210"/>
      <c r="M669" s="210"/>
      <c r="N669" s="210"/>
      <c r="O669" s="210"/>
      <c r="P669" s="210"/>
      <c r="Q669" s="210"/>
      <c r="R669" s="210"/>
      <c r="V669" s="210"/>
      <c r="Y669" s="210"/>
      <c r="Z669" s="213"/>
      <c r="AA669" s="210"/>
      <c r="AB669" s="210"/>
      <c r="AC669" s="210"/>
      <c r="AD669" s="210"/>
      <c r="AE669" s="210"/>
      <c r="AF669" s="210"/>
      <c r="AI669" s="210"/>
      <c r="AJ669" s="210"/>
      <c r="AK669" s="214"/>
      <c r="AL669" s="210"/>
    </row>
    <row r="670" spans="3:40" x14ac:dyDescent="0.3">
      <c r="C670" s="42"/>
      <c r="F670" s="123"/>
      <c r="H670" s="123"/>
      <c r="I670" s="123"/>
      <c r="L670" s="123"/>
      <c r="M670" s="123"/>
      <c r="N670" s="160"/>
      <c r="O670" s="160"/>
      <c r="P670" s="184"/>
      <c r="Q670" s="184"/>
      <c r="R670" s="123"/>
      <c r="T670" s="42"/>
      <c r="V670" s="123"/>
      <c r="W670" s="123"/>
      <c r="X670" s="123"/>
      <c r="Y670" s="123"/>
      <c r="Z670" s="237"/>
      <c r="AA670" s="123"/>
      <c r="AB670" s="123"/>
      <c r="AC670" s="160"/>
      <c r="AD670" s="160"/>
      <c r="AE670" s="123"/>
      <c r="AF670" s="123"/>
      <c r="AH670" s="236"/>
      <c r="AI670" s="184"/>
      <c r="AJ670" s="184"/>
      <c r="AL670" s="123"/>
      <c r="AM670" s="160"/>
      <c r="AN670" s="160"/>
    </row>
    <row r="671" spans="3:40" x14ac:dyDescent="0.3">
      <c r="F671" s="210"/>
      <c r="H671" s="210"/>
      <c r="I671" s="210"/>
      <c r="J671" s="213"/>
      <c r="K671" s="213"/>
      <c r="L671" s="210"/>
      <c r="M671" s="210"/>
      <c r="N671" s="210"/>
      <c r="O671" s="210"/>
      <c r="P671" s="210"/>
      <c r="Q671" s="210"/>
      <c r="R671" s="210"/>
      <c r="V671" s="210"/>
      <c r="Y671" s="210"/>
      <c r="Z671" s="213"/>
      <c r="AA671" s="210"/>
      <c r="AB671" s="210"/>
      <c r="AC671" s="210"/>
      <c r="AD671" s="210"/>
      <c r="AE671" s="210"/>
      <c r="AF671" s="210"/>
      <c r="AI671" s="210"/>
      <c r="AJ671" s="210"/>
      <c r="AK671" s="214"/>
      <c r="AL671" s="210"/>
    </row>
    <row r="672" spans="3:40" x14ac:dyDescent="0.3">
      <c r="C672" s="42"/>
      <c r="F672" s="123"/>
      <c r="H672" s="123"/>
      <c r="I672" s="123"/>
      <c r="L672" s="123"/>
      <c r="M672" s="123"/>
      <c r="N672" s="160"/>
      <c r="O672" s="160"/>
      <c r="P672" s="123"/>
      <c r="Q672" s="123"/>
      <c r="R672" s="123"/>
      <c r="T672" s="42"/>
      <c r="V672" s="123"/>
      <c r="W672" s="123"/>
      <c r="X672" s="123"/>
      <c r="Y672" s="123"/>
      <c r="AA672" s="123"/>
      <c r="AB672" s="123"/>
      <c r="AC672" s="160"/>
      <c r="AD672" s="160"/>
      <c r="AE672" s="123"/>
      <c r="AF672" s="123"/>
      <c r="AH672" s="236"/>
      <c r="AI672" s="123"/>
      <c r="AJ672" s="123"/>
      <c r="AL672" s="123"/>
      <c r="AM672" s="236"/>
      <c r="AN672" s="236"/>
    </row>
    <row r="673" spans="1:40" x14ac:dyDescent="0.3">
      <c r="F673" s="210"/>
      <c r="H673" s="210"/>
      <c r="I673" s="210"/>
      <c r="J673" s="213"/>
      <c r="K673" s="213"/>
      <c r="L673" s="210"/>
      <c r="M673" s="210"/>
      <c r="N673" s="210"/>
      <c r="O673" s="210"/>
      <c r="P673" s="210"/>
      <c r="Q673" s="210"/>
      <c r="R673" s="210"/>
      <c r="V673" s="210"/>
      <c r="Y673" s="210"/>
      <c r="Z673" s="213"/>
      <c r="AA673" s="210"/>
      <c r="AB673" s="210"/>
      <c r="AC673" s="210"/>
      <c r="AD673" s="210"/>
      <c r="AE673" s="210"/>
      <c r="AF673" s="210"/>
      <c r="AI673" s="210"/>
      <c r="AJ673" s="210"/>
      <c r="AK673" s="214"/>
      <c r="AL673" s="210"/>
    </row>
    <row r="676" spans="1:40" x14ac:dyDescent="0.3">
      <c r="A676" s="42"/>
    </row>
    <row r="678" spans="1:40" x14ac:dyDescent="0.3">
      <c r="H678" s="42"/>
      <c r="I678" s="42"/>
      <c r="Y678" s="42"/>
    </row>
    <row r="680" spans="1:40" x14ac:dyDescent="0.3">
      <c r="L680" s="42"/>
      <c r="M680" s="42"/>
      <c r="AA680" s="42"/>
      <c r="AB680" s="42"/>
    </row>
    <row r="681" spans="1:40" x14ac:dyDescent="0.3">
      <c r="R681" s="42"/>
      <c r="AK681" s="206"/>
      <c r="AL681" s="42"/>
    </row>
    <row r="682" spans="1:40" x14ac:dyDescent="0.3">
      <c r="R682" s="42"/>
      <c r="AK682" s="206"/>
      <c r="AL682" s="42"/>
    </row>
    <row r="683" spans="1:40" x14ac:dyDescent="0.3">
      <c r="A683" s="42"/>
      <c r="R683" s="42"/>
      <c r="AK683" s="206"/>
      <c r="AL683" s="42"/>
    </row>
    <row r="684" spans="1:40" x14ac:dyDescent="0.3">
      <c r="L684" s="42"/>
      <c r="M684" s="42"/>
      <c r="AA684" s="42"/>
      <c r="AB684" s="42"/>
    </row>
    <row r="685" spans="1:40" x14ac:dyDescent="0.3">
      <c r="A685" s="135"/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207"/>
      <c r="AH685" s="135"/>
      <c r="AI685" s="135"/>
      <c r="AJ685" s="135"/>
      <c r="AK685" s="207"/>
      <c r="AL685" s="135"/>
      <c r="AM685" s="135"/>
      <c r="AN685" s="135"/>
    </row>
    <row r="686" spans="1:40" x14ac:dyDescent="0.3">
      <c r="L686" s="44"/>
      <c r="M686" s="44"/>
      <c r="N686" s="44"/>
      <c r="O686" s="44"/>
      <c r="R686" s="44"/>
      <c r="AA686" s="44"/>
      <c r="AB686" s="44"/>
      <c r="AC686" s="44"/>
      <c r="AD686" s="44"/>
      <c r="AE686" s="44"/>
      <c r="AF686" s="44"/>
      <c r="AG686" s="168"/>
      <c r="AH686" s="44"/>
      <c r="AK686" s="168"/>
      <c r="AL686" s="44"/>
      <c r="AM686" s="44"/>
      <c r="AN686" s="44"/>
    </row>
    <row r="687" spans="1:40" x14ac:dyDescent="0.3">
      <c r="L687" s="44"/>
      <c r="M687" s="44"/>
      <c r="N687" s="44"/>
      <c r="O687" s="44"/>
      <c r="R687" s="44"/>
      <c r="Z687" s="44"/>
      <c r="AA687" s="44"/>
      <c r="AB687" s="44"/>
      <c r="AC687" s="44"/>
      <c r="AD687" s="44"/>
      <c r="AE687" s="44"/>
      <c r="AF687" s="44"/>
      <c r="AG687" s="168"/>
      <c r="AH687" s="44"/>
      <c r="AK687" s="168"/>
      <c r="AL687" s="44"/>
      <c r="AM687" s="44"/>
      <c r="AN687" s="44"/>
    </row>
    <row r="688" spans="1:40" x14ac:dyDescent="0.3">
      <c r="A688" s="44"/>
      <c r="C688" s="44"/>
      <c r="D688" s="44"/>
      <c r="E688" s="44"/>
      <c r="F688" s="44"/>
      <c r="J688" s="44"/>
      <c r="K688" s="44"/>
      <c r="L688" s="44"/>
      <c r="M688" s="44"/>
      <c r="N688" s="44"/>
      <c r="O688" s="44"/>
      <c r="P688" s="44"/>
      <c r="Q688" s="44"/>
      <c r="R688" s="44"/>
      <c r="T688" s="44"/>
      <c r="U688" s="44"/>
      <c r="V688" s="44"/>
      <c r="Z688" s="44"/>
      <c r="AA688" s="44"/>
      <c r="AB688" s="44"/>
      <c r="AC688" s="44"/>
      <c r="AD688" s="44"/>
      <c r="AE688" s="44"/>
      <c r="AF688" s="44"/>
      <c r="AG688" s="168"/>
      <c r="AH688" s="44"/>
      <c r="AI688" s="44"/>
      <c r="AJ688" s="44"/>
      <c r="AK688" s="168"/>
      <c r="AL688" s="44"/>
      <c r="AM688" s="44"/>
      <c r="AN688" s="44"/>
    </row>
    <row r="689" spans="1:40" x14ac:dyDescent="0.3">
      <c r="A689" s="44"/>
      <c r="C689" s="44"/>
      <c r="D689" s="44"/>
      <c r="E689" s="44"/>
      <c r="F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T689" s="44"/>
      <c r="U689" s="44"/>
      <c r="V689" s="44"/>
      <c r="Y689" s="44"/>
      <c r="Z689" s="44"/>
      <c r="AA689" s="44"/>
      <c r="AB689" s="44"/>
      <c r="AC689" s="44"/>
      <c r="AD689" s="44"/>
      <c r="AE689" s="44"/>
      <c r="AF689" s="44"/>
      <c r="AG689" s="168"/>
      <c r="AH689" s="44"/>
      <c r="AI689" s="44"/>
      <c r="AJ689" s="44"/>
      <c r="AK689" s="168"/>
      <c r="AL689" s="44"/>
      <c r="AM689" s="44"/>
      <c r="AN689" s="44"/>
    </row>
    <row r="690" spans="1:40" x14ac:dyDescent="0.3">
      <c r="C690" s="44"/>
      <c r="D690" s="44"/>
      <c r="E690" s="44"/>
      <c r="F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T690" s="44"/>
      <c r="U690" s="44"/>
      <c r="V690" s="44"/>
      <c r="Y690" s="44"/>
      <c r="Z690" s="44"/>
      <c r="AA690" s="44"/>
      <c r="AB690" s="44"/>
      <c r="AC690" s="44"/>
      <c r="AD690" s="44"/>
      <c r="AE690" s="44"/>
      <c r="AF690" s="44"/>
      <c r="AG690" s="168"/>
      <c r="AH690" s="44"/>
      <c r="AI690" s="44"/>
      <c r="AJ690" s="44"/>
      <c r="AK690" s="168"/>
      <c r="AL690" s="44"/>
      <c r="AM690" s="44"/>
      <c r="AN690" s="44"/>
    </row>
    <row r="691" spans="1:40" x14ac:dyDescent="0.3">
      <c r="A691" s="135"/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207"/>
      <c r="AH691" s="135"/>
      <c r="AI691" s="135"/>
      <c r="AJ691" s="135"/>
      <c r="AK691" s="207"/>
      <c r="AL691" s="135"/>
      <c r="AM691" s="135"/>
      <c r="AN691" s="135"/>
    </row>
    <row r="692" spans="1:40" x14ac:dyDescent="0.3"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Y692" s="44"/>
      <c r="Z692" s="44"/>
      <c r="AA692" s="44"/>
      <c r="AB692" s="44"/>
      <c r="AC692" s="44"/>
      <c r="AD692" s="44"/>
      <c r="AE692" s="44"/>
      <c r="AF692" s="44"/>
      <c r="AG692" s="168"/>
      <c r="AH692" s="44"/>
      <c r="AI692" s="44"/>
      <c r="AJ692" s="44"/>
      <c r="AK692" s="168"/>
      <c r="AL692" s="44"/>
      <c r="AM692" s="44"/>
      <c r="AN692" s="44"/>
    </row>
    <row r="693" spans="1:40" x14ac:dyDescent="0.3">
      <c r="C693" s="42"/>
      <c r="D693" s="42"/>
      <c r="E693" s="42"/>
      <c r="F693" s="123"/>
      <c r="H693" s="123"/>
      <c r="I693" s="123"/>
      <c r="J693" s="219"/>
      <c r="K693" s="219"/>
      <c r="L693" s="123"/>
      <c r="M693" s="123"/>
      <c r="N693" s="219"/>
      <c r="O693" s="219"/>
      <c r="P693" s="123"/>
      <c r="Q693" s="123"/>
      <c r="R693" s="123"/>
      <c r="T693" s="42"/>
      <c r="U693" s="42"/>
      <c r="V693" s="123"/>
      <c r="Y693" s="123"/>
      <c r="Z693" s="219"/>
      <c r="AA693" s="123"/>
      <c r="AB693" s="123"/>
      <c r="AC693" s="219"/>
      <c r="AD693" s="219"/>
      <c r="AE693" s="123"/>
      <c r="AF693" s="123"/>
      <c r="AH693" s="236"/>
      <c r="AI693" s="123"/>
      <c r="AJ693" s="123"/>
      <c r="AL693" s="123"/>
      <c r="AM693" s="160"/>
      <c r="AN693" s="160"/>
    </row>
    <row r="694" spans="1:40" x14ac:dyDescent="0.3">
      <c r="F694" s="210"/>
      <c r="H694" s="210"/>
      <c r="I694" s="210"/>
      <c r="J694" s="213"/>
      <c r="K694" s="213"/>
      <c r="L694" s="210"/>
      <c r="M694" s="210"/>
      <c r="N694" s="210"/>
      <c r="O694" s="210"/>
      <c r="P694" s="210"/>
      <c r="Q694" s="210"/>
      <c r="R694" s="210"/>
      <c r="V694" s="210"/>
      <c r="Y694" s="210"/>
      <c r="Z694" s="213"/>
      <c r="AA694" s="210"/>
      <c r="AB694" s="210"/>
      <c r="AC694" s="210"/>
      <c r="AD694" s="210"/>
      <c r="AE694" s="210"/>
      <c r="AF694" s="210"/>
      <c r="AI694" s="210"/>
      <c r="AJ694" s="210"/>
      <c r="AK694" s="214"/>
      <c r="AL694" s="210"/>
      <c r="AM694" s="160"/>
      <c r="AN694" s="160"/>
    </row>
    <row r="695" spans="1:40" x14ac:dyDescent="0.3">
      <c r="C695" s="42"/>
      <c r="F695" s="123"/>
      <c r="H695" s="123"/>
      <c r="I695" s="123"/>
      <c r="J695" s="219"/>
      <c r="K695" s="219"/>
      <c r="L695" s="123"/>
      <c r="M695" s="123"/>
      <c r="N695" s="219"/>
      <c r="O695" s="219"/>
      <c r="P695" s="123"/>
      <c r="Q695" s="123"/>
      <c r="R695" s="123"/>
      <c r="T695" s="42"/>
      <c r="V695" s="123"/>
      <c r="Y695" s="123"/>
      <c r="Z695" s="219"/>
      <c r="AA695" s="123"/>
      <c r="AB695" s="123"/>
      <c r="AC695" s="219"/>
      <c r="AD695" s="219"/>
      <c r="AE695" s="123"/>
      <c r="AF695" s="123"/>
      <c r="AH695" s="236"/>
      <c r="AI695" s="123"/>
      <c r="AJ695" s="123"/>
      <c r="AL695" s="123"/>
      <c r="AM695" s="160"/>
      <c r="AN695" s="160"/>
    </row>
    <row r="696" spans="1:40" x14ac:dyDescent="0.3">
      <c r="F696" s="123"/>
      <c r="H696" s="123"/>
      <c r="I696" s="123"/>
      <c r="J696" s="219"/>
      <c r="K696" s="219"/>
      <c r="L696" s="123"/>
      <c r="M696" s="123"/>
      <c r="N696" s="219"/>
      <c r="O696" s="219"/>
      <c r="P696" s="123"/>
      <c r="Q696" s="123"/>
      <c r="R696" s="123"/>
      <c r="V696" s="123"/>
      <c r="Y696" s="123"/>
      <c r="Z696" s="219"/>
      <c r="AA696" s="123"/>
      <c r="AB696" s="123"/>
      <c r="AC696" s="219"/>
      <c r="AD696" s="219"/>
      <c r="AH696" s="236"/>
      <c r="AI696" s="123"/>
      <c r="AJ696" s="123"/>
      <c r="AL696" s="123"/>
      <c r="AM696" s="160"/>
      <c r="AN696" s="160"/>
    </row>
    <row r="697" spans="1:40" x14ac:dyDescent="0.3">
      <c r="C697" s="42"/>
      <c r="D697" s="42"/>
      <c r="E697" s="42"/>
      <c r="F697" s="123"/>
      <c r="H697" s="123"/>
      <c r="I697" s="123"/>
      <c r="J697" s="219"/>
      <c r="K697" s="219"/>
      <c r="L697" s="123"/>
      <c r="M697" s="123"/>
      <c r="N697" s="219"/>
      <c r="O697" s="219"/>
      <c r="P697" s="123"/>
      <c r="Q697" s="123"/>
      <c r="R697" s="123"/>
      <c r="T697" s="42"/>
      <c r="U697" s="42"/>
      <c r="V697" s="123"/>
      <c r="Y697" s="123"/>
      <c r="Z697" s="219"/>
      <c r="AA697" s="123"/>
      <c r="AB697" s="123"/>
      <c r="AC697" s="219"/>
      <c r="AD697" s="219"/>
      <c r="AE697" s="123"/>
      <c r="AF697" s="123"/>
      <c r="AH697" s="236"/>
      <c r="AI697" s="123"/>
      <c r="AJ697" s="123"/>
      <c r="AL697" s="123"/>
      <c r="AM697" s="160"/>
      <c r="AN697" s="160"/>
    </row>
    <row r="698" spans="1:40" x14ac:dyDescent="0.3">
      <c r="C698" s="42"/>
      <c r="D698" s="42"/>
      <c r="E698" s="42"/>
      <c r="F698" s="123"/>
      <c r="H698" s="123"/>
      <c r="I698" s="123"/>
      <c r="J698" s="219"/>
      <c r="K698" s="219"/>
      <c r="L698" s="123"/>
      <c r="M698" s="123"/>
      <c r="N698" s="219"/>
      <c r="O698" s="219"/>
      <c r="P698" s="123"/>
      <c r="Q698" s="123"/>
      <c r="R698" s="123"/>
      <c r="T698" s="42"/>
      <c r="U698" s="42"/>
      <c r="V698" s="123"/>
      <c r="Y698" s="123"/>
      <c r="Z698" s="219"/>
      <c r="AA698" s="123"/>
      <c r="AB698" s="123"/>
      <c r="AC698" s="219"/>
      <c r="AD698" s="219"/>
      <c r="AE698" s="123"/>
      <c r="AF698" s="123"/>
      <c r="AH698" s="236"/>
      <c r="AI698" s="123"/>
      <c r="AJ698" s="123"/>
      <c r="AL698" s="123"/>
      <c r="AM698" s="160"/>
      <c r="AN698" s="160"/>
    </row>
    <row r="699" spans="1:40" x14ac:dyDescent="0.3">
      <c r="C699" s="42"/>
      <c r="D699" s="42"/>
      <c r="E699" s="42"/>
      <c r="F699" s="123"/>
      <c r="H699" s="123"/>
      <c r="I699" s="123"/>
      <c r="J699" s="219"/>
      <c r="K699" s="219"/>
      <c r="L699" s="123"/>
      <c r="M699" s="123"/>
      <c r="N699" s="219"/>
      <c r="O699" s="219"/>
      <c r="P699" s="123"/>
      <c r="Q699" s="123"/>
      <c r="R699" s="123"/>
      <c r="T699" s="42"/>
      <c r="U699" s="42"/>
      <c r="V699" s="123"/>
      <c r="Y699" s="123"/>
      <c r="Z699" s="219"/>
      <c r="AA699" s="123"/>
      <c r="AB699" s="123"/>
      <c r="AC699" s="219"/>
      <c r="AD699" s="219"/>
      <c r="AE699" s="123"/>
      <c r="AF699" s="123"/>
      <c r="AH699" s="236"/>
      <c r="AI699" s="123"/>
      <c r="AJ699" s="123"/>
      <c r="AL699" s="123"/>
      <c r="AM699" s="160"/>
      <c r="AN699" s="160"/>
    </row>
    <row r="700" spans="1:40" x14ac:dyDescent="0.3">
      <c r="C700" s="42"/>
      <c r="D700" s="42"/>
      <c r="E700" s="42"/>
      <c r="F700" s="123"/>
      <c r="H700" s="123"/>
      <c r="I700" s="123"/>
      <c r="J700" s="219"/>
      <c r="K700" s="219"/>
      <c r="L700" s="123"/>
      <c r="M700" s="123"/>
      <c r="N700" s="219"/>
      <c r="O700" s="219"/>
      <c r="P700" s="123"/>
      <c r="Q700" s="123"/>
      <c r="R700" s="123"/>
      <c r="T700" s="42"/>
      <c r="U700" s="42"/>
      <c r="V700" s="123"/>
      <c r="Y700" s="123"/>
      <c r="Z700" s="219"/>
      <c r="AA700" s="123"/>
      <c r="AB700" s="123"/>
      <c r="AC700" s="219"/>
      <c r="AD700" s="219"/>
      <c r="AE700" s="123"/>
      <c r="AF700" s="123"/>
      <c r="AH700" s="236"/>
      <c r="AI700" s="123"/>
      <c r="AJ700" s="123"/>
      <c r="AL700" s="123"/>
      <c r="AM700" s="160"/>
      <c r="AN700" s="160"/>
    </row>
    <row r="701" spans="1:40" x14ac:dyDescent="0.3">
      <c r="C701" s="42"/>
      <c r="D701" s="42"/>
      <c r="E701" s="42"/>
      <c r="F701" s="123"/>
      <c r="H701" s="123"/>
      <c r="I701" s="123"/>
      <c r="J701" s="219"/>
      <c r="K701" s="219"/>
      <c r="L701" s="123"/>
      <c r="M701" s="123"/>
      <c r="N701" s="219"/>
      <c r="O701" s="219"/>
      <c r="P701" s="123"/>
      <c r="Q701" s="123"/>
      <c r="R701" s="123"/>
      <c r="T701" s="42"/>
      <c r="U701" s="42"/>
      <c r="V701" s="123"/>
      <c r="Y701" s="123"/>
      <c r="Z701" s="219"/>
      <c r="AA701" s="123"/>
      <c r="AB701" s="123"/>
      <c r="AC701" s="219"/>
      <c r="AD701" s="219"/>
      <c r="AE701" s="123"/>
      <c r="AF701" s="123"/>
      <c r="AH701" s="236"/>
      <c r="AI701" s="123"/>
      <c r="AJ701" s="123"/>
      <c r="AL701" s="123"/>
      <c r="AM701" s="160"/>
      <c r="AN701" s="160"/>
    </row>
    <row r="702" spans="1:40" x14ac:dyDescent="0.3">
      <c r="C702" s="42"/>
      <c r="D702" s="42"/>
      <c r="E702" s="42"/>
      <c r="F702" s="123"/>
      <c r="H702" s="123"/>
      <c r="I702" s="123"/>
      <c r="J702" s="219"/>
      <c r="K702" s="219"/>
      <c r="L702" s="123"/>
      <c r="M702" s="123"/>
      <c r="N702" s="219"/>
      <c r="O702" s="219"/>
      <c r="P702" s="123"/>
      <c r="Q702" s="123"/>
      <c r="R702" s="123"/>
      <c r="T702" s="42"/>
      <c r="U702" s="42"/>
      <c r="V702" s="123"/>
      <c r="Y702" s="123"/>
      <c r="Z702" s="219"/>
      <c r="AA702" s="123"/>
      <c r="AB702" s="123"/>
      <c r="AC702" s="219"/>
      <c r="AD702" s="219"/>
      <c r="AE702" s="123"/>
      <c r="AF702" s="123"/>
      <c r="AH702" s="236"/>
      <c r="AI702" s="123"/>
      <c r="AJ702" s="123"/>
      <c r="AL702" s="123"/>
      <c r="AM702" s="160"/>
      <c r="AN702" s="160"/>
    </row>
    <row r="703" spans="1:40" x14ac:dyDescent="0.3">
      <c r="F703" s="210"/>
      <c r="H703" s="210"/>
      <c r="I703" s="210"/>
      <c r="J703" s="213"/>
      <c r="K703" s="213"/>
      <c r="L703" s="210"/>
      <c r="M703" s="210"/>
      <c r="N703" s="210"/>
      <c r="O703" s="210"/>
      <c r="P703" s="210"/>
      <c r="Q703" s="210"/>
      <c r="R703" s="210"/>
      <c r="V703" s="210"/>
      <c r="Y703" s="210"/>
      <c r="Z703" s="213"/>
      <c r="AA703" s="210"/>
      <c r="AB703" s="210"/>
      <c r="AC703" s="210"/>
      <c r="AD703" s="210"/>
      <c r="AE703" s="210"/>
      <c r="AF703" s="210"/>
      <c r="AI703" s="210"/>
      <c r="AJ703" s="210"/>
      <c r="AK703" s="214"/>
      <c r="AL703" s="210"/>
      <c r="AM703" s="160"/>
      <c r="AN703" s="160"/>
    </row>
    <row r="704" spans="1:40" x14ac:dyDescent="0.3">
      <c r="C704" s="42"/>
      <c r="F704" s="123"/>
      <c r="H704" s="123"/>
      <c r="I704" s="123"/>
      <c r="J704" s="219"/>
      <c r="K704" s="219"/>
      <c r="L704" s="123"/>
      <c r="M704" s="123"/>
      <c r="N704" s="219"/>
      <c r="O704" s="219"/>
      <c r="P704" s="123"/>
      <c r="Q704" s="123"/>
      <c r="R704" s="123"/>
      <c r="T704" s="42"/>
      <c r="V704" s="123"/>
      <c r="Y704" s="123"/>
      <c r="Z704" s="219"/>
      <c r="AA704" s="123"/>
      <c r="AB704" s="123"/>
      <c r="AC704" s="219"/>
      <c r="AD704" s="219"/>
      <c r="AE704" s="123"/>
      <c r="AF704" s="123"/>
      <c r="AH704" s="236"/>
      <c r="AI704" s="123"/>
      <c r="AJ704" s="123"/>
      <c r="AL704" s="123"/>
      <c r="AM704" s="160"/>
      <c r="AN704" s="160"/>
    </row>
    <row r="705" spans="3:40" x14ac:dyDescent="0.3">
      <c r="F705" s="123"/>
      <c r="H705" s="123"/>
      <c r="I705" s="123"/>
      <c r="J705" s="219"/>
      <c r="K705" s="219"/>
      <c r="L705" s="123"/>
      <c r="M705" s="123"/>
      <c r="N705" s="219"/>
      <c r="O705" s="219"/>
      <c r="P705" s="123"/>
      <c r="Q705" s="123"/>
      <c r="R705" s="123"/>
      <c r="V705" s="123"/>
      <c r="Y705" s="123"/>
      <c r="Z705" s="219"/>
      <c r="AA705" s="123"/>
      <c r="AB705" s="123"/>
      <c r="AC705" s="219"/>
      <c r="AD705" s="219"/>
      <c r="AH705" s="236"/>
      <c r="AI705" s="123"/>
      <c r="AJ705" s="123"/>
      <c r="AL705" s="123"/>
      <c r="AM705" s="160"/>
      <c r="AN705" s="160"/>
    </row>
    <row r="706" spans="3:40" x14ac:dyDescent="0.3">
      <c r="C706" s="42"/>
      <c r="D706" s="42"/>
      <c r="E706" s="42"/>
      <c r="F706" s="123"/>
      <c r="H706" s="123"/>
      <c r="I706" s="123"/>
      <c r="J706" s="219"/>
      <c r="K706" s="219"/>
      <c r="L706" s="123"/>
      <c r="M706" s="123"/>
      <c r="N706" s="219"/>
      <c r="O706" s="219"/>
      <c r="P706" s="123"/>
      <c r="Q706" s="123"/>
      <c r="R706" s="123"/>
      <c r="T706" s="42"/>
      <c r="U706" s="42"/>
      <c r="V706" s="123"/>
      <c r="Y706" s="123"/>
      <c r="Z706" s="219"/>
      <c r="AA706" s="123"/>
      <c r="AB706" s="123"/>
      <c r="AC706" s="219"/>
      <c r="AD706" s="219"/>
      <c r="AE706" s="123"/>
      <c r="AF706" s="123"/>
      <c r="AH706" s="236"/>
      <c r="AI706" s="123"/>
      <c r="AJ706" s="123"/>
      <c r="AL706" s="123"/>
      <c r="AM706" s="160"/>
      <c r="AN706" s="160"/>
    </row>
    <row r="707" spans="3:40" x14ac:dyDescent="0.3">
      <c r="F707" s="210"/>
      <c r="H707" s="210"/>
      <c r="I707" s="210"/>
      <c r="J707" s="213"/>
      <c r="K707" s="213"/>
      <c r="L707" s="210"/>
      <c r="M707" s="210"/>
      <c r="N707" s="210"/>
      <c r="O707" s="210"/>
      <c r="P707" s="210"/>
      <c r="Q707" s="210"/>
      <c r="R707" s="210"/>
      <c r="V707" s="210"/>
      <c r="Y707" s="210"/>
      <c r="Z707" s="213"/>
      <c r="AA707" s="210"/>
      <c r="AB707" s="210"/>
      <c r="AC707" s="210"/>
      <c r="AD707" s="210"/>
      <c r="AE707" s="210"/>
      <c r="AF707" s="210"/>
      <c r="AI707" s="210"/>
      <c r="AJ707" s="210"/>
      <c r="AK707" s="214"/>
      <c r="AL707" s="210"/>
      <c r="AM707" s="160"/>
      <c r="AN707" s="160"/>
    </row>
    <row r="708" spans="3:40" x14ac:dyDescent="0.3">
      <c r="C708" s="42"/>
      <c r="F708" s="123"/>
      <c r="H708" s="123"/>
      <c r="I708" s="123"/>
      <c r="J708" s="219"/>
      <c r="K708" s="219"/>
      <c r="L708" s="123"/>
      <c r="M708" s="123"/>
      <c r="N708" s="219"/>
      <c r="O708" s="219"/>
      <c r="P708" s="123"/>
      <c r="Q708" s="123"/>
      <c r="R708" s="123"/>
      <c r="T708" s="42"/>
      <c r="V708" s="123"/>
      <c r="Y708" s="123"/>
      <c r="Z708" s="219"/>
      <c r="AA708" s="123"/>
      <c r="AB708" s="123"/>
      <c r="AC708" s="219"/>
      <c r="AD708" s="219"/>
      <c r="AE708" s="123"/>
      <c r="AF708" s="123"/>
      <c r="AH708" s="236"/>
      <c r="AI708" s="123"/>
      <c r="AJ708" s="123"/>
      <c r="AL708" s="123"/>
      <c r="AM708" s="160"/>
      <c r="AN708" s="160"/>
    </row>
    <row r="709" spans="3:40" x14ac:dyDescent="0.3">
      <c r="F709" s="123"/>
      <c r="H709" s="123"/>
      <c r="I709" s="123"/>
      <c r="J709" s="219"/>
      <c r="K709" s="219"/>
      <c r="L709" s="123"/>
      <c r="M709" s="123"/>
      <c r="N709" s="219"/>
      <c r="O709" s="219"/>
      <c r="P709" s="123"/>
      <c r="Q709" s="123"/>
      <c r="R709" s="123"/>
      <c r="V709" s="123"/>
      <c r="Y709" s="123"/>
      <c r="Z709" s="219"/>
      <c r="AA709" s="123"/>
      <c r="AB709" s="123"/>
      <c r="AC709" s="219"/>
      <c r="AD709" s="219"/>
      <c r="AH709" s="236"/>
      <c r="AI709" s="123"/>
      <c r="AJ709" s="123"/>
      <c r="AL709" s="123"/>
      <c r="AM709" s="160"/>
      <c r="AN709" s="160"/>
    </row>
    <row r="710" spans="3:40" x14ac:dyDescent="0.3">
      <c r="C710" s="42"/>
      <c r="D710" s="42"/>
      <c r="E710" s="42"/>
      <c r="F710" s="123"/>
      <c r="H710" s="123"/>
      <c r="I710" s="123"/>
      <c r="J710" s="219"/>
      <c r="K710" s="219"/>
      <c r="L710" s="123"/>
      <c r="M710" s="123"/>
      <c r="N710" s="219"/>
      <c r="O710" s="219"/>
      <c r="P710" s="123"/>
      <c r="Q710" s="123"/>
      <c r="R710" s="123"/>
      <c r="T710" s="42"/>
      <c r="U710" s="42"/>
      <c r="V710" s="123"/>
      <c r="Y710" s="123"/>
      <c r="Z710" s="219"/>
      <c r="AA710" s="123"/>
      <c r="AB710" s="123"/>
      <c r="AC710" s="219"/>
      <c r="AD710" s="219"/>
      <c r="AE710" s="123"/>
      <c r="AF710" s="123"/>
      <c r="AH710" s="236"/>
      <c r="AI710" s="123"/>
      <c r="AJ710" s="123"/>
      <c r="AL710" s="123"/>
      <c r="AM710" s="160"/>
      <c r="AN710" s="160"/>
    </row>
    <row r="711" spans="3:40" x14ac:dyDescent="0.3">
      <c r="C711" s="42"/>
      <c r="D711" s="42"/>
      <c r="E711" s="42"/>
      <c r="F711" s="123"/>
      <c r="G711" s="123"/>
      <c r="H711" s="123"/>
      <c r="I711" s="123"/>
      <c r="J711" s="219"/>
      <c r="K711" s="219"/>
      <c r="L711" s="123"/>
      <c r="M711" s="123"/>
      <c r="N711" s="219"/>
      <c r="O711" s="219"/>
      <c r="P711" s="123"/>
      <c r="Q711" s="123"/>
      <c r="R711" s="123"/>
      <c r="T711" s="42"/>
      <c r="U711" s="42"/>
      <c r="V711" s="123"/>
      <c r="W711" s="123"/>
      <c r="X711" s="123"/>
      <c r="Y711" s="123"/>
      <c r="Z711" s="219"/>
      <c r="AA711" s="123"/>
      <c r="AB711" s="123"/>
      <c r="AC711" s="219"/>
      <c r="AD711" s="219"/>
      <c r="AE711" s="123"/>
      <c r="AF711" s="123"/>
      <c r="AH711" s="236"/>
      <c r="AI711" s="123"/>
      <c r="AJ711" s="123"/>
      <c r="AL711" s="123"/>
      <c r="AM711" s="160"/>
      <c r="AN711" s="160"/>
    </row>
    <row r="712" spans="3:40" x14ac:dyDescent="0.3">
      <c r="C712" s="42"/>
      <c r="D712" s="42"/>
      <c r="E712" s="42"/>
      <c r="F712" s="123"/>
      <c r="G712" s="123"/>
      <c r="H712" s="123"/>
      <c r="I712" s="123"/>
      <c r="J712" s="219"/>
      <c r="K712" s="219"/>
      <c r="L712" s="123"/>
      <c r="M712" s="123"/>
      <c r="N712" s="219"/>
      <c r="O712" s="219"/>
      <c r="P712" s="123"/>
      <c r="Q712" s="123"/>
      <c r="R712" s="123"/>
      <c r="T712" s="42"/>
      <c r="U712" s="42"/>
      <c r="V712" s="123"/>
      <c r="W712" s="123"/>
      <c r="X712" s="123"/>
      <c r="Y712" s="123"/>
      <c r="Z712" s="219"/>
      <c r="AA712" s="123"/>
      <c r="AB712" s="123"/>
      <c r="AC712" s="219"/>
      <c r="AD712" s="219"/>
      <c r="AE712" s="123"/>
      <c r="AF712" s="123"/>
      <c r="AH712" s="236"/>
      <c r="AI712" s="123"/>
      <c r="AJ712" s="123"/>
      <c r="AL712" s="123"/>
      <c r="AM712" s="160"/>
      <c r="AN712" s="160"/>
    </row>
    <row r="713" spans="3:40" x14ac:dyDescent="0.3">
      <c r="C713" s="42"/>
      <c r="D713" s="42"/>
      <c r="E713" s="42"/>
      <c r="F713" s="123"/>
      <c r="H713" s="123"/>
      <c r="I713" s="123"/>
      <c r="J713" s="219"/>
      <c r="K713" s="219"/>
      <c r="L713" s="123"/>
      <c r="M713" s="123"/>
      <c r="N713" s="219"/>
      <c r="O713" s="219"/>
      <c r="P713" s="123"/>
      <c r="Q713" s="123"/>
      <c r="R713" s="123"/>
      <c r="T713" s="42"/>
      <c r="U713" s="42"/>
      <c r="V713" s="123"/>
      <c r="Y713" s="123"/>
      <c r="Z713" s="219"/>
      <c r="AA713" s="123"/>
      <c r="AB713" s="123"/>
      <c r="AC713" s="219"/>
      <c r="AD713" s="219"/>
      <c r="AE713" s="123"/>
      <c r="AF713" s="123"/>
      <c r="AH713" s="236"/>
      <c r="AI713" s="123"/>
      <c r="AJ713" s="123"/>
      <c r="AL713" s="123"/>
      <c r="AM713" s="160"/>
      <c r="AN713" s="160"/>
    </row>
    <row r="714" spans="3:40" x14ac:dyDescent="0.3">
      <c r="C714" s="42"/>
      <c r="D714" s="42"/>
      <c r="E714" s="42"/>
      <c r="F714" s="123"/>
      <c r="H714" s="123"/>
      <c r="I714" s="123"/>
      <c r="J714" s="219"/>
      <c r="K714" s="219"/>
      <c r="L714" s="123"/>
      <c r="M714" s="123"/>
      <c r="N714" s="219"/>
      <c r="O714" s="219"/>
      <c r="P714" s="123"/>
      <c r="Q714" s="123"/>
      <c r="R714" s="123"/>
      <c r="T714" s="42"/>
      <c r="U714" s="42"/>
      <c r="V714" s="123"/>
      <c r="Y714" s="123"/>
      <c r="Z714" s="219"/>
      <c r="AA714" s="123"/>
      <c r="AB714" s="123"/>
      <c r="AC714" s="219"/>
      <c r="AD714" s="219"/>
      <c r="AE714" s="123"/>
      <c r="AF714" s="123"/>
      <c r="AH714" s="236"/>
      <c r="AI714" s="123"/>
      <c r="AJ714" s="123"/>
      <c r="AL714" s="123"/>
      <c r="AM714" s="160"/>
      <c r="AN714" s="160"/>
    </row>
    <row r="715" spans="3:40" x14ac:dyDescent="0.3">
      <c r="C715" s="42"/>
      <c r="D715" s="42"/>
      <c r="E715" s="42"/>
      <c r="F715" s="123"/>
      <c r="H715" s="123"/>
      <c r="I715" s="123"/>
      <c r="J715" s="219"/>
      <c r="K715" s="219"/>
      <c r="L715" s="123"/>
      <c r="M715" s="123"/>
      <c r="N715" s="219"/>
      <c r="O715" s="219"/>
      <c r="P715" s="123"/>
      <c r="Q715" s="123"/>
      <c r="R715" s="123"/>
      <c r="T715" s="42"/>
      <c r="U715" s="42"/>
      <c r="V715" s="123"/>
      <c r="Y715" s="123"/>
      <c r="Z715" s="219"/>
      <c r="AA715" s="123"/>
      <c r="AB715" s="123"/>
      <c r="AC715" s="219"/>
      <c r="AD715" s="219"/>
      <c r="AE715" s="123"/>
      <c r="AF715" s="123"/>
      <c r="AH715" s="236"/>
      <c r="AI715" s="123"/>
      <c r="AJ715" s="123"/>
      <c r="AL715" s="123"/>
      <c r="AM715" s="160"/>
      <c r="AN715" s="160"/>
    </row>
    <row r="716" spans="3:40" x14ac:dyDescent="0.3">
      <c r="C716" s="42"/>
      <c r="D716" s="42"/>
      <c r="E716" s="42"/>
      <c r="F716" s="123"/>
      <c r="H716" s="123"/>
      <c r="I716" s="123"/>
      <c r="J716" s="219"/>
      <c r="K716" s="219"/>
      <c r="L716" s="123"/>
      <c r="M716" s="123"/>
      <c r="N716" s="219"/>
      <c r="O716" s="219"/>
      <c r="P716" s="123"/>
      <c r="Q716" s="123"/>
      <c r="R716" s="123"/>
      <c r="T716" s="42"/>
      <c r="U716" s="42"/>
      <c r="V716" s="123"/>
      <c r="Y716" s="123"/>
      <c r="Z716" s="219"/>
      <c r="AA716" s="123"/>
      <c r="AB716" s="123"/>
      <c r="AC716" s="219"/>
      <c r="AD716" s="219"/>
      <c r="AE716" s="123"/>
      <c r="AF716" s="123"/>
      <c r="AH716" s="236"/>
      <c r="AI716" s="123"/>
      <c r="AJ716" s="123"/>
      <c r="AL716" s="123"/>
      <c r="AM716" s="160"/>
      <c r="AN716" s="160"/>
    </row>
    <row r="717" spans="3:40" x14ac:dyDescent="0.3">
      <c r="F717" s="210"/>
      <c r="H717" s="210"/>
      <c r="I717" s="210"/>
      <c r="J717" s="213"/>
      <c r="K717" s="213"/>
      <c r="L717" s="210"/>
      <c r="M717" s="210"/>
      <c r="N717" s="210"/>
      <c r="O717" s="210"/>
      <c r="P717" s="210"/>
      <c r="Q717" s="210"/>
      <c r="R717" s="210"/>
      <c r="V717" s="210"/>
      <c r="Y717" s="210"/>
      <c r="Z717" s="213"/>
      <c r="AA717" s="210"/>
      <c r="AB717" s="210"/>
      <c r="AC717" s="210"/>
      <c r="AD717" s="210"/>
      <c r="AE717" s="210"/>
      <c r="AF717" s="210"/>
      <c r="AI717" s="210"/>
      <c r="AJ717" s="210"/>
      <c r="AK717" s="214"/>
      <c r="AL717" s="210"/>
      <c r="AM717" s="160"/>
      <c r="AN717" s="160"/>
    </row>
    <row r="718" spans="3:40" x14ac:dyDescent="0.3">
      <c r="C718" s="42"/>
      <c r="F718" s="123"/>
      <c r="H718" s="123"/>
      <c r="I718" s="123"/>
      <c r="J718" s="219"/>
      <c r="K718" s="219"/>
      <c r="L718" s="123"/>
      <c r="M718" s="123"/>
      <c r="N718" s="219"/>
      <c r="O718" s="219"/>
      <c r="P718" s="123"/>
      <c r="Q718" s="123"/>
      <c r="R718" s="123"/>
      <c r="T718" s="42"/>
      <c r="V718" s="123"/>
      <c r="Y718" s="123"/>
      <c r="Z718" s="219"/>
      <c r="AA718" s="123"/>
      <c r="AB718" s="123"/>
      <c r="AC718" s="219"/>
      <c r="AD718" s="219"/>
      <c r="AE718" s="123"/>
      <c r="AF718" s="123"/>
      <c r="AH718" s="236"/>
      <c r="AI718" s="123"/>
      <c r="AJ718" s="123"/>
      <c r="AL718" s="123"/>
      <c r="AM718" s="160"/>
      <c r="AN718" s="160"/>
    </row>
    <row r="719" spans="3:40" x14ac:dyDescent="0.3">
      <c r="V719" s="123"/>
      <c r="Y719" s="123"/>
      <c r="Z719" s="213"/>
      <c r="AA719" s="123"/>
      <c r="AB719" s="123"/>
      <c r="AC719" s="123"/>
      <c r="AD719" s="123"/>
      <c r="AE719" s="123"/>
      <c r="AF719" s="123"/>
      <c r="AI719" s="123"/>
      <c r="AJ719" s="123"/>
      <c r="AL719" s="123"/>
      <c r="AM719" s="160"/>
      <c r="AN719" s="160"/>
    </row>
    <row r="720" spans="3:40" x14ac:dyDescent="0.3">
      <c r="C720" s="42"/>
      <c r="D720" s="42"/>
      <c r="E720" s="42"/>
      <c r="L720" s="123"/>
      <c r="M720" s="123"/>
      <c r="N720" s="219"/>
      <c r="O720" s="219"/>
      <c r="R720" s="123"/>
      <c r="T720" s="42"/>
      <c r="U720" s="42"/>
      <c r="AA720" s="123"/>
      <c r="AB720" s="123"/>
      <c r="AC720" s="219"/>
      <c r="AD720" s="219"/>
      <c r="AE720" s="123"/>
      <c r="AF720" s="123"/>
      <c r="AH720" s="236"/>
      <c r="AL720" s="123"/>
      <c r="AM720" s="160"/>
      <c r="AN720" s="160"/>
    </row>
    <row r="721" spans="1:40" x14ac:dyDescent="0.3">
      <c r="D721" s="42"/>
      <c r="E721" s="42"/>
      <c r="F721" s="184"/>
      <c r="H721" s="184"/>
      <c r="I721" s="184"/>
      <c r="J721" s="219"/>
      <c r="K721" s="219"/>
      <c r="L721" s="123"/>
      <c r="M721" s="123"/>
      <c r="N721" s="219"/>
      <c r="O721" s="219"/>
      <c r="P721" s="184"/>
      <c r="Q721" s="184"/>
      <c r="R721" s="123"/>
      <c r="U721" s="42"/>
      <c r="V721" s="123"/>
      <c r="Y721" s="123"/>
      <c r="Z721" s="219"/>
      <c r="AA721" s="123"/>
      <c r="AB721" s="123"/>
      <c r="AC721" s="219"/>
      <c r="AD721" s="219"/>
      <c r="AE721" s="123"/>
      <c r="AF721" s="123"/>
      <c r="AH721" s="236"/>
      <c r="AI721" s="123"/>
      <c r="AJ721" s="123"/>
      <c r="AL721" s="123"/>
      <c r="AM721" s="160"/>
      <c r="AN721" s="160"/>
    </row>
    <row r="722" spans="1:40" x14ac:dyDescent="0.3">
      <c r="F722" s="210"/>
      <c r="H722" s="210"/>
      <c r="I722" s="210"/>
      <c r="J722" s="213"/>
      <c r="K722" s="213"/>
      <c r="L722" s="210"/>
      <c r="M722" s="210"/>
      <c r="N722" s="210"/>
      <c r="O722" s="210"/>
      <c r="P722" s="210"/>
      <c r="Q722" s="210"/>
      <c r="R722" s="210"/>
      <c r="V722" s="210"/>
      <c r="Y722" s="210"/>
      <c r="Z722" s="213"/>
      <c r="AA722" s="210"/>
      <c r="AB722" s="210"/>
      <c r="AC722" s="210"/>
      <c r="AD722" s="210"/>
      <c r="AE722" s="210"/>
      <c r="AF722" s="210"/>
      <c r="AI722" s="210"/>
      <c r="AJ722" s="210"/>
      <c r="AK722" s="214"/>
      <c r="AL722" s="210"/>
      <c r="AM722" s="160"/>
      <c r="AN722" s="160"/>
    </row>
    <row r="723" spans="1:40" x14ac:dyDescent="0.3">
      <c r="C723" s="42"/>
      <c r="F723" s="123"/>
      <c r="H723" s="123"/>
      <c r="I723" s="123"/>
      <c r="J723" s="219"/>
      <c r="K723" s="219"/>
      <c r="L723" s="123"/>
      <c r="M723" s="123"/>
      <c r="N723" s="219"/>
      <c r="O723" s="219"/>
      <c r="P723" s="123"/>
      <c r="Q723" s="123"/>
      <c r="R723" s="123"/>
      <c r="T723" s="42"/>
      <c r="V723" s="123"/>
      <c r="Y723" s="123"/>
      <c r="Z723" s="219"/>
      <c r="AA723" s="123"/>
      <c r="AB723" s="123"/>
      <c r="AC723" s="219"/>
      <c r="AD723" s="219"/>
      <c r="AE723" s="123"/>
      <c r="AF723" s="123"/>
      <c r="AH723" s="236"/>
      <c r="AI723" s="123"/>
      <c r="AJ723" s="123"/>
      <c r="AL723" s="123"/>
      <c r="AM723" s="160"/>
      <c r="AN723" s="160"/>
    </row>
    <row r="724" spans="1:40" x14ac:dyDescent="0.3">
      <c r="F724" s="123"/>
      <c r="H724" s="123"/>
      <c r="I724" s="123"/>
      <c r="J724" s="219"/>
      <c r="K724" s="219"/>
      <c r="L724" s="123"/>
      <c r="M724" s="123"/>
      <c r="N724" s="219"/>
      <c r="O724" s="219"/>
      <c r="P724" s="123"/>
      <c r="Q724" s="123"/>
      <c r="R724" s="123"/>
      <c r="V724" s="123"/>
      <c r="Y724" s="123"/>
      <c r="Z724" s="219"/>
      <c r="AA724" s="123"/>
      <c r="AB724" s="123"/>
      <c r="AC724" s="219"/>
      <c r="AD724" s="219"/>
      <c r="AH724" s="236"/>
      <c r="AI724" s="123"/>
      <c r="AJ724" s="123"/>
      <c r="AL724" s="123"/>
      <c r="AM724" s="160"/>
      <c r="AN724" s="160"/>
    </row>
    <row r="725" spans="1:40" x14ac:dyDescent="0.3">
      <c r="D725" s="42"/>
      <c r="E725" s="42"/>
      <c r="F725" s="123"/>
      <c r="H725" s="123"/>
      <c r="I725" s="123"/>
      <c r="J725" s="219"/>
      <c r="K725" s="219"/>
      <c r="L725" s="184"/>
      <c r="M725" s="184"/>
      <c r="N725" s="219"/>
      <c r="O725" s="219"/>
      <c r="P725" s="123"/>
      <c r="Q725" s="123"/>
      <c r="R725" s="123"/>
      <c r="U725" s="42"/>
      <c r="V725" s="123"/>
      <c r="Y725" s="123"/>
      <c r="Z725" s="219"/>
      <c r="AA725" s="184"/>
      <c r="AB725" s="184"/>
      <c r="AC725" s="219"/>
      <c r="AD725" s="219"/>
      <c r="AE725" s="123"/>
      <c r="AF725" s="123"/>
      <c r="AH725" s="236"/>
      <c r="AI725" s="123"/>
      <c r="AJ725" s="123"/>
      <c r="AL725" s="123"/>
      <c r="AM725" s="160"/>
      <c r="AN725" s="160"/>
    </row>
    <row r="726" spans="1:40" x14ac:dyDescent="0.3">
      <c r="D726" s="42"/>
      <c r="E726" s="42"/>
      <c r="F726" s="123"/>
      <c r="H726" s="123"/>
      <c r="I726" s="123"/>
      <c r="J726" s="219"/>
      <c r="K726" s="219"/>
      <c r="L726" s="184"/>
      <c r="M726" s="184"/>
      <c r="N726" s="219"/>
      <c r="O726" s="219"/>
      <c r="P726" s="123"/>
      <c r="Q726" s="123"/>
      <c r="R726" s="123"/>
      <c r="U726" s="42"/>
      <c r="V726" s="123"/>
      <c r="Y726" s="123"/>
      <c r="Z726" s="219"/>
      <c r="AA726" s="184"/>
      <c r="AB726" s="184"/>
      <c r="AC726" s="219"/>
      <c r="AD726" s="219"/>
      <c r="AE726" s="123"/>
      <c r="AF726" s="123"/>
      <c r="AH726" s="236"/>
      <c r="AI726" s="123"/>
      <c r="AJ726" s="123"/>
      <c r="AL726" s="123"/>
      <c r="AM726" s="160"/>
      <c r="AN726" s="160"/>
    </row>
    <row r="727" spans="1:40" x14ac:dyDescent="0.3">
      <c r="D727" s="42"/>
      <c r="E727" s="42"/>
      <c r="F727" s="123"/>
      <c r="H727" s="123"/>
      <c r="I727" s="123"/>
      <c r="J727" s="219"/>
      <c r="K727" s="219"/>
      <c r="L727" s="184"/>
      <c r="M727" s="184"/>
      <c r="N727" s="219"/>
      <c r="O727" s="219"/>
      <c r="P727" s="123"/>
      <c r="Q727" s="123"/>
      <c r="R727" s="123"/>
      <c r="U727" s="42"/>
      <c r="V727" s="123"/>
      <c r="Y727" s="123"/>
      <c r="Z727" s="219"/>
      <c r="AA727" s="184"/>
      <c r="AB727" s="184"/>
      <c r="AC727" s="219"/>
      <c r="AD727" s="219"/>
      <c r="AE727" s="123"/>
      <c r="AF727" s="123"/>
      <c r="AH727" s="236"/>
      <c r="AI727" s="123"/>
      <c r="AJ727" s="123"/>
      <c r="AL727" s="123"/>
      <c r="AM727" s="160"/>
      <c r="AN727" s="160"/>
    </row>
    <row r="728" spans="1:40" x14ac:dyDescent="0.3">
      <c r="F728" s="210"/>
      <c r="H728" s="210"/>
      <c r="I728" s="210"/>
      <c r="J728" s="213"/>
      <c r="K728" s="213"/>
      <c r="L728" s="210"/>
      <c r="M728" s="210"/>
      <c r="N728" s="210"/>
      <c r="O728" s="210"/>
      <c r="P728" s="210"/>
      <c r="Q728" s="210"/>
      <c r="R728" s="210"/>
      <c r="V728" s="210"/>
      <c r="Y728" s="210"/>
      <c r="Z728" s="213"/>
      <c r="AA728" s="210"/>
      <c r="AB728" s="210"/>
      <c r="AC728" s="210"/>
      <c r="AD728" s="210"/>
      <c r="AE728" s="210"/>
      <c r="AF728" s="210"/>
      <c r="AI728" s="210"/>
      <c r="AJ728" s="210"/>
      <c r="AK728" s="214"/>
      <c r="AL728" s="210"/>
      <c r="AM728" s="160"/>
      <c r="AN728" s="160"/>
    </row>
    <row r="729" spans="1:40" x14ac:dyDescent="0.3">
      <c r="C729" s="42"/>
      <c r="F729" s="123"/>
      <c r="H729" s="123"/>
      <c r="I729" s="123"/>
      <c r="J729" s="219"/>
      <c r="K729" s="219"/>
      <c r="L729" s="123"/>
      <c r="M729" s="123"/>
      <c r="N729" s="219"/>
      <c r="O729" s="219"/>
      <c r="P729" s="123"/>
      <c r="Q729" s="123"/>
      <c r="R729" s="123"/>
      <c r="T729" s="42"/>
      <c r="V729" s="123"/>
      <c r="Y729" s="123"/>
      <c r="Z729" s="219"/>
      <c r="AA729" s="123"/>
      <c r="AB729" s="123"/>
      <c r="AC729" s="219"/>
      <c r="AD729" s="219"/>
      <c r="AE729" s="123"/>
      <c r="AF729" s="123"/>
      <c r="AH729" s="236"/>
      <c r="AI729" s="123"/>
      <c r="AJ729" s="123"/>
      <c r="AL729" s="123"/>
      <c r="AM729" s="160"/>
      <c r="AN729" s="160"/>
    </row>
    <row r="730" spans="1:40" x14ac:dyDescent="0.3">
      <c r="F730" s="123"/>
      <c r="H730" s="123"/>
      <c r="I730" s="123"/>
      <c r="J730" s="219"/>
      <c r="K730" s="219"/>
      <c r="L730" s="123"/>
      <c r="M730" s="123"/>
      <c r="N730" s="219"/>
      <c r="O730" s="219"/>
      <c r="P730" s="123"/>
      <c r="Q730" s="123"/>
      <c r="R730" s="123"/>
      <c r="V730" s="123"/>
      <c r="Y730" s="123"/>
      <c r="Z730" s="219"/>
      <c r="AA730" s="123"/>
      <c r="AB730" s="123"/>
      <c r="AC730" s="219"/>
      <c r="AD730" s="219"/>
      <c r="AH730" s="236"/>
      <c r="AI730" s="123"/>
      <c r="AJ730" s="123"/>
      <c r="AL730" s="123"/>
      <c r="AM730" s="160"/>
      <c r="AN730" s="160"/>
    </row>
    <row r="731" spans="1:40" x14ac:dyDescent="0.3">
      <c r="C731" s="42"/>
      <c r="F731" s="123"/>
      <c r="H731" s="123"/>
      <c r="I731" s="123"/>
      <c r="J731" s="219"/>
      <c r="K731" s="219"/>
      <c r="L731" s="123"/>
      <c r="M731" s="123"/>
      <c r="N731" s="219"/>
      <c r="O731" s="219"/>
      <c r="P731" s="123"/>
      <c r="Q731" s="123"/>
      <c r="R731" s="123"/>
      <c r="T731" s="42"/>
      <c r="V731" s="123"/>
      <c r="Y731" s="123"/>
      <c r="Z731" s="219"/>
      <c r="AA731" s="123"/>
      <c r="AB731" s="123"/>
      <c r="AC731" s="219"/>
      <c r="AD731" s="219"/>
      <c r="AE731" s="123"/>
      <c r="AF731" s="123"/>
      <c r="AH731" s="236"/>
      <c r="AI731" s="123"/>
      <c r="AJ731" s="123"/>
      <c r="AL731" s="123"/>
      <c r="AM731" s="160"/>
      <c r="AN731" s="160"/>
    </row>
    <row r="732" spans="1:40" x14ac:dyDescent="0.3">
      <c r="F732" s="210"/>
      <c r="H732" s="210"/>
      <c r="I732" s="210"/>
      <c r="J732" s="213"/>
      <c r="K732" s="213"/>
      <c r="L732" s="210"/>
      <c r="M732" s="210"/>
      <c r="N732" s="210"/>
      <c r="O732" s="210"/>
      <c r="P732" s="210"/>
      <c r="Q732" s="210"/>
      <c r="R732" s="210"/>
      <c r="V732" s="210"/>
      <c r="Y732" s="210"/>
      <c r="Z732" s="213"/>
      <c r="AA732" s="210"/>
      <c r="AB732" s="210"/>
      <c r="AC732" s="210"/>
      <c r="AD732" s="210"/>
      <c r="AE732" s="210"/>
      <c r="AF732" s="210"/>
      <c r="AI732" s="210"/>
      <c r="AJ732" s="210"/>
      <c r="AK732" s="214"/>
      <c r="AL732" s="210"/>
    </row>
    <row r="734" spans="1:40" x14ac:dyDescent="0.3">
      <c r="C734" s="42"/>
      <c r="L734" s="123"/>
      <c r="M734" s="123"/>
      <c r="P734" s="123"/>
      <c r="Q734" s="123"/>
      <c r="R734" s="123"/>
      <c r="T734" s="42"/>
    </row>
    <row r="735" spans="1:40" x14ac:dyDescent="0.3">
      <c r="A735" s="42"/>
      <c r="L735" s="123"/>
      <c r="M735" s="123"/>
      <c r="P735" s="123"/>
      <c r="Q735" s="123"/>
      <c r="R735" s="123"/>
    </row>
    <row r="736" spans="1:40" x14ac:dyDescent="0.3">
      <c r="L736" s="123"/>
      <c r="M736" s="123"/>
      <c r="P736" s="123"/>
      <c r="Q736" s="123"/>
      <c r="R736" s="123"/>
    </row>
    <row r="737" spans="12:18" x14ac:dyDescent="0.3">
      <c r="L737" s="123"/>
      <c r="M737" s="123"/>
      <c r="P737" s="123"/>
      <c r="Q737" s="123"/>
      <c r="R737" s="123"/>
    </row>
    <row r="738" spans="12:18" x14ac:dyDescent="0.3">
      <c r="L738" s="123"/>
      <c r="M738" s="123"/>
      <c r="P738" s="123"/>
      <c r="Q738" s="123"/>
      <c r="R738" s="123"/>
    </row>
    <row r="739" spans="12:18" x14ac:dyDescent="0.3">
      <c r="L739" s="123"/>
      <c r="M739" s="123"/>
      <c r="P739" s="123"/>
      <c r="Q739" s="123"/>
      <c r="R739" s="123"/>
    </row>
    <row r="740" spans="12:18" x14ac:dyDescent="0.3">
      <c r="L740" s="123"/>
      <c r="M740" s="123"/>
      <c r="P740" s="123"/>
      <c r="Q740" s="123"/>
      <c r="R740" s="123"/>
    </row>
    <row r="773" spans="49:49" x14ac:dyDescent="0.3">
      <c r="AW773" s="123"/>
    </row>
    <row r="774" spans="49:49" x14ac:dyDescent="0.3">
      <c r="AW774" s="123"/>
    </row>
    <row r="775" spans="49:49" x14ac:dyDescent="0.3">
      <c r="AW775" s="123"/>
    </row>
    <row r="776" spans="49:49" x14ac:dyDescent="0.3">
      <c r="AW776" s="123"/>
    </row>
    <row r="777" spans="49:49" x14ac:dyDescent="0.3">
      <c r="AW777" s="123"/>
    </row>
    <row r="778" spans="49:49" x14ac:dyDescent="0.3">
      <c r="AW778" s="123"/>
    </row>
    <row r="781" spans="49:49" x14ac:dyDescent="0.3">
      <c r="AW781" s="123"/>
    </row>
    <row r="782" spans="49:49" x14ac:dyDescent="0.3">
      <c r="AW782" s="123"/>
    </row>
    <row r="783" spans="49:49" x14ac:dyDescent="0.3">
      <c r="AW783" s="123"/>
    </row>
    <row r="784" spans="49:49" x14ac:dyDescent="0.3">
      <c r="AW784" s="123"/>
    </row>
    <row r="785" spans="49:49" x14ac:dyDescent="0.3">
      <c r="AW785" s="123"/>
    </row>
    <row r="786" spans="49:49" x14ac:dyDescent="0.3">
      <c r="AW786" s="123"/>
    </row>
    <row r="787" spans="49:49" x14ac:dyDescent="0.3">
      <c r="AW787" s="123"/>
    </row>
    <row r="788" spans="49:49" x14ac:dyDescent="0.3">
      <c r="AW788" s="123"/>
    </row>
    <row r="791" spans="49:49" x14ac:dyDescent="0.3">
      <c r="AW791" s="123"/>
    </row>
    <row r="792" spans="49:49" x14ac:dyDescent="0.3">
      <c r="AW792" s="123"/>
    </row>
    <row r="795" spans="49:49" x14ac:dyDescent="0.3">
      <c r="AW795" s="123"/>
    </row>
    <row r="796" spans="49:49" x14ac:dyDescent="0.3">
      <c r="AW796" s="123"/>
    </row>
    <row r="797" spans="49:49" x14ac:dyDescent="0.3">
      <c r="AW797" s="123"/>
    </row>
    <row r="798" spans="49:49" x14ac:dyDescent="0.3">
      <c r="AW798" s="123"/>
    </row>
    <row r="806" spans="45:69" x14ac:dyDescent="0.3">
      <c r="AY806" s="42"/>
    </row>
    <row r="807" spans="45:69" x14ac:dyDescent="0.3">
      <c r="AY807" s="42"/>
    </row>
    <row r="808" spans="45:69" x14ac:dyDescent="0.3">
      <c r="BD808" s="42"/>
    </row>
    <row r="809" spans="45:69" x14ac:dyDescent="0.3">
      <c r="BD809" s="42"/>
    </row>
    <row r="810" spans="45:69" x14ac:dyDescent="0.3">
      <c r="AS810" s="42"/>
      <c r="BD810" s="42"/>
    </row>
    <row r="812" spans="45:69" x14ac:dyDescent="0.3">
      <c r="AS812" s="135"/>
      <c r="AT812" s="135"/>
      <c r="AU812" s="135"/>
      <c r="AV812" s="135"/>
      <c r="AW812" s="135"/>
      <c r="AX812" s="135"/>
      <c r="AY812" s="135"/>
      <c r="AZ812" s="135"/>
      <c r="BA812" s="135"/>
      <c r="BB812" s="135"/>
      <c r="BC812" s="135"/>
      <c r="BD812" s="135"/>
      <c r="BE812" s="135"/>
    </row>
    <row r="813" spans="45:69" x14ac:dyDescent="0.3">
      <c r="AX813" s="42"/>
    </row>
    <row r="814" spans="45:69" x14ac:dyDescent="0.3">
      <c r="AX814" s="135"/>
      <c r="AY814" s="135"/>
      <c r="AZ814" s="135"/>
      <c r="BA814" s="135"/>
      <c r="BC814" s="44"/>
      <c r="BD814" s="44"/>
    </row>
    <row r="815" spans="45:69" x14ac:dyDescent="0.3">
      <c r="AV815" s="44"/>
      <c r="AW815" s="44"/>
      <c r="AZ815" s="44"/>
      <c r="BA815" s="44"/>
      <c r="BC815" s="44"/>
      <c r="BD815" s="44"/>
      <c r="BE815" s="44"/>
      <c r="BG815" s="135"/>
      <c r="BH815" s="42"/>
      <c r="BK815" s="135"/>
      <c r="BM815" s="135"/>
      <c r="BN815" s="42"/>
      <c r="BQ815" s="135"/>
    </row>
    <row r="816" spans="45:69" x14ac:dyDescent="0.3"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H816" s="44"/>
      <c r="BI816" s="44"/>
      <c r="BJ816" s="44"/>
      <c r="BN816" s="44"/>
      <c r="BO816" s="44"/>
      <c r="BP816" s="44"/>
    </row>
    <row r="817" spans="45:69" x14ac:dyDescent="0.3">
      <c r="AS817" s="44"/>
      <c r="AU817" s="42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G817" s="44"/>
      <c r="BH817" s="44"/>
      <c r="BI817" s="44"/>
      <c r="BJ817" s="44"/>
      <c r="BK817" s="44"/>
      <c r="BM817" s="44"/>
      <c r="BN817" s="44"/>
      <c r="BO817" s="44"/>
      <c r="BP817" s="44"/>
      <c r="BQ817" s="44"/>
    </row>
    <row r="818" spans="45:69" x14ac:dyDescent="0.3">
      <c r="AS818" s="44"/>
      <c r="AU818" s="42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G818" s="44"/>
      <c r="BH818" s="44"/>
      <c r="BI818" s="44"/>
      <c r="BJ818" s="44"/>
      <c r="BK818" s="44"/>
      <c r="BM818" s="44"/>
      <c r="BN818" s="44"/>
      <c r="BO818" s="44"/>
      <c r="BP818" s="44"/>
      <c r="BQ818" s="44"/>
    </row>
    <row r="819" spans="45:69" x14ac:dyDescent="0.3">
      <c r="AS819" s="135"/>
      <c r="AT819" s="135"/>
      <c r="AU819" s="135"/>
      <c r="AV819" s="135"/>
      <c r="AW819" s="135"/>
      <c r="AX819" s="135"/>
      <c r="AY819" s="135"/>
      <c r="AZ819" s="135"/>
      <c r="BA819" s="135"/>
      <c r="BB819" s="135"/>
      <c r="BC819" s="135"/>
      <c r="BD819" s="135"/>
      <c r="BE819" s="135"/>
      <c r="BG819" s="135"/>
      <c r="BH819" s="135"/>
      <c r="BI819" s="135"/>
      <c r="BJ819" s="135"/>
      <c r="BK819" s="135"/>
      <c r="BM819" s="135"/>
      <c r="BN819" s="135"/>
      <c r="BO819" s="135"/>
      <c r="BP819" s="135"/>
      <c r="BQ819" s="135"/>
    </row>
    <row r="820" spans="45:69" x14ac:dyDescent="0.3"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</row>
    <row r="821" spans="45:69" x14ac:dyDescent="0.3">
      <c r="AU821" s="42"/>
      <c r="AV821" s="44"/>
      <c r="AY821" s="219"/>
    </row>
    <row r="822" spans="45:69" x14ac:dyDescent="0.3">
      <c r="AV822" s="44"/>
      <c r="AW822" s="123"/>
      <c r="AX822" s="188"/>
      <c r="AY822" s="188"/>
      <c r="AZ822" s="188"/>
      <c r="BA822" s="160"/>
      <c r="BB822" s="188"/>
      <c r="BC822" s="219"/>
      <c r="BD822" s="219"/>
      <c r="BE822" s="160"/>
      <c r="BG822" s="188"/>
      <c r="BH822" s="188"/>
      <c r="BI822" s="188"/>
      <c r="BJ822" s="188"/>
      <c r="BK822" s="188"/>
      <c r="BM822" s="188"/>
      <c r="BN822" s="188"/>
      <c r="BO822" s="188"/>
      <c r="BP822" s="188"/>
      <c r="BQ822" s="188"/>
    </row>
    <row r="823" spans="45:69" x14ac:dyDescent="0.3">
      <c r="AV823" s="44"/>
      <c r="AW823" s="123"/>
      <c r="AX823" s="188"/>
      <c r="AY823" s="188"/>
      <c r="AZ823" s="188"/>
      <c r="BA823" s="160"/>
      <c r="BB823" s="188"/>
      <c r="BC823" s="219"/>
      <c r="BD823" s="219"/>
      <c r="BE823" s="160"/>
      <c r="BG823" s="188"/>
      <c r="BH823" s="188"/>
      <c r="BI823" s="188"/>
      <c r="BJ823" s="188"/>
      <c r="BK823" s="188"/>
      <c r="BM823" s="188"/>
      <c r="BN823" s="188"/>
      <c r="BO823" s="188"/>
      <c r="BP823" s="188"/>
      <c r="BQ823" s="188"/>
    </row>
    <row r="824" spans="45:69" x14ac:dyDescent="0.3">
      <c r="AV824" s="44"/>
      <c r="AW824" s="123"/>
      <c r="AX824" s="188"/>
      <c r="AY824" s="188"/>
      <c r="AZ824" s="188"/>
      <c r="BA824" s="160"/>
      <c r="BB824" s="188"/>
      <c r="BC824" s="219"/>
      <c r="BD824" s="219"/>
      <c r="BE824" s="160"/>
      <c r="BG824" s="188"/>
      <c r="BH824" s="188"/>
      <c r="BI824" s="188"/>
      <c r="BJ824" s="188"/>
      <c r="BK824" s="188"/>
      <c r="BM824" s="188"/>
      <c r="BN824" s="188"/>
      <c r="BO824" s="188"/>
      <c r="BP824" s="188"/>
      <c r="BQ824" s="188"/>
    </row>
    <row r="825" spans="45:69" x14ac:dyDescent="0.3">
      <c r="AV825" s="44"/>
      <c r="AW825" s="123"/>
      <c r="AX825" s="188"/>
      <c r="AY825" s="188"/>
      <c r="AZ825" s="188"/>
      <c r="BA825" s="160"/>
      <c r="BB825" s="188"/>
      <c r="BC825" s="219"/>
      <c r="BD825" s="219"/>
      <c r="BE825" s="160"/>
      <c r="BG825" s="188"/>
      <c r="BH825" s="188"/>
      <c r="BI825" s="188"/>
      <c r="BJ825" s="188"/>
      <c r="BK825" s="188"/>
      <c r="BM825" s="188"/>
      <c r="BN825" s="188"/>
      <c r="BO825" s="188"/>
      <c r="BP825" s="188"/>
      <c r="BQ825" s="188"/>
    </row>
    <row r="826" spans="45:69" x14ac:dyDescent="0.3">
      <c r="AV826" s="44"/>
      <c r="AW826" s="123"/>
      <c r="AX826" s="188"/>
      <c r="AY826" s="188"/>
      <c r="AZ826" s="188"/>
      <c r="BA826" s="160"/>
      <c r="BB826" s="188"/>
      <c r="BC826" s="219"/>
      <c r="BD826" s="219"/>
      <c r="BE826" s="160"/>
      <c r="BG826" s="188"/>
      <c r="BH826" s="188"/>
      <c r="BI826" s="188"/>
      <c r="BJ826" s="188"/>
      <c r="BK826" s="188"/>
      <c r="BM826" s="188"/>
      <c r="BN826" s="188"/>
      <c r="BO826" s="188"/>
      <c r="BP826" s="188"/>
      <c r="BQ826" s="188"/>
    </row>
    <row r="827" spans="45:69" x14ac:dyDescent="0.3">
      <c r="AV827" s="44"/>
      <c r="AW827" s="123"/>
      <c r="AX827" s="188"/>
      <c r="AY827" s="188"/>
      <c r="AZ827" s="188"/>
      <c r="BA827" s="160"/>
      <c r="BB827" s="188"/>
      <c r="BC827" s="219"/>
      <c r="BD827" s="219"/>
      <c r="BE827" s="160"/>
      <c r="BG827" s="188"/>
      <c r="BH827" s="188"/>
      <c r="BI827" s="188"/>
      <c r="BJ827" s="188"/>
      <c r="BK827" s="188"/>
      <c r="BM827" s="188"/>
      <c r="BN827" s="188"/>
      <c r="BO827" s="188"/>
      <c r="BP827" s="188"/>
      <c r="BQ827" s="188"/>
    </row>
    <row r="828" spans="45:69" x14ac:dyDescent="0.3">
      <c r="AV828" s="44"/>
      <c r="AW828" s="123"/>
      <c r="AX828" s="188"/>
      <c r="AY828" s="188"/>
      <c r="AZ828" s="188"/>
      <c r="BA828" s="160"/>
      <c r="BB828" s="188"/>
      <c r="BC828" s="219"/>
      <c r="BD828" s="219"/>
      <c r="BE828" s="160"/>
      <c r="BG828" s="188"/>
      <c r="BH828" s="188"/>
      <c r="BI828" s="188"/>
      <c r="BJ828" s="188"/>
      <c r="BK828" s="188"/>
      <c r="BM828" s="188"/>
      <c r="BN828" s="188"/>
      <c r="BO828" s="188"/>
      <c r="BP828" s="188"/>
      <c r="BQ828" s="188"/>
    </row>
    <row r="829" spans="45:69" x14ac:dyDescent="0.3">
      <c r="AY829" s="219"/>
      <c r="AZ829" s="188"/>
      <c r="BA829" s="160"/>
      <c r="BB829" s="188"/>
      <c r="BC829" s="219"/>
      <c r="BD829" s="219"/>
      <c r="BE829" s="160"/>
      <c r="BK829" s="188"/>
      <c r="BQ829" s="188"/>
    </row>
    <row r="830" spans="45:69" x14ac:dyDescent="0.3">
      <c r="AV830" s="44"/>
      <c r="AY830" s="219"/>
      <c r="AZ830" s="188"/>
      <c r="BA830" s="160"/>
      <c r="BB830" s="188"/>
      <c r="BC830" s="219"/>
      <c r="BD830" s="219"/>
      <c r="BE830" s="160"/>
      <c r="BK830" s="188"/>
      <c r="BQ830" s="188"/>
    </row>
    <row r="831" spans="45:69" x14ac:dyDescent="0.3">
      <c r="AV831" s="44"/>
      <c r="AW831" s="123"/>
      <c r="AX831" s="188"/>
      <c r="AY831" s="188"/>
      <c r="AZ831" s="188"/>
      <c r="BA831" s="160"/>
      <c r="BB831" s="188"/>
      <c r="BC831" s="219"/>
      <c r="BD831" s="219"/>
      <c r="BE831" s="160"/>
      <c r="BG831" s="188"/>
      <c r="BH831" s="188"/>
      <c r="BI831" s="188"/>
      <c r="BJ831" s="188"/>
      <c r="BK831" s="188"/>
      <c r="BM831" s="188"/>
      <c r="BN831" s="188"/>
      <c r="BO831" s="188"/>
      <c r="BP831" s="188"/>
      <c r="BQ831" s="188"/>
    </row>
    <row r="832" spans="45:69" x14ac:dyDescent="0.3">
      <c r="AV832" s="44"/>
      <c r="AW832" s="123"/>
      <c r="AX832" s="188"/>
      <c r="AY832" s="188"/>
      <c r="AZ832" s="188"/>
      <c r="BA832" s="160"/>
      <c r="BB832" s="188"/>
      <c r="BC832" s="219"/>
      <c r="BD832" s="219"/>
      <c r="BE832" s="160"/>
      <c r="BG832" s="188"/>
      <c r="BH832" s="188"/>
      <c r="BI832" s="188"/>
      <c r="BJ832" s="188"/>
      <c r="BK832" s="188"/>
      <c r="BM832" s="188"/>
      <c r="BN832" s="188"/>
      <c r="BO832" s="188"/>
      <c r="BP832" s="188"/>
      <c r="BQ832" s="188"/>
    </row>
    <row r="833" spans="45:69" x14ac:dyDescent="0.3">
      <c r="AV833" s="44"/>
      <c r="AW833" s="123"/>
      <c r="AX833" s="188"/>
      <c r="AY833" s="188"/>
      <c r="AZ833" s="188"/>
      <c r="BA833" s="160"/>
      <c r="BB833" s="188"/>
      <c r="BC833" s="219"/>
      <c r="BD833" s="219"/>
      <c r="BE833" s="160"/>
      <c r="BG833" s="188"/>
      <c r="BH833" s="188"/>
      <c r="BI833" s="188"/>
      <c r="BJ833" s="188"/>
      <c r="BK833" s="188"/>
      <c r="BM833" s="188"/>
      <c r="BN833" s="188"/>
      <c r="BO833" s="188"/>
      <c r="BP833" s="188"/>
      <c r="BQ833" s="188"/>
    </row>
    <row r="834" spans="45:69" x14ac:dyDescent="0.3">
      <c r="AV834" s="44"/>
      <c r="AW834" s="123"/>
      <c r="AX834" s="188"/>
      <c r="AY834" s="188"/>
      <c r="AZ834" s="188"/>
      <c r="BA834" s="160"/>
      <c r="BB834" s="188"/>
      <c r="BC834" s="219"/>
      <c r="BD834" s="219"/>
      <c r="BE834" s="160"/>
      <c r="BG834" s="188"/>
      <c r="BH834" s="188"/>
      <c r="BI834" s="188"/>
      <c r="BJ834" s="188"/>
      <c r="BK834" s="188"/>
      <c r="BM834" s="188"/>
      <c r="BN834" s="188"/>
      <c r="BO834" s="188"/>
      <c r="BP834" s="188"/>
      <c r="BQ834" s="188"/>
    </row>
    <row r="835" spans="45:69" x14ac:dyDescent="0.3">
      <c r="AV835" s="44"/>
      <c r="AW835" s="123"/>
      <c r="AX835" s="188"/>
      <c r="AY835" s="188"/>
      <c r="AZ835" s="188"/>
      <c r="BA835" s="160"/>
      <c r="BB835" s="188"/>
      <c r="BC835" s="219"/>
      <c r="BD835" s="219"/>
      <c r="BE835" s="160"/>
      <c r="BG835" s="188"/>
      <c r="BH835" s="188"/>
      <c r="BI835" s="188"/>
      <c r="BJ835" s="188"/>
      <c r="BK835" s="188"/>
      <c r="BM835" s="188"/>
      <c r="BN835" s="188"/>
      <c r="BO835" s="188"/>
      <c r="BP835" s="188"/>
      <c r="BQ835" s="188"/>
    </row>
    <row r="836" spans="45:69" x14ac:dyDescent="0.3">
      <c r="AV836" s="44"/>
      <c r="AW836" s="123"/>
      <c r="AX836" s="188"/>
      <c r="AY836" s="188"/>
      <c r="AZ836" s="188"/>
      <c r="BA836" s="160"/>
      <c r="BB836" s="188"/>
      <c r="BC836" s="219"/>
      <c r="BD836" s="219"/>
      <c r="BE836" s="160"/>
      <c r="BG836" s="188"/>
      <c r="BH836" s="188"/>
      <c r="BI836" s="188"/>
      <c r="BJ836" s="188"/>
      <c r="BK836" s="188"/>
      <c r="BM836" s="188"/>
      <c r="BN836" s="188"/>
      <c r="BO836" s="188"/>
      <c r="BP836" s="188"/>
      <c r="BQ836" s="188"/>
    </row>
    <row r="837" spans="45:69" x14ac:dyDescent="0.3">
      <c r="AV837" s="44"/>
      <c r="AW837" s="123"/>
      <c r="AX837" s="188"/>
      <c r="AY837" s="188"/>
      <c r="AZ837" s="188"/>
      <c r="BA837" s="160"/>
      <c r="BB837" s="188"/>
      <c r="BC837" s="219"/>
      <c r="BD837" s="219"/>
      <c r="BE837" s="160"/>
      <c r="BG837" s="188"/>
      <c r="BH837" s="188"/>
      <c r="BI837" s="188"/>
      <c r="BJ837" s="188"/>
      <c r="BK837" s="188"/>
      <c r="BM837" s="188"/>
      <c r="BN837" s="188"/>
      <c r="BO837" s="188"/>
      <c r="BP837" s="188"/>
      <c r="BQ837" s="188"/>
    </row>
    <row r="838" spans="45:69" x14ac:dyDescent="0.3">
      <c r="AV838" s="44"/>
      <c r="AW838" s="123"/>
      <c r="AX838" s="188"/>
      <c r="AY838" s="188"/>
      <c r="AZ838" s="188"/>
      <c r="BA838" s="160"/>
      <c r="BB838" s="188"/>
      <c r="BC838" s="219"/>
      <c r="BD838" s="219"/>
      <c r="BE838" s="160"/>
      <c r="BG838" s="188"/>
      <c r="BH838" s="188"/>
      <c r="BI838" s="188"/>
      <c r="BJ838" s="188"/>
      <c r="BK838" s="188"/>
      <c r="BM838" s="188"/>
      <c r="BN838" s="188"/>
      <c r="BO838" s="188"/>
      <c r="BP838" s="188"/>
      <c r="BQ838" s="188"/>
    </row>
    <row r="839" spans="45:69" x14ac:dyDescent="0.3">
      <c r="AY839" s="219"/>
      <c r="AZ839" s="188"/>
      <c r="BA839" s="160"/>
      <c r="BB839" s="188"/>
      <c r="BC839" s="219"/>
      <c r="BD839" s="219"/>
      <c r="BE839" s="160"/>
      <c r="BK839" s="188"/>
      <c r="BQ839" s="188"/>
    </row>
    <row r="840" spans="45:69" x14ac:dyDescent="0.3">
      <c r="AU840" s="42"/>
      <c r="AZ840" s="188"/>
      <c r="BB840" s="188"/>
      <c r="BG840" s="188"/>
      <c r="BH840" s="188"/>
      <c r="BJ840" s="188"/>
      <c r="BK840" s="188"/>
    </row>
    <row r="841" spans="45:69" x14ac:dyDescent="0.3">
      <c r="AZ841" s="188"/>
      <c r="BB841" s="188"/>
    </row>
    <row r="842" spans="45:69" x14ac:dyDescent="0.3">
      <c r="AS842" s="42"/>
      <c r="AZ842" s="188"/>
      <c r="BB842" s="188"/>
      <c r="BI842" s="188"/>
    </row>
    <row r="843" spans="45:69" x14ac:dyDescent="0.3">
      <c r="AZ843" s="188"/>
      <c r="BB843" s="188"/>
    </row>
    <row r="844" spans="45:69" x14ac:dyDescent="0.3">
      <c r="AY844" s="188"/>
      <c r="BB844" s="188"/>
    </row>
    <row r="845" spans="45:69" x14ac:dyDescent="0.3">
      <c r="AY845" s="42"/>
      <c r="AZ845" s="188"/>
      <c r="BB845" s="188"/>
    </row>
    <row r="846" spans="45:69" x14ac:dyDescent="0.3">
      <c r="AY846" s="42"/>
      <c r="AZ846" s="188"/>
      <c r="BB846" s="188"/>
    </row>
    <row r="847" spans="45:69" x14ac:dyDescent="0.3">
      <c r="AZ847" s="188"/>
      <c r="BB847" s="188"/>
      <c r="BD847" s="42"/>
    </row>
    <row r="848" spans="45:69" x14ac:dyDescent="0.3">
      <c r="AZ848" s="188"/>
      <c r="BB848" s="188"/>
      <c r="BD848" s="42"/>
    </row>
    <row r="849" spans="45:75" x14ac:dyDescent="0.3">
      <c r="AS849" s="42"/>
      <c r="AZ849" s="188"/>
      <c r="BB849" s="188"/>
      <c r="BD849" s="42"/>
    </row>
    <row r="850" spans="45:75" x14ac:dyDescent="0.3">
      <c r="AZ850" s="188"/>
      <c r="BB850" s="188"/>
    </row>
    <row r="851" spans="45:75" x14ac:dyDescent="0.3">
      <c r="AS851" s="135"/>
      <c r="AT851" s="135"/>
      <c r="AU851" s="135"/>
      <c r="AV851" s="135"/>
      <c r="AW851" s="135"/>
      <c r="AX851" s="135"/>
      <c r="AY851" s="135"/>
      <c r="AZ851" s="244"/>
      <c r="BA851" s="135"/>
      <c r="BB851" s="244"/>
      <c r="BC851" s="135"/>
      <c r="BD851" s="135"/>
      <c r="BE851" s="135"/>
    </row>
    <row r="852" spans="45:75" x14ac:dyDescent="0.3">
      <c r="AX852" s="42"/>
      <c r="AZ852" s="188"/>
      <c r="BB852" s="188"/>
    </row>
    <row r="853" spans="45:75" x14ac:dyDescent="0.3">
      <c r="AX853" s="135"/>
      <c r="AY853" s="135"/>
      <c r="AZ853" s="244"/>
      <c r="BA853" s="135"/>
      <c r="BB853" s="188"/>
      <c r="BC853" s="44"/>
      <c r="BD853" s="44"/>
    </row>
    <row r="854" spans="45:75" x14ac:dyDescent="0.3">
      <c r="AV854" s="44"/>
      <c r="AW854" s="44"/>
      <c r="AZ854" s="245"/>
      <c r="BA854" s="44"/>
      <c r="BB854" s="188"/>
      <c r="BC854" s="44"/>
      <c r="BD854" s="44"/>
      <c r="BE854" s="44"/>
      <c r="BG854" s="135"/>
      <c r="BH854" s="135"/>
      <c r="BI854" s="42"/>
      <c r="BM854" s="135"/>
      <c r="BN854" s="135"/>
      <c r="BP854" s="135"/>
      <c r="BQ854" s="135"/>
      <c r="BR854" s="42"/>
      <c r="BV854" s="135"/>
      <c r="BW854" s="135"/>
    </row>
    <row r="855" spans="45:75" x14ac:dyDescent="0.3">
      <c r="AV855" s="44"/>
      <c r="AW855" s="44"/>
      <c r="AX855" s="44"/>
      <c r="AY855" s="44"/>
      <c r="AZ855" s="245"/>
      <c r="BA855" s="44"/>
      <c r="BB855" s="245"/>
      <c r="BC855" s="44"/>
      <c r="BD855" s="44"/>
      <c r="BE855" s="44"/>
      <c r="BH855" s="44"/>
      <c r="BI855" s="44"/>
      <c r="BJ855" s="44"/>
      <c r="BK855" s="44"/>
      <c r="BL855" s="44"/>
      <c r="BM855" s="44"/>
      <c r="BQ855" s="44"/>
      <c r="BR855" s="44"/>
      <c r="BS855" s="44"/>
      <c r="BT855" s="44"/>
      <c r="BU855" s="44"/>
      <c r="BV855" s="44"/>
    </row>
    <row r="856" spans="45:75" x14ac:dyDescent="0.3">
      <c r="AS856" s="44"/>
      <c r="AU856" s="42"/>
      <c r="AV856" s="44"/>
      <c r="AW856" s="44"/>
      <c r="AX856" s="44"/>
      <c r="AY856" s="44"/>
      <c r="AZ856" s="245"/>
      <c r="BA856" s="44"/>
      <c r="BB856" s="245"/>
      <c r="BC856" s="44"/>
      <c r="BD856" s="44"/>
      <c r="BE856" s="44"/>
      <c r="BG856" s="44"/>
      <c r="BH856" s="44"/>
      <c r="BI856" s="44"/>
      <c r="BJ856" s="44"/>
      <c r="BK856" s="44"/>
      <c r="BL856" s="44"/>
      <c r="BM856" s="44"/>
      <c r="BN856" s="44"/>
      <c r="BP856" s="44"/>
      <c r="BQ856" s="44"/>
      <c r="BR856" s="44"/>
      <c r="BS856" s="44"/>
      <c r="BT856" s="44"/>
      <c r="BU856" s="44"/>
      <c r="BV856" s="44"/>
      <c r="BW856" s="44"/>
    </row>
    <row r="857" spans="45:75" x14ac:dyDescent="0.3">
      <c r="AS857" s="44"/>
      <c r="AU857" s="42"/>
      <c r="AV857" s="44"/>
      <c r="AW857" s="44"/>
      <c r="AX857" s="44"/>
      <c r="AY857" s="44"/>
      <c r="AZ857" s="245"/>
      <c r="BA857" s="44"/>
      <c r="BB857" s="245"/>
      <c r="BC857" s="44"/>
      <c r="BD857" s="44"/>
      <c r="BE857" s="44"/>
      <c r="BG857" s="44"/>
      <c r="BH857" s="44"/>
      <c r="BI857" s="44"/>
      <c r="BJ857" s="44"/>
      <c r="BK857" s="44"/>
      <c r="BL857" s="44"/>
      <c r="BM857" s="44"/>
      <c r="BN857" s="44"/>
      <c r="BP857" s="44"/>
      <c r="BQ857" s="44"/>
      <c r="BR857" s="44"/>
      <c r="BS857" s="44"/>
      <c r="BT857" s="44"/>
      <c r="BU857" s="44"/>
      <c r="BV857" s="44"/>
      <c r="BW857" s="44"/>
    </row>
    <row r="858" spans="45:75" x14ac:dyDescent="0.3">
      <c r="AS858" s="135"/>
      <c r="AT858" s="135"/>
      <c r="AU858" s="135"/>
      <c r="AV858" s="135"/>
      <c r="AW858" s="135"/>
      <c r="AX858" s="135"/>
      <c r="AY858" s="135"/>
      <c r="AZ858" s="244"/>
      <c r="BA858" s="135"/>
      <c r="BB858" s="244"/>
      <c r="BC858" s="135"/>
      <c r="BD858" s="135"/>
      <c r="BE858" s="135"/>
      <c r="BG858" s="135"/>
      <c r="BH858" s="135"/>
      <c r="BI858" s="135"/>
      <c r="BJ858" s="135"/>
      <c r="BK858" s="135"/>
      <c r="BL858" s="135"/>
      <c r="BM858" s="135"/>
      <c r="BN858" s="135"/>
      <c r="BP858" s="135"/>
      <c r="BQ858" s="135"/>
      <c r="BR858" s="135"/>
      <c r="BS858" s="135"/>
      <c r="BT858" s="135"/>
      <c r="BU858" s="135"/>
      <c r="BV858" s="135"/>
      <c r="BW858" s="135"/>
    </row>
    <row r="859" spans="45:75" x14ac:dyDescent="0.3">
      <c r="AV859" s="44"/>
      <c r="AW859" s="44"/>
      <c r="AX859" s="44"/>
      <c r="AY859" s="44"/>
      <c r="AZ859" s="245"/>
      <c r="BA859" s="44"/>
      <c r="BB859" s="245"/>
      <c r="BC859" s="44"/>
      <c r="BD859" s="44"/>
      <c r="BE859" s="44"/>
      <c r="BG859" s="188"/>
      <c r="BH859" s="188"/>
      <c r="BI859" s="188"/>
      <c r="BJ859" s="188"/>
      <c r="BK859" s="188"/>
      <c r="BL859" s="188"/>
      <c r="BM859" s="188"/>
      <c r="BN859" s="188"/>
      <c r="BO859" s="188"/>
      <c r="BP859" s="188"/>
      <c r="BQ859" s="188"/>
      <c r="BR859" s="188"/>
      <c r="BS859" s="188"/>
      <c r="BT859" s="188"/>
      <c r="BU859" s="188"/>
      <c r="BV859" s="188"/>
      <c r="BW859" s="188"/>
    </row>
    <row r="860" spans="45:75" x14ac:dyDescent="0.3">
      <c r="AU860" s="42"/>
      <c r="AW860" s="123"/>
      <c r="AX860" s="188"/>
      <c r="AY860" s="188"/>
      <c r="AZ860" s="188"/>
      <c r="BA860" s="236"/>
      <c r="BB860" s="188"/>
      <c r="BC860" s="188"/>
      <c r="BD860" s="188"/>
      <c r="BE860" s="236"/>
      <c r="BG860" s="188"/>
      <c r="BH860" s="188"/>
      <c r="BI860" s="188"/>
      <c r="BJ860" s="188"/>
      <c r="BK860" s="188"/>
      <c r="BL860" s="188"/>
      <c r="BM860" s="188"/>
      <c r="BN860" s="188"/>
      <c r="BO860" s="188"/>
      <c r="BP860" s="188"/>
      <c r="BQ860" s="188"/>
      <c r="BR860" s="188"/>
      <c r="BS860" s="188"/>
      <c r="BT860" s="188"/>
      <c r="BU860" s="188"/>
      <c r="BV860" s="188"/>
      <c r="BW860" s="188"/>
    </row>
    <row r="861" spans="45:75" x14ac:dyDescent="0.3">
      <c r="AW861" s="123"/>
      <c r="AX861" s="188"/>
      <c r="AY861" s="188"/>
      <c r="AZ861" s="188"/>
      <c r="BA861" s="236"/>
      <c r="BB861" s="188"/>
      <c r="BC861" s="188"/>
      <c r="BD861" s="188"/>
      <c r="BE861" s="236"/>
      <c r="BG861" s="188"/>
      <c r="BH861" s="188"/>
      <c r="BI861" s="188"/>
      <c r="BJ861" s="188"/>
      <c r="BK861" s="188"/>
      <c r="BL861" s="188"/>
      <c r="BM861" s="188"/>
      <c r="BN861" s="188"/>
      <c r="BO861" s="188"/>
      <c r="BP861" s="188"/>
      <c r="BQ861" s="188"/>
      <c r="BR861" s="188"/>
      <c r="BS861" s="188"/>
      <c r="BT861" s="188"/>
      <c r="BU861" s="188"/>
      <c r="BV861" s="188"/>
      <c r="BW861" s="188"/>
    </row>
    <row r="862" spans="45:75" x14ac:dyDescent="0.3">
      <c r="AW862" s="123"/>
      <c r="AX862" s="188"/>
      <c r="AY862" s="188"/>
      <c r="AZ862" s="188"/>
      <c r="BA862" s="236"/>
      <c r="BB862" s="188"/>
      <c r="BC862" s="188"/>
      <c r="BD862" s="188"/>
      <c r="BE862" s="236"/>
      <c r="BG862" s="188"/>
      <c r="BH862" s="188"/>
      <c r="BI862" s="188"/>
      <c r="BJ862" s="188"/>
      <c r="BK862" s="188"/>
      <c r="BL862" s="188"/>
      <c r="BM862" s="188"/>
      <c r="BN862" s="188"/>
      <c r="BO862" s="188"/>
      <c r="BP862" s="188"/>
      <c r="BQ862" s="188"/>
      <c r="BR862" s="188"/>
      <c r="BS862" s="188"/>
      <c r="BT862" s="188"/>
      <c r="BU862" s="188"/>
      <c r="BV862" s="188"/>
      <c r="BW862" s="188"/>
    </row>
    <row r="863" spans="45:75" x14ac:dyDescent="0.3">
      <c r="AW863" s="123"/>
      <c r="AX863" s="188"/>
      <c r="AY863" s="188"/>
      <c r="AZ863" s="188"/>
      <c r="BA863" s="236"/>
      <c r="BB863" s="188"/>
      <c r="BC863" s="188"/>
      <c r="BD863" s="188"/>
      <c r="BE863" s="236"/>
      <c r="BG863" s="188"/>
      <c r="BH863" s="188"/>
      <c r="BI863" s="188"/>
      <c r="BJ863" s="188"/>
      <c r="BK863" s="188"/>
      <c r="BL863" s="188"/>
      <c r="BM863" s="188"/>
      <c r="BN863" s="188"/>
      <c r="BO863" s="188"/>
      <c r="BP863" s="188"/>
      <c r="BQ863" s="188"/>
      <c r="BR863" s="188"/>
      <c r="BS863" s="188"/>
      <c r="BT863" s="188"/>
      <c r="BU863" s="188"/>
      <c r="BV863" s="188"/>
      <c r="BW863" s="188"/>
    </row>
    <row r="864" spans="45:75" x14ac:dyDescent="0.3">
      <c r="AW864" s="123"/>
      <c r="AX864" s="188"/>
      <c r="AY864" s="188"/>
      <c r="AZ864" s="188"/>
      <c r="BA864" s="236"/>
      <c r="BB864" s="188"/>
      <c r="BC864" s="188"/>
      <c r="BD864" s="188"/>
      <c r="BE864" s="236"/>
      <c r="BG864" s="188"/>
      <c r="BH864" s="188"/>
      <c r="BI864" s="188"/>
      <c r="BJ864" s="188"/>
      <c r="BK864" s="188"/>
      <c r="BL864" s="188"/>
      <c r="BM864" s="188"/>
      <c r="BN864" s="188"/>
      <c r="BO864" s="188"/>
      <c r="BP864" s="188"/>
      <c r="BQ864" s="188"/>
      <c r="BR864" s="188"/>
      <c r="BS864" s="188"/>
      <c r="BT864" s="188"/>
      <c r="BU864" s="188"/>
      <c r="BV864" s="188"/>
      <c r="BW864" s="188"/>
    </row>
    <row r="865" spans="49:75" x14ac:dyDescent="0.3">
      <c r="AW865" s="123"/>
      <c r="AX865" s="188"/>
      <c r="AY865" s="188"/>
      <c r="AZ865" s="188"/>
      <c r="BA865" s="236"/>
      <c r="BB865" s="188"/>
      <c r="BC865" s="188"/>
      <c r="BD865" s="188"/>
      <c r="BE865" s="236"/>
      <c r="BG865" s="188"/>
      <c r="BH865" s="188"/>
      <c r="BI865" s="188"/>
      <c r="BJ865" s="188"/>
      <c r="BK865" s="188"/>
      <c r="BL865" s="188"/>
      <c r="BM865" s="188"/>
      <c r="BN865" s="188"/>
      <c r="BO865" s="188"/>
      <c r="BP865" s="188"/>
      <c r="BQ865" s="188"/>
      <c r="BR865" s="188"/>
      <c r="BS865" s="188"/>
      <c r="BT865" s="188"/>
      <c r="BU865" s="188"/>
      <c r="BV865" s="188"/>
      <c r="BW865" s="188"/>
    </row>
    <row r="866" spans="49:75" x14ac:dyDescent="0.3">
      <c r="AW866" s="123"/>
      <c r="AX866" s="188"/>
      <c r="AY866" s="188"/>
      <c r="AZ866" s="188"/>
      <c r="BA866" s="236"/>
      <c r="BB866" s="188"/>
      <c r="BC866" s="188"/>
      <c r="BD866" s="188"/>
      <c r="BE866" s="236"/>
      <c r="BG866" s="188"/>
      <c r="BH866" s="188"/>
      <c r="BI866" s="188"/>
      <c r="BJ866" s="188"/>
      <c r="BK866" s="188"/>
      <c r="BL866" s="188"/>
      <c r="BM866" s="188"/>
      <c r="BN866" s="188"/>
      <c r="BO866" s="188"/>
      <c r="BP866" s="188"/>
      <c r="BQ866" s="188"/>
      <c r="BR866" s="188"/>
      <c r="BS866" s="188"/>
      <c r="BT866" s="188"/>
      <c r="BU866" s="188"/>
      <c r="BV866" s="188"/>
      <c r="BW866" s="188"/>
    </row>
    <row r="867" spans="49:75" x14ac:dyDescent="0.3">
      <c r="AW867" s="123"/>
      <c r="AX867" s="188"/>
      <c r="AY867" s="188"/>
      <c r="AZ867" s="188"/>
      <c r="BA867" s="236"/>
      <c r="BB867" s="188"/>
      <c r="BC867" s="188"/>
      <c r="BD867" s="188"/>
      <c r="BE867" s="236"/>
      <c r="BG867" s="188"/>
      <c r="BH867" s="188"/>
      <c r="BI867" s="188"/>
      <c r="BJ867" s="188"/>
      <c r="BK867" s="188"/>
      <c r="BL867" s="188"/>
      <c r="BM867" s="188"/>
      <c r="BN867" s="188"/>
      <c r="BO867" s="188"/>
      <c r="BP867" s="188"/>
      <c r="BQ867" s="188"/>
      <c r="BR867" s="188"/>
      <c r="BS867" s="188"/>
      <c r="BT867" s="188"/>
      <c r="BU867" s="188"/>
      <c r="BV867" s="188"/>
      <c r="BW867" s="188"/>
    </row>
    <row r="868" spans="49:75" x14ac:dyDescent="0.3">
      <c r="AW868" s="123"/>
      <c r="AX868" s="188"/>
      <c r="AY868" s="188"/>
      <c r="AZ868" s="188"/>
      <c r="BA868" s="236"/>
      <c r="BB868" s="188"/>
      <c r="BC868" s="188"/>
      <c r="BD868" s="188"/>
      <c r="BE868" s="236"/>
      <c r="BG868" s="188"/>
      <c r="BH868" s="188"/>
      <c r="BI868" s="188"/>
      <c r="BJ868" s="188"/>
      <c r="BK868" s="188"/>
      <c r="BL868" s="188"/>
      <c r="BM868" s="188"/>
      <c r="BN868" s="188"/>
      <c r="BO868" s="188"/>
      <c r="BP868" s="188"/>
      <c r="BQ868" s="188"/>
      <c r="BR868" s="188"/>
      <c r="BS868" s="188"/>
      <c r="BT868" s="188"/>
      <c r="BU868" s="188"/>
      <c r="BV868" s="188"/>
      <c r="BW868" s="188"/>
    </row>
    <row r="869" spans="49:75" x14ac:dyDescent="0.3">
      <c r="AW869" s="123"/>
      <c r="AX869" s="188"/>
      <c r="AY869" s="188"/>
      <c r="AZ869" s="188"/>
      <c r="BA869" s="236"/>
      <c r="BB869" s="188"/>
      <c r="BC869" s="188"/>
      <c r="BD869" s="188"/>
      <c r="BE869" s="236"/>
      <c r="BG869" s="188"/>
      <c r="BH869" s="188"/>
      <c r="BI869" s="188"/>
      <c r="BJ869" s="188"/>
      <c r="BK869" s="188"/>
      <c r="BL869" s="188"/>
      <c r="BM869" s="188"/>
      <c r="BN869" s="188"/>
      <c r="BO869" s="188"/>
      <c r="BP869" s="188"/>
      <c r="BQ869" s="188"/>
      <c r="BR869" s="188"/>
      <c r="BS869" s="188"/>
      <c r="BT869" s="188"/>
      <c r="BU869" s="188"/>
      <c r="BV869" s="188"/>
      <c r="BW869" s="188"/>
    </row>
    <row r="870" spans="49:75" x14ac:dyDescent="0.3">
      <c r="AW870" s="123"/>
      <c r="AX870" s="188"/>
      <c r="AY870" s="188"/>
      <c r="AZ870" s="188"/>
      <c r="BA870" s="236"/>
      <c r="BB870" s="188"/>
      <c r="BC870" s="188"/>
      <c r="BD870" s="188"/>
      <c r="BE870" s="236"/>
      <c r="BG870" s="188"/>
      <c r="BH870" s="188"/>
      <c r="BI870" s="188"/>
      <c r="BJ870" s="188"/>
      <c r="BK870" s="188"/>
      <c r="BL870" s="188"/>
      <c r="BM870" s="188"/>
      <c r="BN870" s="188"/>
      <c r="BO870" s="188"/>
      <c r="BP870" s="188"/>
      <c r="BQ870" s="188"/>
      <c r="BR870" s="188"/>
      <c r="BS870" s="188"/>
      <c r="BT870" s="188"/>
      <c r="BU870" s="188"/>
      <c r="BV870" s="188"/>
      <c r="BW870" s="188"/>
    </row>
    <row r="871" spans="49:75" x14ac:dyDescent="0.3">
      <c r="AW871" s="123"/>
      <c r="AX871" s="188"/>
      <c r="AY871" s="188"/>
      <c r="AZ871" s="188"/>
      <c r="BA871" s="236"/>
      <c r="BB871" s="188"/>
      <c r="BC871" s="188"/>
      <c r="BD871" s="188"/>
      <c r="BE871" s="236"/>
      <c r="BG871" s="188"/>
      <c r="BH871" s="188"/>
      <c r="BI871" s="188"/>
      <c r="BJ871" s="188"/>
      <c r="BK871" s="188"/>
      <c r="BL871" s="188"/>
      <c r="BM871" s="188"/>
      <c r="BN871" s="188"/>
      <c r="BO871" s="188"/>
      <c r="BP871" s="188"/>
      <c r="BQ871" s="188"/>
      <c r="BR871" s="188"/>
      <c r="BS871" s="188"/>
      <c r="BT871" s="188"/>
      <c r="BU871" s="188"/>
      <c r="BV871" s="188"/>
      <c r="BW871" s="188"/>
    </row>
    <row r="872" spans="49:75" x14ac:dyDescent="0.3">
      <c r="AW872" s="123"/>
      <c r="AX872" s="188"/>
      <c r="AY872" s="188"/>
      <c r="AZ872" s="188"/>
      <c r="BA872" s="236"/>
      <c r="BB872" s="188"/>
      <c r="BC872" s="188"/>
      <c r="BD872" s="188"/>
      <c r="BE872" s="236"/>
      <c r="BG872" s="188"/>
      <c r="BH872" s="188"/>
      <c r="BI872" s="188"/>
      <c r="BJ872" s="188"/>
      <c r="BK872" s="188"/>
      <c r="BL872" s="188"/>
      <c r="BM872" s="188"/>
      <c r="BN872" s="188"/>
      <c r="BO872" s="188"/>
      <c r="BP872" s="188"/>
      <c r="BQ872" s="188"/>
      <c r="BR872" s="188"/>
      <c r="BS872" s="188"/>
      <c r="BT872" s="188"/>
      <c r="BU872" s="188"/>
      <c r="BV872" s="188"/>
      <c r="BW872" s="188"/>
    </row>
    <row r="873" spans="49:75" x14ac:dyDescent="0.3">
      <c r="AW873" s="123"/>
      <c r="AX873" s="188"/>
      <c r="AY873" s="188"/>
      <c r="AZ873" s="188"/>
      <c r="BA873" s="236"/>
      <c r="BB873" s="188"/>
      <c r="BC873" s="188"/>
      <c r="BD873" s="188"/>
      <c r="BE873" s="236"/>
      <c r="BG873" s="188"/>
      <c r="BH873" s="188"/>
      <c r="BI873" s="188"/>
      <c r="BJ873" s="188"/>
      <c r="BK873" s="188"/>
      <c r="BL873" s="188"/>
      <c r="BM873" s="188"/>
      <c r="BN873" s="188"/>
      <c r="BO873" s="188"/>
      <c r="BP873" s="188"/>
      <c r="BQ873" s="188"/>
      <c r="BR873" s="188"/>
      <c r="BS873" s="188"/>
      <c r="BT873" s="188"/>
      <c r="BU873" s="188"/>
      <c r="BV873" s="188"/>
      <c r="BW873" s="188"/>
    </row>
    <row r="874" spans="49:75" x14ac:dyDescent="0.3">
      <c r="AW874" s="123"/>
      <c r="AX874" s="188"/>
      <c r="AY874" s="188"/>
      <c r="AZ874" s="188"/>
      <c r="BA874" s="236"/>
      <c r="BB874" s="188"/>
      <c r="BC874" s="188"/>
      <c r="BD874" s="188"/>
      <c r="BE874" s="236"/>
      <c r="BG874" s="188"/>
      <c r="BH874" s="188"/>
      <c r="BI874" s="188"/>
      <c r="BJ874" s="188"/>
      <c r="BK874" s="188"/>
      <c r="BL874" s="188"/>
      <c r="BM874" s="188"/>
      <c r="BN874" s="188"/>
      <c r="BO874" s="188"/>
      <c r="BP874" s="188"/>
      <c r="BQ874" s="188"/>
      <c r="BR874" s="188"/>
      <c r="BS874" s="188"/>
      <c r="BT874" s="188"/>
      <c r="BU874" s="188"/>
      <c r="BV874" s="188"/>
      <c r="BW874" s="188"/>
    </row>
    <row r="875" spans="49:75" x14ac:dyDescent="0.3">
      <c r="AW875" s="123"/>
      <c r="AX875" s="188"/>
      <c r="AY875" s="188"/>
      <c r="AZ875" s="188"/>
      <c r="BA875" s="236"/>
      <c r="BB875" s="188"/>
      <c r="BC875" s="188"/>
      <c r="BD875" s="188"/>
      <c r="BE875" s="236"/>
      <c r="BG875" s="188"/>
      <c r="BH875" s="188"/>
      <c r="BI875" s="188"/>
      <c r="BJ875" s="188"/>
      <c r="BK875" s="188"/>
      <c r="BL875" s="188"/>
      <c r="BM875" s="188"/>
      <c r="BN875" s="188"/>
      <c r="BO875" s="188"/>
      <c r="BP875" s="188"/>
      <c r="BQ875" s="188"/>
      <c r="BR875" s="188"/>
      <c r="BS875" s="188"/>
      <c r="BT875" s="188"/>
      <c r="BU875" s="188"/>
      <c r="BV875" s="188"/>
      <c r="BW875" s="188"/>
    </row>
    <row r="876" spans="49:75" x14ac:dyDescent="0.3">
      <c r="AW876" s="123"/>
      <c r="AX876" s="188"/>
      <c r="AY876" s="188"/>
      <c r="AZ876" s="188"/>
      <c r="BA876" s="236"/>
      <c r="BB876" s="188"/>
      <c r="BC876" s="188"/>
      <c r="BD876" s="188"/>
      <c r="BE876" s="236"/>
      <c r="BG876" s="188"/>
      <c r="BH876" s="188"/>
      <c r="BI876" s="188"/>
      <c r="BJ876" s="188"/>
      <c r="BK876" s="188"/>
      <c r="BL876" s="188"/>
      <c r="BM876" s="188"/>
      <c r="BN876" s="188"/>
      <c r="BO876" s="188"/>
      <c r="BP876" s="188"/>
      <c r="BQ876" s="188"/>
      <c r="BR876" s="188"/>
      <c r="BS876" s="188"/>
      <c r="BT876" s="188"/>
      <c r="BU876" s="188"/>
      <c r="BV876" s="188"/>
      <c r="BW876" s="188"/>
    </row>
    <row r="877" spans="49:75" x14ac:dyDescent="0.3">
      <c r="AW877" s="123"/>
      <c r="AX877" s="188"/>
      <c r="AY877" s="188"/>
      <c r="AZ877" s="188"/>
      <c r="BA877" s="236"/>
      <c r="BB877" s="188"/>
      <c r="BC877" s="188"/>
      <c r="BD877" s="188"/>
      <c r="BE877" s="236"/>
      <c r="BG877" s="188"/>
      <c r="BH877" s="188"/>
      <c r="BI877" s="188"/>
      <c r="BJ877" s="188"/>
      <c r="BK877" s="188"/>
      <c r="BL877" s="188"/>
      <c r="BM877" s="188"/>
      <c r="BN877" s="188"/>
      <c r="BO877" s="188"/>
      <c r="BP877" s="188"/>
      <c r="BQ877" s="188"/>
      <c r="BR877" s="188"/>
      <c r="BS877" s="188"/>
      <c r="BT877" s="188"/>
      <c r="BU877" s="188"/>
      <c r="BV877" s="188"/>
      <c r="BW877" s="188"/>
    </row>
    <row r="878" spans="49:75" x14ac:dyDescent="0.3">
      <c r="AW878" s="123"/>
      <c r="AX878" s="188"/>
      <c r="AY878" s="188"/>
      <c r="AZ878" s="188"/>
      <c r="BA878" s="236"/>
      <c r="BB878" s="188"/>
      <c r="BC878" s="188"/>
      <c r="BD878" s="188"/>
      <c r="BE878" s="236"/>
      <c r="BG878" s="188"/>
      <c r="BH878" s="188"/>
      <c r="BI878" s="188"/>
      <c r="BJ878" s="188"/>
      <c r="BK878" s="188"/>
      <c r="BL878" s="188"/>
      <c r="BM878" s="188"/>
      <c r="BN878" s="188"/>
      <c r="BO878" s="188"/>
      <c r="BP878" s="188"/>
      <c r="BQ878" s="188"/>
      <c r="BR878" s="188"/>
      <c r="BS878" s="188"/>
      <c r="BT878" s="188"/>
      <c r="BU878" s="188"/>
      <c r="BV878" s="188"/>
      <c r="BW878" s="188"/>
    </row>
    <row r="879" spans="49:75" x14ac:dyDescent="0.3">
      <c r="AW879" s="123"/>
      <c r="AX879" s="188"/>
      <c r="AY879" s="188"/>
      <c r="AZ879" s="188"/>
      <c r="BA879" s="236"/>
      <c r="BB879" s="188"/>
      <c r="BC879" s="188"/>
      <c r="BD879" s="188"/>
      <c r="BE879" s="236"/>
      <c r="BG879" s="188"/>
      <c r="BH879" s="188"/>
      <c r="BI879" s="188"/>
      <c r="BJ879" s="188"/>
      <c r="BK879" s="188"/>
      <c r="BL879" s="188"/>
      <c r="BM879" s="188"/>
      <c r="BN879" s="188"/>
      <c r="BO879" s="188"/>
      <c r="BP879" s="188"/>
      <c r="BQ879" s="188"/>
      <c r="BR879" s="188"/>
      <c r="BS879" s="188"/>
      <c r="BT879" s="188"/>
      <c r="BU879" s="188"/>
      <c r="BV879" s="188"/>
      <c r="BW879" s="188"/>
    </row>
    <row r="880" spans="49:75" x14ac:dyDescent="0.3">
      <c r="AW880" s="123"/>
      <c r="AX880" s="188"/>
      <c r="AY880" s="188"/>
      <c r="AZ880" s="188"/>
      <c r="BA880" s="236"/>
      <c r="BB880" s="188"/>
      <c r="BC880" s="188"/>
      <c r="BD880" s="188"/>
      <c r="BE880" s="236"/>
      <c r="BG880" s="188"/>
      <c r="BH880" s="188"/>
      <c r="BI880" s="188"/>
      <c r="BJ880" s="188"/>
      <c r="BK880" s="188"/>
      <c r="BL880" s="188"/>
      <c r="BM880" s="188"/>
      <c r="BN880" s="188"/>
      <c r="BO880" s="188"/>
      <c r="BP880" s="188"/>
      <c r="BQ880" s="188"/>
      <c r="BR880" s="188"/>
      <c r="BS880" s="188"/>
      <c r="BT880" s="188"/>
      <c r="BU880" s="188"/>
      <c r="BV880" s="188"/>
      <c r="BW880" s="188"/>
    </row>
    <row r="881" spans="45:75" x14ac:dyDescent="0.3">
      <c r="AW881" s="123"/>
      <c r="AX881" s="188"/>
      <c r="AY881" s="188"/>
      <c r="AZ881" s="188"/>
      <c r="BA881" s="236"/>
      <c r="BB881" s="188"/>
      <c r="BC881" s="188"/>
      <c r="BD881" s="188"/>
      <c r="BE881" s="236"/>
      <c r="BG881" s="135"/>
      <c r="BH881" s="135"/>
      <c r="BI881" s="42"/>
      <c r="BM881" s="135"/>
      <c r="BN881" s="135"/>
      <c r="BO881" s="188"/>
      <c r="BP881" s="135"/>
      <c r="BQ881" s="135"/>
      <c r="BR881" s="42"/>
      <c r="BV881" s="135"/>
      <c r="BW881" s="135"/>
    </row>
    <row r="882" spans="45:75" x14ac:dyDescent="0.3">
      <c r="AU882" s="42"/>
      <c r="AV882" s="44"/>
      <c r="AW882" s="123"/>
      <c r="AX882" s="188"/>
      <c r="AY882" s="188"/>
      <c r="AZ882" s="188"/>
      <c r="BA882" s="236"/>
      <c r="BB882" s="188"/>
      <c r="BC882" s="188"/>
      <c r="BD882" s="188"/>
      <c r="BE882" s="236"/>
      <c r="BG882" s="245"/>
      <c r="BH882" s="188"/>
      <c r="BI882" s="188"/>
      <c r="BJ882" s="188"/>
      <c r="BK882" s="245"/>
      <c r="BL882" s="246"/>
      <c r="BM882" s="188"/>
      <c r="BN882" s="245"/>
      <c r="BO882" s="188"/>
      <c r="BP882" s="245"/>
      <c r="BQ882" s="188"/>
      <c r="BR882" s="188"/>
      <c r="BS882" s="188"/>
      <c r="BT882" s="245"/>
      <c r="BU882" s="246"/>
      <c r="BV882" s="188"/>
      <c r="BW882" s="245"/>
    </row>
    <row r="883" spans="45:75" x14ac:dyDescent="0.3">
      <c r="AV883" s="44"/>
      <c r="AW883" s="123"/>
      <c r="AX883" s="188"/>
      <c r="AY883" s="188"/>
      <c r="AZ883" s="188"/>
      <c r="BA883" s="236"/>
      <c r="BB883" s="188"/>
      <c r="BC883" s="188"/>
      <c r="BD883" s="188"/>
      <c r="BE883" s="236"/>
      <c r="BG883" s="188"/>
      <c r="BH883" s="188"/>
      <c r="BI883" s="188"/>
      <c r="BJ883" s="188"/>
      <c r="BK883" s="188"/>
      <c r="BL883" s="246"/>
      <c r="BM883" s="188"/>
      <c r="BN883" s="188"/>
      <c r="BO883" s="188"/>
      <c r="BP883" s="188"/>
      <c r="BQ883" s="188"/>
      <c r="BR883" s="188"/>
      <c r="BS883" s="188"/>
      <c r="BT883" s="188"/>
      <c r="BU883" s="246"/>
      <c r="BV883" s="188"/>
      <c r="BW883" s="188"/>
    </row>
    <row r="884" spans="45:75" x14ac:dyDescent="0.3">
      <c r="AV884" s="44"/>
      <c r="AW884" s="123"/>
      <c r="AX884" s="188"/>
      <c r="AY884" s="188"/>
      <c r="AZ884" s="188"/>
      <c r="BA884" s="236"/>
      <c r="BB884" s="188"/>
      <c r="BC884" s="188"/>
      <c r="BD884" s="188"/>
      <c r="BE884" s="236"/>
      <c r="BG884" s="188"/>
      <c r="BH884" s="188"/>
      <c r="BI884" s="188"/>
      <c r="BJ884" s="188"/>
      <c r="BK884" s="188"/>
      <c r="BL884" s="246"/>
      <c r="BM884" s="188"/>
      <c r="BN884" s="188"/>
      <c r="BO884" s="188"/>
      <c r="BP884" s="188"/>
      <c r="BQ884" s="188"/>
      <c r="BR884" s="188"/>
      <c r="BS884" s="188"/>
      <c r="BT884" s="188"/>
      <c r="BU884" s="246"/>
      <c r="BV884" s="188"/>
      <c r="BW884" s="188"/>
    </row>
    <row r="885" spans="45:75" x14ac:dyDescent="0.3">
      <c r="AV885" s="44"/>
      <c r="AW885" s="123"/>
      <c r="AX885" s="188"/>
      <c r="AY885" s="188"/>
      <c r="AZ885" s="188"/>
      <c r="BA885" s="236"/>
      <c r="BB885" s="188"/>
      <c r="BC885" s="188"/>
      <c r="BD885" s="188"/>
      <c r="BE885" s="236"/>
      <c r="BG885" s="188"/>
      <c r="BH885" s="188"/>
      <c r="BI885" s="188"/>
      <c r="BJ885" s="188"/>
      <c r="BK885" s="188"/>
      <c r="BL885" s="246"/>
      <c r="BM885" s="188"/>
      <c r="BN885" s="188"/>
      <c r="BO885" s="188"/>
      <c r="BP885" s="188"/>
      <c r="BQ885" s="188"/>
      <c r="BR885" s="188"/>
      <c r="BS885" s="188"/>
      <c r="BT885" s="188"/>
      <c r="BU885" s="246"/>
      <c r="BV885" s="188"/>
      <c r="BW885" s="188"/>
    </row>
    <row r="886" spans="45:75" x14ac:dyDescent="0.3">
      <c r="AX886" s="188"/>
      <c r="AY886" s="188"/>
      <c r="AZ886" s="188"/>
      <c r="BA886" s="236"/>
      <c r="BB886" s="188"/>
      <c r="BC886" s="188"/>
      <c r="BD886" s="188"/>
      <c r="BE886" s="236"/>
      <c r="BG886" s="188"/>
      <c r="BH886" s="188"/>
      <c r="BI886" s="188"/>
      <c r="BJ886" s="188"/>
      <c r="BK886" s="188"/>
      <c r="BL886" s="188"/>
      <c r="BM886" s="188"/>
      <c r="BN886" s="188"/>
      <c r="BO886" s="188"/>
      <c r="BP886" s="188"/>
      <c r="BQ886" s="188"/>
      <c r="BR886" s="188"/>
      <c r="BS886" s="188"/>
      <c r="BT886" s="188"/>
      <c r="BU886" s="188"/>
      <c r="BV886" s="188"/>
    </row>
    <row r="887" spans="45:75" x14ac:dyDescent="0.3">
      <c r="AU887" s="42"/>
    </row>
    <row r="888" spans="45:75" x14ac:dyDescent="0.3">
      <c r="AU888" s="42"/>
      <c r="AZ888" s="188"/>
      <c r="BA888" s="236"/>
      <c r="BB888" s="188"/>
      <c r="BC888" s="188"/>
      <c r="BD888" s="188"/>
      <c r="BE888" s="236"/>
      <c r="BG888" s="188"/>
      <c r="BH888" s="188"/>
      <c r="BI888" s="188"/>
      <c r="BJ888" s="188"/>
      <c r="BK888" s="188"/>
      <c r="BL888" s="188"/>
      <c r="BM888" s="188"/>
      <c r="BN888" s="188"/>
      <c r="BO888" s="188"/>
      <c r="BP888" s="188"/>
      <c r="BQ888" s="188"/>
      <c r="BR888" s="188"/>
      <c r="BS888" s="188"/>
      <c r="BT888" s="188"/>
      <c r="BU888" s="188"/>
      <c r="BV888" s="188"/>
    </row>
    <row r="889" spans="45:75" x14ac:dyDescent="0.3">
      <c r="AS889" s="42"/>
      <c r="AZ889" s="188"/>
      <c r="BB889" s="188"/>
    </row>
    <row r="890" spans="45:75" x14ac:dyDescent="0.3">
      <c r="AZ890" s="188"/>
      <c r="BB890" s="188"/>
      <c r="BO890" s="188"/>
      <c r="BP890" s="188"/>
      <c r="BQ890" s="188"/>
      <c r="BR890" s="188"/>
      <c r="BS890" s="188"/>
      <c r="BT890" s="188"/>
      <c r="BU890" s="188"/>
      <c r="BV890" s="188"/>
    </row>
    <row r="891" spans="45:75" x14ac:dyDescent="0.3">
      <c r="AY891" s="188"/>
      <c r="AZ891" s="188"/>
      <c r="BB891" s="188"/>
      <c r="BO891" s="188"/>
      <c r="BP891" s="188"/>
      <c r="BQ891" s="188"/>
      <c r="BR891" s="188"/>
      <c r="BS891" s="188"/>
      <c r="BT891" s="188"/>
      <c r="BU891" s="188"/>
      <c r="BV891" s="188"/>
    </row>
    <row r="892" spans="45:75" x14ac:dyDescent="0.3">
      <c r="AY892" s="42"/>
      <c r="AZ892" s="188"/>
      <c r="BB892" s="188"/>
      <c r="BO892" s="188"/>
      <c r="BP892" s="188"/>
      <c r="BQ892" s="188"/>
      <c r="BR892" s="188"/>
      <c r="BS892" s="188"/>
      <c r="BT892" s="188"/>
      <c r="BU892" s="188"/>
      <c r="BV892" s="188"/>
    </row>
    <row r="893" spans="45:75" x14ac:dyDescent="0.3">
      <c r="AY893" s="42"/>
      <c r="AZ893" s="188"/>
      <c r="BB893" s="188"/>
      <c r="BO893" s="188"/>
      <c r="BP893" s="188"/>
      <c r="BQ893" s="188"/>
      <c r="BR893" s="188"/>
      <c r="BS893" s="188"/>
      <c r="BT893" s="188"/>
      <c r="BU893" s="188"/>
      <c r="BV893" s="188"/>
    </row>
    <row r="894" spans="45:75" x14ac:dyDescent="0.3">
      <c r="AZ894" s="188"/>
      <c r="BB894" s="188"/>
      <c r="BD894" s="42"/>
      <c r="BO894" s="188"/>
      <c r="BP894" s="188"/>
      <c r="BQ894" s="188"/>
      <c r="BR894" s="188"/>
      <c r="BS894" s="188"/>
      <c r="BT894" s="188"/>
      <c r="BU894" s="188"/>
      <c r="BV894" s="188"/>
    </row>
    <row r="895" spans="45:75" x14ac:dyDescent="0.3">
      <c r="AZ895" s="188"/>
      <c r="BB895" s="188"/>
      <c r="BD895" s="42"/>
      <c r="BO895" s="188"/>
      <c r="BP895" s="188"/>
      <c r="BQ895" s="188"/>
      <c r="BR895" s="188"/>
      <c r="BS895" s="188"/>
      <c r="BT895" s="188"/>
      <c r="BU895" s="188"/>
      <c r="BV895" s="188"/>
    </row>
    <row r="896" spans="45:75" x14ac:dyDescent="0.3">
      <c r="AS896" s="42"/>
      <c r="AZ896" s="188"/>
      <c r="BB896" s="188"/>
      <c r="BD896" s="42"/>
      <c r="BO896" s="188"/>
      <c r="BP896" s="188"/>
      <c r="BQ896" s="188"/>
      <c r="BR896" s="188"/>
      <c r="BS896" s="188"/>
      <c r="BT896" s="188"/>
      <c r="BU896" s="188"/>
      <c r="BV896" s="188"/>
    </row>
    <row r="897" spans="45:74" x14ac:dyDescent="0.3">
      <c r="AZ897" s="188"/>
      <c r="BB897" s="188"/>
      <c r="BO897" s="188"/>
      <c r="BP897" s="188"/>
      <c r="BQ897" s="188"/>
      <c r="BR897" s="188"/>
      <c r="BS897" s="188"/>
      <c r="BT897" s="188"/>
      <c r="BU897" s="188"/>
      <c r="BV897" s="188"/>
    </row>
    <row r="898" spans="45:74" x14ac:dyDescent="0.3">
      <c r="AS898" s="135"/>
      <c r="AT898" s="135"/>
      <c r="AU898" s="135"/>
      <c r="AV898" s="135"/>
      <c r="AW898" s="135"/>
      <c r="AX898" s="135"/>
      <c r="AY898" s="135"/>
      <c r="AZ898" s="244"/>
      <c r="BA898" s="135"/>
      <c r="BB898" s="244"/>
      <c r="BC898" s="135"/>
      <c r="BD898" s="135"/>
      <c r="BE898" s="135"/>
      <c r="BO898" s="188"/>
      <c r="BP898" s="188"/>
      <c r="BQ898" s="188"/>
      <c r="BR898" s="188"/>
      <c r="BS898" s="188"/>
      <c r="BT898" s="188"/>
      <c r="BU898" s="188"/>
      <c r="BV898" s="188"/>
    </row>
    <row r="899" spans="45:74" x14ac:dyDescent="0.3">
      <c r="AX899" s="42"/>
      <c r="AZ899" s="188"/>
      <c r="BB899" s="188"/>
      <c r="BO899" s="188"/>
      <c r="BP899" s="188"/>
      <c r="BQ899" s="188"/>
      <c r="BR899" s="188"/>
      <c r="BS899" s="188"/>
      <c r="BT899" s="188"/>
      <c r="BU899" s="188"/>
      <c r="BV899" s="188"/>
    </row>
    <row r="900" spans="45:74" x14ac:dyDescent="0.3">
      <c r="AX900" s="135"/>
      <c r="AY900" s="135"/>
      <c r="AZ900" s="244"/>
      <c r="BA900" s="135"/>
      <c r="BB900" s="188"/>
      <c r="BC900" s="44"/>
      <c r="BD900" s="44"/>
      <c r="BO900" s="188"/>
      <c r="BP900" s="188"/>
      <c r="BQ900" s="188"/>
      <c r="BR900" s="188"/>
      <c r="BS900" s="188"/>
      <c r="BT900" s="188"/>
      <c r="BU900" s="188"/>
      <c r="BV900" s="188"/>
    </row>
    <row r="901" spans="45:74" x14ac:dyDescent="0.3">
      <c r="AV901" s="44"/>
      <c r="AW901" s="44"/>
      <c r="AZ901" s="245"/>
      <c r="BA901" s="44"/>
      <c r="BB901" s="188"/>
      <c r="BC901" s="44"/>
      <c r="BD901" s="44"/>
      <c r="BE901" s="44"/>
      <c r="BG901" s="135"/>
      <c r="BH901" s="42"/>
      <c r="BK901" s="135"/>
      <c r="BM901" s="135"/>
      <c r="BN901" s="42"/>
      <c r="BQ901" s="135"/>
    </row>
    <row r="902" spans="45:74" x14ac:dyDescent="0.3">
      <c r="AV902" s="44"/>
      <c r="AW902" s="44"/>
      <c r="AX902" s="44"/>
      <c r="AY902" s="44"/>
      <c r="AZ902" s="245"/>
      <c r="BA902" s="44"/>
      <c r="BB902" s="245"/>
      <c r="BC902" s="44"/>
      <c r="BD902" s="44"/>
      <c r="BE902" s="44"/>
      <c r="BH902" s="44"/>
      <c r="BI902" s="44"/>
      <c r="BN902" s="44"/>
      <c r="BO902" s="44"/>
    </row>
    <row r="903" spans="45:74" x14ac:dyDescent="0.3">
      <c r="AS903" s="44"/>
      <c r="AU903" s="42"/>
      <c r="AV903" s="44"/>
      <c r="AW903" s="44"/>
      <c r="AX903" s="44"/>
      <c r="AY903" s="44"/>
      <c r="AZ903" s="245"/>
      <c r="BA903" s="44"/>
      <c r="BB903" s="245"/>
      <c r="BC903" s="44"/>
      <c r="BD903" s="44"/>
      <c r="BE903" s="44"/>
      <c r="BG903" s="44"/>
      <c r="BH903" s="44"/>
      <c r="BI903" s="44"/>
      <c r="BJ903" s="44"/>
      <c r="BK903" s="44"/>
      <c r="BM903" s="44"/>
      <c r="BN903" s="44"/>
      <c r="BO903" s="44"/>
      <c r="BP903" s="44"/>
      <c r="BQ903" s="44"/>
    </row>
    <row r="904" spans="45:74" x14ac:dyDescent="0.3">
      <c r="AS904" s="44"/>
      <c r="AU904" s="42"/>
      <c r="AV904" s="44"/>
      <c r="AW904" s="44"/>
      <c r="AX904" s="44"/>
      <c r="AY904" s="44"/>
      <c r="AZ904" s="245"/>
      <c r="BA904" s="44"/>
      <c r="BB904" s="245"/>
      <c r="BC904" s="44"/>
      <c r="BD904" s="44"/>
      <c r="BE904" s="44"/>
      <c r="BG904" s="44"/>
      <c r="BH904" s="44"/>
      <c r="BI904" s="44"/>
      <c r="BJ904" s="44"/>
      <c r="BK904" s="44"/>
      <c r="BM904" s="44"/>
      <c r="BN904" s="44"/>
      <c r="BO904" s="44"/>
      <c r="BP904" s="44"/>
      <c r="BQ904" s="44"/>
    </row>
    <row r="905" spans="45:74" x14ac:dyDescent="0.3">
      <c r="AS905" s="135"/>
      <c r="AT905" s="135"/>
      <c r="AU905" s="135"/>
      <c r="AV905" s="135"/>
      <c r="AW905" s="135"/>
      <c r="AX905" s="135"/>
      <c r="AY905" s="135"/>
      <c r="AZ905" s="244"/>
      <c r="BA905" s="135"/>
      <c r="BB905" s="244"/>
      <c r="BC905" s="135"/>
      <c r="BD905" s="135"/>
      <c r="BE905" s="135"/>
      <c r="BG905" s="135"/>
      <c r="BH905" s="135"/>
      <c r="BI905" s="135"/>
      <c r="BJ905" s="135"/>
      <c r="BK905" s="135"/>
      <c r="BM905" s="135"/>
      <c r="BN905" s="135"/>
      <c r="BO905" s="135"/>
      <c r="BP905" s="135"/>
      <c r="BQ905" s="135"/>
    </row>
    <row r="906" spans="45:74" x14ac:dyDescent="0.3">
      <c r="AV906" s="44"/>
      <c r="AW906" s="44"/>
      <c r="AX906" s="44"/>
      <c r="AY906" s="44"/>
      <c r="AZ906" s="245"/>
      <c r="BA906" s="44"/>
      <c r="BB906" s="245"/>
      <c r="BC906" s="44"/>
      <c r="BD906" s="44"/>
      <c r="BE906" s="44"/>
      <c r="BG906" s="188"/>
      <c r="BH906" s="188"/>
      <c r="BI906" s="188"/>
      <c r="BJ906" s="188"/>
      <c r="BK906" s="188"/>
      <c r="BL906" s="188"/>
      <c r="BM906" s="188"/>
      <c r="BN906" s="188"/>
      <c r="BO906" s="188"/>
      <c r="BP906" s="188"/>
      <c r="BQ906" s="188"/>
    </row>
    <row r="907" spans="45:74" x14ac:dyDescent="0.3">
      <c r="AT907" s="42"/>
      <c r="AV907" s="123"/>
      <c r="AW907" s="123"/>
      <c r="AX907" s="188"/>
      <c r="AY907" s="188"/>
      <c r="AZ907" s="188"/>
      <c r="BA907" s="236"/>
      <c r="BB907" s="188"/>
      <c r="BC907" s="188"/>
      <c r="BD907" s="188"/>
      <c r="BE907" s="236"/>
      <c r="BG907" s="188"/>
      <c r="BH907" s="188"/>
      <c r="BI907" s="188"/>
      <c r="BJ907" s="188"/>
      <c r="BK907" s="188"/>
      <c r="BL907" s="188"/>
      <c r="BM907" s="188"/>
      <c r="BN907" s="188"/>
      <c r="BO907" s="188"/>
      <c r="BP907" s="188"/>
      <c r="BQ907" s="188"/>
      <c r="BR907" s="188"/>
      <c r="BS907" s="188"/>
    </row>
    <row r="908" spans="45:74" x14ac:dyDescent="0.3">
      <c r="AV908" s="123"/>
      <c r="AW908" s="123"/>
      <c r="AX908" s="188"/>
      <c r="AY908" s="188"/>
      <c r="AZ908" s="188"/>
      <c r="BA908" s="236"/>
      <c r="BB908" s="188"/>
      <c r="BC908" s="188"/>
      <c r="BD908" s="188"/>
      <c r="BE908" s="236"/>
      <c r="BG908" s="188"/>
      <c r="BH908" s="188"/>
      <c r="BI908" s="188"/>
      <c r="BJ908" s="188"/>
      <c r="BK908" s="188"/>
      <c r="BL908" s="188"/>
      <c r="BM908" s="188"/>
      <c r="BN908" s="188"/>
      <c r="BO908" s="188"/>
      <c r="BP908" s="188"/>
      <c r="BQ908" s="188"/>
      <c r="BR908" s="188"/>
      <c r="BS908" s="188"/>
    </row>
    <row r="909" spans="45:74" x14ac:dyDescent="0.3">
      <c r="AV909" s="123"/>
      <c r="AW909" s="123"/>
      <c r="AX909" s="188"/>
      <c r="AY909" s="188"/>
      <c r="AZ909" s="188"/>
      <c r="BA909" s="236"/>
      <c r="BB909" s="188"/>
      <c r="BC909" s="188"/>
      <c r="BD909" s="188"/>
      <c r="BE909" s="236"/>
      <c r="BG909" s="188"/>
      <c r="BH909" s="188"/>
      <c r="BI909" s="188"/>
      <c r="BJ909" s="188"/>
      <c r="BK909" s="188"/>
      <c r="BL909" s="188"/>
      <c r="BM909" s="188"/>
      <c r="BN909" s="188"/>
      <c r="BO909" s="188"/>
      <c r="BP909" s="188"/>
      <c r="BQ909" s="188"/>
      <c r="BR909" s="188"/>
      <c r="BS909" s="188"/>
    </row>
    <row r="910" spans="45:74" x14ac:dyDescent="0.3">
      <c r="AV910" s="123"/>
      <c r="AW910" s="123"/>
      <c r="AX910" s="188"/>
      <c r="AY910" s="188"/>
      <c r="AZ910" s="188"/>
      <c r="BA910" s="236"/>
      <c r="BB910" s="188"/>
      <c r="BC910" s="188"/>
      <c r="BD910" s="188"/>
      <c r="BE910" s="236"/>
      <c r="BG910" s="188"/>
      <c r="BH910" s="188"/>
      <c r="BI910" s="188"/>
      <c r="BJ910" s="188"/>
      <c r="BK910" s="188"/>
      <c r="BL910" s="188"/>
      <c r="BM910" s="188"/>
      <c r="BN910" s="188"/>
      <c r="BO910" s="188"/>
      <c r="BP910" s="188"/>
      <c r="BQ910" s="188"/>
      <c r="BR910" s="188"/>
      <c r="BS910" s="188"/>
    </row>
    <row r="911" spans="45:74" x14ac:dyDescent="0.3">
      <c r="AV911" s="123"/>
      <c r="AW911" s="123"/>
      <c r="AX911" s="188"/>
      <c r="AY911" s="188"/>
      <c r="AZ911" s="188"/>
      <c r="BA911" s="236"/>
      <c r="BB911" s="188"/>
      <c r="BC911" s="188"/>
      <c r="BD911" s="188"/>
      <c r="BE911" s="236"/>
      <c r="BG911" s="188"/>
      <c r="BH911" s="188"/>
      <c r="BI911" s="188"/>
      <c r="BJ911" s="188"/>
      <c r="BK911" s="188"/>
      <c r="BL911" s="188"/>
      <c r="BM911" s="188"/>
      <c r="BN911" s="188"/>
      <c r="BO911" s="188"/>
      <c r="BP911" s="188"/>
      <c r="BQ911" s="188"/>
      <c r="BR911" s="188"/>
      <c r="BS911" s="188"/>
    </row>
    <row r="912" spans="45:74" x14ac:dyDescent="0.3">
      <c r="AV912" s="123"/>
      <c r="AW912" s="123"/>
      <c r="AX912" s="188"/>
      <c r="AY912" s="188"/>
      <c r="AZ912" s="188"/>
      <c r="BA912" s="236"/>
      <c r="BB912" s="188"/>
      <c r="BC912" s="188"/>
      <c r="BD912" s="188"/>
      <c r="BE912" s="236"/>
      <c r="BG912" s="188"/>
      <c r="BH912" s="188"/>
      <c r="BI912" s="188"/>
      <c r="BJ912" s="188"/>
      <c r="BK912" s="188"/>
      <c r="BL912" s="188"/>
      <c r="BM912" s="188"/>
      <c r="BN912" s="188"/>
      <c r="BO912" s="188"/>
      <c r="BP912" s="188"/>
      <c r="BQ912" s="188"/>
      <c r="BR912" s="188"/>
      <c r="BS912" s="188"/>
    </row>
    <row r="913" spans="46:71" x14ac:dyDescent="0.3">
      <c r="AV913" s="123"/>
      <c r="AW913" s="123"/>
      <c r="AX913" s="188"/>
      <c r="AY913" s="188"/>
      <c r="AZ913" s="188"/>
      <c r="BA913" s="236"/>
      <c r="BB913" s="188"/>
      <c r="BC913" s="188"/>
      <c r="BD913" s="188"/>
      <c r="BE913" s="236"/>
      <c r="BG913" s="188"/>
      <c r="BH913" s="188"/>
      <c r="BI913" s="188"/>
      <c r="BJ913" s="188"/>
      <c r="BK913" s="188"/>
      <c r="BL913" s="188"/>
      <c r="BM913" s="188"/>
      <c r="BN913" s="188"/>
      <c r="BO913" s="188"/>
      <c r="BP913" s="188"/>
      <c r="BQ913" s="188"/>
      <c r="BR913" s="188"/>
      <c r="BS913" s="188"/>
    </row>
    <row r="914" spans="46:71" x14ac:dyDescent="0.3">
      <c r="AV914" s="123"/>
      <c r="AW914" s="123"/>
      <c r="AX914" s="188"/>
      <c r="AY914" s="188"/>
      <c r="AZ914" s="188"/>
      <c r="BA914" s="236"/>
      <c r="BB914" s="188"/>
      <c r="BC914" s="188"/>
      <c r="BD914" s="188"/>
      <c r="BE914" s="236"/>
      <c r="BG914" s="188"/>
      <c r="BH914" s="188"/>
      <c r="BI914" s="188"/>
      <c r="BJ914" s="188"/>
      <c r="BK914" s="188"/>
      <c r="BL914" s="188"/>
      <c r="BM914" s="188"/>
      <c r="BN914" s="188"/>
      <c r="BO914" s="188"/>
      <c r="BP914" s="188"/>
      <c r="BQ914" s="188"/>
      <c r="BR914" s="188"/>
      <c r="BS914" s="188"/>
    </row>
    <row r="915" spans="46:71" x14ac:dyDescent="0.3">
      <c r="AV915" s="123"/>
      <c r="AW915" s="123"/>
      <c r="AX915" s="188"/>
      <c r="AY915" s="188"/>
      <c r="AZ915" s="188"/>
      <c r="BA915" s="236"/>
      <c r="BB915" s="188"/>
      <c r="BC915" s="188"/>
      <c r="BD915" s="188"/>
      <c r="BE915" s="236"/>
      <c r="BG915" s="188"/>
      <c r="BH915" s="188"/>
      <c r="BI915" s="188"/>
      <c r="BJ915" s="188"/>
      <c r="BK915" s="188"/>
      <c r="BL915" s="188"/>
      <c r="BM915" s="188"/>
      <c r="BN915" s="188"/>
      <c r="BO915" s="188"/>
      <c r="BP915" s="188"/>
      <c r="BQ915" s="188"/>
      <c r="BR915" s="188"/>
      <c r="BS915" s="188"/>
    </row>
    <row r="916" spans="46:71" x14ac:dyDescent="0.3">
      <c r="AV916" s="123"/>
      <c r="AW916" s="123"/>
      <c r="AX916" s="188"/>
      <c r="AY916" s="188"/>
      <c r="AZ916" s="188"/>
      <c r="BA916" s="236"/>
      <c r="BB916" s="188"/>
      <c r="BC916" s="188"/>
      <c r="BD916" s="188"/>
      <c r="BE916" s="236"/>
      <c r="BG916" s="188"/>
      <c r="BH916" s="188"/>
      <c r="BI916" s="188"/>
      <c r="BJ916" s="188"/>
      <c r="BK916" s="188"/>
      <c r="BL916" s="188"/>
      <c r="BM916" s="188"/>
      <c r="BN916" s="188"/>
      <c r="BO916" s="188"/>
      <c r="BP916" s="188"/>
      <c r="BQ916" s="188"/>
      <c r="BR916" s="188"/>
      <c r="BS916" s="188"/>
    </row>
    <row r="917" spans="46:71" x14ac:dyDescent="0.3">
      <c r="AV917" s="123"/>
      <c r="AW917" s="123"/>
      <c r="AX917" s="188"/>
      <c r="AY917" s="188"/>
      <c r="AZ917" s="188"/>
      <c r="BA917" s="236"/>
      <c r="BB917" s="188"/>
      <c r="BC917" s="188"/>
      <c r="BD917" s="188"/>
      <c r="BE917" s="236"/>
      <c r="BG917" s="188"/>
      <c r="BH917" s="188"/>
      <c r="BI917" s="188"/>
      <c r="BJ917" s="188"/>
      <c r="BK917" s="188"/>
      <c r="BL917" s="188"/>
      <c r="BM917" s="188"/>
      <c r="BN917" s="188"/>
      <c r="BO917" s="188"/>
      <c r="BP917" s="188"/>
      <c r="BQ917" s="188"/>
      <c r="BR917" s="188"/>
      <c r="BS917" s="188"/>
    </row>
    <row r="918" spans="46:71" x14ac:dyDescent="0.3">
      <c r="AV918" s="123"/>
      <c r="AW918" s="123"/>
      <c r="AX918" s="188"/>
      <c r="AY918" s="188"/>
      <c r="AZ918" s="188"/>
      <c r="BA918" s="236"/>
      <c r="BB918" s="188"/>
      <c r="BC918" s="188"/>
      <c r="BD918" s="188"/>
      <c r="BE918" s="236"/>
      <c r="BG918" s="188"/>
      <c r="BH918" s="188"/>
      <c r="BI918" s="188"/>
      <c r="BJ918" s="188"/>
      <c r="BK918" s="188"/>
      <c r="BL918" s="188"/>
      <c r="BM918" s="188"/>
      <c r="BN918" s="188"/>
      <c r="BO918" s="188"/>
      <c r="BP918" s="188"/>
      <c r="BQ918" s="188"/>
      <c r="BR918" s="188"/>
      <c r="BS918" s="188"/>
    </row>
    <row r="919" spans="46:71" x14ac:dyDescent="0.3">
      <c r="AV919" s="123"/>
      <c r="AW919" s="123"/>
      <c r="AX919" s="188"/>
      <c r="AY919" s="188"/>
      <c r="AZ919" s="188"/>
      <c r="BA919" s="236"/>
      <c r="BB919" s="188"/>
      <c r="BC919" s="188"/>
      <c r="BD919" s="188"/>
      <c r="BE919" s="236"/>
      <c r="BG919" s="188"/>
      <c r="BH919" s="188"/>
      <c r="BI919" s="188"/>
      <c r="BJ919" s="188"/>
      <c r="BK919" s="188"/>
      <c r="BL919" s="188"/>
      <c r="BM919" s="188"/>
      <c r="BN919" s="188"/>
      <c r="BO919" s="188"/>
      <c r="BP919" s="188"/>
      <c r="BQ919" s="188"/>
      <c r="BR919" s="188"/>
      <c r="BS919" s="188"/>
    </row>
    <row r="920" spans="46:71" x14ac:dyDescent="0.3">
      <c r="AV920" s="123"/>
      <c r="AW920" s="123"/>
      <c r="AX920" s="188"/>
      <c r="AY920" s="188"/>
      <c r="AZ920" s="188"/>
      <c r="BA920" s="236"/>
      <c r="BB920" s="188"/>
      <c r="BC920" s="188"/>
      <c r="BD920" s="188"/>
      <c r="BE920" s="236"/>
      <c r="BG920" s="188"/>
      <c r="BH920" s="188"/>
      <c r="BI920" s="188"/>
      <c r="BJ920" s="188"/>
      <c r="BK920" s="188"/>
      <c r="BL920" s="188"/>
      <c r="BM920" s="188"/>
      <c r="BN920" s="188"/>
      <c r="BO920" s="188"/>
      <c r="BP920" s="188"/>
      <c r="BQ920" s="188"/>
      <c r="BR920" s="188"/>
      <c r="BS920" s="188"/>
    </row>
    <row r="921" spans="46:71" x14ac:dyDescent="0.3">
      <c r="AV921" s="123"/>
      <c r="AW921" s="123"/>
      <c r="AX921" s="188"/>
      <c r="AY921" s="188"/>
      <c r="AZ921" s="188"/>
      <c r="BA921" s="236"/>
      <c r="BB921" s="188"/>
      <c r="BC921" s="188"/>
      <c r="BD921" s="188"/>
      <c r="BE921" s="236"/>
      <c r="BG921" s="188"/>
      <c r="BH921" s="188"/>
      <c r="BI921" s="188"/>
      <c r="BJ921" s="188"/>
      <c r="BK921" s="188"/>
      <c r="BL921" s="188"/>
      <c r="BM921" s="188"/>
      <c r="BN921" s="188"/>
      <c r="BO921" s="188"/>
      <c r="BP921" s="188"/>
      <c r="BQ921" s="188"/>
      <c r="BR921" s="188"/>
      <c r="BS921" s="188"/>
    </row>
    <row r="922" spans="46:71" x14ac:dyDescent="0.3">
      <c r="AV922" s="123"/>
      <c r="AW922" s="123"/>
      <c r="AX922" s="188"/>
      <c r="AY922" s="188"/>
      <c r="AZ922" s="188"/>
      <c r="BA922" s="236"/>
      <c r="BB922" s="188"/>
      <c r="BC922" s="188"/>
      <c r="BD922" s="188"/>
      <c r="BE922" s="236"/>
      <c r="BG922" s="188"/>
      <c r="BH922" s="188"/>
      <c r="BI922" s="188"/>
      <c r="BJ922" s="188"/>
      <c r="BK922" s="188"/>
      <c r="BL922" s="188"/>
      <c r="BM922" s="188"/>
      <c r="BN922" s="188"/>
      <c r="BO922" s="188"/>
      <c r="BP922" s="188"/>
      <c r="BQ922" s="188"/>
      <c r="BR922" s="188"/>
      <c r="BS922" s="188"/>
    </row>
    <row r="923" spans="46:71" x14ac:dyDescent="0.3">
      <c r="AV923" s="123"/>
      <c r="AW923" s="123"/>
      <c r="AX923" s="188"/>
      <c r="AY923" s="188"/>
      <c r="AZ923" s="188"/>
      <c r="BA923" s="236"/>
      <c r="BB923" s="188"/>
      <c r="BC923" s="188"/>
      <c r="BD923" s="188"/>
      <c r="BE923" s="236"/>
      <c r="BG923" s="188"/>
      <c r="BH923" s="188"/>
      <c r="BI923" s="188"/>
      <c r="BJ923" s="188"/>
      <c r="BK923" s="188"/>
      <c r="BL923" s="188"/>
      <c r="BM923" s="188"/>
      <c r="BN923" s="188"/>
      <c r="BO923" s="188"/>
      <c r="BP923" s="188"/>
      <c r="BQ923" s="188"/>
      <c r="BR923" s="188"/>
      <c r="BS923" s="188"/>
    </row>
    <row r="924" spans="46:71" x14ac:dyDescent="0.3">
      <c r="AV924" s="123"/>
      <c r="AW924" s="123"/>
      <c r="AX924" s="188"/>
      <c r="AY924" s="188"/>
      <c r="AZ924" s="188"/>
      <c r="BA924" s="236"/>
      <c r="BB924" s="188"/>
      <c r="BC924" s="188"/>
      <c r="BD924" s="188"/>
      <c r="BE924" s="236"/>
      <c r="BG924" s="188"/>
      <c r="BH924" s="188"/>
      <c r="BI924" s="188"/>
      <c r="BJ924" s="188"/>
      <c r="BK924" s="188"/>
      <c r="BL924" s="188"/>
      <c r="BM924" s="188"/>
      <c r="BN924" s="188"/>
      <c r="BO924" s="188"/>
      <c r="BP924" s="188"/>
      <c r="BQ924" s="188"/>
      <c r="BR924" s="188"/>
      <c r="BS924" s="188"/>
    </row>
    <row r="925" spans="46:71" x14ac:dyDescent="0.3">
      <c r="AZ925" s="188"/>
      <c r="BB925" s="188"/>
      <c r="BC925" s="188"/>
      <c r="BD925" s="188"/>
      <c r="BG925" s="188"/>
      <c r="BH925" s="188"/>
      <c r="BI925" s="188"/>
      <c r="BJ925" s="188"/>
      <c r="BK925" s="188"/>
      <c r="BL925" s="188"/>
      <c r="BM925" s="188"/>
      <c r="BN925" s="188"/>
      <c r="BO925" s="188"/>
      <c r="BP925" s="188"/>
      <c r="BQ925" s="188"/>
      <c r="BR925" s="188"/>
      <c r="BS925" s="188"/>
    </row>
    <row r="926" spans="46:71" x14ac:dyDescent="0.3">
      <c r="AT926" s="42"/>
      <c r="AV926" s="123"/>
      <c r="AW926" s="123"/>
      <c r="AX926" s="188"/>
      <c r="AY926" s="188"/>
      <c r="AZ926" s="188"/>
      <c r="BA926" s="236"/>
      <c r="BB926" s="188"/>
      <c r="BC926" s="188"/>
      <c r="BD926" s="188"/>
      <c r="BE926" s="236"/>
    </row>
    <row r="927" spans="46:71" x14ac:dyDescent="0.3">
      <c r="AV927" s="123"/>
      <c r="AW927" s="123"/>
      <c r="AX927" s="188"/>
      <c r="AY927" s="188"/>
      <c r="AZ927" s="188"/>
      <c r="BA927" s="236"/>
      <c r="BB927" s="188"/>
      <c r="BC927" s="188"/>
      <c r="BD927" s="188"/>
      <c r="BE927" s="236"/>
    </row>
    <row r="928" spans="46:71" x14ac:dyDescent="0.3">
      <c r="AV928" s="123"/>
      <c r="AW928" s="123"/>
      <c r="AX928" s="188"/>
      <c r="AY928" s="188"/>
      <c r="AZ928" s="188"/>
      <c r="BA928" s="236"/>
      <c r="BB928" s="188"/>
      <c r="BC928" s="188"/>
      <c r="BD928" s="188"/>
      <c r="BE928" s="236"/>
    </row>
    <row r="929" spans="48:57" x14ac:dyDescent="0.3">
      <c r="AV929" s="123"/>
      <c r="AW929" s="123"/>
      <c r="AX929" s="188"/>
      <c r="AY929" s="188"/>
      <c r="AZ929" s="188"/>
      <c r="BA929" s="236"/>
      <c r="BB929" s="188"/>
      <c r="BC929" s="188"/>
      <c r="BD929" s="188"/>
      <c r="BE929" s="236"/>
    </row>
    <row r="930" spans="48:57" x14ac:dyDescent="0.3">
      <c r="AV930" s="123"/>
      <c r="AW930" s="123"/>
      <c r="AX930" s="188"/>
      <c r="AY930" s="188"/>
      <c r="AZ930" s="188"/>
      <c r="BA930" s="236"/>
      <c r="BB930" s="188"/>
      <c r="BC930" s="188"/>
      <c r="BD930" s="188"/>
      <c r="BE930" s="236"/>
    </row>
    <row r="931" spans="48:57" x14ac:dyDescent="0.3">
      <c r="AV931" s="123"/>
      <c r="AW931" s="123"/>
      <c r="AX931" s="188"/>
      <c r="AY931" s="188"/>
      <c r="AZ931" s="188"/>
      <c r="BA931" s="236"/>
      <c r="BB931" s="188"/>
      <c r="BC931" s="188"/>
      <c r="BD931" s="188"/>
      <c r="BE931" s="236"/>
    </row>
    <row r="932" spans="48:57" x14ac:dyDescent="0.3">
      <c r="AV932" s="123"/>
      <c r="AW932" s="123"/>
      <c r="AX932" s="188"/>
      <c r="AY932" s="188"/>
      <c r="AZ932" s="188"/>
      <c r="BA932" s="236"/>
      <c r="BB932" s="188"/>
      <c r="BC932" s="188"/>
      <c r="BD932" s="188"/>
      <c r="BE932" s="236"/>
    </row>
    <row r="933" spans="48:57" x14ac:dyDescent="0.3">
      <c r="AV933" s="123"/>
      <c r="AW933" s="123"/>
      <c r="AX933" s="188"/>
      <c r="AY933" s="188"/>
      <c r="AZ933" s="188"/>
      <c r="BA933" s="236"/>
      <c r="BB933" s="188"/>
      <c r="BC933" s="188"/>
      <c r="BD933" s="188"/>
      <c r="BE933" s="236"/>
    </row>
    <row r="934" spans="48:57" x14ac:dyDescent="0.3">
      <c r="AV934" s="123"/>
      <c r="AW934" s="123"/>
      <c r="AX934" s="188"/>
      <c r="AY934" s="188"/>
      <c r="AZ934" s="188"/>
      <c r="BA934" s="236"/>
      <c r="BB934" s="188"/>
      <c r="BC934" s="188"/>
      <c r="BD934" s="188"/>
      <c r="BE934" s="236"/>
    </row>
    <row r="935" spans="48:57" x14ac:dyDescent="0.3">
      <c r="AV935" s="123"/>
      <c r="AW935" s="123"/>
      <c r="AX935" s="188"/>
      <c r="AY935" s="188"/>
      <c r="AZ935" s="188"/>
      <c r="BA935" s="236"/>
      <c r="BB935" s="188"/>
      <c r="BC935" s="188"/>
      <c r="BD935" s="188"/>
      <c r="BE935" s="236"/>
    </row>
    <row r="936" spans="48:57" x14ac:dyDescent="0.3">
      <c r="AV936" s="123"/>
      <c r="AW936" s="123"/>
      <c r="AX936" s="188"/>
      <c r="AY936" s="188"/>
      <c r="AZ936" s="188"/>
      <c r="BA936" s="236"/>
      <c r="BB936" s="188"/>
      <c r="BC936" s="188"/>
      <c r="BD936" s="188"/>
      <c r="BE936" s="236"/>
    </row>
    <row r="937" spans="48:57" x14ac:dyDescent="0.3">
      <c r="AV937" s="123"/>
      <c r="AW937" s="123"/>
      <c r="AX937" s="188"/>
      <c r="AY937" s="188"/>
      <c r="AZ937" s="188"/>
      <c r="BA937" s="236"/>
      <c r="BB937" s="188"/>
      <c r="BC937" s="188"/>
      <c r="BD937" s="188"/>
      <c r="BE937" s="236"/>
    </row>
    <row r="938" spans="48:57" x14ac:dyDescent="0.3">
      <c r="AV938" s="123"/>
      <c r="AW938" s="123"/>
      <c r="AX938" s="188"/>
      <c r="AY938" s="188"/>
      <c r="AZ938" s="188"/>
      <c r="BA938" s="236"/>
      <c r="BB938" s="188"/>
      <c r="BC938" s="188"/>
      <c r="BD938" s="188"/>
      <c r="BE938" s="236"/>
    </row>
    <row r="939" spans="48:57" x14ac:dyDescent="0.3">
      <c r="AV939" s="123"/>
      <c r="AW939" s="123"/>
      <c r="AX939" s="188"/>
      <c r="AY939" s="188"/>
      <c r="AZ939" s="188"/>
      <c r="BA939" s="236"/>
      <c r="BB939" s="188"/>
      <c r="BC939" s="188"/>
      <c r="BD939" s="188"/>
      <c r="BE939" s="236"/>
    </row>
    <row r="940" spans="48:57" x14ac:dyDescent="0.3">
      <c r="AV940" s="123"/>
      <c r="AW940" s="123"/>
      <c r="AX940" s="188"/>
      <c r="AY940" s="188"/>
      <c r="AZ940" s="188"/>
      <c r="BA940" s="236"/>
      <c r="BB940" s="188"/>
      <c r="BC940" s="188"/>
      <c r="BD940" s="188"/>
      <c r="BE940" s="236"/>
    </row>
    <row r="941" spans="48:57" x14ac:dyDescent="0.3">
      <c r="AV941" s="123"/>
      <c r="AW941" s="123"/>
      <c r="AX941" s="188"/>
      <c r="AY941" s="188"/>
      <c r="AZ941" s="188"/>
      <c r="BA941" s="236"/>
      <c r="BB941" s="188"/>
      <c r="BC941" s="188"/>
      <c r="BD941" s="188"/>
      <c r="BE941" s="236"/>
    </row>
    <row r="942" spans="48:57" x14ac:dyDescent="0.3">
      <c r="AV942" s="123"/>
      <c r="AW942" s="123"/>
      <c r="AX942" s="188"/>
      <c r="AY942" s="188"/>
      <c r="AZ942" s="188"/>
      <c r="BA942" s="236"/>
      <c r="BB942" s="188"/>
      <c r="BC942" s="188"/>
      <c r="BD942" s="188"/>
      <c r="BE942" s="236"/>
    </row>
    <row r="943" spans="48:57" x14ac:dyDescent="0.3">
      <c r="AV943" s="123"/>
      <c r="AW943" s="123"/>
      <c r="AX943" s="188"/>
      <c r="AY943" s="188"/>
      <c r="AZ943" s="188"/>
      <c r="BA943" s="236"/>
      <c r="BB943" s="188"/>
      <c r="BC943" s="188"/>
      <c r="BD943" s="188"/>
      <c r="BE943" s="236"/>
    </row>
    <row r="944" spans="48:57" x14ac:dyDescent="0.3">
      <c r="BB944" s="188"/>
    </row>
    <row r="945" spans="45:57" x14ac:dyDescent="0.3">
      <c r="AU945" s="42"/>
      <c r="BB945" s="188"/>
    </row>
    <row r="946" spans="45:57" x14ac:dyDescent="0.3">
      <c r="AU946" s="42"/>
    </row>
    <row r="947" spans="45:57" x14ac:dyDescent="0.3">
      <c r="AU947" s="42"/>
      <c r="BB947" s="188"/>
    </row>
    <row r="948" spans="45:57" x14ac:dyDescent="0.3">
      <c r="AS948" s="42"/>
      <c r="AZ948" s="188"/>
      <c r="BB948" s="188"/>
    </row>
    <row r="949" spans="45:57" x14ac:dyDescent="0.3">
      <c r="AZ949" s="188"/>
      <c r="BB949" s="188"/>
    </row>
    <row r="950" spans="45:57" x14ac:dyDescent="0.3">
      <c r="AY950" s="188"/>
      <c r="AZ950" s="188"/>
      <c r="BB950" s="188"/>
    </row>
    <row r="951" spans="45:57" x14ac:dyDescent="0.3">
      <c r="AY951" s="42"/>
      <c r="AZ951" s="188"/>
      <c r="BB951" s="188"/>
    </row>
    <row r="952" spans="45:57" x14ac:dyDescent="0.3">
      <c r="AY952" s="42"/>
      <c r="AZ952" s="188"/>
      <c r="BB952" s="188"/>
    </row>
    <row r="953" spans="45:57" x14ac:dyDescent="0.3">
      <c r="AZ953" s="188"/>
      <c r="BB953" s="188"/>
      <c r="BD953" s="42"/>
    </row>
    <row r="954" spans="45:57" x14ac:dyDescent="0.3">
      <c r="AZ954" s="188"/>
      <c r="BB954" s="188"/>
      <c r="BD954" s="42"/>
    </row>
    <row r="955" spans="45:57" x14ac:dyDescent="0.3">
      <c r="AS955" s="42"/>
      <c r="AZ955" s="188"/>
      <c r="BB955" s="188"/>
      <c r="BD955" s="42"/>
    </row>
    <row r="956" spans="45:57" x14ac:dyDescent="0.3">
      <c r="AZ956" s="188"/>
      <c r="BB956" s="188"/>
    </row>
    <row r="957" spans="45:57" x14ac:dyDescent="0.3">
      <c r="AS957" s="135"/>
      <c r="AT957" s="135"/>
      <c r="AU957" s="135"/>
      <c r="AV957" s="135"/>
      <c r="AW957" s="135"/>
      <c r="AX957" s="135"/>
      <c r="AY957" s="135"/>
      <c r="AZ957" s="244"/>
      <c r="BA957" s="135"/>
      <c r="BB957" s="244"/>
      <c r="BC957" s="135"/>
      <c r="BD957" s="135"/>
      <c r="BE957" s="135"/>
    </row>
    <row r="958" spans="45:57" x14ac:dyDescent="0.3">
      <c r="AX958" s="42"/>
      <c r="AZ958" s="188"/>
      <c r="BB958" s="188"/>
    </row>
    <row r="959" spans="45:57" x14ac:dyDescent="0.3">
      <c r="AX959" s="135"/>
      <c r="AY959" s="135"/>
      <c r="AZ959" s="244"/>
      <c r="BA959" s="135"/>
      <c r="BB959" s="188"/>
      <c r="BC959" s="44"/>
      <c r="BD959" s="44"/>
    </row>
    <row r="960" spans="45:57" x14ac:dyDescent="0.3">
      <c r="AV960" s="44"/>
      <c r="AW960" s="44"/>
      <c r="AZ960" s="245"/>
      <c r="BA960" s="44"/>
      <c r="BB960" s="188"/>
      <c r="BC960" s="44"/>
      <c r="BD960" s="44"/>
      <c r="BE960" s="44"/>
    </row>
    <row r="961" spans="45:57" x14ac:dyDescent="0.3">
      <c r="AV961" s="44"/>
      <c r="AW961" s="44"/>
      <c r="AX961" s="44"/>
      <c r="AY961" s="44"/>
      <c r="AZ961" s="245"/>
      <c r="BA961" s="44"/>
      <c r="BB961" s="245"/>
      <c r="BC961" s="44"/>
      <c r="BD961" s="44"/>
      <c r="BE961" s="44"/>
    </row>
    <row r="962" spans="45:57" x14ac:dyDescent="0.3">
      <c r="AS962" s="44"/>
      <c r="AU962" s="42"/>
      <c r="AV962" s="44"/>
      <c r="AW962" s="44"/>
      <c r="AX962" s="44"/>
      <c r="AY962" s="44"/>
      <c r="AZ962" s="245"/>
      <c r="BA962" s="44"/>
      <c r="BB962" s="245"/>
      <c r="BC962" s="44"/>
      <c r="BD962" s="44"/>
      <c r="BE962" s="44"/>
    </row>
    <row r="963" spans="45:57" x14ac:dyDescent="0.3">
      <c r="AS963" s="44"/>
      <c r="AU963" s="42"/>
      <c r="AV963" s="44"/>
      <c r="AW963" s="44"/>
      <c r="AX963" s="44"/>
      <c r="AY963" s="44"/>
      <c r="AZ963" s="245"/>
      <c r="BA963" s="44"/>
      <c r="BB963" s="245"/>
      <c r="BC963" s="44"/>
      <c r="BD963" s="44"/>
      <c r="BE963" s="44"/>
    </row>
    <row r="964" spans="45:57" x14ac:dyDescent="0.3">
      <c r="AS964" s="135"/>
      <c r="AT964" s="135"/>
      <c r="AU964" s="135"/>
      <c r="AV964" s="135"/>
      <c r="AW964" s="135"/>
      <c r="AX964" s="135"/>
      <c r="AY964" s="135"/>
      <c r="AZ964" s="244"/>
      <c r="BA964" s="135"/>
      <c r="BB964" s="244"/>
      <c r="BC964" s="135"/>
      <c r="BD964" s="135"/>
      <c r="BE964" s="135"/>
    </row>
    <row r="965" spans="45:57" x14ac:dyDescent="0.3">
      <c r="AV965" s="44"/>
      <c r="AW965" s="44"/>
      <c r="AX965" s="44"/>
      <c r="AY965" s="44"/>
      <c r="AZ965" s="245"/>
      <c r="BA965" s="44"/>
      <c r="BB965" s="245"/>
      <c r="BC965" s="44"/>
      <c r="BD965" s="44"/>
      <c r="BE965" s="44"/>
    </row>
    <row r="966" spans="45:57" x14ac:dyDescent="0.3">
      <c r="AT966" s="42"/>
      <c r="AV966" s="123"/>
      <c r="AW966" s="123"/>
      <c r="AX966" s="188"/>
      <c r="AY966" s="188"/>
      <c r="AZ966" s="188"/>
      <c r="BA966" s="236"/>
      <c r="BB966" s="188"/>
      <c r="BC966" s="188"/>
      <c r="BD966" s="188"/>
      <c r="BE966" s="236"/>
    </row>
    <row r="967" spans="45:57" x14ac:dyDescent="0.3">
      <c r="AV967" s="123"/>
      <c r="AW967" s="123"/>
      <c r="AX967" s="188"/>
      <c r="AY967" s="188"/>
      <c r="AZ967" s="188"/>
      <c r="BA967" s="236"/>
      <c r="BB967" s="188"/>
      <c r="BC967" s="188"/>
      <c r="BD967" s="188"/>
      <c r="BE967" s="236"/>
    </row>
    <row r="968" spans="45:57" x14ac:dyDescent="0.3">
      <c r="AV968" s="123"/>
      <c r="AW968" s="123"/>
      <c r="AX968" s="188"/>
      <c r="AY968" s="188"/>
      <c r="AZ968" s="188"/>
      <c r="BA968" s="236"/>
      <c r="BB968" s="188"/>
      <c r="BC968" s="188"/>
      <c r="BD968" s="188"/>
      <c r="BE968" s="236"/>
    </row>
    <row r="969" spans="45:57" x14ac:dyDescent="0.3">
      <c r="AV969" s="123"/>
      <c r="AW969" s="123"/>
      <c r="AX969" s="188"/>
      <c r="AY969" s="188"/>
      <c r="AZ969" s="188"/>
      <c r="BA969" s="236"/>
      <c r="BB969" s="188"/>
      <c r="BC969" s="188"/>
      <c r="BD969" s="188"/>
      <c r="BE969" s="236"/>
    </row>
    <row r="970" spans="45:57" x14ac:dyDescent="0.3">
      <c r="AV970" s="123"/>
      <c r="AW970" s="123"/>
      <c r="AX970" s="188"/>
      <c r="AY970" s="188"/>
      <c r="AZ970" s="188"/>
      <c r="BA970" s="236"/>
      <c r="BB970" s="188"/>
      <c r="BC970" s="188"/>
      <c r="BD970" s="188"/>
      <c r="BE970" s="236"/>
    </row>
    <row r="971" spans="45:57" x14ac:dyDescent="0.3">
      <c r="AV971" s="123"/>
      <c r="AW971" s="123"/>
      <c r="AX971" s="188"/>
      <c r="AY971" s="188"/>
      <c r="AZ971" s="188"/>
      <c r="BA971" s="236"/>
      <c r="BB971" s="188"/>
      <c r="BC971" s="188"/>
      <c r="BD971" s="188"/>
      <c r="BE971" s="236"/>
    </row>
    <row r="972" spans="45:57" x14ac:dyDescent="0.3">
      <c r="AV972" s="123"/>
      <c r="AW972" s="123"/>
      <c r="AX972" s="188"/>
      <c r="AY972" s="188"/>
      <c r="AZ972" s="188"/>
      <c r="BA972" s="236"/>
      <c r="BB972" s="188"/>
      <c r="BC972" s="188"/>
      <c r="BD972" s="188"/>
      <c r="BE972" s="236"/>
    </row>
    <row r="973" spans="45:57" x14ac:dyDescent="0.3">
      <c r="AV973" s="123"/>
      <c r="AW973" s="123"/>
      <c r="AX973" s="188"/>
      <c r="AY973" s="188"/>
      <c r="AZ973" s="188"/>
      <c r="BA973" s="236"/>
      <c r="BB973" s="188"/>
      <c r="BC973" s="188"/>
      <c r="BD973" s="188"/>
      <c r="BE973" s="236"/>
    </row>
    <row r="974" spans="45:57" x14ac:dyDescent="0.3">
      <c r="AV974" s="123"/>
      <c r="AW974" s="123"/>
      <c r="AX974" s="188"/>
      <c r="AY974" s="188"/>
      <c r="AZ974" s="188"/>
      <c r="BA974" s="236"/>
      <c r="BB974" s="188"/>
      <c r="BC974" s="188"/>
      <c r="BD974" s="188"/>
      <c r="BE974" s="236"/>
    </row>
    <row r="975" spans="45:57" x14ac:dyDescent="0.3">
      <c r="AV975" s="123"/>
      <c r="AW975" s="123"/>
      <c r="AX975" s="188"/>
      <c r="AY975" s="188"/>
      <c r="AZ975" s="188"/>
      <c r="BA975" s="236"/>
      <c r="BB975" s="188"/>
      <c r="BC975" s="188"/>
      <c r="BD975" s="188"/>
      <c r="BE975" s="236"/>
    </row>
    <row r="976" spans="45:57" x14ac:dyDescent="0.3">
      <c r="AV976" s="123"/>
      <c r="AW976" s="123"/>
      <c r="BB976" s="188"/>
    </row>
    <row r="977" spans="45:57" x14ac:dyDescent="0.3">
      <c r="AT977" s="42"/>
      <c r="AV977" s="123"/>
      <c r="AW977" s="123"/>
      <c r="AX977" s="188"/>
      <c r="AY977" s="188"/>
      <c r="AZ977" s="188"/>
      <c r="BA977" s="236"/>
      <c r="BB977" s="188"/>
      <c r="BC977" s="188"/>
      <c r="BD977" s="188"/>
      <c r="BE977" s="236"/>
    </row>
    <row r="978" spans="45:57" x14ac:dyDescent="0.3">
      <c r="AV978" s="123"/>
      <c r="AW978" s="123"/>
      <c r="AX978" s="188"/>
      <c r="AY978" s="188"/>
      <c r="AZ978" s="188"/>
      <c r="BA978" s="236"/>
      <c r="BB978" s="188"/>
      <c r="BC978" s="188"/>
      <c r="BD978" s="188"/>
      <c r="BE978" s="236"/>
    </row>
    <row r="979" spans="45:57" x14ac:dyDescent="0.3">
      <c r="AV979" s="123"/>
      <c r="AW979" s="123"/>
      <c r="AX979" s="188"/>
      <c r="AY979" s="188"/>
      <c r="AZ979" s="188"/>
      <c r="BA979" s="236"/>
      <c r="BB979" s="188"/>
      <c r="BC979" s="188"/>
      <c r="BD979" s="188"/>
      <c r="BE979" s="236"/>
    </row>
    <row r="980" spans="45:57" x14ac:dyDescent="0.3">
      <c r="AV980" s="123"/>
      <c r="AW980" s="123"/>
      <c r="AX980" s="188"/>
      <c r="AY980" s="188"/>
      <c r="AZ980" s="188"/>
      <c r="BA980" s="236"/>
      <c r="BB980" s="188"/>
      <c r="BC980" s="188"/>
      <c r="BD980" s="188"/>
      <c r="BE980" s="236"/>
    </row>
    <row r="981" spans="45:57" x14ac:dyDescent="0.3">
      <c r="AV981" s="123"/>
      <c r="AW981" s="123"/>
      <c r="AX981" s="188"/>
      <c r="AY981" s="188"/>
      <c r="AZ981" s="188"/>
      <c r="BA981" s="236"/>
      <c r="BB981" s="188"/>
      <c r="BC981" s="188"/>
      <c r="BD981" s="188"/>
      <c r="BE981" s="236"/>
    </row>
    <row r="982" spans="45:57" x14ac:dyDescent="0.3">
      <c r="AV982" s="123"/>
      <c r="AW982" s="123"/>
      <c r="AX982" s="188"/>
      <c r="AY982" s="188"/>
      <c r="AZ982" s="188"/>
      <c r="BA982" s="236"/>
      <c r="BB982" s="188"/>
      <c r="BC982" s="188"/>
      <c r="BD982" s="188"/>
      <c r="BE982" s="236"/>
    </row>
    <row r="983" spans="45:57" x14ac:dyDescent="0.3">
      <c r="AV983" s="123"/>
      <c r="AW983" s="123"/>
      <c r="AX983" s="188"/>
      <c r="AY983" s="188"/>
      <c r="AZ983" s="188"/>
      <c r="BA983" s="236"/>
      <c r="BB983" s="188"/>
      <c r="BC983" s="188"/>
      <c r="BD983" s="188"/>
      <c r="BE983" s="236"/>
    </row>
    <row r="984" spans="45:57" x14ac:dyDescent="0.3">
      <c r="AV984" s="123"/>
      <c r="AW984" s="123"/>
      <c r="AX984" s="188"/>
      <c r="AY984" s="188"/>
      <c r="AZ984" s="188"/>
      <c r="BA984" s="236"/>
      <c r="BB984" s="188"/>
      <c r="BC984" s="188"/>
      <c r="BD984" s="188"/>
      <c r="BE984" s="236"/>
    </row>
    <row r="985" spans="45:57" x14ac:dyDescent="0.3">
      <c r="AV985" s="123"/>
      <c r="AW985" s="123"/>
      <c r="AX985" s="188"/>
      <c r="AY985" s="188"/>
      <c r="AZ985" s="188"/>
      <c r="BA985" s="236"/>
      <c r="BB985" s="188"/>
      <c r="BC985" s="188"/>
      <c r="BD985" s="188"/>
      <c r="BE985" s="236"/>
    </row>
    <row r="986" spans="45:57" x14ac:dyDescent="0.3">
      <c r="AV986" s="123"/>
      <c r="AW986" s="123"/>
      <c r="AX986" s="188"/>
      <c r="AY986" s="188"/>
      <c r="AZ986" s="188"/>
      <c r="BA986" s="236"/>
      <c r="BB986" s="188"/>
      <c r="BC986" s="188"/>
      <c r="BD986" s="188"/>
      <c r="BE986" s="236"/>
    </row>
    <row r="988" spans="45:57" x14ac:dyDescent="0.3">
      <c r="AU988" s="42"/>
    </row>
    <row r="989" spans="45:57" x14ac:dyDescent="0.3">
      <c r="AU989" s="42"/>
    </row>
    <row r="990" spans="45:57" x14ac:dyDescent="0.3">
      <c r="AU990" s="42"/>
    </row>
    <row r="991" spans="45:57" x14ac:dyDescent="0.3">
      <c r="AS991" s="42"/>
    </row>
    <row r="1012" spans="52:71" x14ac:dyDescent="0.3">
      <c r="AZ1012" s="188"/>
      <c r="BB1012" s="188"/>
      <c r="BC1012" s="188"/>
      <c r="BD1012" s="188"/>
      <c r="BG1012" s="188"/>
      <c r="BH1012" s="188"/>
      <c r="BI1012" s="188"/>
      <c r="BJ1012" s="188"/>
      <c r="BK1012" s="188"/>
      <c r="BL1012" s="188"/>
      <c r="BM1012" s="188"/>
      <c r="BN1012" s="188"/>
      <c r="BO1012" s="188"/>
      <c r="BP1012" s="188"/>
      <c r="BQ1012" s="188"/>
      <c r="BR1012" s="188"/>
      <c r="BS1012" s="188"/>
    </row>
    <row r="1013" spans="52:71" x14ac:dyDescent="0.3">
      <c r="AZ1013" s="188"/>
      <c r="BB1013" s="188"/>
      <c r="BC1013" s="188"/>
      <c r="BD1013" s="188"/>
      <c r="BG1013" s="188"/>
      <c r="BH1013" s="188"/>
      <c r="BI1013" s="188"/>
      <c r="BJ1013" s="188"/>
      <c r="BK1013" s="188"/>
      <c r="BL1013" s="188"/>
      <c r="BM1013" s="188"/>
      <c r="BN1013" s="188"/>
      <c r="BO1013" s="188"/>
      <c r="BP1013" s="188"/>
      <c r="BQ1013" s="188"/>
      <c r="BR1013" s="188"/>
      <c r="BS1013" s="188"/>
    </row>
    <row r="1014" spans="52:71" x14ac:dyDescent="0.3">
      <c r="AZ1014" s="188"/>
      <c r="BB1014" s="188"/>
      <c r="BC1014" s="188"/>
      <c r="BD1014" s="188"/>
      <c r="BG1014" s="188"/>
      <c r="BH1014" s="188"/>
      <c r="BI1014" s="188"/>
      <c r="BJ1014" s="188"/>
      <c r="BK1014" s="188"/>
      <c r="BL1014" s="188"/>
      <c r="BM1014" s="188"/>
      <c r="BN1014" s="188"/>
      <c r="BO1014" s="188"/>
      <c r="BP1014" s="188"/>
      <c r="BQ1014" s="188"/>
      <c r="BR1014" s="188"/>
      <c r="BS1014" s="188"/>
    </row>
    <row r="1015" spans="52:71" x14ac:dyDescent="0.3">
      <c r="AZ1015" s="188"/>
      <c r="BB1015" s="188"/>
      <c r="BC1015" s="188"/>
      <c r="BD1015" s="188"/>
      <c r="BG1015" s="188"/>
      <c r="BH1015" s="188"/>
      <c r="BI1015" s="188"/>
      <c r="BJ1015" s="188"/>
      <c r="BK1015" s="188"/>
      <c r="BL1015" s="188"/>
      <c r="BM1015" s="188"/>
      <c r="BN1015" s="188"/>
      <c r="BO1015" s="188"/>
      <c r="BP1015" s="188"/>
      <c r="BQ1015" s="188"/>
      <c r="BR1015" s="188"/>
      <c r="BS1015" s="188"/>
    </row>
    <row r="1016" spans="52:71" x14ac:dyDescent="0.3">
      <c r="AZ1016" s="188"/>
      <c r="BB1016" s="188"/>
      <c r="BC1016" s="188"/>
      <c r="BD1016" s="188"/>
      <c r="BG1016" s="188"/>
      <c r="BH1016" s="188"/>
      <c r="BI1016" s="188"/>
      <c r="BJ1016" s="188"/>
      <c r="BK1016" s="188"/>
      <c r="BL1016" s="188"/>
      <c r="BM1016" s="188"/>
      <c r="BN1016" s="188"/>
      <c r="BO1016" s="188"/>
      <c r="BP1016" s="188"/>
      <c r="BQ1016" s="188"/>
      <c r="BR1016" s="188"/>
      <c r="BS1016" s="188"/>
    </row>
    <row r="1017" spans="52:71" x14ac:dyDescent="0.3">
      <c r="AZ1017" s="188"/>
      <c r="BB1017" s="188"/>
      <c r="BC1017" s="188"/>
      <c r="BD1017" s="188"/>
      <c r="BG1017" s="188"/>
      <c r="BH1017" s="188"/>
      <c r="BI1017" s="188"/>
      <c r="BJ1017" s="188"/>
      <c r="BK1017" s="188"/>
      <c r="BL1017" s="188"/>
      <c r="BM1017" s="188"/>
      <c r="BN1017" s="188"/>
      <c r="BO1017" s="188"/>
      <c r="BP1017" s="188"/>
      <c r="BQ1017" s="188"/>
      <c r="BR1017" s="188"/>
      <c r="BS1017" s="188"/>
    </row>
    <row r="1018" spans="52:71" x14ac:dyDescent="0.3">
      <c r="AZ1018" s="188"/>
      <c r="BB1018" s="188"/>
      <c r="BC1018" s="188"/>
      <c r="BD1018" s="188"/>
      <c r="BG1018" s="188"/>
      <c r="BH1018" s="188"/>
      <c r="BI1018" s="188"/>
      <c r="BJ1018" s="188"/>
      <c r="BK1018" s="188"/>
      <c r="BL1018" s="188"/>
      <c r="BM1018" s="188"/>
      <c r="BN1018" s="188"/>
      <c r="BO1018" s="188"/>
      <c r="BP1018" s="188"/>
      <c r="BQ1018" s="188"/>
      <c r="BR1018" s="188"/>
      <c r="BS1018" s="188"/>
    </row>
    <row r="1019" spans="52:71" x14ac:dyDescent="0.3">
      <c r="AZ1019" s="188"/>
      <c r="BB1019" s="188"/>
      <c r="BC1019" s="188"/>
      <c r="BD1019" s="188"/>
      <c r="BG1019" s="188"/>
      <c r="BH1019" s="188"/>
      <c r="BI1019" s="188"/>
      <c r="BJ1019" s="188"/>
      <c r="BK1019" s="188"/>
      <c r="BL1019" s="188"/>
      <c r="BM1019" s="188"/>
      <c r="BN1019" s="188"/>
      <c r="BO1019" s="188"/>
      <c r="BP1019" s="188"/>
      <c r="BQ1019" s="188"/>
      <c r="BR1019" s="188"/>
      <c r="BS1019" s="188"/>
    </row>
    <row r="1020" spans="52:71" x14ac:dyDescent="0.3">
      <c r="AZ1020" s="188"/>
      <c r="BB1020" s="188"/>
      <c r="BC1020" s="188"/>
      <c r="BD1020" s="188"/>
      <c r="BG1020" s="188"/>
      <c r="BH1020" s="188"/>
      <c r="BI1020" s="188"/>
      <c r="BJ1020" s="188"/>
      <c r="BK1020" s="188"/>
      <c r="BL1020" s="188"/>
      <c r="BM1020" s="188"/>
      <c r="BN1020" s="188"/>
      <c r="BO1020" s="188"/>
      <c r="BP1020" s="188"/>
      <c r="BQ1020" s="188"/>
      <c r="BR1020" s="188"/>
      <c r="BS1020" s="188"/>
    </row>
    <row r="1021" spans="52:71" x14ac:dyDescent="0.3">
      <c r="AZ1021" s="188"/>
      <c r="BB1021" s="188"/>
      <c r="BC1021" s="188"/>
      <c r="BD1021" s="188"/>
      <c r="BG1021" s="188"/>
      <c r="BH1021" s="188"/>
      <c r="BI1021" s="188"/>
      <c r="BJ1021" s="188"/>
      <c r="BK1021" s="188"/>
      <c r="BL1021" s="188"/>
      <c r="BM1021" s="188"/>
      <c r="BN1021" s="188"/>
      <c r="BO1021" s="188"/>
      <c r="BP1021" s="188"/>
      <c r="BQ1021" s="188"/>
      <c r="BR1021" s="188"/>
      <c r="BS1021" s="188"/>
    </row>
    <row r="1022" spans="52:71" x14ac:dyDescent="0.3">
      <c r="AZ1022" s="188"/>
      <c r="BB1022" s="188"/>
      <c r="BC1022" s="188"/>
      <c r="BD1022" s="188"/>
      <c r="BG1022" s="188"/>
      <c r="BH1022" s="188"/>
      <c r="BI1022" s="188"/>
      <c r="BJ1022" s="188"/>
      <c r="BK1022" s="188"/>
      <c r="BL1022" s="188"/>
      <c r="BM1022" s="188"/>
      <c r="BN1022" s="188"/>
      <c r="BO1022" s="188"/>
      <c r="BP1022" s="188"/>
      <c r="BQ1022" s="188"/>
      <c r="BR1022" s="188"/>
      <c r="BS1022" s="188"/>
    </row>
    <row r="1023" spans="52:71" x14ac:dyDescent="0.3">
      <c r="AZ1023" s="188"/>
      <c r="BB1023" s="188"/>
      <c r="BC1023" s="188"/>
      <c r="BD1023" s="188"/>
      <c r="BG1023" s="188"/>
      <c r="BH1023" s="188"/>
      <c r="BI1023" s="188"/>
      <c r="BJ1023" s="188"/>
      <c r="BK1023" s="188"/>
      <c r="BL1023" s="188"/>
      <c r="BM1023" s="188"/>
      <c r="BN1023" s="188"/>
      <c r="BO1023" s="188"/>
      <c r="BP1023" s="188"/>
      <c r="BQ1023" s="188"/>
      <c r="BR1023" s="188"/>
      <c r="BS1023" s="188"/>
    </row>
    <row r="1024" spans="52:71" x14ac:dyDescent="0.3">
      <c r="AZ1024" s="188"/>
      <c r="BG1024" s="188"/>
      <c r="BH1024" s="188"/>
      <c r="BI1024" s="188"/>
      <c r="BJ1024" s="188"/>
      <c r="BK1024" s="188"/>
      <c r="BL1024" s="188"/>
      <c r="BM1024" s="188"/>
      <c r="BN1024" s="188"/>
      <c r="BO1024" s="188"/>
      <c r="BP1024" s="188"/>
      <c r="BQ1024" s="188"/>
      <c r="BR1024" s="188"/>
      <c r="BS1024" s="188"/>
    </row>
    <row r="1025" spans="52:71" x14ac:dyDescent="0.3">
      <c r="AZ1025" s="188"/>
      <c r="BG1025" s="188"/>
      <c r="BH1025" s="188"/>
      <c r="BI1025" s="188"/>
      <c r="BJ1025" s="188"/>
      <c r="BK1025" s="188"/>
      <c r="BL1025" s="188"/>
      <c r="BM1025" s="188"/>
      <c r="BN1025" s="188"/>
      <c r="BO1025" s="188"/>
      <c r="BP1025" s="188"/>
      <c r="BQ1025" s="188"/>
      <c r="BR1025" s="188"/>
      <c r="BS1025" s="188"/>
    </row>
    <row r="1026" spans="52:71" x14ac:dyDescent="0.3">
      <c r="AZ1026" s="188"/>
      <c r="BG1026" s="188"/>
      <c r="BH1026" s="188"/>
      <c r="BI1026" s="188"/>
      <c r="BJ1026" s="188"/>
      <c r="BK1026" s="188"/>
      <c r="BL1026" s="188"/>
      <c r="BM1026" s="188"/>
      <c r="BN1026" s="188"/>
      <c r="BO1026" s="188"/>
      <c r="BP1026" s="188"/>
      <c r="BQ1026" s="188"/>
      <c r="BR1026" s="188"/>
      <c r="BS1026" s="188"/>
    </row>
    <row r="1027" spans="52:71" x14ac:dyDescent="0.3">
      <c r="AZ1027" s="188"/>
      <c r="BG1027" s="188"/>
      <c r="BH1027" s="188"/>
      <c r="BI1027" s="188"/>
      <c r="BJ1027" s="188"/>
      <c r="BK1027" s="188"/>
      <c r="BL1027" s="188"/>
      <c r="BM1027" s="188"/>
      <c r="BN1027" s="188"/>
      <c r="BO1027" s="188"/>
      <c r="BP1027" s="188"/>
      <c r="BQ1027" s="188"/>
      <c r="BR1027" s="188"/>
      <c r="BS1027" s="188"/>
    </row>
    <row r="1028" spans="52:71" x14ac:dyDescent="0.3">
      <c r="AZ1028" s="188"/>
      <c r="BG1028" s="188"/>
      <c r="BH1028" s="188"/>
      <c r="BI1028" s="188"/>
      <c r="BJ1028" s="188"/>
      <c r="BK1028" s="188"/>
      <c r="BL1028" s="188"/>
      <c r="BM1028" s="188"/>
      <c r="BN1028" s="188"/>
      <c r="BO1028" s="188"/>
      <c r="BP1028" s="188"/>
      <c r="BQ1028" s="188"/>
      <c r="BR1028" s="188"/>
      <c r="BS1028" s="188"/>
    </row>
    <row r="1029" spans="52:71" x14ac:dyDescent="0.3">
      <c r="AZ1029" s="188"/>
      <c r="BG1029" s="188"/>
      <c r="BH1029" s="188"/>
      <c r="BI1029" s="188"/>
      <c r="BJ1029" s="188"/>
      <c r="BK1029" s="188"/>
      <c r="BL1029" s="188"/>
      <c r="BM1029" s="188"/>
      <c r="BN1029" s="188"/>
      <c r="BO1029" s="188"/>
      <c r="BP1029" s="188"/>
      <c r="BQ1029" s="188"/>
      <c r="BR1029" s="188"/>
      <c r="BS1029" s="188"/>
    </row>
    <row r="1030" spans="52:71" x14ac:dyDescent="0.3">
      <c r="AZ1030" s="188"/>
      <c r="BG1030" s="188"/>
      <c r="BH1030" s="188"/>
      <c r="BI1030" s="188"/>
      <c r="BJ1030" s="188"/>
      <c r="BK1030" s="188"/>
      <c r="BL1030" s="188"/>
      <c r="BM1030" s="188"/>
      <c r="BN1030" s="188"/>
      <c r="BO1030" s="188"/>
      <c r="BP1030" s="188"/>
      <c r="BQ1030" s="188"/>
      <c r="BR1030" s="188"/>
      <c r="BS1030" s="188"/>
    </row>
    <row r="1031" spans="52:71" x14ac:dyDescent="0.3">
      <c r="AZ1031" s="188"/>
    </row>
    <row r="1032" spans="52:71" x14ac:dyDescent="0.3">
      <c r="AZ1032" s="188"/>
    </row>
    <row r="1046" spans="1:28" x14ac:dyDescent="0.3">
      <c r="A1046" s="42"/>
    </row>
    <row r="1049" spans="1:28" x14ac:dyDescent="0.3">
      <c r="Y1049" s="42"/>
    </row>
    <row r="1050" spans="1:28" x14ac:dyDescent="0.3">
      <c r="A1050" s="42"/>
      <c r="H1050" s="42"/>
      <c r="I1050" s="42"/>
    </row>
    <row r="1051" spans="1:28" x14ac:dyDescent="0.3">
      <c r="A1051" s="42"/>
      <c r="V1051" s="44"/>
      <c r="AA1051" s="44"/>
      <c r="AB1051" s="44"/>
    </row>
    <row r="1052" spans="1:28" x14ac:dyDescent="0.3">
      <c r="A1052" s="42"/>
      <c r="V1052" s="135"/>
      <c r="AA1052" s="135"/>
      <c r="AB1052" s="135"/>
    </row>
    <row r="1053" spans="1:28" x14ac:dyDescent="0.3">
      <c r="A1053" s="42"/>
      <c r="U1053" s="42"/>
      <c r="AA1053" s="44"/>
      <c r="AB1053" s="44"/>
    </row>
    <row r="1054" spans="1:28" x14ac:dyDescent="0.3">
      <c r="A1054" s="42"/>
    </row>
    <row r="1055" spans="1:28" x14ac:dyDescent="0.3">
      <c r="A1055" s="42"/>
      <c r="U1055" s="42"/>
      <c r="AA1055" s="44"/>
      <c r="AB1055" s="44"/>
    </row>
    <row r="1056" spans="1:28" x14ac:dyDescent="0.3">
      <c r="A1056" s="42"/>
    </row>
    <row r="1057" spans="1:28" x14ac:dyDescent="0.3">
      <c r="A1057" s="42"/>
      <c r="U1057" s="42"/>
      <c r="V1057" s="247"/>
      <c r="AA1057" s="44"/>
      <c r="AB1057" s="44"/>
    </row>
    <row r="1058" spans="1:28" x14ac:dyDescent="0.3">
      <c r="A1058" s="42"/>
    </row>
    <row r="1059" spans="1:28" x14ac:dyDescent="0.3">
      <c r="A1059" s="42"/>
      <c r="U1059" s="42"/>
      <c r="AA1059" s="44"/>
      <c r="AB1059" s="44"/>
    </row>
    <row r="1060" spans="1:28" x14ac:dyDescent="0.3">
      <c r="A1060" s="42"/>
    </row>
    <row r="1061" spans="1:28" x14ac:dyDescent="0.3">
      <c r="A1061" s="42"/>
      <c r="U1061" s="42"/>
      <c r="AA1061" s="44"/>
      <c r="AB1061" s="44"/>
    </row>
    <row r="1062" spans="1:28" x14ac:dyDescent="0.3">
      <c r="A1062" s="42"/>
    </row>
    <row r="1063" spans="1:28" x14ac:dyDescent="0.3">
      <c r="A1063" s="42"/>
    </row>
    <row r="1064" spans="1:28" x14ac:dyDescent="0.3">
      <c r="A1064" s="42"/>
    </row>
    <row r="1065" spans="1:28" x14ac:dyDescent="0.3">
      <c r="A1065" s="42"/>
    </row>
    <row r="1066" spans="1:28" x14ac:dyDescent="0.3">
      <c r="A1066" s="42"/>
    </row>
    <row r="1067" spans="1:28" x14ac:dyDescent="0.3">
      <c r="A1067" s="42"/>
    </row>
    <row r="1068" spans="1:28" x14ac:dyDescent="0.3">
      <c r="A1068" s="42"/>
    </row>
    <row r="1069" spans="1:28" x14ac:dyDescent="0.3">
      <c r="A1069" s="42"/>
    </row>
    <row r="1070" spans="1:28" x14ac:dyDescent="0.3">
      <c r="A1070" s="42"/>
    </row>
    <row r="1071" spans="1:28" x14ac:dyDescent="0.3">
      <c r="A1071" s="42"/>
    </row>
    <row r="1072" spans="1:28" x14ac:dyDescent="0.3">
      <c r="A1072" s="42"/>
      <c r="H1072" s="42"/>
      <c r="I1072" s="42"/>
    </row>
    <row r="1075" spans="1:1" x14ac:dyDescent="0.3">
      <c r="A1075" s="42"/>
    </row>
    <row r="1078" spans="1:1" x14ac:dyDescent="0.3">
      <c r="A1078" s="42"/>
    </row>
    <row r="1081" spans="1:1" x14ac:dyDescent="0.3">
      <c r="A1081" s="42"/>
    </row>
    <row r="1082" spans="1:1" x14ac:dyDescent="0.3">
      <c r="A1082" s="42"/>
    </row>
    <row r="1083" spans="1:1" x14ac:dyDescent="0.3">
      <c r="A1083" s="42"/>
    </row>
    <row r="1084" spans="1:1" x14ac:dyDescent="0.3">
      <c r="A1084" s="42"/>
    </row>
    <row r="1085" spans="1:1" x14ac:dyDescent="0.3">
      <c r="A1085" s="42"/>
    </row>
    <row r="1086" spans="1:1" x14ac:dyDescent="0.3">
      <c r="A1086" s="42"/>
    </row>
    <row r="1087" spans="1:1" x14ac:dyDescent="0.3">
      <c r="A1087" s="42"/>
    </row>
    <row r="1088" spans="1:1" x14ac:dyDescent="0.3">
      <c r="A1088" s="42"/>
    </row>
    <row r="1089" spans="1:1" x14ac:dyDescent="0.3">
      <c r="A1089" s="42"/>
    </row>
    <row r="1090" spans="1:1" x14ac:dyDescent="0.3">
      <c r="A1090" s="42"/>
    </row>
    <row r="1091" spans="1:1" x14ac:dyDescent="0.3">
      <c r="A1091" s="42"/>
    </row>
    <row r="1092" spans="1:1" x14ac:dyDescent="0.3">
      <c r="A1092" s="42"/>
    </row>
    <row r="1093" spans="1:1" x14ac:dyDescent="0.3">
      <c r="A1093" s="42"/>
    </row>
    <row r="1094" spans="1:1" x14ac:dyDescent="0.3">
      <c r="A1094" s="42"/>
    </row>
    <row r="1095" spans="1:1" x14ac:dyDescent="0.3">
      <c r="A1095" s="42"/>
    </row>
    <row r="1096" spans="1:1" x14ac:dyDescent="0.3">
      <c r="A1096" s="42"/>
    </row>
    <row r="1097" spans="1:1" x14ac:dyDescent="0.3">
      <c r="A1097" s="42"/>
    </row>
    <row r="1098" spans="1:1" x14ac:dyDescent="0.3">
      <c r="A1098" s="42"/>
    </row>
    <row r="1099" spans="1:1" x14ac:dyDescent="0.3">
      <c r="A1099" s="42"/>
    </row>
    <row r="1100" spans="1:1" x14ac:dyDescent="0.3">
      <c r="A1100" s="42"/>
    </row>
    <row r="1101" spans="1:1" x14ac:dyDescent="0.3">
      <c r="A1101" s="42"/>
    </row>
    <row r="1102" spans="1:1" x14ac:dyDescent="0.3">
      <c r="A1102" s="42"/>
    </row>
    <row r="1103" spans="1:1" x14ac:dyDescent="0.3">
      <c r="A1103" s="42"/>
    </row>
    <row r="1104" spans="1:1" x14ac:dyDescent="0.3">
      <c r="A1104" s="42"/>
    </row>
    <row r="1105" spans="1:1" x14ac:dyDescent="0.3">
      <c r="A1105" s="42"/>
    </row>
    <row r="1106" spans="1:1" x14ac:dyDescent="0.3">
      <c r="A1106" s="42"/>
    </row>
    <row r="1107" spans="1:1" x14ac:dyDescent="0.3">
      <c r="A1107" s="42"/>
    </row>
    <row r="1108" spans="1:1" x14ac:dyDescent="0.3">
      <c r="A1108" s="42"/>
    </row>
    <row r="1109" spans="1:1" x14ac:dyDescent="0.3">
      <c r="A1109" s="42"/>
    </row>
    <row r="1110" spans="1:1" x14ac:dyDescent="0.3">
      <c r="A1110" s="42"/>
    </row>
    <row r="1111" spans="1:1" x14ac:dyDescent="0.3">
      <c r="A1111" s="42"/>
    </row>
    <row r="1112" spans="1:1" x14ac:dyDescent="0.3">
      <c r="A1112" s="42"/>
    </row>
    <row r="1113" spans="1:1" x14ac:dyDescent="0.3">
      <c r="A1113" s="42"/>
    </row>
    <row r="1114" spans="1:1" x14ac:dyDescent="0.3">
      <c r="A1114" s="42"/>
    </row>
    <row r="1115" spans="1:1" x14ac:dyDescent="0.3">
      <c r="A1115" s="42"/>
    </row>
    <row r="1120" spans="1:1" x14ac:dyDescent="0.3">
      <c r="A1120" s="42"/>
    </row>
    <row r="1121" spans="1:1" x14ac:dyDescent="0.3">
      <c r="A1121" s="42"/>
    </row>
    <row r="1124" spans="1:1" x14ac:dyDescent="0.3">
      <c r="A1124" s="42"/>
    </row>
    <row r="1126" spans="1:1" x14ac:dyDescent="0.3">
      <c r="A1126" s="42"/>
    </row>
    <row r="1128" spans="1:1" x14ac:dyDescent="0.3">
      <c r="A1128" s="42"/>
    </row>
    <row r="1130" spans="1:1" x14ac:dyDescent="0.3">
      <c r="A1130" s="42"/>
    </row>
    <row r="1133" spans="1:1" x14ac:dyDescent="0.3">
      <c r="A1133" s="42"/>
    </row>
    <row r="1134" spans="1:1" x14ac:dyDescent="0.3">
      <c r="A1134" s="42"/>
    </row>
    <row r="1135" spans="1:1" x14ac:dyDescent="0.3">
      <c r="A1135" s="42"/>
    </row>
    <row r="1136" spans="1:1" x14ac:dyDescent="0.3">
      <c r="A1136" s="42"/>
    </row>
    <row r="1137" spans="1:1" x14ac:dyDescent="0.3">
      <c r="A1137" s="42"/>
    </row>
    <row r="1138" spans="1:1" x14ac:dyDescent="0.3">
      <c r="A1138" s="42"/>
    </row>
    <row r="1139" spans="1:1" x14ac:dyDescent="0.3">
      <c r="A1139" s="42"/>
    </row>
    <row r="1140" spans="1:1" x14ac:dyDescent="0.3">
      <c r="A1140" s="42"/>
    </row>
  </sheetData>
  <customSheetViews>
    <customSheetView guid="{195DF303-1BBD-4236-94B5-47432850B006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"/>
      <headerFooter alignWithMargins="0"/>
    </customSheetView>
    <customSheetView guid="{0C49E549-011E-46F4-A82E-2CC8951A9C1E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2"/>
      <headerFooter alignWithMargins="0"/>
    </customSheetView>
    <customSheetView guid="{4BC93440-BA85-4935-A8C9-66DC6AE5DE5E}" scale="75" fitToPage="1" showRuler="0" topLeftCell="W65">
      <selection activeCell="AE84" sqref="AE84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3"/>
      <headerFooter alignWithMargins="0"/>
    </customSheetView>
    <customSheetView guid="{2431C9E5-7CC2-4B8D-99C3-962247B1DBF5}" scale="75" fitToPage="1" showRuler="0">
      <selection activeCell="L44" sqref="L44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4"/>
      <headerFooter alignWithMargins="0"/>
    </customSheetView>
    <customSheetView guid="{2EA35095-1ADC-4CC7-8C3C-B487D65FA247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5"/>
      <headerFooter alignWithMargins="0"/>
    </customSheetView>
    <customSheetView guid="{8FC77C99-DBF7-40B8-99B8-01B75826CDCB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6"/>
      <headerFooter alignWithMargins="0"/>
    </customSheetView>
    <customSheetView guid="{8FB94551-8874-4095-B8FB-5316E0D2FD2C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7"/>
      <headerFooter alignWithMargins="0"/>
    </customSheetView>
    <customSheetView guid="{6B3D5C27-2FDE-4561-9575-1E98BFB869D0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8"/>
      <headerFooter alignWithMargins="0"/>
    </customSheetView>
    <customSheetView guid="{0BC1F393-8A13-47D5-BC6C-0C99615B5AB9}" scale="75" fitToPage="1" showRuler="0" topLeftCell="A17">
      <selection activeCell="P48" sqref="P4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9"/>
      <headerFooter alignWithMargins="0"/>
    </customSheetView>
    <customSheetView guid="{18BDED73-BFA0-442E-87EC-CED86EE4CF94}" scale="75" fitToPage="1" showRuler="0" topLeftCell="A17">
      <selection activeCell="P48" sqref="P4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0"/>
      <headerFooter alignWithMargins="0"/>
    </customSheetView>
    <customSheetView guid="{35F19056-2E6F-4935-B863-78836FE990BF}" scale="75" fitToPage="1" showRuler="0" topLeftCell="A15">
      <selection activeCell="P22" sqref="P22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1"/>
      <headerFooter alignWithMargins="0"/>
    </customSheetView>
    <customSheetView guid="{F562D92E-120C-4AE9-9663-89E64D41DC53}" scale="75" fitToPage="1" topLeftCell="T71">
      <selection activeCell="P42" sqref="P42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2"/>
      <headerFooter alignWithMargins="0"/>
    </customSheetView>
  </customSheetViews>
  <phoneticPr fontId="11" type="noConversion"/>
  <pageMargins left="0.5" right="0.5" top="1" bottom="0" header="0" footer="0"/>
  <pageSetup scale="55" orientation="landscape" r:id="rId13"/>
  <headerFooter alignWithMargins="0"/>
  <rowBreaks count="16" manualBreakCount="16">
    <brk id="158" max="65535" man="1"/>
    <brk id="201" max="65535" man="1"/>
    <brk id="243" max="65535" man="1"/>
    <brk id="282" max="65535" man="1"/>
    <brk id="338" max="65535" man="1"/>
    <brk id="384" max="65535" man="1"/>
    <brk id="466" max="65535" man="1"/>
    <brk id="504" max="65535" man="1"/>
    <brk id="541" max="65535" man="1"/>
    <brk id="589" max="65535" man="1"/>
    <brk id="650" max="65535" man="1"/>
    <brk id="709" max="65535" man="1"/>
    <brk id="816" max="65535" man="1"/>
    <brk id="863" max="65535" man="1"/>
    <brk id="922" max="65535" man="1"/>
    <brk id="965" max="65535" man="1"/>
  </rowBreaks>
  <colBreaks count="1" manualBreakCount="1">
    <brk id="4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9d26d66c-7442-4f2f-84b5-fd9d62aa5613" xsi:nil="true"/>
    <Witness xmlns="9d26d66c-7442-4f2f-84b5-fd9d62aa5613">
      <UserInfo>
        <DisplayName/>
        <AccountId xsi:nil="true"/>
        <AccountType/>
      </UserInfo>
    </Witnes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BA58AB4E1B78F4EAC56940670E852C9" ma:contentTypeVersion="7" ma:contentTypeDescription="Create a new document." ma:contentTypeScope="" ma:versionID="4ba238dc757aecdad0b23ff6e5092471">
  <xsd:schema xmlns:xsd="http://www.w3.org/2001/XMLSchema" xmlns:xs="http://www.w3.org/2001/XMLSchema" xmlns:p="http://schemas.microsoft.com/office/2006/metadata/properties" xmlns:ns2="9d26d66c-7442-4f2f-84b5-fd9d62aa5613" targetNamespace="http://schemas.microsoft.com/office/2006/metadata/properties" ma:root="true" ma:fieldsID="10d92c81de34d99dc814408e79e17f9e" ns2:_="">
    <xsd:import namespace="9d26d66c-7442-4f2f-84b5-fd9d62aa561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Witness" minOccurs="0"/>
                <xsd:element ref="ns2:Com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26d66c-7442-4f2f-84b5-fd9d62aa56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Witness" ma:index="13" nillable="true" ma:displayName="Witness" ma:list="UserInfo" ma:SharePointGroup="0" ma:internalName="Witness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omments" ma:index="14" nillable="true" ma:displayName="Comments" ma:format="Dropdown" ma:internalName="Comments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12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3CD0AD1-6A2C-4677-B8CC-C808D4F08AA0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9d26d66c-7442-4f2f-84b5-fd9d62aa5613"/>
    <ds:schemaRef ds:uri="http://schemas.microsoft.com/office/infopath/2007/PartnerControls"/>
    <ds:schemaRef ds:uri="http://purl.org/dc/elements/1.1/"/>
    <ds:schemaRef ds:uri="http://www.w3.org/XML/1998/namespace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6175FFB-8742-494D-BC46-59B4DFE97E2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6786122-6452-4D50-9677-14AACAF223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26d66c-7442-4f2f-84b5-fd9d62aa56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285</vt:i4>
      </vt:variant>
    </vt:vector>
  </HeadingPairs>
  <TitlesOfParts>
    <vt:vector size="318" baseType="lpstr">
      <vt:lpstr>INPUT</vt:lpstr>
      <vt:lpstr>PRINT</vt:lpstr>
      <vt:lpstr>Revenue Check</vt:lpstr>
      <vt:lpstr>SCH M</vt:lpstr>
      <vt:lpstr>SCH M-2.1</vt:lpstr>
      <vt:lpstr>SCH M-2.2</vt:lpstr>
      <vt:lpstr>SCH M-2.3</vt:lpstr>
      <vt:lpstr>Rate RS</vt:lpstr>
      <vt:lpstr>Rate DS</vt:lpstr>
      <vt:lpstr>Rate DT-Pri</vt:lpstr>
      <vt:lpstr>Rate DT-Sec</vt:lpstr>
      <vt:lpstr>Rate EH</vt:lpstr>
      <vt:lpstr>Rate SP GSFL</vt:lpstr>
      <vt:lpstr>Rate DP</vt:lpstr>
      <vt:lpstr>Rate TT</vt:lpstr>
      <vt:lpstr>Rate DT RTP-P</vt:lpstr>
      <vt:lpstr>Rate DT RTP-S</vt:lpstr>
      <vt:lpstr>Rate DS RTP</vt:lpstr>
      <vt:lpstr>Rate TT RTP</vt:lpstr>
      <vt:lpstr>Rate SL</vt:lpstr>
      <vt:lpstr>Rate TL</vt:lpstr>
      <vt:lpstr>Rate UOLS</vt:lpstr>
      <vt:lpstr>Rate NSU</vt:lpstr>
      <vt:lpstr>Rate SC</vt:lpstr>
      <vt:lpstr>Rate SE</vt:lpstr>
      <vt:lpstr>Rate LED</vt:lpstr>
      <vt:lpstr>SCH N</vt:lpstr>
      <vt:lpstr>BILL CALC</vt:lpstr>
      <vt:lpstr>Revenue Requirements</vt:lpstr>
      <vt:lpstr>Proposed Rates - Not Used</vt:lpstr>
      <vt:lpstr>TBI</vt:lpstr>
      <vt:lpstr>TBI Revised</vt:lpstr>
      <vt:lpstr>RTP Worksheet</vt:lpstr>
      <vt:lpstr>CASE_NO</vt:lpstr>
      <vt:lpstr>CUR_BASE_FUEL</vt:lpstr>
      <vt:lpstr>CUR_DCI</vt:lpstr>
      <vt:lpstr>CUR_DCI_DIST</vt:lpstr>
      <vt:lpstr>CUR_DCI_DP</vt:lpstr>
      <vt:lpstr>CUR_DCI_DTP</vt:lpstr>
      <vt:lpstr>CUR_DCI_DTS</vt:lpstr>
      <vt:lpstr>CUR_DCI_EH</vt:lpstr>
      <vt:lpstr>CUR_DCI_GSFL</vt:lpstr>
      <vt:lpstr>CUR_DCI_SL</vt:lpstr>
      <vt:lpstr>CUR_DCI_SP</vt:lpstr>
      <vt:lpstr>CUR_DP_CST</vt:lpstr>
      <vt:lpstr>CUR_DP_DEMAND</vt:lpstr>
      <vt:lpstr>CUR_DP_KWH1</vt:lpstr>
      <vt:lpstr>CUR_DP_KWH2</vt:lpstr>
      <vt:lpstr>CUR_DP_LMR</vt:lpstr>
      <vt:lpstr>'Rate DT RTP-S'!CUR_DP_RTP_COM</vt:lpstr>
      <vt:lpstr>'Rate DT RTP-S'!CUR_DP_RTP_CUST</vt:lpstr>
      <vt:lpstr>'Rate DT RTP-S'!CUR_DP_RTP_KWH1</vt:lpstr>
      <vt:lpstr>CUR_DS_CST_1</vt:lpstr>
      <vt:lpstr>CUR_DS_CST_2</vt:lpstr>
      <vt:lpstr>CUR_DS_DEM_1</vt:lpstr>
      <vt:lpstr>CUR_DS_DEM_3</vt:lpstr>
      <vt:lpstr>CUR_DS_KWH_1</vt:lpstr>
      <vt:lpstr>CUR_DS_KWH_2</vt:lpstr>
      <vt:lpstr>CUR_DS_KWH_3</vt:lpstr>
      <vt:lpstr>'Rate DS RTP'!CUR_DS_RTP</vt:lpstr>
      <vt:lpstr>'Rate DS RTP'!CUR_DS_RTP_COM</vt:lpstr>
      <vt:lpstr>'Rate DS RTP'!CUR_DS_RTP_CUST</vt:lpstr>
      <vt:lpstr>'Rate DS RTP'!CUR_DS_RTP_KWH1</vt:lpstr>
      <vt:lpstr>CUR_DT_DISC</vt:lpstr>
      <vt:lpstr>CUR_DT_DISC1</vt:lpstr>
      <vt:lpstr>CUR_DT_PRI</vt:lpstr>
      <vt:lpstr>'Rate DT RTP-P'!CUR_DT_RTP_COM</vt:lpstr>
      <vt:lpstr>'Rate DT RTP-P'!CUR_DT_RTP_CUST</vt:lpstr>
      <vt:lpstr>'Rate DT RTP-P'!CUR_DT_RTP_KWH1</vt:lpstr>
      <vt:lpstr>'Rate DT RTP-P'!CUR_DT_RTP_P</vt:lpstr>
      <vt:lpstr>'Rate DT RTP-S'!CUR_DT_RTP_S</vt:lpstr>
      <vt:lpstr>CUR_DT_SEC</vt:lpstr>
      <vt:lpstr>CUR_DT_SEC_CST1</vt:lpstr>
      <vt:lpstr>CUR_DT_SEC_CST3</vt:lpstr>
      <vt:lpstr>CUR_DT_SEC_DEMOFF</vt:lpstr>
      <vt:lpstr>CUR_DT_SEC_DEMON</vt:lpstr>
      <vt:lpstr>CUR_DT_SEC_SUMKWH</vt:lpstr>
      <vt:lpstr>CUR_DT_SEC_WINKWH</vt:lpstr>
      <vt:lpstr>CUR_DT_SEC_WINOFF</vt:lpstr>
      <vt:lpstr>CUR_DT_SEC_WINON</vt:lpstr>
      <vt:lpstr>CUR_DT_SUM_E_OFF</vt:lpstr>
      <vt:lpstr>CUR_DT_SUM_E_ON</vt:lpstr>
      <vt:lpstr>CUR_DT_SUM_PEAK_ON</vt:lpstr>
      <vt:lpstr>CUR_DT_SUM_PK_OFF</vt:lpstr>
      <vt:lpstr>CUR_DT_WIN_E_ON</vt:lpstr>
      <vt:lpstr>CUR_DT_WIN_PEAK_ON</vt:lpstr>
      <vt:lpstr>CUR_DT_WIN_PK_OFF</vt:lpstr>
      <vt:lpstr>CUR_EH_CST_1</vt:lpstr>
      <vt:lpstr>CUR_EH_CST_2</vt:lpstr>
      <vt:lpstr>CUR_EH_CST_3</vt:lpstr>
      <vt:lpstr>CUR_EH_KWH_1</vt:lpstr>
      <vt:lpstr>CUR_ESM</vt:lpstr>
      <vt:lpstr>CUR_ESM_NonRes</vt:lpstr>
      <vt:lpstr>CUR_FAC</vt:lpstr>
      <vt:lpstr>CUR_FTR_DIST</vt:lpstr>
      <vt:lpstr>CUR_FTR_DP</vt:lpstr>
      <vt:lpstr>CUR_FTR_DTP</vt:lpstr>
      <vt:lpstr>CUR_FTR_DTS</vt:lpstr>
      <vt:lpstr>CUR_FTR_EH</vt:lpstr>
      <vt:lpstr>CUR_FTR_GSFL</vt:lpstr>
      <vt:lpstr>CUR_FTR_RES</vt:lpstr>
      <vt:lpstr>CUR_FTR_SL</vt:lpstr>
      <vt:lpstr>CUR_FTR_SP</vt:lpstr>
      <vt:lpstr>CUR_FTR_TT</vt:lpstr>
      <vt:lpstr>CUR_RS_CUST</vt:lpstr>
      <vt:lpstr>CUR_RS_ENERGY</vt:lpstr>
      <vt:lpstr>CUR_SUM_TT_ON_KWH</vt:lpstr>
      <vt:lpstr>CUR_TT_KWH</vt:lpstr>
      <vt:lpstr>CUR_TT_OFF</vt:lpstr>
      <vt:lpstr>'Rate TT RTP'!CUR_TT_RTP</vt:lpstr>
      <vt:lpstr>'Rate TT RTP'!CUR_TT_RTP_COM</vt:lpstr>
      <vt:lpstr>'Rate TT RTP'!CUR_TT_RTP_CUST</vt:lpstr>
      <vt:lpstr>'Rate TT RTP'!CUR_TT_RTP_KWH1</vt:lpstr>
      <vt:lpstr>CUR_TT_SUM_CST</vt:lpstr>
      <vt:lpstr>CUR_TT_SUM_PEAK</vt:lpstr>
      <vt:lpstr>CUR_TT_SUM_PK_OFF</vt:lpstr>
      <vt:lpstr>CUR_TT_WIN_CST</vt:lpstr>
      <vt:lpstr>CUR_TT_WIN_PEAK</vt:lpstr>
      <vt:lpstr>CUR_TT_WIN_PK_OFF</vt:lpstr>
      <vt:lpstr>CUR_WIN_TT_ON_KWH</vt:lpstr>
      <vt:lpstr>DATA_PERIOD</vt:lpstr>
      <vt:lpstr>DATE</vt:lpstr>
      <vt:lpstr>DCI_Name</vt:lpstr>
      <vt:lpstr>DS_MSRE</vt:lpstr>
      <vt:lpstr>DSM_DIST</vt:lpstr>
      <vt:lpstr>DSM_RES</vt:lpstr>
      <vt:lpstr>DSM_RS_CUST</vt:lpstr>
      <vt:lpstr>DSM_TRANS</vt:lpstr>
      <vt:lpstr>DSMR_Name</vt:lpstr>
      <vt:lpstr>ESM_Name</vt:lpstr>
      <vt:lpstr>FAC_Name</vt:lpstr>
      <vt:lpstr>FTR_Name</vt:lpstr>
      <vt:lpstr>HEA_Name</vt:lpstr>
      <vt:lpstr>'Rate LED'!LT_COS_RATE</vt:lpstr>
      <vt:lpstr>LT_COS_RATE</vt:lpstr>
      <vt:lpstr>LT_MSRE</vt:lpstr>
      <vt:lpstr>Migration_CC</vt:lpstr>
      <vt:lpstr>NAME</vt:lpstr>
      <vt:lpstr>Page_Num_2.2</vt:lpstr>
      <vt:lpstr>Page_Num_2.3</vt:lpstr>
      <vt:lpstr>'Rate DP'!Print_Area</vt:lpstr>
      <vt:lpstr>'Rate DS'!Print_Area</vt:lpstr>
      <vt:lpstr>'Rate DS RTP'!Print_Area</vt:lpstr>
      <vt:lpstr>'Rate DT RTP-P'!Print_Area</vt:lpstr>
      <vt:lpstr>'Rate DT RTP-S'!Print_Area</vt:lpstr>
      <vt:lpstr>'Rate DT-Pri'!Print_Area</vt:lpstr>
      <vt:lpstr>'Rate DT-Sec'!Print_Area</vt:lpstr>
      <vt:lpstr>'Rate EH'!Print_Area</vt:lpstr>
      <vt:lpstr>'Rate LED'!Print_Area</vt:lpstr>
      <vt:lpstr>'Rate NSU'!Print_Area</vt:lpstr>
      <vt:lpstr>'Rate RS'!Print_Area</vt:lpstr>
      <vt:lpstr>'Rate SC'!Print_Area</vt:lpstr>
      <vt:lpstr>'Rate SE'!Print_Area</vt:lpstr>
      <vt:lpstr>'Rate SL'!Print_Area</vt:lpstr>
      <vt:lpstr>'Rate SP GSFL'!Print_Area</vt:lpstr>
      <vt:lpstr>'Rate TL'!Print_Area</vt:lpstr>
      <vt:lpstr>'Rate TT'!Print_Area</vt:lpstr>
      <vt:lpstr>'Rate TT RTP'!Print_Area</vt:lpstr>
      <vt:lpstr>'Rate UOLS'!Print_Area</vt:lpstr>
      <vt:lpstr>'Revenue Requirements'!Print_Area</vt:lpstr>
      <vt:lpstr>'SCH M'!Print_Area</vt:lpstr>
      <vt:lpstr>'SCH M-2.1'!Print_Area</vt:lpstr>
      <vt:lpstr>'SCH M-2.2'!Print_Area</vt:lpstr>
      <vt:lpstr>'SCH M-2.3'!Print_Area</vt:lpstr>
      <vt:lpstr>'SCH N'!Print_Area</vt:lpstr>
      <vt:lpstr>PRO_BASE_FUEL</vt:lpstr>
      <vt:lpstr>PRO_DCI</vt:lpstr>
      <vt:lpstr>PRO_DCI_DIST</vt:lpstr>
      <vt:lpstr>PRO_DCI_DP</vt:lpstr>
      <vt:lpstr>PRO_DCI_DTP</vt:lpstr>
      <vt:lpstr>PRO_DCI_DTS</vt:lpstr>
      <vt:lpstr>PRO_DCI_EH</vt:lpstr>
      <vt:lpstr>PRO_DCI_GSFL</vt:lpstr>
      <vt:lpstr>PRO_DCI_SL</vt:lpstr>
      <vt:lpstr>PRO_DCI_SP</vt:lpstr>
      <vt:lpstr>PRO_DP_CST</vt:lpstr>
      <vt:lpstr>PRO_DP_DEMAND</vt:lpstr>
      <vt:lpstr>PRO_DP_KWH1</vt:lpstr>
      <vt:lpstr>PRO_DP_KWH2</vt:lpstr>
      <vt:lpstr>PRO_DP_LMR</vt:lpstr>
      <vt:lpstr>'Rate DT RTP-S'!PRO_DP_RTP_COM</vt:lpstr>
      <vt:lpstr>'Rate DT RTP-S'!PRO_DP_RTP_CUST</vt:lpstr>
      <vt:lpstr>'Rate DT RTP-S'!PRO_DP_RTP_KWH1</vt:lpstr>
      <vt:lpstr>PRO_DS_CST_1</vt:lpstr>
      <vt:lpstr>PRO_DS_CST_2</vt:lpstr>
      <vt:lpstr>PRO_DS_DEM_1</vt:lpstr>
      <vt:lpstr>PRO_DS_DEM_3</vt:lpstr>
      <vt:lpstr>PRO_DS_KWH_1</vt:lpstr>
      <vt:lpstr>PRO_DS_KWH_2</vt:lpstr>
      <vt:lpstr>PRO_DS_KWH_3</vt:lpstr>
      <vt:lpstr>PRO_DS_MSRE</vt:lpstr>
      <vt:lpstr>'Rate DS RTP'!PRO_DS_RTP_COM</vt:lpstr>
      <vt:lpstr>'Rate DS RTP'!PRO_DS_RTP_CUST</vt:lpstr>
      <vt:lpstr>'Rate DS RTP'!PRO_DS_RTP_KWH1</vt:lpstr>
      <vt:lpstr>PRO_DSM_DIST</vt:lpstr>
      <vt:lpstr>PRO_DSM_RES</vt:lpstr>
      <vt:lpstr>PRO_DSM_TRANS</vt:lpstr>
      <vt:lpstr>PRO_DT_DEMOFF</vt:lpstr>
      <vt:lpstr>PRO_DT_DEMON</vt:lpstr>
      <vt:lpstr>PRO_DT_DISC</vt:lpstr>
      <vt:lpstr>PRO_DT_DISC1</vt:lpstr>
      <vt:lpstr>PRO_DT_PRI</vt:lpstr>
      <vt:lpstr>'Rate DT RTP-P'!PRO_DT_RTP_COM</vt:lpstr>
      <vt:lpstr>'Rate DT RTP-P'!PRO_DT_RTP_CUST</vt:lpstr>
      <vt:lpstr>'Rate DT RTP-P'!PRO_DT_RTP_KWH1</vt:lpstr>
      <vt:lpstr>PRO_DT_SEC_CST</vt:lpstr>
      <vt:lpstr>PRO_DT_SEC_CST3</vt:lpstr>
      <vt:lpstr>PRO_DT_SEC_DEMWINON</vt:lpstr>
      <vt:lpstr>PRO_DT_SEC_SUMKWH</vt:lpstr>
      <vt:lpstr>PRO_DT_SEC_WINKWH</vt:lpstr>
      <vt:lpstr>PRO_DT_SEC_WINOFF</vt:lpstr>
      <vt:lpstr>PRO_DT_SUM_E_OFF</vt:lpstr>
      <vt:lpstr>PRO_DT_SUM_E_ON</vt:lpstr>
      <vt:lpstr>PRO_DT_SUM_PEAK</vt:lpstr>
      <vt:lpstr>PRO_DT_SUM_PK_OFF</vt:lpstr>
      <vt:lpstr>PRO_DT_WIN_E_OFF</vt:lpstr>
      <vt:lpstr>PRO_DT_WIN_E_ON</vt:lpstr>
      <vt:lpstr>PRO_DT_WIN_PEAK</vt:lpstr>
      <vt:lpstr>PRO_DT_WIN_PK_OFF</vt:lpstr>
      <vt:lpstr>PRO_EH_CST_1</vt:lpstr>
      <vt:lpstr>PRO_EH_CST_2</vt:lpstr>
      <vt:lpstr>PRO_EH_CST_3</vt:lpstr>
      <vt:lpstr>PRO_EH_KWH_1</vt:lpstr>
      <vt:lpstr>PRO_ESM</vt:lpstr>
      <vt:lpstr>PRO_ESM_NONRES</vt:lpstr>
      <vt:lpstr>PRO_FAC</vt:lpstr>
      <vt:lpstr>PRO_FTR_DIST</vt:lpstr>
      <vt:lpstr>PRO_FTR_DP</vt:lpstr>
      <vt:lpstr>PRO_FTR_DTP</vt:lpstr>
      <vt:lpstr>PRO_FTR_DTS</vt:lpstr>
      <vt:lpstr>PRO_FTR_EH</vt:lpstr>
      <vt:lpstr>PRO_FTR_GSFL</vt:lpstr>
      <vt:lpstr>PRO_FTR_RES</vt:lpstr>
      <vt:lpstr>PRO_FTR_SL</vt:lpstr>
      <vt:lpstr>PRO_FTR_SP</vt:lpstr>
      <vt:lpstr>PRO_FTR_TT</vt:lpstr>
      <vt:lpstr>PRO_LT_MSRE</vt:lpstr>
      <vt:lpstr>PRO_PSM</vt:lpstr>
      <vt:lpstr>PRO_RS_CUST</vt:lpstr>
      <vt:lpstr>PRO_RS_ENERGY</vt:lpstr>
      <vt:lpstr>PRO_RS_MSRE</vt:lpstr>
      <vt:lpstr>PRO_SUM_TT_ON_KWH</vt:lpstr>
      <vt:lpstr>PRO_TT_MSRE</vt:lpstr>
      <vt:lpstr>PRO_TT_OFF</vt:lpstr>
      <vt:lpstr>'Rate TT RTP'!PRO_TT_RTP_COM</vt:lpstr>
      <vt:lpstr>'Rate TT RTP'!PRO_TT_RTP_CUST</vt:lpstr>
      <vt:lpstr>'Rate TT RTP'!PRO_TT_RTP_KWH1</vt:lpstr>
      <vt:lpstr>PRO_TT_SUM_CST</vt:lpstr>
      <vt:lpstr>PRO_TT_SUM_PEAK</vt:lpstr>
      <vt:lpstr>PRO_TT_SUM_PK_OFF</vt:lpstr>
      <vt:lpstr>PRO_TT_WIN_CST</vt:lpstr>
      <vt:lpstr>PRO_TT_WIN_PEAK</vt:lpstr>
      <vt:lpstr>PRO_TT_WIN_PK_OFF</vt:lpstr>
      <vt:lpstr>PRO_WIN_TT_ON_KWH</vt:lpstr>
      <vt:lpstr>PSM_Name</vt:lpstr>
      <vt:lpstr>RS_MSRE</vt:lpstr>
      <vt:lpstr>RS_PSM</vt:lpstr>
      <vt:lpstr>SCH_M</vt:lpstr>
      <vt:lpstr>SCH_M_2.1</vt:lpstr>
      <vt:lpstr>SCH_M_2.2PG1</vt:lpstr>
      <vt:lpstr>SCH_M_2.2PG10</vt:lpstr>
      <vt:lpstr>SCH_M_2.2PG11</vt:lpstr>
      <vt:lpstr>SCH_M_2.2PG12</vt:lpstr>
      <vt:lpstr>SCH_M_2.2PG13</vt:lpstr>
      <vt:lpstr>SCH_M_2.2PG14</vt:lpstr>
      <vt:lpstr>SCH_M_2.2PG15</vt:lpstr>
      <vt:lpstr>SCH_M_2.2PG16</vt:lpstr>
      <vt:lpstr>SCH_M_2.2PG17</vt:lpstr>
      <vt:lpstr>SCH_M_2.2PG18</vt:lpstr>
      <vt:lpstr>SCH_M_2.2PG19</vt:lpstr>
      <vt:lpstr>SCH_M_2.2PG2</vt:lpstr>
      <vt:lpstr>SCH_M_2.2PG20</vt:lpstr>
      <vt:lpstr>SCH_M_2.2PG21</vt:lpstr>
      <vt:lpstr>SCH_M_2.2PG22</vt:lpstr>
      <vt:lpstr>SCH_M_2.2PG23</vt:lpstr>
      <vt:lpstr>SCH_M_2.2PG24</vt:lpstr>
      <vt:lpstr>SCH_M_2.2PG3</vt:lpstr>
      <vt:lpstr>SCH_M_2.2PG4</vt:lpstr>
      <vt:lpstr>SCH_M_2.2PG5</vt:lpstr>
      <vt:lpstr>SCH_M_2.2PG6</vt:lpstr>
      <vt:lpstr>SCH_M_2.2PG7</vt:lpstr>
      <vt:lpstr>SCH_M_2.2PG8</vt:lpstr>
      <vt:lpstr>SCH_M_2.2PG9</vt:lpstr>
      <vt:lpstr>SCH_M_2.3PG1</vt:lpstr>
      <vt:lpstr>SCH_M_2.3PG10</vt:lpstr>
      <vt:lpstr>SCH_M_2.3PG11</vt:lpstr>
      <vt:lpstr>SCH_M_2.3PG12</vt:lpstr>
      <vt:lpstr>SCH_M_2.3PG13</vt:lpstr>
      <vt:lpstr>SCH_M_2.3PG14</vt:lpstr>
      <vt:lpstr>SCH_M_2.3PG15</vt:lpstr>
      <vt:lpstr>SCH_M_2.3PG16</vt:lpstr>
      <vt:lpstr>SCH_M_2.3PG17</vt:lpstr>
      <vt:lpstr>SCH_M_2.3PG18</vt:lpstr>
      <vt:lpstr>SCH_M_2.3PG19</vt:lpstr>
      <vt:lpstr>SCH_M_2.3PG2</vt:lpstr>
      <vt:lpstr>SCH_M_2.3PG20</vt:lpstr>
      <vt:lpstr>SCH_M_2.3PG21</vt:lpstr>
      <vt:lpstr>SCH_M_2.3PG22</vt:lpstr>
      <vt:lpstr>SCH_M_2.3PG23</vt:lpstr>
      <vt:lpstr>SCH_M_2.3PG24</vt:lpstr>
      <vt:lpstr>SCH_M_2.3PG3</vt:lpstr>
      <vt:lpstr>SCH_M_2.3PG4</vt:lpstr>
      <vt:lpstr>SCH_M_2.3PG5</vt:lpstr>
      <vt:lpstr>SCH_M_2.3PG6</vt:lpstr>
      <vt:lpstr>SCH_M_2.3PG7</vt:lpstr>
      <vt:lpstr>SCH_M_2.3PG8</vt:lpstr>
      <vt:lpstr>SCH_M_2.3PG9</vt:lpstr>
      <vt:lpstr>SCH_N_1</vt:lpstr>
      <vt:lpstr>SCH_N_2</vt:lpstr>
      <vt:lpstr>SCH_N_3</vt:lpstr>
      <vt:lpstr>SCH_N_4</vt:lpstr>
      <vt:lpstr>SCH_N_5</vt:lpstr>
      <vt:lpstr>SERVICE</vt:lpstr>
      <vt:lpstr>TIME</vt:lpstr>
      <vt:lpstr>TITLE</vt:lpstr>
      <vt:lpstr>TT_MSRE</vt:lpstr>
      <vt:lpstr>TYPE</vt:lpstr>
      <vt:lpstr>WIT</vt:lpstr>
    </vt:vector>
  </TitlesOfParts>
  <Company>CINERGY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Sch M Rehearing Calculated Rates with DS Design Change</dc:subject>
  <dc:creator>RAA</dc:creator>
  <cp:lastModifiedBy>Sunderman, Minna</cp:lastModifiedBy>
  <cp:lastPrinted>2024-10-24T17:22:38Z</cp:lastPrinted>
  <dcterms:created xsi:type="dcterms:W3CDTF">1998-01-02T15:10:02Z</dcterms:created>
  <dcterms:modified xsi:type="dcterms:W3CDTF">2025-11-20T21:51:20Z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9be057-b751-42b3-9c6c-4039cb60262e_Enabled">
    <vt:lpwstr>true</vt:lpwstr>
  </property>
  <property fmtid="{D5CDD505-2E9C-101B-9397-08002B2CF9AE}" pid="3" name="MSIP_Label_a89be057-b751-42b3-9c6c-4039cb60262e_SetDate">
    <vt:lpwstr>2025-11-11T12:56:55Z</vt:lpwstr>
  </property>
  <property fmtid="{D5CDD505-2E9C-101B-9397-08002B2CF9AE}" pid="4" name="MSIP_Label_a89be057-b751-42b3-9c6c-4039cb60262e_Method">
    <vt:lpwstr>Standard</vt:lpwstr>
  </property>
  <property fmtid="{D5CDD505-2E9C-101B-9397-08002B2CF9AE}" pid="5" name="MSIP_Label_a89be057-b751-42b3-9c6c-4039cb60262e_Name">
    <vt:lpwstr>Internal</vt:lpwstr>
  </property>
  <property fmtid="{D5CDD505-2E9C-101B-9397-08002B2CF9AE}" pid="6" name="MSIP_Label_a89be057-b751-42b3-9c6c-4039cb60262e_SiteId">
    <vt:lpwstr>2ede383a-7e1f-4357-a846-85886b2c0c4d</vt:lpwstr>
  </property>
  <property fmtid="{D5CDD505-2E9C-101B-9397-08002B2CF9AE}" pid="7" name="MSIP_Label_a89be057-b751-42b3-9c6c-4039cb60262e_ActionId">
    <vt:lpwstr>ce8c7ca8-e4da-42c9-a049-e8246e5865fe</vt:lpwstr>
  </property>
  <property fmtid="{D5CDD505-2E9C-101B-9397-08002B2CF9AE}" pid="8" name="MSIP_Label_a89be057-b751-42b3-9c6c-4039cb60262e_ContentBits">
    <vt:lpwstr>0</vt:lpwstr>
  </property>
  <property fmtid="{D5CDD505-2E9C-101B-9397-08002B2CF9AE}" pid="9" name="MSIP_Label_a89be057-b751-42b3-9c6c-4039cb60262e_Tag">
    <vt:lpwstr>10, 3, 0, 1</vt:lpwstr>
  </property>
  <property fmtid="{D5CDD505-2E9C-101B-9397-08002B2CF9AE}" pid="10" name="ContentTypeId">
    <vt:lpwstr>0x0101005BA58AB4E1B78F4EAC56940670E852C9</vt:lpwstr>
  </property>
</Properties>
</file>